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97d62a7607d3ee9b/PREMIERSHIP WOMEN'S RUGBY/Premiership Women's Rugby 2022-23/"/>
    </mc:Choice>
  </mc:AlternateContent>
  <xr:revisionPtr revIDLastSave="1850" documentId="8_{83203017-89E3-4D87-8C29-BFB0C94BFAB9}" xr6:coauthVersionLast="47" xr6:coauthVersionMax="47" xr10:uidLastSave="{5412DAFA-DCC7-4B3D-A1AB-436353C2734F}"/>
  <bookViews>
    <workbookView xWindow="-109" yWindow="-109" windowWidth="26301" windowHeight="14169" tabRatio="952" activeTab="5" xr2:uid="{00000000-000D-0000-FFFF-FFFF00000000}"/>
  </bookViews>
  <sheets>
    <sheet name="BRI" sheetId="6" r:id="rId1"/>
    <sheet name="EXE" sheetId="2" r:id="rId2"/>
    <sheet name="GLO" sheetId="3" r:id="rId3"/>
    <sheet name="SAL" sheetId="15" r:id="rId4"/>
    <sheet name="SAR" sheetId="14" r:id="rId5"/>
    <sheet name="OVERALL" sheetId="13" r:id="rId6"/>
  </sheets>
  <externalReferences>
    <externalReference r:id="rId7"/>
  </externalReferences>
  <definedNames>
    <definedName name="A_Wallerpts">#REF!</definedName>
    <definedName name="A_Wallertries">#REF!</definedName>
    <definedName name="Abbottjakepts">#REF!</definedName>
    <definedName name="Abbottjaketries">#REF!</definedName>
    <definedName name="Abendanonnickpts">#REF!</definedName>
    <definedName name="Abendanonnicktries">#REF!</definedName>
    <definedName name="Ackermannglopts">GLO!$E$3</definedName>
    <definedName name="Ackermannglotries">GLO!$B$3</definedName>
    <definedName name="Adams_Halesarpts">#REF!</definedName>
    <definedName name="Adams_Halesarptscorrect">SAR!$E$3</definedName>
    <definedName name="Adams_Halesartries">#REF!</definedName>
    <definedName name="Adams_Halesartriescorrect">SAR!$B$3</definedName>
    <definedName name="Adamsworpts">#REF!</definedName>
    <definedName name="Adamswortries">#REF!</definedName>
    <definedName name="Addisonsalpts">#REF!</definedName>
    <definedName name="Addisonsaltries">#REF!</definedName>
    <definedName name="Adejimisarpts">SAR!$E$4</definedName>
    <definedName name="Adejimisartries">SAR!$B$4</definedName>
    <definedName name="Adendorffnorpts">#REF!</definedName>
    <definedName name="Adendorffnortries">#REF!</definedName>
    <definedName name="Adeolokunbripts">BRI!$E$3</definedName>
    <definedName name="Adeolokunbritries">BRI!$B$3</definedName>
    <definedName name="afoabripts">BRI!$E$4</definedName>
    <definedName name="afoabritries">BRI!$B$4</definedName>
    <definedName name="Afoaglopts">GLO!#REF!</definedName>
    <definedName name="Afoaglotries">GLO!#REF!</definedName>
    <definedName name="Agullabatpts">#REF!</definedName>
    <definedName name="Agullabattries">#REF!</definedName>
    <definedName name="Agullapts">#REF!</definedName>
    <definedName name="Agullatries">#REF!</definedName>
    <definedName name="Ah_Younewpts">#REF!</definedName>
    <definedName name="Ah_Younewtries">#REF!</definedName>
    <definedName name="Aholeleiwelshpts">#REF!</definedName>
    <definedName name="Aholeleiwelshtries">#REF!</definedName>
    <definedName name="Alemannoglopts">GLO!$E$4</definedName>
    <definedName name="Alemannoglotries">GLO!$B$4</definedName>
    <definedName name="Allenanthonypts">#REF!</definedName>
    <definedName name="Allenanthonytries">#REF!</definedName>
    <definedName name="Allinsonbatpts">#REF!</definedName>
    <definedName name="Allinsonbattries">#REF!</definedName>
    <definedName name="allinsonliatt">BRI!#REF!</definedName>
    <definedName name="allinsonligoals">BRI!#REF!</definedName>
    <definedName name="Allinsonlipts">BRI!#REF!</definedName>
    <definedName name="Allinsonlitries">BRI!#REF!</definedName>
    <definedName name="Allinsonpts">BRI!#REF!</definedName>
    <definedName name="Allinsontries">BRI!#REF!</definedName>
    <definedName name="Allmannorpts">#REF!</definedName>
    <definedName name="Allmannortries">#REF!</definedName>
    <definedName name="Alofafartries">#REF!</definedName>
    <definedName name="Alofaharpts">#REF!</definedName>
    <definedName name="Aloworpts">#REF!</definedName>
    <definedName name="Alowortries">#REF!</definedName>
    <definedName name="Andersonharpts">#REF!</definedName>
    <definedName name="Andersonhartries">#REF!</definedName>
    <definedName name="Annettbthpts">#REF!</definedName>
    <definedName name="Annettbthtries">#REF!</definedName>
    <definedName name="Anyanwuharpts">#REF!</definedName>
    <definedName name="Anyanwuhartries">#REF!</definedName>
    <definedName name="Armanddonpts">EXE!$E$3</definedName>
    <definedName name="Armanddontries">EXE!$B$3</definedName>
    <definedName name="Armitageguytries">BRI!#REF!</definedName>
    <definedName name="Armitagewaspts">#REF!</definedName>
    <definedName name="Armitagewastries">#REF!</definedName>
    <definedName name="Armstrongbripts">BRI!$E$7</definedName>
    <definedName name="Armstrongbritries">BRI!$B$7</definedName>
    <definedName name="Armstrongjakebripts">BRI!$E$5</definedName>
    <definedName name="Armstrongjakebritries">BRI!$B$5</definedName>
    <definedName name="Armtageguypts">BRI!#REF!</definedName>
    <definedName name="Arnottexepts">EXE!#REF!</definedName>
    <definedName name="Arnottexetries">EXE!#REF!</definedName>
    <definedName name="Arscottbatpts">#REF!</definedName>
    <definedName name="Arscottbattries">#REF!</definedName>
    <definedName name="arscottbriatt">BRI!#REF!</definedName>
    <definedName name="Arscottbrigoals">BRI!#REF!</definedName>
    <definedName name="Arscottlukepts">EXE!#REF!</definedName>
    <definedName name="Arscottluketries">EXE!#REF!</definedName>
    <definedName name="arscottnewatt">#REF!</definedName>
    <definedName name="arscottnewgls">#REF!</definedName>
    <definedName name="Arscottnewpts">#REF!</definedName>
    <definedName name="Arscottnewptscorrect">#REF!</definedName>
    <definedName name="Arscottnewtries">#REF!</definedName>
    <definedName name="Arscottnewtriescorrect">#REF!</definedName>
    <definedName name="Arscottsalpts">#REF!</definedName>
    <definedName name="Arscottsaltries">#REF!</definedName>
    <definedName name="arscotttomatt">#REF!</definedName>
    <definedName name="arscotttomgoals">#REF!</definedName>
    <definedName name="Arscotttompts">#REF!</definedName>
    <definedName name="Arscotttomptscorrect">#REF!</definedName>
    <definedName name="Arscotttomtries">#REF!</definedName>
    <definedName name="Arundellirpts">#REF!</definedName>
    <definedName name="Arundellirtries">#REF!</definedName>
    <definedName name="Ascherlbripts">BRI!$E$6</definedName>
    <definedName name="Ascherlbritries">BRI!$B$6</definedName>
    <definedName name="Ashmansalpts">#REF!</definedName>
    <definedName name="Ashmansaltries">#REF!</definedName>
    <definedName name="Ashtonchrisptscorrect">#REF!</definedName>
    <definedName name="Ashtonchristriescorrect">#REF!</definedName>
    <definedName name="Ashtonpts">#REF!</definedName>
    <definedName name="Ashtonsalpts">#REF!</definedName>
    <definedName name="Ashtonsaltries">#REF!</definedName>
    <definedName name="ashtontries">#REF!</definedName>
    <definedName name="Ashtonworpts">#REF!</definedName>
    <definedName name="Ashtonwortries">#REF!</definedName>
    <definedName name="Atkinsbthatt">#REF!</definedName>
    <definedName name="Atkinsbthgls">#REF!</definedName>
    <definedName name="Atkinsbthpts">#REF!</definedName>
    <definedName name="Atkinsbthtries">#REF!</definedName>
    <definedName name="atkinsliratt">BRI!$I$5</definedName>
    <definedName name="atkinslirgls">BRI!$H$5</definedName>
    <definedName name="Atkinson_Sglopts">GLO!$E$6</definedName>
    <definedName name="Atkinson_Sglotries">GLO!$B$6</definedName>
    <definedName name="Atkinsonglopts">GLO!$E$5</definedName>
    <definedName name="Atkinsonglotries">GLO!$B$5</definedName>
    <definedName name="atkinsonleicatt">#REF!</definedName>
    <definedName name="atkinsonleicgls">#REF!</definedName>
    <definedName name="atkinsonwasatt">#REF!</definedName>
    <definedName name="atkinsonwasgls">#REF!</definedName>
    <definedName name="Atkinsonwaspts">#REF!</definedName>
    <definedName name="Atkinsonwastries">#REF!</definedName>
    <definedName name="Atkinsonworpts">#REF!</definedName>
    <definedName name="Atkinsonwortries">#REF!</definedName>
    <definedName name="Attwooddavepts">#REF!</definedName>
    <definedName name="Attwooddavetries">#REF!</definedName>
    <definedName name="Attwoodpts">#REF!</definedName>
    <definedName name="attwoodtries">#REF!</definedName>
    <definedName name="Augustusnorpts">#REF!</definedName>
    <definedName name="Augustusnortries">#REF!</definedName>
    <definedName name="Aulikalipts">BRI!#REF!</definedName>
    <definedName name="Aulikalitries">BRI!#REF!</definedName>
    <definedName name="Aulikasalpts">#REF!</definedName>
    <definedName name="Aulikasaltries">#REF!</definedName>
    <definedName name="Autagavaiafaatoinapts">#REF!</definedName>
    <definedName name="Autagavaiafaatoinatries">#REF!</definedName>
    <definedName name="Auteracharpts">#REF!</definedName>
    <definedName name="Auterachartries">#REF!</definedName>
    <definedName name="Auteracnicbatpts">#REF!</definedName>
    <definedName name="auteracnicbattries">#REF!</definedName>
    <definedName name="Auteracnorpts">#REF!</definedName>
    <definedName name="Auteracnortries">#REF!</definedName>
    <definedName name="Awcockalanpts">#REF!</definedName>
    <definedName name="Awcockalantries">#REF!</definedName>
    <definedName name="Ayerzaleipts">#REF!</definedName>
    <definedName name="Ayerzaleitries">#REF!</definedName>
    <definedName name="Baileipts">#REF!</definedName>
    <definedName name="Baileitries">#REF!</definedName>
    <definedName name="baileybthatt">#REF!</definedName>
    <definedName name="Baileybthgls">#REF!</definedName>
    <definedName name="Baileybthpts">#REF!</definedName>
    <definedName name="Baileybthtries">#REF!</definedName>
    <definedName name="Bainessalpts">#REF!</definedName>
    <definedName name="Bainessaltries">#REF!</definedName>
    <definedName name="Baldwinharpts">#REF!</definedName>
    <definedName name="Baldwinhartries">#REF!</definedName>
    <definedName name="Balmainglopts">GLO!$E$7</definedName>
    <definedName name="Balmainglotries">GLO!$B$7</definedName>
    <definedName name="Balmainleipts">#REF!</definedName>
    <definedName name="Balmainleitries">#REF!</definedName>
    <definedName name="banahanbatatt">#REF!</definedName>
    <definedName name="banahanbatgoals">#REF!</definedName>
    <definedName name="Banahanglopts">GLO!#REF!</definedName>
    <definedName name="Banahanglotries">GLO!#REF!</definedName>
    <definedName name="Banahanmatttries">#REF!</definedName>
    <definedName name="Banahanpts2">#REF!</definedName>
    <definedName name="Banahanptscorrect">#REF!</definedName>
    <definedName name="Banahantries">#REF!</definedName>
    <definedName name="banahantries2">#REF!</definedName>
    <definedName name="Banahantriescorrect">#REF!</definedName>
    <definedName name="banhanpts">#REF!</definedName>
    <definedName name="Barbearywaspts">#REF!</definedName>
    <definedName name="Barbearywastrie">#REF!</definedName>
    <definedName name="Barbierileipts">#REF!</definedName>
    <definedName name="Barbierileitries">#REF!</definedName>
    <definedName name="Barkleyollypts">#REF!</definedName>
    <definedName name="Barkleyollytries">#REF!</definedName>
    <definedName name="barkleywelatt">#REF!</definedName>
    <definedName name="barkleywelgoals">#REF!</definedName>
    <definedName name="Barnesharpts">#REF!</definedName>
    <definedName name="Barneshartries">#REF!</definedName>
    <definedName name="Barnesnewpts">#REF!</definedName>
    <definedName name="Barnesnewtries">#REF!</definedName>
    <definedName name="Barringtonrichardpts">#REF!</definedName>
    <definedName name="Barringtonrichardtries">#REF!</definedName>
    <definedName name="Barringtonsarptscorrect">SAR!#REF!</definedName>
    <definedName name="Barringtonsartriescorrect">SAR!#REF!</definedName>
    <definedName name="Barrittbradpts">#REF!</definedName>
    <definedName name="Barrittbradtries">#REF!</definedName>
    <definedName name="Barrownewpts">#REF!</definedName>
    <definedName name="Barrownewtries">#REF!</definedName>
    <definedName name="Barrownorpts">#REF!</definedName>
    <definedName name="Barrownortries">#REF!</definedName>
    <definedName name="Bartlettglopts">GLO!$E$8</definedName>
    <definedName name="Bartlettglotries">GLO!$B$8</definedName>
    <definedName name="Bartongloatt">GLO!$I$4</definedName>
    <definedName name="Bartonglogls">GLO!$H$4</definedName>
    <definedName name="Bartonglopts">GLO!$E$9</definedName>
    <definedName name="Bartonglotries">GLO!$B$9</definedName>
    <definedName name="Bashamlirpts">#REF!</definedName>
    <definedName name="Bashamlirtries">#REF!</definedName>
    <definedName name="Bashamnewpts">#REF!</definedName>
    <definedName name="Bashamnewtries">#REF!</definedName>
    <definedName name="Bassettharpts">#REF!</definedName>
    <definedName name="BassettHartries">#REF!</definedName>
    <definedName name="bassettjoshtries">#REF!</definedName>
    <definedName name="Bassettpts">#REF!</definedName>
    <definedName name="bassetttries">#REF!</definedName>
    <definedName name="Bassettwaspts">#REF!</definedName>
    <definedName name="Bassettwastries">#REF!</definedName>
    <definedName name="Batemangregpts">EXE!#REF!</definedName>
    <definedName name="Batemangregtries">EXE!#REF!</definedName>
    <definedName name="Batemanleipts">#REF!</definedName>
    <definedName name="Batemanleitries">#REF!</definedName>
    <definedName name="Batesbripts">BRI!$E$8</definedName>
    <definedName name="Batesbritries">BRI!$B$8</definedName>
    <definedName name="bathpentries">#REF!</definedName>
    <definedName name="bathpentriespts">#REF!</definedName>
    <definedName name="bathpentriesptscorrect">#REF!</definedName>
    <definedName name="bathpentriesptsthisone">#REF!</definedName>
    <definedName name="bathpentriestriescorrect">#REF!</definedName>
    <definedName name="bathpentriestriesthisone">#REF!</definedName>
    <definedName name="BathPts">#REF!</definedName>
    <definedName name="bathscorers">#REF!</definedName>
    <definedName name="BathTries">#REF!</definedName>
    <definedName name="Batleybripts">BRI!#REF!</definedName>
    <definedName name="Batleybriptscorrect">BRI!$E$9</definedName>
    <definedName name="Batleybritries">BRI!#REF!</definedName>
    <definedName name="Batleybritriescorrect">BRI!$B$9</definedName>
    <definedName name="Batleyworpts">#REF!</definedName>
    <definedName name="Batleywortries">#REF!</definedName>
    <definedName name="Battyrosspts">#REF!</definedName>
    <definedName name="Battyrosstries">#REF!</definedName>
    <definedName name="Baxterharpts">#REF!</definedName>
    <definedName name="Baxterhartries">#REF!</definedName>
    <definedName name="Baylissbthpts">#REF!</definedName>
    <definedName name="Baylissbthtries">#REF!</definedName>
    <definedName name="Bealewaspts">#REF!</definedName>
    <definedName name="Bealewastries">#REF!</definedName>
    <definedName name="beardharatt">#REF!</definedName>
    <definedName name="beardhargls">#REF!</definedName>
    <definedName name="Beardharpts">#REF!</definedName>
    <definedName name="Beardhartries">#REF!</definedName>
    <definedName name="Beatonsarpts">SAR!$E$5</definedName>
    <definedName name="Beatonsartries">SAR!$B$5</definedName>
    <definedName name="Beaumontsalpts">#REF!</definedName>
    <definedName name="Beaumontsaltries">#REF!</definedName>
    <definedName name="becconsallexeatt">EXE!$I$4</definedName>
    <definedName name="becconsallexegls">EXE!$H$4</definedName>
    <definedName name="Beckworpts">#REF!</definedName>
    <definedName name="Beckwortries">#REF!</definedName>
    <definedName name="bedlowbriatt">BRI!$I$4</definedName>
    <definedName name="Bedlowbrigls">BRI!$H$4</definedName>
    <definedName name="Bedlowbripts">BRI!$E$10</definedName>
    <definedName name="bedlowbritries">BRI!$B$10</definedName>
    <definedName name="bedlowsalatt">#REF!</definedName>
    <definedName name="Bedlowsalgls">#REF!</definedName>
    <definedName name="BedlowSALPTS">#REF!</definedName>
    <definedName name="BedlowSALTRIES">#REF!</definedName>
    <definedName name="Beechcharliepts">#REF!</definedName>
    <definedName name="Beechcharlietries">#REF!</definedName>
    <definedName name="Bell_C">#REF!</definedName>
    <definedName name="Bellchrispts">#REF!</definedName>
    <definedName name="Bellchristries">#REF!</definedName>
    <definedName name="bellleiatt">#REF!</definedName>
    <definedName name="Bellleigoals">#REF!</definedName>
    <definedName name="Bellleipts">#REF!</definedName>
    <definedName name="Bellleitries">#REF!</definedName>
    <definedName name="Belltommypts">#REF!</definedName>
    <definedName name="Belltommytries">#REF!</definedName>
    <definedName name="BenettonPts">[1]BEN!$F$54</definedName>
    <definedName name="BenettonTries">[1]BEN!$B$54</definedName>
    <definedName name="Benjaminleipts">#REF!</definedName>
    <definedName name="Benjaminleitries">#REF!</definedName>
    <definedName name="Benjaminmilespts">#REF!</definedName>
    <definedName name="Benjaminmilestries">#REF!</definedName>
    <definedName name="Bennettnorpts">#REF!</definedName>
    <definedName name="Bennettnortries">#REF!</definedName>
    <definedName name="bensonharatt">#REF!</definedName>
    <definedName name="bensonhargls">#REF!</definedName>
    <definedName name="Bensonharpts">#REF!</definedName>
    <definedName name="Bensonhartries">#REF!</definedName>
    <definedName name="Bentleyjonnypts">GLO!$E$52</definedName>
    <definedName name="Benz_Salomon_Jbripts">BRI!$E$11</definedName>
    <definedName name="Benz_Salomon_Jbritri">BRI!$B$11</definedName>
    <definedName name="Bettencourtnewpts">#REF!</definedName>
    <definedName name="Bettencourtnewtries">#REF!</definedName>
    <definedName name="Bettysampts">#REF!</definedName>
    <definedName name="Bettysamtries">#REF!</definedName>
    <definedName name="Bevingtonbstpts">BRI!$E$7</definedName>
    <definedName name="Bevingtonbsttries">BRI!$B$7</definedName>
    <definedName name="Biggarnorpts">#REF!</definedName>
    <definedName name="Biggarnortries">#REF!</definedName>
    <definedName name="Biggstompts">#REF!</definedName>
    <definedName name="Biggstomtries">#REF!</definedName>
    <definedName name="Birchsalpts">#REF!</definedName>
    <definedName name="Birchsaltries">#REF!</definedName>
    <definedName name="blackettnewatt">#REF!</definedName>
    <definedName name="blackettnewgls">#REF!</definedName>
    <definedName name="Blackettnewpts">#REF!</definedName>
    <definedName name="Blackettnewtries">#REF!</definedName>
    <definedName name="Blackworpts">#REF!</definedName>
    <definedName name="Blackwortries">#REF!</definedName>
    <definedName name="Blairnewpts">#REF!</definedName>
    <definedName name="Blairpts">#REF!</definedName>
    <definedName name="Blairtries">#REF!</definedName>
    <definedName name="Blakeglopts">GLO!$E$10</definedName>
    <definedName name="Blakeglotries">GLO!$B$10</definedName>
    <definedName name="Blamirenewpts">#REF!</definedName>
    <definedName name="Blamirenewtries">#REF!</definedName>
    <definedName name="Blommetjiesleicpts">#REF!</definedName>
    <definedName name="Blommetjiesleictries">#REF!</definedName>
    <definedName name="Bodillyexepts">EXE!#REF!</definedName>
    <definedName name="Bodillyexetries">EXE!#REF!</definedName>
    <definedName name="boschatt">#REF!</definedName>
    <definedName name="Boschgoals">#REF!</definedName>
    <definedName name="Boschmarcelopts">#REF!</definedName>
    <definedName name="Boschmarcelotries">#REF!</definedName>
    <definedName name="Bothaexepts">EXE!#REF!</definedName>
    <definedName name="Bothaexetries">EXE!#REF!</definedName>
    <definedName name="Bothalirpts">#REF!</definedName>
    <definedName name="Bothalirtries">#REF!</definedName>
    <definedName name="Bothamouritzpts">#REF!</definedName>
    <definedName name="Bothamouritztries">#REF!</definedName>
    <definedName name="Bothmaharpts">#REF!</definedName>
    <definedName name="Bothmahartries">#REF!</definedName>
    <definedName name="boticaatt">#REF!</definedName>
    <definedName name="Boticabentries">#REF!</definedName>
    <definedName name="boticagoals">#REF!</definedName>
    <definedName name="Boticaharpts">#REF!</definedName>
    <definedName name="Boticapts">#REF!</definedName>
    <definedName name="Bowdendanpts">#REF!</definedName>
    <definedName name="Bowdendantries">#REF!</definedName>
    <definedName name="Bowdenpts">#REF!</definedName>
    <definedName name="bowdentries">#REF!</definedName>
    <definedName name="Boycebthpts">#REF!</definedName>
    <definedName name="Boycebthtries">#REF!</definedName>
    <definedName name="Boyceharpts">#REF!</definedName>
    <definedName name="Boycehartries">#REF!</definedName>
    <definedName name="Bradburybripts">BRI!$E$12</definedName>
    <definedName name="Bradburybritries">BRI!$B$12</definedName>
    <definedName name="Bradleyharpts">#REF!</definedName>
    <definedName name="Bradleyhartries">#REF!</definedName>
    <definedName name="Bradyleipts">#REF!</definedName>
    <definedName name="Bradyleitries">#REF!</definedName>
    <definedName name="Bradytompts">#REF!</definedName>
    <definedName name="Bradytomtries">#REF!</definedName>
    <definedName name="Braiddanpts">#REF!</definedName>
    <definedName name="Braiddantries">#REF!</definedName>
    <definedName name="Braidpts">#REF!</definedName>
    <definedName name="Braidtries">#REF!</definedName>
    <definedName name="braidworatt">#REF!</definedName>
    <definedName name="braidworgoals">#REF!</definedName>
    <definedName name="Braidworpts">#REF!</definedName>
    <definedName name="Braidwortries">#REF!</definedName>
    <definedName name="Braleyglopts">GLO!#REF!</definedName>
    <definedName name="Braleyglotries">GLO!#REF!</definedName>
    <definedName name="Braleynorpts">#REF!</definedName>
    <definedName name="Braleynortries">#REF!</definedName>
    <definedName name="Bregvadzeworpts">#REF!</definedName>
    <definedName name="Bregvadzewortries">#REF!</definedName>
    <definedName name="Breslerworpts">#REF!</definedName>
    <definedName name="Breslerwortries">#REF!</definedName>
    <definedName name="Brewbthpts">#REF!</definedName>
    <definedName name="Brewbthtries">#REF!</definedName>
    <definedName name="Briggsleipts">#REF!</definedName>
    <definedName name="Briggsleitries">#REF!</definedName>
    <definedName name="Briggssalpts">#REF!</definedName>
    <definedName name="Briggssaltries">#REF!</definedName>
    <definedName name="BristolPts">BRI!$E$53</definedName>
    <definedName name="BristolTries">BRI!$B$53</definedName>
    <definedName name="Bristowleipts">#REF!</definedName>
    <definedName name="Bristowleitries">#REF!</definedName>
    <definedName name="Bristowsalpts">#REF!</definedName>
    <definedName name="Bristowsaltries">#REF!</definedName>
    <definedName name="Britspts">#REF!</definedName>
    <definedName name="britstris">#REF!</definedName>
    <definedName name="Brittonwelpts">#REF!</definedName>
    <definedName name="Brittonweltries">#REF!</definedName>
    <definedName name="Brookerglopts">GLO!#REF!</definedName>
    <definedName name="Brookerglotries">GLO!#REF!</definedName>
    <definedName name="Brookesnewpts">#REF!</definedName>
    <definedName name="Brookesnewtries">#REF!</definedName>
    <definedName name="Brookesnoprpts">#REF!</definedName>
    <definedName name="Brookesnortries">#REF!</definedName>
    <definedName name="Brookeswaspts">#REF!</definedName>
    <definedName name="Brookeswastries">#REF!</definedName>
    <definedName name="Brophy_Clewslirgoals">BRI!#REF!</definedName>
    <definedName name="Brophy_Clewslirpts">BRI!#REF!</definedName>
    <definedName name="Brophy_Clewslirtries">BRI!#REF!</definedName>
    <definedName name="brophyclewsliratt">BRI!#REF!</definedName>
    <definedName name="BrophyClewslirpts">BRI!#REF!</definedName>
    <definedName name="BrophyClewslirtries">BRI!#REF!</definedName>
    <definedName name="Brown">#REF!</definedName>
    <definedName name="brown2">#REF!</definedName>
    <definedName name="Brownedanielpts">#REF!</definedName>
    <definedName name="Brownedanieltries">#REF!</definedName>
    <definedName name="Brownepetepts">#REF!</definedName>
    <definedName name="Brownepetetries">#REF!</definedName>
    <definedName name="brownexepts">EXE!#REF!</definedName>
    <definedName name="brownexetries">EXE!#REF!</definedName>
    <definedName name="Brownharpts">#REF!</definedName>
    <definedName name="Brownhartries">#REF!</definedName>
    <definedName name="brownkellypts">#REF!</definedName>
    <definedName name="brownkellytries">#REF!</definedName>
    <definedName name="brownleipts">#REF!</definedName>
    <definedName name="brownleitries">#REF!</definedName>
    <definedName name="brownmikepts2">#REF!</definedName>
    <definedName name="Brownmiketries">#REF!</definedName>
    <definedName name="brownmiketriescorrect">#REF!</definedName>
    <definedName name="brownnewpts">#REF!</definedName>
    <definedName name="brownnewtries">#REF!</definedName>
    <definedName name="brownsarpts">#REF!</definedName>
    <definedName name="brownsartries">#REF!</definedName>
    <definedName name="Brussownorpts">#REF!</definedName>
    <definedName name="Brussownortries">#REF!</definedName>
    <definedName name="Bryansarpts">SAR!$E$6</definedName>
    <definedName name="Bryansartries">SAR!$B$6</definedName>
    <definedName name="bryantleiatt">#REF!</definedName>
    <definedName name="Bryantleigoals">#REF!</definedName>
    <definedName name="Bryantleipts">#REF!</definedName>
    <definedName name="Bryantleitries">#REF!</definedName>
    <definedName name="Buchananpts">#REF!</definedName>
    <definedName name="buchanantries">#REF!</definedName>
    <definedName name="Buckleysalpts">#REF!</definedName>
    <definedName name="Buckleysaltries">#REF!</definedName>
    <definedName name="Burgerjacquespts">#REF!</definedName>
    <definedName name="Burgerjacquestries">#REF!</definedName>
    <definedName name="Burgesssampts">#REF!</definedName>
    <definedName name="Burgesssamtries">#REF!</definedName>
    <definedName name="Burnsbillypts">GLO!#REF!</definedName>
    <definedName name="Burnsbillytries">GLO!#REF!</definedName>
    <definedName name="burnsbthpts">#REF!</definedName>
    <definedName name="burnsbthtries">#REF!</definedName>
    <definedName name="burnsfreddieatt">GLO!#REF!</definedName>
    <definedName name="burnsfreddiegoals">GLO!#REF!</definedName>
    <definedName name="Burnsfreddiepts">GLO!$E$5</definedName>
    <definedName name="Burnsfreddietries">GLO!$B$52</definedName>
    <definedName name="burnsgloatt">GLO!#REF!</definedName>
    <definedName name="burnsglogoals">GLO!#REF!</definedName>
    <definedName name="Burnsharpts">#REF!</definedName>
    <definedName name="Burnshartries">#REF!</definedName>
    <definedName name="burnsleiatt">#REF!</definedName>
    <definedName name="Burnsleicpts">#REF!</definedName>
    <definedName name="Burnsleictries">#REF!</definedName>
    <definedName name="burnsleigoals">#REF!</definedName>
    <definedName name="Burnsleipts">#REF!</definedName>
    <definedName name="Burnsleitries">#REF!</definedName>
    <definedName name="Burrelllutherpts">#REF!</definedName>
    <definedName name="Burrellnewpts">#REF!</definedName>
    <definedName name="Burrellnewtries">#REF!</definedName>
    <definedName name="Burrellpts">#REF!</definedName>
    <definedName name="Burrelltries">#REF!</definedName>
    <definedName name="Burrelltriescorrect">#REF!</definedName>
    <definedName name="Burrowsnewpts">#REF!</definedName>
    <definedName name="Burrowsnewtries">#REF!</definedName>
    <definedName name="Buttbthpts">#REF!</definedName>
    <definedName name="Buttbthtries">#REF!</definedName>
    <definedName name="Byrnebripts">BRI!$E$13</definedName>
    <definedName name="Byrnebritries">BRI!$B$13</definedName>
    <definedName name="Cahillshanepts">#REF!</definedName>
    <definedName name="Cahillshanetries">#REF!</definedName>
    <definedName name="Cairnsexepts">EXE!$E$4</definedName>
    <definedName name="Cairnsexetries">EXE!$B$4</definedName>
    <definedName name="Caldwellexepts">EXE!$E$5</definedName>
    <definedName name="Caldwellexetries">EXE!$B$5</definedName>
    <definedName name="Camacholeipts">#REF!</definedName>
    <definedName name="Camacholeitries">#REF!</definedName>
    <definedName name="Campagnarowaspts">#REF!</definedName>
    <definedName name="Campagnarowastries">#REF!</definedName>
    <definedName name="Cannonwaspts">#REF!</definedName>
    <definedName name="Cannonwastries">#REF!</definedName>
    <definedName name="Caponbripts">BRI!$E$14</definedName>
    <definedName name="Caponbritries">BRI!$B$14</definedName>
    <definedName name="Capstickexepts">EXE!$E$5</definedName>
    <definedName name="Capstickexetries">EXE!$B$5</definedName>
    <definedName name="Cardallwaspts">#REF!</definedName>
    <definedName name="Cardallwastries">#REF!</definedName>
    <definedName name="CardiffPts">[1]CBL!$F$50</definedName>
    <definedName name="CardiffTries">[1]CBL!$B$50</definedName>
    <definedName name="Care" comment="constant">#REF!</definedName>
    <definedName name="Carepts">#REF!</definedName>
    <definedName name="caretries" comment="constant">#REF!</definedName>
    <definedName name="carlisleatt">#REF!</definedName>
    <definedName name="carlislegoals">#REF!</definedName>
    <definedName name="Carlislejoetries">#REF!</definedName>
    <definedName name="Carlislepts">#REF!</definedName>
    <definedName name="Carpentersalpts">#REF!</definedName>
    <definedName name="Carpentersaltries">#REF!</definedName>
    <definedName name="carrerasgloatt">GLO!#REF!</definedName>
    <definedName name="Carrerasglogls">GLO!#REF!</definedName>
    <definedName name="Carrerasglopts">GLO!$E$11</definedName>
    <definedName name="Carrerasglotries">GLO!$B$11</definedName>
    <definedName name="Carrerasnewpts">#REF!</definedName>
    <definedName name="Carrerasnewtries">#REF!</definedName>
    <definedName name="Carrharpts">#REF!</definedName>
    <definedName name="Carrhartries">#REF!</definedName>
    <definedName name="Carrick_Smithexepts">EXE!$E$6</definedName>
    <definedName name="Carrick_Smithexetries">EXE!$B$6</definedName>
    <definedName name="Carrnwaspts">#REF!</definedName>
    <definedName name="Carrnwastries">#REF!</definedName>
    <definedName name="Carrwaspts">#REF!</definedName>
    <definedName name="Carrwastries">#REF!</definedName>
    <definedName name="Cassonharpts">#REF!</definedName>
    <definedName name="Cassonhartries">#REF!</definedName>
    <definedName name="Catonewpts">#REF!</definedName>
    <definedName name="Catonoahpts">#REF!</definedName>
    <definedName name="Catonoahtries">#REF!</definedName>
    <definedName name="Catrakilisharpts">#REF!</definedName>
    <definedName name="Catrakilishartries">#REF!</definedName>
    <definedName name="catterickatt">#REF!</definedName>
    <definedName name="catterickgoals">#REF!</definedName>
    <definedName name="Cattericknewtries">#REF!</definedName>
    <definedName name="Catterickpts">#REF!</definedName>
    <definedName name="Cattericktries">#REF!</definedName>
    <definedName name="Cattnathanpts">#REF!</definedName>
    <definedName name="Cattnathantries">#REF!</definedName>
    <definedName name="Challengerbripts">BRI!$E$15</definedName>
    <definedName name="Challengerbritries">BRI!$B$15</definedName>
    <definedName name="chapmangloatt">GLO!$I$5</definedName>
    <definedName name="chapmanglogls">GLO!$H$5</definedName>
    <definedName name="Chapmanglopts">GLO!$E$12</definedName>
    <definedName name="Chapmanglotries">GLO!$B$12</definedName>
    <definedName name="Charlesbthpts">#REF!</definedName>
    <definedName name="Charlesbthtries">#REF!</definedName>
    <definedName name="Charterisbthpts">#REF!</definedName>
    <definedName name="Charterisbthtries">#REF!</definedName>
    <definedName name="Cheesemanharpts">#REF!</definedName>
    <definedName name="Cheesemanhartries">#REF!</definedName>
    <definedName name="CheetahsPts">[1]CHE!$E$62</definedName>
    <definedName name="CheetahsTries">[1]CHE!$B$62</definedName>
    <definedName name="Chessum_Lleipts">#REF!</definedName>
    <definedName name="Chessum_Lleitries">#REF!</definedName>
    <definedName name="Chessumleicpts">#REF!</definedName>
    <definedName name="Chessumleictries">#REF!</definedName>
    <definedName name="Chicknewpts">#REF!</definedName>
    <definedName name="Chicknewtries">#REF!</definedName>
    <definedName name="Chisanganewpts">#REF!</definedName>
    <definedName name="Chisanganewtries">#REF!</definedName>
    <definedName name="Chisholm_Jharpts">#REF!</definedName>
    <definedName name="Chisholm_Jhartries">#REF!</definedName>
    <definedName name="Chisholm_Rharpts">#REF!</definedName>
    <definedName name="Chisholm_Rhartries">#REF!</definedName>
    <definedName name="chisholmharatt">#REF!</definedName>
    <definedName name="chisholmhargls">#REF!</definedName>
    <definedName name="Chisholmjamesharpts">#REF!</definedName>
    <definedName name="Chisholmjameshartries">#REF!</definedName>
    <definedName name="Christiesarptscorrect">SAR!$E$7</definedName>
    <definedName name="Christiesartriescorrect">SAR!$B$7</definedName>
    <definedName name="Chudleybthpts">#REF!</definedName>
    <definedName name="Chudleybthtries">#REF!</definedName>
    <definedName name="Chudleyexepts">EXE!#REF!</definedName>
    <definedName name="Chudleyexetries">EXE!#REF!</definedName>
    <definedName name="Chudleyworpts">#REF!</definedName>
    <definedName name="Chudleywortries">#REF!</definedName>
    <definedName name="Cilliersleipts">#REF!</definedName>
    <definedName name="Cilliersleitries">#REF!</definedName>
    <definedName name="Cintilirpts">#REF!</definedName>
    <definedName name="Cintilirtries">#REF!</definedName>
    <definedName name="ciprianiatt">#REF!</definedName>
    <definedName name="ciprianibthatt">#REF!</definedName>
    <definedName name="ciprianibthgls">#REF!</definedName>
    <definedName name="ciprianibthpts">#REF!</definedName>
    <definedName name="Ciprianibthtries">#REF!</definedName>
    <definedName name="Ciprianidannytries">#REF!</definedName>
    <definedName name="ciprianigloatt">GLO!#REF!</definedName>
    <definedName name="ciprianiglogls">GLO!#REF!</definedName>
    <definedName name="Ciprianiglopts">GLO!#REF!</definedName>
    <definedName name="Ciprianiglotries">GLO!#REF!</definedName>
    <definedName name="ciprianigoals">#REF!</definedName>
    <definedName name="Ciprianipts">#REF!</definedName>
    <definedName name="Ciprianisalpts">#REF!</definedName>
    <definedName name="ciprianitries">#REF!</definedName>
    <definedName name="Ciprianitriescorrect">#REF!</definedName>
    <definedName name="Ciprianiwaspts">#REF!</definedName>
    <definedName name="Ciprianiwastries">#REF!</definedName>
    <definedName name="Cittadiniwaspts">#REF!</definedName>
    <definedName name="Cittadiniwastries">#REF!</definedName>
    <definedName name="Civettanewpts">#REF!</definedName>
    <definedName name="Civettanewtries">#REF!</definedName>
    <definedName name="Clarenorpts">#REF!</definedName>
    <definedName name="Clarenortries">#REF!</definedName>
    <definedName name="Clareysarptscorrect">SAR!$E$8</definedName>
    <definedName name="Clareysartriescorrect">SAR!$B$8</definedName>
    <definedName name="Clarkbatpts">#REF!</definedName>
    <definedName name="Clarkbattries">#REF!</definedName>
    <definedName name="Clarkcalumpts">#REF!</definedName>
    <definedName name="Clarkcalumtries">#REF!</definedName>
    <definedName name="Clarkglopts">GLO!$E$13</definedName>
    <definedName name="Clarkglotries">GLO!$B$13</definedName>
    <definedName name="Cleavesharpts">#REF!</definedName>
    <definedName name="Cleaveshartries">#REF!</definedName>
    <definedName name="cleggatt">#REF!</definedName>
    <definedName name="clegggoals">#REF!</definedName>
    <definedName name="Cleggnewpts">#REF!</definedName>
    <definedName name="Cleggpts">#REF!</definedName>
    <definedName name="cleggrorytries">#REF!</definedName>
    <definedName name="Cleggworpts">#REF!</definedName>
    <definedName name="Cleggwortries">#REF!</definedName>
    <definedName name="Clevernewpts">#REF!</definedName>
    <definedName name="Clevernewtries">#REF!</definedName>
    <definedName name="Cliffordharpts">#REF!</definedName>
    <definedName name="Cliffordhartries">#REF!</definedName>
    <definedName name="Cliffordjackpts">#REF!</definedName>
    <definedName name="Cliffordjacktries">#REF!</definedName>
    <definedName name="cliffsalatt">#REF!</definedName>
    <definedName name="Cliffsalgls">#REF!</definedName>
    <definedName name="Cliffsalpts">#REF!</definedName>
    <definedName name="Cliffsaltries">#REF!</definedName>
    <definedName name="Cliffwillsalpts">#REF!</definedName>
    <definedName name="Cliffwillsaltries">#REF!</definedName>
    <definedName name="Cobilassalpts">#REF!</definedName>
    <definedName name="Cobilassaltries">#REF!</definedName>
    <definedName name="Cochraneneilpts">#REF!</definedName>
    <definedName name="Cochraneneiltries">#REF!</definedName>
    <definedName name="Coetzeebthpts">#REF!</definedName>
    <definedName name="Coetzeebthtries">#REF!</definedName>
    <definedName name="Coetzerglopts">GLO!$E$15</definedName>
    <definedName name="Coetzerglotries">GLO!$B$15</definedName>
    <definedName name="Cokanasigabthpts">#REF!</definedName>
    <definedName name="Cokanasigabthtries">#REF!</definedName>
    <definedName name="Cokanasigalirpts">BRI!#REF!</definedName>
    <definedName name="Cokanasigalirtries">BRI!#REF!</definedName>
    <definedName name="Cokanasigaplirpts">#REF!</definedName>
    <definedName name="Cokanasigaplirtries">#REF!</definedName>
    <definedName name="Coleleipts">#REF!</definedName>
    <definedName name="Coleleitries">#REF!</definedName>
    <definedName name="Colesnorpts">#REF!</definedName>
    <definedName name="Colesnortries">#REF!</definedName>
    <definedName name="Collettnewpts">#REF!</definedName>
    <definedName name="Collettnewtries">#REF!</definedName>
    <definedName name="Collierharpts">#REF!</definedName>
    <definedName name="Collierhartries">#REF!</definedName>
    <definedName name="Collinstompts">#REF!</definedName>
    <definedName name="Collinstomtries">#REF!</definedName>
    <definedName name="Comanlirpts">BRI!#REF!</definedName>
    <definedName name="Comanlirtries">BRI!#REF!</definedName>
    <definedName name="Conlonexepts">EXE!#REF!</definedName>
    <definedName name="Conlonexetries">EXE!#REF!</definedName>
    <definedName name="Conlonjoelpts">EXE!#REF!</definedName>
    <definedName name="Conlonjoeltries">EXE!#REF!</definedName>
    <definedName name="Conlonsarprts">#REF!</definedName>
    <definedName name="Conlonsartries">#REF!</definedName>
    <definedName name="ConnachtPts">[1]CON!$F$51</definedName>
    <definedName name="ConnachtTries">[1]CON!$B$51</definedName>
    <definedName name="connonnewatt">#REF!</definedName>
    <definedName name="connonnewgoals">#REF!</definedName>
    <definedName name="Connonnewpts">#REF!</definedName>
    <definedName name="Connonnewptscorrect">#REF!</definedName>
    <definedName name="Connonnewptscorrectthisone">#REF!</definedName>
    <definedName name="Connonnewtries">#REF!</definedName>
    <definedName name="Connonnewtriescorrect">#REF!</definedName>
    <definedName name="Connonnewtriescorrectthsione">#REF!</definedName>
    <definedName name="cookatt">GLO!#REF!</definedName>
    <definedName name="Cookbthpts">#REF!</definedName>
    <definedName name="Cookbthtries">#REF!</definedName>
    <definedName name="Cookchrispts">#REF!</definedName>
    <definedName name="Cookchristries">#REF!</definedName>
    <definedName name="Cookelirpts">#REF!</definedName>
    <definedName name="Cookelirtries">#REF!</definedName>
    <definedName name="Cookgoals">GLO!#REF!</definedName>
    <definedName name="Cookpts">GLO!#REF!</definedName>
    <definedName name="Cooktries">GLO!#REF!</definedName>
    <definedName name="Cooper_Woolleypts">#REF!</definedName>
    <definedName name="Cooper_Woolleysalpts">#REF!</definedName>
    <definedName name="Cooper_Woolleysaltries">#REF!</definedName>
    <definedName name="Cooper_Woolleytries">#REF!</definedName>
    <definedName name="Cooper_Woolleywaspts">#REF!</definedName>
    <definedName name="Cooper_Woolleywastries">#REF!</definedName>
    <definedName name="Coopernewpts">#REF!</definedName>
    <definedName name="Coopernewtries">#REF!</definedName>
    <definedName name="Cooperwelpts">#REF!</definedName>
    <definedName name="Cooperweltries">#REF!</definedName>
    <definedName name="Corbisieronorpts">#REF!</definedName>
    <definedName name="Corbisieronortries">#REF!</definedName>
    <definedName name="Corbisieropts">#REF!</definedName>
    <definedName name="Corbisierotries">#REF!</definedName>
    <definedName name="Corkermattpts">#REF!</definedName>
    <definedName name="Corkermatttries">#REF!</definedName>
    <definedName name="Cornishlirpts">#REF!</definedName>
    <definedName name="Cornishlirtries">#REF!</definedName>
    <definedName name="Cosgrovebripts">BRI!#REF!</definedName>
    <definedName name="Cosgrovebritries">BRI!#REF!</definedName>
    <definedName name="Courtlipts">BRI!$E$17</definedName>
    <definedName name="Courtlitries">BRI!$B$17</definedName>
    <definedName name="Cowan_Dickie_Lukepts">EXE!$E$7</definedName>
    <definedName name="Cowan_Dickie_Luketries">EXE!$B$7</definedName>
    <definedName name="Cowan_Dickieleicpts">#REF!</definedName>
    <definedName name="Cowan_Dickieleictries">#REF!</definedName>
    <definedName name="Cowanblairtries">BRI!#REF!</definedName>
    <definedName name="Cowanjimmypts">GLO!$E$51</definedName>
    <definedName name="Cowanjimmytries">GLO!$B$51</definedName>
    <definedName name="Cowanlipts">BRI!#REF!</definedName>
    <definedName name="Cowanpts">BRI!#REF!</definedName>
    <definedName name="Cowansarpts">#REF!</definedName>
    <definedName name="Cowansartries">#REF!</definedName>
    <definedName name="Cowantries">BRI!#REF!</definedName>
    <definedName name="Coxlipts">BRI!#REF!</definedName>
    <definedName name="Coxlitries">BRI!#REF!</definedName>
    <definedName name="Coxmattpts">GLO!#REF!</definedName>
    <definedName name="Coxmatttries">GLO!#REF!</definedName>
    <definedName name="Coxworpts">#REF!</definedName>
    <definedName name="Coxwortries">#REF!</definedName>
    <definedName name="Cracknellleipts">#REF!</definedName>
    <definedName name="Cracknellleitries">#REF!</definedName>
    <definedName name="Craignorpts">#REF!</definedName>
    <definedName name="Craignortries">#REF!</definedName>
    <definedName name="cranebripts">BRI!$E$17</definedName>
    <definedName name="Cranebritries">BRI!$B$17</definedName>
    <definedName name="craneleiatt">#REF!</definedName>
    <definedName name="craneleigoals">#REF!</definedName>
    <definedName name="Cranepts">#REF!</definedName>
    <definedName name="Craneptscorrect">#REF!</definedName>
    <definedName name="Cranerhyspts">#REF!</definedName>
    <definedName name="Cranerhystries">#REF!</definedName>
    <definedName name="cranetries">#REF!</definedName>
    <definedName name="Cranetriescorrect">#REF!</definedName>
    <definedName name="Creevyagustinpts">#REF!</definedName>
    <definedName name="Creevyagustintries">#REF!</definedName>
    <definedName name="Croallsalpts">#REF!</definedName>
    <definedName name="Croallsaltries">#REF!</definedName>
    <definedName name="Croftleipts">#REF!</definedName>
    <definedName name="Croftleitries">#REF!</definedName>
    <definedName name="Croninleipts">#REF!</definedName>
    <definedName name="Croninleitrie">#REF!</definedName>
    <definedName name="Crossdalesarpts">#REF!</definedName>
    <definedName name="Crossdalesarptscorrect">#REF!</definedName>
    <definedName name="Crossdalesartries">#REF!</definedName>
    <definedName name="Crossdalesartriescorrect">#REF!</definedName>
    <definedName name="Crossdalewaspts">#REF!</definedName>
    <definedName name="Crossdalewastrioes">#REF!</definedName>
    <definedName name="Crosslipts">BRI!#REF!</definedName>
    <definedName name="Crosslitries">BRI!#REF!</definedName>
    <definedName name="Crumptonharpts">#REF!</definedName>
    <definedName name="Crumptonhartries">#REF!</definedName>
    <definedName name="Crusewaspts">#REF!</definedName>
    <definedName name="Crusewastries">#REF!</definedName>
    <definedName name="Cuetopts">#REF!</definedName>
    <definedName name="Cuetosalpts">#REF!</definedName>
    <definedName name="Cuetosaltries">#REF!</definedName>
    <definedName name="cuetotries">#REF!</definedName>
    <definedName name="Cunningham_S_thlirpts">#REF!</definedName>
    <definedName name="Cunningham_S_thlirtries">#REF!</definedName>
    <definedName name="Curry_Bsalpts">#REF!</definedName>
    <definedName name="Curry_Bsaltries">#REF!</definedName>
    <definedName name="Curry_Tsalpts">#REF!</definedName>
    <definedName name="Curry_Tsaltries">#REF!</definedName>
    <definedName name="Curtis_Harrislirpts">#REF!</definedName>
    <definedName name="Curtis_Harrislirtries">#REF!</definedName>
    <definedName name="Curtissalpts">#REF!</definedName>
    <definedName name="Curtissaltries">#REF!</definedName>
    <definedName name="Curtiswaspts">#REF!</definedName>
    <definedName name="Curtiswastries">#REF!</definedName>
    <definedName name="Cusitersalpts">#REF!</definedName>
    <definedName name="Cusitersaltries">#REF!</definedName>
    <definedName name="Daltonnewpts">#REF!</definedName>
    <definedName name="Daltonnewtries">#REF!</definedName>
    <definedName name="Dalyelliotpts">#REF!</definedName>
    <definedName name="Dalyelliottries">#REF!</definedName>
    <definedName name="dalysarattcorrect">SAR!$I$8</definedName>
    <definedName name="dalysarglscorrect">SAR!$H$8</definedName>
    <definedName name="Dalysarptscorrect">SAR!$E$9</definedName>
    <definedName name="Dalysartriescorrect">SAR!$B$9</definedName>
    <definedName name="dalywasatt">#REF!</definedName>
    <definedName name="dalywasgoals">#REF!</definedName>
    <definedName name="Dalywaspts">#REF!</definedName>
    <definedName name="Danaherdeclanpts">BRI!#REF!</definedName>
    <definedName name="Danaherdeclantries">BRI!#REF!</definedName>
    <definedName name="danielsbriatt">BRI!#REF!</definedName>
    <definedName name="Danielsbrigls">BRI!#REF!</definedName>
    <definedName name="Danielsbripts">BRI!$E$18</definedName>
    <definedName name="Danielsbritries">BRI!$B$18</definedName>
    <definedName name="Dansarpts">SAR!$E$10</definedName>
    <definedName name="Dansartries">SAR!$B$10</definedName>
    <definedName name="dasdsa">#REF!</definedName>
    <definedName name="Davidharpts">#REF!</definedName>
    <definedName name="Davidhartries">#REF!</definedName>
    <definedName name="Davidsonglopts">GLO!$E$17</definedName>
    <definedName name="Davidsonglotries">GLO!$B$17</definedName>
    <definedName name="Davidsonnewpts">#REF!</definedName>
    <definedName name="Davidsonnewtries">#REF!</definedName>
    <definedName name="Davidworpts">#REF!</definedName>
    <definedName name="Davidwortries">#REF!</definedName>
    <definedName name="Davies_Bwaspts">#REF!</definedName>
    <definedName name="Davies_Bwsstries">#REF!</definedName>
    <definedName name="Davies_Cwaspts">#REF!</definedName>
    <definedName name="Davies_Cwastries">#REF!</definedName>
    <definedName name="Daviesalexpts">#REF!</definedName>
    <definedName name="Daviesalextries">#REF!</definedName>
    <definedName name="Daviesbripts">BRI!$E$16</definedName>
    <definedName name="Daviesbritries">BRI!$B$16</definedName>
    <definedName name="daviesbthatt">#REF!</definedName>
    <definedName name="daviesbthgls">#REF!</definedName>
    <definedName name="Daviesbthpts">#REF!</definedName>
    <definedName name="Daviesbthtries">#REF!</definedName>
    <definedName name="Daviescharliepts">#REF!</definedName>
    <definedName name="Daviescharlietries">#REF!</definedName>
    <definedName name="Davieselliottpts">#REF!</definedName>
    <definedName name="Davieselliotttries">#REF!</definedName>
    <definedName name="Daviesexepts">EXE!#REF!</definedName>
    <definedName name="Daviesexetries">EXE!#REF!</definedName>
    <definedName name="Daviesnewpts">#REF!</definedName>
    <definedName name="Daviesnewtries">#REF!</definedName>
    <definedName name="Daviesnorpts">#REF!</definedName>
    <definedName name="Daviesnortries">#REF!</definedName>
    <definedName name="Daviessarptscorrect">SAR!$E$11</definedName>
    <definedName name="Daviessartriescorrect">SAR!$B$11</definedName>
    <definedName name="davieswelatt">#REF!</definedName>
    <definedName name="davieswelgoals">#REF!</definedName>
    <definedName name="Davisbthpts">#REF!</definedName>
    <definedName name="Davisbthtries">#REF!</definedName>
    <definedName name="Davisexepoints">EXE!$E$8</definedName>
    <definedName name="Davisexepts">EXE!#REF!</definedName>
    <definedName name="Davisexetrie">EXE!$B$8</definedName>
    <definedName name="Davisexetries">EXE!#REF!</definedName>
    <definedName name="Davisnorpts">#REF!</definedName>
    <definedName name="Davisnortries">#REF!</definedName>
    <definedName name="Dawebripts">BRI!#REF!</definedName>
    <definedName name="Dawebritries">BRI!#REF!</definedName>
    <definedName name="Dawebstpts">BRI!#REF!</definedName>
    <definedName name="Dawebsttries">BRI!#REF!</definedName>
    <definedName name="Dawidiukglopts">GLO!$E$14</definedName>
    <definedName name="Dawidiukglotries">GLO!$B$14</definedName>
    <definedName name="Dawidiuklirpts">BRI!#REF!</definedName>
    <definedName name="Dawidiuklirtries">BRI!#REF!</definedName>
    <definedName name="Dawkinswaspts">#REF!</definedName>
    <definedName name="Dawkinswastries">#REF!</definedName>
    <definedName name="Day_Cnorpts">#REF!</definedName>
    <definedName name="Day_Cnortries">#REF!</definedName>
    <definedName name="Dayalexpts">#REF!</definedName>
    <definedName name="Dayalextries">#REF!</definedName>
    <definedName name="Daychristianpts">#REF!</definedName>
    <definedName name="Daychristiantries">#REF!</definedName>
    <definedName name="Daydompts">#REF!</definedName>
    <definedName name="Daydomtries">#REF!</definedName>
    <definedName name="De_Chavesleipts">#REF!</definedName>
    <definedName name="De_Chavesleitries">#REF!</definedName>
    <definedName name="de_Glanvillebthgls">#REF!</definedName>
    <definedName name="de_Haassarptscorrect">SAR!$E$12</definedName>
    <definedName name="de_Haassartriescorrect">SAR!$B$12</definedName>
    <definedName name="de_Jagersalpts">#REF!</definedName>
    <definedName name="de_Jagersaltries">#REF!</definedName>
    <definedName name="de_Jagersarpts">#REF!</definedName>
    <definedName name="de_Jagersartries">#REF!</definedName>
    <definedName name="de_Jonghwaspts">#REF!</definedName>
    <definedName name="de_Jonghwastries">#REF!</definedName>
    <definedName name="de_Klerksalgls">#REF!</definedName>
    <definedName name="de_Kockneilpts">#REF!</definedName>
    <definedName name="de_Kockneiltries">#REF!</definedName>
    <definedName name="De_Lucawaspts">#REF!</definedName>
    <definedName name="De_Lucawastries">#REF!</definedName>
    <definedName name="de_VilliersLEIPTS">#REF!</definedName>
    <definedName name="de_VilliersLEITRIES">#REF!</definedName>
    <definedName name="Deaconleipts">#REF!</definedName>
    <definedName name="Deaconleitries">#REF!</definedName>
    <definedName name="deglanvillebthatt">#REF!</definedName>
    <definedName name="dehaassaratt">SAR!$I$4</definedName>
    <definedName name="dehaassargls">SAR!$H$4</definedName>
    <definedName name="deklerksalatt">#REF!</definedName>
    <definedName name="Delmasbthpts">#REF!</definedName>
    <definedName name="Delmasbthtries">#REF!</definedName>
    <definedName name="Denmangarethpts">#REF!</definedName>
    <definedName name="Denmangarethtries">#REF!</definedName>
    <definedName name="Denmanglopts">GLO!#REF!</definedName>
    <definedName name="Denmanglotries">GLO!#REF!</definedName>
    <definedName name="Dennisexepts">EXE!#REF!</definedName>
    <definedName name="Dennisexetries">EXE!#REF!</definedName>
    <definedName name="Dentonglopts">GLO!$E$16</definedName>
    <definedName name="Dentonglotries">GLO!$B$16</definedName>
    <definedName name="Dentonleicpts">#REF!</definedName>
    <definedName name="Dentonleictries">#REF!</definedName>
    <definedName name="Dentonworpts">#REF!</definedName>
    <definedName name="Dentonwortries">#REF!</definedName>
    <definedName name="devotobatatt">#REF!</definedName>
    <definedName name="devotobatgoals">#REF!</definedName>
    <definedName name="Devotoexepts">EXE!$E$9</definedName>
    <definedName name="Devotoexetries">EXE!$B$9</definedName>
    <definedName name="Devotoolliepts">#REF!</definedName>
    <definedName name="Devotoollietries">#REF!</definedName>
    <definedName name="di_Marchisalpts">#REF!</definedName>
    <definedName name="di_Marchisaltries">#REF!</definedName>
    <definedName name="Diaz_Bonilla_Jleicpts">#REF!</definedName>
    <definedName name="Diaz_Bonilla_Jleictries">#REF!</definedName>
    <definedName name="Diaz_Bonillaleicgls">#REF!</definedName>
    <definedName name="diazbonillaleicatt">#REF!</definedName>
    <definedName name="Dickinsonsampts">#REF!</definedName>
    <definedName name="Dickinsonsamtries">#REF!</definedName>
    <definedName name="Dicksonglennpts">#REF!</definedName>
    <definedName name="dicksonglentries">#REF!</definedName>
    <definedName name="dicksongnoratt">#REF!</definedName>
    <definedName name="dicksongnorgoals">#REF!</definedName>
    <definedName name="Dicksonkarlpts">#REF!</definedName>
    <definedName name="Dicksonleepts">#REF!</definedName>
    <definedName name="Dicksonleeptscorrect">#REF!</definedName>
    <definedName name="Dicksonleetries">#REF!</definedName>
    <definedName name="dicksonleetriescorrect">#REF!</definedName>
    <definedName name="dicksontries">#REF!</definedName>
    <definedName name="Dingwallnorpts">#REF!</definedName>
    <definedName name="Dingwallnortries">#REF!</definedName>
    <definedName name="Dobsonmatthewpts">#REF!</definedName>
    <definedName name="Dobsonmatthewtries">#REF!</definedName>
    <definedName name="Doelworpts">#REF!</definedName>
    <definedName name="Doelwortries">#REF!</definedName>
    <definedName name="Dohertysalpts">#REF!</definedName>
    <definedName name="Dohertysaltries">#REF!</definedName>
    <definedName name="Dolannorpts">#REF!</definedName>
    <definedName name="Dolannortries">#REF!</definedName>
    <definedName name="dollmanatt">EXE!#REF!</definedName>
    <definedName name="Dollmanexepts">EXE!#REF!</definedName>
    <definedName name="Dollmanexetries">EXE!#REF!</definedName>
    <definedName name="Dollmangoals">EXE!#REF!</definedName>
    <definedName name="Dollmanpts">EXE!#REF!</definedName>
    <definedName name="dollmantries">EXE!#REF!</definedName>
    <definedName name="Dombrandtharpts">#REF!</definedName>
    <definedName name="Dombrandthartries">#REF!</definedName>
    <definedName name="Donnelllirpts">#REF!</definedName>
    <definedName name="Donnelllirtries">#REF!</definedName>
    <definedName name="Doran_Jonesglopts">GLO!#REF!</definedName>
    <definedName name="Doran_Jonesglotries">GLO!#REF!</definedName>
    <definedName name="Doran_Jonesharpts">#REF!</definedName>
    <definedName name="Doran_Joneshartries">#REF!</definedName>
    <definedName name="Dorrianlipts">BRI!$E$20</definedName>
    <definedName name="Dorrianlitries">BRI!$B$20</definedName>
    <definedName name="dorrianmylesatt">BRI!#REF!</definedName>
    <definedName name="Dorrianmylesgoals">BRI!#REF!</definedName>
    <definedName name="Dorrianpts">BRI!#REF!</definedName>
    <definedName name="Dorriantries">BRI!#REF!</definedName>
    <definedName name="Douglasbthpts">#REF!</definedName>
    <definedName name="Douglasbthtries">#REF!</definedName>
    <definedName name="Douglaswaspts">#REF!</definedName>
    <definedName name="Douglaswastries">#REF!</definedName>
    <definedName name="Downwelpts">#REF!</definedName>
    <definedName name="Downweltries">#REF!</definedName>
    <definedName name="Dowsettworatt">#REF!</definedName>
    <definedName name="Dowsettworgls">#REF!</definedName>
    <definedName name="Dowsettworpts">#REF!</definedName>
    <definedName name="Dowsettwortries">#REF!</definedName>
    <definedName name="Dowsonphilnorpts">#REF!</definedName>
    <definedName name="Dowsonphilptscorrect">#REF!</definedName>
    <definedName name="Dowsonphiltriescorrect">#REF!</definedName>
    <definedName name="Dowsonpts">#REF!</definedName>
    <definedName name="Dowsontries">#REF!</definedName>
    <definedName name="DragonsPts">[1]DRA!$F$55</definedName>
    <definedName name="DragonsTries">[1]DRA!$B$55</definedName>
    <definedName name="Drauniniupts">#REF!</definedName>
    <definedName name="Drauniniutries">#REF!</definedName>
    <definedName name="du_Plessissarpts">#REF!</definedName>
    <definedName name="du_Plessissartries">#REF!</definedName>
    <definedName name="du_Preez__JPsalpts">#REF!</definedName>
    <definedName name="du_Preez__JPsaltries">#REF!</definedName>
    <definedName name="du_Preez_Dsalpts">#REF!</definedName>
    <definedName name="du_Preez_Dsaltries">#REF!</definedName>
    <definedName name="du_Preez_J_Lsalpts">#REF!</definedName>
    <definedName name="du_Preez_J_Lsaltries">#REF!</definedName>
    <definedName name="du_Preez_Rsalpts">#REF!</definedName>
    <definedName name="du_Preez_Rsaltries">#REF!</definedName>
    <definedName name="du_Preezworpts">#REF!</definedName>
    <definedName name="du_Preezwortries">#REF!</definedName>
    <definedName name="du_Toitbthpts">#REF!</definedName>
    <definedName name="du_Toitbthtries">#REF!</definedName>
    <definedName name="Dugdalesalpts">#REF!</definedName>
    <definedName name="Dugdalesaltries">#REF!</definedName>
    <definedName name="Dunnbattries">#REF!</definedName>
    <definedName name="Dunnbtheurtries">#REF!</definedName>
    <definedName name="Dunntompts">#REF!</definedName>
    <definedName name="dupreezsalatt">#REF!</definedName>
    <definedName name="dupreezsalgls">#REF!</definedName>
    <definedName name="dupreezsalpts">#REF!</definedName>
    <definedName name="Dykeslirpts">#REF!</definedName>
    <definedName name="Dykeslirtries">#REF!</definedName>
    <definedName name="Earleharpts">#REF!</definedName>
    <definedName name="Earlehartries">#REF!</definedName>
    <definedName name="Earlenathanpts">#REF!</definedName>
    <definedName name="Earlenathantries">#REF!</definedName>
    <definedName name="Earlsarpts">#REF!</definedName>
    <definedName name="Earlsarptscorrect">SAR!$E$13</definedName>
    <definedName name="Earlsartries">#REF!</definedName>
    <definedName name="Earlsartriescorrect">SAR!$B$13</definedName>
    <definedName name="Eastermarkpts">#REF!</definedName>
    <definedName name="Eastermarktries">#REF!</definedName>
    <definedName name="Easternickpts">#REF!</definedName>
    <definedName name="Easternicktries">#REF!</definedName>
    <definedName name="Eastersalpts">#REF!</definedName>
    <definedName name="Eastersaltries">#REF!</definedName>
    <definedName name="Eastertries">#REF!</definedName>
    <definedName name="eastgatewasatt">#REF!</definedName>
    <definedName name="eastgatewasgoals">#REF!</definedName>
    <definedName name="Eastgatewaspts">#REF!</definedName>
    <definedName name="Eastgatewastries">#REF!</definedName>
    <definedName name="Eastmondkylepts">#REF!</definedName>
    <definedName name="Eastmondkyletries">#REF!</definedName>
    <definedName name="Eastmondleictries">#REF!</definedName>
    <definedName name="Eastmondlicpts">#REF!</definedName>
    <definedName name="Eastmondwaspts">#REF!</definedName>
    <definedName name="Eastmondwastries">#REF!</definedName>
    <definedName name="edenbriatt">BRI!#REF!</definedName>
    <definedName name="edenbriattcorrect">BRI!#REF!</definedName>
    <definedName name="Edenbrigls">BRI!#REF!</definedName>
    <definedName name="Edenbriglscorrect">BRI!#REF!</definedName>
    <definedName name="Edenbripts">BRI!$E$19</definedName>
    <definedName name="Edenbritries">BRI!$B$19</definedName>
    <definedName name="edenworatt">#REF!</definedName>
    <definedName name="edenworgoals">#REF!</definedName>
    <definedName name="EdinburghPts">[1]EDI!$F$51</definedName>
    <definedName name="EdinburghTries">[1]EDI!$B$51</definedName>
    <definedName name="Edmondshuiapts">GLO!#REF!</definedName>
    <definedName name="Edmondshuiatries">GLO!#REF!</definedName>
    <definedName name="edwardsharatt">#REF!</definedName>
    <definedName name="edwardshargls">#REF!</definedName>
    <definedName name="Edwardsharpts">#REF!</definedName>
    <definedName name="Edwardshartries">#REF!</definedName>
    <definedName name="Edwardsleicpts">#REF!</definedName>
    <definedName name="Edwardsleictries">#REF!</definedName>
    <definedName name="Egertonharpts">#REF!</definedName>
    <definedName name="Egertonhartries">#REF!</definedName>
    <definedName name="Egertonnewpts">#REF!</definedName>
    <definedName name="Egertonnewtries">#REF!</definedName>
    <definedName name="Elderchrispts">#REF!</definedName>
    <definedName name="Elderchristries">#REF!</definedName>
    <definedName name="Eliaharpts">#REF!</definedName>
    <definedName name="Eliahartries">#REF!</definedName>
    <definedName name="Ellerysarpts">#REF!</definedName>
    <definedName name="Ellerysartries">#REF!</definedName>
    <definedName name="Elliottjamiepts">#REF!</definedName>
    <definedName name="Elliottjamieptscorrect">#REF!</definedName>
    <definedName name="elliottjamietries">#REF!</definedName>
    <definedName name="Elliottjamietriescorrect">#REF!</definedName>
    <definedName name="elliottsaratt">SAR!#REF!</definedName>
    <definedName name="elliottsargls">SAR!#REF!</definedName>
    <definedName name="Elliottsarpts">SAR!$E$14</definedName>
    <definedName name="Elliottsartries">SAR!$B$14</definedName>
    <definedName name="Ellisgerardpts">BRI!#REF!</definedName>
    <definedName name="Ellisgerardtries">BRI!#REF!</definedName>
    <definedName name="Elringtonglopts">GLO!$E$18</definedName>
    <definedName name="Elringtonglotries">GLO!$B$18</definedName>
    <definedName name="englefieldliratt">#REF!</definedName>
    <definedName name="Englefieldlirpts">#REF!</definedName>
    <definedName name="Englefieldlirtries">#REF!</definedName>
    <definedName name="Englefieldlrgls">#REF!</definedName>
    <definedName name="Estellesnorpts">#REF!</definedName>
    <definedName name="Estellesnortrioes">#REF!</definedName>
    <definedName name="esterhuizenharatt">#REF!</definedName>
    <definedName name="Esterhuizenhargls">#REF!</definedName>
    <definedName name="Esterhuizenharpts">#REF!</definedName>
    <definedName name="Esterhuizenhartries">#REF!</definedName>
    <definedName name="Evans_Lglopts">GLO!$E$19</definedName>
    <definedName name="Evans_Lglotries">GLO!$B$19</definedName>
    <definedName name="Evans_Oharpts">#REF!</definedName>
    <definedName name="Evans_Ohartries">#REF!</definedName>
    <definedName name="Evansbrynpts">BRI!#REF!</definedName>
    <definedName name="Evansbryntries">BRI!#REF!</definedName>
    <definedName name="Evansbthpts">#REF!</definedName>
    <definedName name="Evansbthtries">#REF!</definedName>
    <definedName name="Evansgarethpts">GLO!#REF!</definedName>
    <definedName name="Evansgarethtries">GLO!#REF!</definedName>
    <definedName name="Evansharpts">#REF!</definedName>
    <definedName name="Evanshartries">#REF!</definedName>
    <definedName name="Evansleipts">#REF!</definedName>
    <definedName name="Evansleitries">#REF!</definedName>
    <definedName name="evanslgloatt">GLO!$I$6</definedName>
    <definedName name="evanslglogoals">GLO!$H$6</definedName>
    <definedName name="evansnickatt">#REF!</definedName>
    <definedName name="evansnickgoals">#REF!</definedName>
    <definedName name="Evansnickpts">#REF!</definedName>
    <definedName name="Evansnicktries">#REF!</definedName>
    <definedName name="Evanssalpts">#REF!</definedName>
    <definedName name="Evanssaltries">#REF!</definedName>
    <definedName name="Evanswharpts">#REF!</definedName>
    <definedName name="Evanswillharpts">#REF!</definedName>
    <definedName name="Everardmattpts">#REF!</definedName>
    <definedName name="Everardmatttries">#REF!</definedName>
    <definedName name="Everardwaspts">#REF!</definedName>
    <definedName name="Everardwastries">#REF!</definedName>
    <definedName name="Evesnorpts">#REF!</definedName>
    <definedName name="Evesnortries">#REF!</definedName>
    <definedName name="Ewelsbthpts">#REF!</definedName>
    <definedName name="ewelsbthtries">#REF!</definedName>
    <definedName name="Ewersexepts">EXE!$E$10</definedName>
    <definedName name="Ewersexetries">EXE!$B$10</definedName>
    <definedName name="Ewerspts">EXE!#REF!</definedName>
    <definedName name="Ewerstries">EXE!#REF!</definedName>
    <definedName name="ExeterPts">EXE!$E$53</definedName>
    <definedName name="ExeterTries">EXE!$B$53</definedName>
    <definedName name="Fa_asavalumauriepts">#REF!</definedName>
    <definedName name="Fa_asavalumaurietries">#REF!</definedName>
    <definedName name="Fa_aso_olirpts">#REF!</definedName>
    <definedName name="Fa_aso_olirtries">#REF!</definedName>
    <definedName name="Fa_osilivaalafotipts">#REF!</definedName>
    <definedName name="Fa_osilivaalafotitries">#REF!</definedName>
    <definedName name="Fainga_anukuofapts">#REF!</definedName>
    <definedName name="Fainga_anukuofatries">#REF!</definedName>
    <definedName name="Faingaalirpts">#REF!</definedName>
    <definedName name="Faingaalirtries">#REF!</definedName>
    <definedName name="Faletaubripts">BRI!#REF!</definedName>
    <definedName name="Faletaubritries">BRI!#REF!</definedName>
    <definedName name="Faletaubthpts">#REF!</definedName>
    <definedName name="Faletaubthtries">#REF!</definedName>
    <definedName name="Faosilivaworpts">#REF!</definedName>
    <definedName name="Faosilivawortries">#REF!</definedName>
    <definedName name="farrellatt">#REF!</definedName>
    <definedName name="farrellgoals">#REF!</definedName>
    <definedName name="Farrellowentries">#REF!</definedName>
    <definedName name="Farrellpts">#REF!</definedName>
    <definedName name="farrellsarattcorrect">SAR!$I$5</definedName>
    <definedName name="farrellsarglscorrect">SAR!$H$5</definedName>
    <definedName name="Farrellsarpts">#REF!</definedName>
    <definedName name="Farrellsarptscorrect">SAR!$E$15</definedName>
    <definedName name="farrellsartriescorrect">SAR!$B$15</definedName>
    <definedName name="Fatialofaworpts">#REF!</definedName>
    <definedName name="Fatialofawortries">#REF!</definedName>
    <definedName name="Feaoleicpts">#REF!</definedName>
    <definedName name="Feaoleictries">#REF!</definedName>
    <definedName name="Fearnsalpts">#REF!</definedName>
    <definedName name="Fearnsaltries">#REF!</definedName>
    <definedName name="Fearnscarlpts">#REF!</definedName>
    <definedName name="Fearnscarltries">#REF!</definedName>
    <definedName name="Fearnsnewpts">#REF!</definedName>
    <definedName name="Fearnsnewtries">#REF!</definedName>
    <definedName name="Fenbylipts">BRI!$E$23</definedName>
    <definedName name="Fenbylitries">BRI!$B$23</definedName>
    <definedName name="Fenbypts">BRI!#REF!</definedName>
    <definedName name="Fenbysarpts">#REF!</definedName>
    <definedName name="Fenbysartries">#REF!</definedName>
    <definedName name="Fenbytries">BRI!#REF!</definedName>
    <definedName name="Fenton_Wellsbripts">BRI!$E$20</definedName>
    <definedName name="Fenton_Wellsbritries">BRI!$B$20</definedName>
    <definedName name="Fercusarpts">#REF!</definedName>
    <definedName name="Fercusarptscorrect">#REF!</definedName>
    <definedName name="Fercusartries">#REF!</definedName>
    <definedName name="Fercusartriescorrect">#REF!</definedName>
    <definedName name="Festucciacarlopts">#REF!</definedName>
    <definedName name="Festucciacarlotries">#REF!</definedName>
    <definedName name="Feyi_Wabosoexepts">EXE!$E$11</definedName>
    <definedName name="Feyi_Wabosoexetries">EXE!$B$11</definedName>
    <definedName name="Fifitawaspts">#REF!</definedName>
    <definedName name="Fifitawastries">#REF!</definedName>
    <definedName name="Figallosarpts">#REF!</definedName>
    <definedName name="Figallosartries">#REF!</definedName>
    <definedName name="Fihakiviliamipts">#REF!</definedName>
    <definedName name="Fihakiviliamitris">#REF!</definedName>
    <definedName name="Fischettilirpts">#REF!</definedName>
    <definedName name="Fischettilirtries">#REF!</definedName>
    <definedName name="Fisherbrispts">BRI!#REF!</definedName>
    <definedName name="Fisherbristries">BRI!#REF!</definedName>
    <definedName name="Fisherlipts">BRI!#REF!</definedName>
    <definedName name="Fisherlitries">BRI!#REF!</definedName>
    <definedName name="Fishernorpts">#REF!</definedName>
    <definedName name="Fishernortries">#REF!</definedName>
    <definedName name="Fishnorpts">#REF!</definedName>
    <definedName name="Fishnortries">#REF!</definedName>
    <definedName name="Fitzgerald__Leitries">#REF!</definedName>
    <definedName name="Fitzgeraldleipts">#REF!</definedName>
    <definedName name="Flamentwaspts">#REF!</definedName>
    <definedName name="Flamentwastries">#REF!</definedName>
    <definedName name="Flanagansarpts">#REF!</definedName>
    <definedName name="Flanagansartries">#REF!</definedName>
    <definedName name="fleetwoodsarpts">SAR!$E$25</definedName>
    <definedName name="Fleetwoodsartries">SAR!$B$25</definedName>
    <definedName name="floodatt">#REF!</definedName>
    <definedName name="floodgoals">#REF!</definedName>
    <definedName name="Floodnewpts">#REF!</definedName>
    <definedName name="Floodnewptscorrect">#REF!</definedName>
    <definedName name="Floodnewtries">#REF!</definedName>
    <definedName name="Floodnewtriescorrect">#REF!</definedName>
    <definedName name="Floodpts">#REF!</definedName>
    <definedName name="Floodtobypts">#REF!</definedName>
    <definedName name="Floodtobytries">#REF!</definedName>
    <definedName name="Flynnsalpts">#REF!</definedName>
    <definedName name="Flynnsaltries">#REF!</definedName>
    <definedName name="Fodenpts">#REF!</definedName>
    <definedName name="fodentries">#REF!</definedName>
    <definedName name="Fonualeipts">#REF!</definedName>
    <definedName name="Fonualeitries">#REF!</definedName>
    <definedName name="Fonualwepts">#REF!</definedName>
    <definedName name="Fonualwetries">#REF!</definedName>
    <definedName name="Fonuanewpts">#REF!</definedName>
    <definedName name="Fonuanewtries">#REF!</definedName>
    <definedName name="Ford_Jleicpts">#REF!</definedName>
    <definedName name="Ford_Jleictries">#REF!</definedName>
    <definedName name="Ford_Robinsonglopts">GLO!$E$20</definedName>
    <definedName name="Ford_Robinsonglotries">GLO!$B$20</definedName>
    <definedName name="Ford_Robinsonnorpts">#REF!</definedName>
    <definedName name="Ford_Robinsonnortries">#REF!</definedName>
    <definedName name="Fordgeorgeatt">#REF!</definedName>
    <definedName name="Fordgeorgebatpts">#REF!</definedName>
    <definedName name="Fordgeorgegoals">#REF!</definedName>
    <definedName name="fordgeorgepts">#REF!</definedName>
    <definedName name="Fordgeorgesalpts">#REF!</definedName>
    <definedName name="Fordgeorgesaltries">#REF!</definedName>
    <definedName name="Fordgroegetries">#REF!</definedName>
    <definedName name="fordjoeatt">#REF!</definedName>
    <definedName name="fordjoegoals">#REF!</definedName>
    <definedName name="Fordjoepts">#REF!</definedName>
    <definedName name="Fordjoeptscorrect">#REF!</definedName>
    <definedName name="fordleicpts">#REF!</definedName>
    <definedName name="fordleictries">#REF!</definedName>
    <definedName name="fordsalatt">#REF!</definedName>
    <definedName name="fordsalgls">#REF!</definedName>
    <definedName name="Fordsaltries">#REF!</definedName>
    <definedName name="Forsythandytries">#REF!</definedName>
    <definedName name="Forsythleipts">#REF!</definedName>
    <definedName name="Forsythleitries">#REF!</definedName>
    <definedName name="Forsythpts">#REF!</definedName>
    <definedName name="Forsythsalpts">#REF!</definedName>
    <definedName name="Forsythsaltries">#REF!</definedName>
    <definedName name="forsythtries">#REF!</definedName>
    <definedName name="Forsythtriescorrect">#REF!</definedName>
    <definedName name="Fosterwaspts">#REF!</definedName>
    <definedName name="Fosterwastries">#REF!</definedName>
    <definedName name="Fotuali_ibthatt">#REF!</definedName>
    <definedName name="Fotuali_ibthgls">#REF!</definedName>
    <definedName name="Fotuali_ibthpts">#REF!</definedName>
    <definedName name="Fotuali_ibthtries">#REF!</definedName>
    <definedName name="Fotuali_Ikahnpts">#REF!</definedName>
    <definedName name="Fotuali_Ikahntries">#REF!</definedName>
    <definedName name="Fowlessalpts">#REF!</definedName>
    <definedName name="Fowlessaltries">#REF!</definedName>
    <definedName name="Fowlielipts">BRI!$E$24</definedName>
    <definedName name="Fowlietompts">BRI!#REF!</definedName>
    <definedName name="Fowlietomtries">BRI!$B$24</definedName>
    <definedName name="francisbthatt">#REF!</definedName>
    <definedName name="Francisbthgls">#REF!</definedName>
    <definedName name="Francisexepts">EXE!#REF!</definedName>
    <definedName name="Francisexetries">EXE!#REF!</definedName>
    <definedName name="Francisnorpts">#REF!</definedName>
    <definedName name="Francisnortries">#REF!</definedName>
    <definedName name="Frankslirpts">BRI!$E$26</definedName>
    <definedName name="Frankslirtries">BRI!$B$26</definedName>
    <definedName name="Franksnorpts">#REF!</definedName>
    <definedName name="Franksnortries">#REF!</definedName>
    <definedName name="Frasersarpts">#REF!</definedName>
    <definedName name="Frasersartries">#REF!</definedName>
    <definedName name="Fraserwillpts">#REF!</definedName>
    <definedName name="Fraserwilltries">#REF!</definedName>
    <definedName name="Freemanexepts">EXE!#REF!</definedName>
    <definedName name="Freemanexetries">EXE!#REF!</definedName>
    <definedName name="Freemannorpts">#REF!</definedName>
    <definedName name="Freemannortries">#REF!</definedName>
    <definedName name="Frischbripts">BRI!$E$21</definedName>
    <definedName name="Frischbritries">BRI!$B$21</definedName>
    <definedName name="Frostexepts">EXE!$E$12</definedName>
    <definedName name="Frostexetries">EXE!$B$12</definedName>
    <definedName name="Frostnorpts">#REF!</definedName>
    <definedName name="Frostnortries">#REF!</definedName>
    <definedName name="Frostwaspts">#REF!</definedName>
    <definedName name="Frostwastries">#REF!</definedName>
    <definedName name="Frueanbatpts">#REF!</definedName>
    <definedName name="Frueanbattries">#REF!</definedName>
    <definedName name="Frynewpts">#REF!</definedName>
    <definedName name="Frynewtries">#REF!</definedName>
    <definedName name="furbanknoratt">#REF!</definedName>
    <definedName name="furbanknorgls">#REF!</definedName>
    <definedName name="Furbanknorpts">#REF!</definedName>
    <definedName name="Furbanknorptscorrect">#REF!</definedName>
    <definedName name="Furbanknortries">#REF!</definedName>
    <definedName name="Furbanknortriescorrect">#REF!</definedName>
    <definedName name="Furnonewpts">#REF!</definedName>
    <definedName name="Furnonewtries">#REF!</definedName>
    <definedName name="Furynewpts">#REF!</definedName>
    <definedName name="Furywarrenpts">#REF!</definedName>
    <definedName name="Furywarrentries">#REF!</definedName>
    <definedName name="Fusernewpts">#REF!</definedName>
    <definedName name="Fusernewtries">#REF!</definedName>
    <definedName name="Galarzaglopts">GLO!$E$20</definedName>
    <definedName name="Galarzaglotries">GLO!$B$20</definedName>
    <definedName name="Galarzamarianopts">#REF!</definedName>
    <definedName name="Galarzamarianotries">#REF!</definedName>
    <definedName name="Gallaghersarpts">#REF!</definedName>
    <definedName name="Gallaghersartries">#REF!</definedName>
    <definedName name="Garrattbthpts">#REF!</definedName>
    <definedName name="Garrattbthtries">#REF!</definedName>
    <definedName name="Garside_Jnorpts">#REF!</definedName>
    <definedName name="Garside_Jnortries">#REF!</definedName>
    <definedName name="Garveyglopts">GLO!#REF!</definedName>
    <definedName name="Garveyglotries">GLO!#REF!</definedName>
    <definedName name="Garveymattpts">#REF!</definedName>
    <definedName name="Garveymatttries">#REF!</definedName>
    <definedName name="Gaskelljamespts">#REF!</definedName>
    <definedName name="Gaskelljamestries">#REF!</definedName>
    <definedName name="Gaskellwaspts">#REF!</definedName>
    <definedName name="Gaskellwastries">#REF!</definedName>
    <definedName name="Georgejamieptscorrect">#REF!</definedName>
    <definedName name="Georgejamietriescorrect">#REF!</definedName>
    <definedName name="Georgepts">#REF!</definedName>
    <definedName name="Georgesarpts">#REF!</definedName>
    <definedName name="Georgesarptscorrect">SAR!$E$16</definedName>
    <definedName name="Georgesartries">#REF!</definedName>
    <definedName name="Georgesartriescorrect">SAR!$B$16</definedName>
    <definedName name="georgetries">#REF!</definedName>
    <definedName name="geraghtyatt">BRI!#REF!</definedName>
    <definedName name="geraghtybriatt">BRI!#REF!</definedName>
    <definedName name="geraghtybrigoals">BRI!#REF!</definedName>
    <definedName name="Geraghtybripts">BRI!#REF!</definedName>
    <definedName name="Geraghtybritries">BRI!#REF!</definedName>
    <definedName name="geraghtygoals">BRI!#REF!</definedName>
    <definedName name="Geraghtylipts">BRI!#REF!</definedName>
    <definedName name="Geraghtylitries">BRI!#REF!</definedName>
    <definedName name="Geraghtypts">BRI!$E$43</definedName>
    <definedName name="Geraghtyptscorrect">BRI!#REF!</definedName>
    <definedName name="Geraghtytries">BRI!#REF!</definedName>
    <definedName name="Geraghtytriescorrect">BRI!#REF!</definedName>
    <definedName name="gfordpts">#REF!</definedName>
    <definedName name="Ghiraldinileipts">#REF!</definedName>
    <definedName name="Ghiraldinileitries">#REF!</definedName>
    <definedName name="Gibsonjamiepts">#REF!</definedName>
    <definedName name="Gibsonjamietries">#REF!</definedName>
    <definedName name="Gibsonnorpts">#REF!</definedName>
    <definedName name="Gibsonnortries">#REF!</definedName>
    <definedName name="Gigenaleicpts">#REF!</definedName>
    <definedName name="Gigenaleictries">#REF!</definedName>
    <definedName name="Gigenalirpts">#REF!</definedName>
    <definedName name="Gigenalirtries">#REF!</definedName>
    <definedName name="Gilbertbatpts">#REF!</definedName>
    <definedName name="Gilbertbattries">#REF!</definedName>
    <definedName name="Gilbertmatpts">#REF!</definedName>
    <definedName name="Gilbertmattries">#REF!</definedName>
    <definedName name="Gildingjackpts">#REF!</definedName>
    <definedName name="Gildingjacktries">#REF!</definedName>
    <definedName name="Gillespienorpts">#REF!</definedName>
    <definedName name="Gillespienortries">#REF!</definedName>
    <definedName name="Gillsarpts">#REF!</definedName>
    <definedName name="Gillsartries">#REF!</definedName>
    <definedName name="Gilsenanlipts">BRI!#REF!</definedName>
    <definedName name="Gilsenanlirpts">#REF!</definedName>
    <definedName name="Gilsenanlirtries">#REF!</definedName>
    <definedName name="Gilsenanlitries">BRI!#REF!</definedName>
    <definedName name="Gjaltemaharpts">#REF!</definedName>
    <definedName name="Gjaltemahartries">#REF!</definedName>
    <definedName name="GlasgowPts">[1]GLA!$F$58</definedName>
    <definedName name="GlasgowTries">[1]GLA!$B$58</definedName>
    <definedName name="Gleavelirpts">BRI!#REF!</definedName>
    <definedName name="Gleavelirtries">BRI!#REF!</definedName>
    <definedName name="gloucesterpentriespts">GLO!#REF!</definedName>
    <definedName name="GloucesterPenTriestries">GLO!#REF!</definedName>
    <definedName name="GloucesterPts">GLO!$E$67</definedName>
    <definedName name="GloucesterTries">GLO!$B$67</definedName>
    <definedName name="godmanatt">#REF!</definedName>
    <definedName name="godmangoals">#REF!</definedName>
    <definedName name="Godmannewpts">#REF!</definedName>
    <definedName name="Godmanphiltries">#REF!</definedName>
    <definedName name="Godmanpts">#REF!</definedName>
    <definedName name="goneatries">#REF!</definedName>
    <definedName name="Gonevaleipts">#REF!</definedName>
    <definedName name="Gonevaleiptscorrect">#REF!</definedName>
    <definedName name="Gonevaleitries">#REF!</definedName>
    <definedName name="Gonevapts">#REF!</definedName>
    <definedName name="Gonevaptscorrect">#REF!</definedName>
    <definedName name="Gonevatriescorrect">#REF!</definedName>
    <definedName name="Gonzalezlirpts">#REF!</definedName>
    <definedName name="Gonzalezlirtries">#REF!</definedName>
    <definedName name="goodealexatt">#REF!</definedName>
    <definedName name="goodealexgoals">#REF!</definedName>
    <definedName name="Goodealexpts">#REF!</definedName>
    <definedName name="goodealextries">#REF!</definedName>
    <definedName name="goodeandyatt">#REF!</definedName>
    <definedName name="goodeandygoals">#REF!</definedName>
    <definedName name="Goodeandypts">#REF!</definedName>
    <definedName name="Goodemewpts">#REF!</definedName>
    <definedName name="goodenewatt">#REF!</definedName>
    <definedName name="Goodenewgoals">#REF!</definedName>
    <definedName name="Goodenewtries">#REF!</definedName>
    <definedName name="Goodepts">#REF!</definedName>
    <definedName name="GOODESARATTCORRECT">SAR!$I$6</definedName>
    <definedName name="goodesarglscorrect">SAR!$H$6</definedName>
    <definedName name="Goodesarptscorrect">SAR!$E$17</definedName>
    <definedName name="Goodesartriescorrect">SAR!$B$17</definedName>
    <definedName name="Goodewaspts">#REF!</definedName>
    <definedName name="Goodewastries">#REF!</definedName>
    <definedName name="Goodhuecampts">#REF!</definedName>
    <definedName name="Goodhuecamtries">#REF!</definedName>
    <definedName name="Graham__Guynewpts">#REF!</definedName>
    <definedName name="Graham__Guynewtries">#REF!</definedName>
    <definedName name="Grahambripts">BRI!#REF!</definedName>
    <definedName name="Grahambritries">BRI!#REF!</definedName>
    <definedName name="Grahambthpts">#REF!</definedName>
    <definedName name="Grahambthtres">#REF!</definedName>
    <definedName name="Grahamnewpts">#REF!</definedName>
    <definedName name="Grahamnewtries">#REF!</definedName>
    <definedName name="Grantbatpts">#REF!</definedName>
    <definedName name="Grantbattries">#REF!</definedName>
    <definedName name="Graybthpts">#REF!</definedName>
    <definedName name="Graybthtries">#REF!</definedName>
    <definedName name="graydannyatt">#REF!</definedName>
    <definedName name="graydannygoals">#REF!</definedName>
    <definedName name="Grayexeeurtries">EXE!#REF!</definedName>
    <definedName name="Grayexepts">EXE!$E$13</definedName>
    <definedName name="Grayexetries">EXE!$B$13</definedName>
    <definedName name="Grayharpts">#REF!</definedName>
    <definedName name="Grayhartries">#REF!</definedName>
    <definedName name="Grayjoeharpts">#REF!</definedName>
    <definedName name="Grayjoehartries">#REF!</definedName>
    <definedName name="Grayjoshglopts">GLO!#REF!</definedName>
    <definedName name="Grayjoshglotries">GLO!#REF!</definedName>
    <definedName name="Graypts">#REF!</definedName>
    <definedName name="graysonnoratt">#REF!</definedName>
    <definedName name="graysonnorgls">#REF!</definedName>
    <definedName name="Graysonnorpts">#REF!</definedName>
    <definedName name="Graysonnortries">#REF!</definedName>
    <definedName name="Greenbthpts">#REF!</definedName>
    <definedName name="Greenbthtries">#REF!</definedName>
    <definedName name="Greenharpts">#REF!</definedName>
    <definedName name="Greenhartries">#REF!</definedName>
    <definedName name="Gregsonsarpts">SAR!$E$30</definedName>
    <definedName name="Gregsonsartries">SAR!$B$30</definedName>
    <definedName name="Griffinlipts">BRI!#REF!</definedName>
    <definedName name="Griffinlitries">BRI!#REF!</definedName>
    <definedName name="Griffithssarpts">#REF!</definedName>
    <definedName name="Griffithssartries">#REF!</definedName>
    <definedName name="Grimoldbyharpts">#REF!</definedName>
    <definedName name="Grimoldbyhartries">#REF!</definedName>
    <definedName name="Groblerglopts">GLO!#REF!</definedName>
    <definedName name="Groblerglotrie">GLO!#REF!</definedName>
    <definedName name="Grondonaexepts">EXE!$E$14</definedName>
    <definedName name="Grondonaexetries">EXE!$B$14</definedName>
    <definedName name="Groomnorpts">#REF!</definedName>
    <definedName name="Groomnortries">#REF!</definedName>
    <definedName name="Grovepts">#REF!</definedName>
    <definedName name="Grovetries">#REF!</definedName>
    <definedName name="Guestlipts">BRI!#REF!</definedName>
    <definedName name="Guestlitries">BRI!#REF!</definedName>
    <definedName name="Guesttompts">#REF!</definedName>
    <definedName name="Guesttomtris">#REF!</definedName>
    <definedName name="Haffarlirpts">#REF!</definedName>
    <definedName name="Haffarlirtries">#REF!</definedName>
    <definedName name="Haganjamiepts">BRI!#REF!</definedName>
    <definedName name="Haganjamietries">BRI!#REF!</definedName>
    <definedName name="Hainingbripts">BRI!$E$23</definedName>
    <definedName name="Hainingbritries">BRI!$B$23</definedName>
    <definedName name="Hala_ufiachrispts">BRI!#REF!</definedName>
    <definedName name="Hala_ufiachristries">BRI!#REF!</definedName>
    <definedName name="Halaifonuaglopts">GLO!$E$21</definedName>
    <definedName name="Halaifonuaglotries">GLO!$B$21</definedName>
    <definedName name="Halaiwaspts">#REF!</definedName>
    <definedName name="Halaiwastries">#REF!</definedName>
    <definedName name="Halavataulipts">BRI!#REF!</definedName>
    <definedName name="Halavataulitries">BRI!#REF!</definedName>
    <definedName name="Halavataupts">BRI!#REF!</definedName>
    <definedName name="Halavatautries">BRI!#REF!</definedName>
    <definedName name="Haleymikepts">#REF!</definedName>
    <definedName name="Haleymiketries">#REF!</definedName>
    <definedName name="Hamiltonleipts">#REF!</definedName>
    <definedName name="Hamiltonleitries">#REF!</definedName>
    <definedName name="Hamiltonsarpts">#REF!</definedName>
    <definedName name="Hamiltonsartries">#REF!</definedName>
    <definedName name="Hammersleynewpts">#REF!</definedName>
    <definedName name="Hammersleynewtries">#REF!</definedName>
    <definedName name="Hammersleysalpts">#REF!</definedName>
    <definedName name="Hammersleysaltries">#REF!</definedName>
    <definedName name="Hammonddeanpts">#REF!</definedName>
    <definedName name="Hammonddeantries">#REF!</definedName>
    <definedName name="Hampsonwaspts">#REF!</definedName>
    <definedName name="Hampsonwasptscorrect">#REF!</definedName>
    <definedName name="Hampsonwastries">#REF!</definedName>
    <definedName name="Hampsonwastriescorrect">#REF!</definedName>
    <definedName name="Hankinmattpts">#REF!</definedName>
    <definedName name="Hankinmatttries">#REF!</definedName>
    <definedName name="hanrahannoratt">#REF!</definedName>
    <definedName name="Hanrahannorgoals">#REF!</definedName>
    <definedName name="Hanrahannorpts">#REF!</definedName>
    <definedName name="Hanrahannortries">#REF!</definedName>
    <definedName name="Hansonglopts">GLO!#REF!</definedName>
    <definedName name="Hansonglotries">GLO!#REF!</definedName>
    <definedName name="Hardingbripts">BRI!$E$22</definedName>
    <definedName name="Hardingbritries">BRI!$B$22</definedName>
    <definedName name="Hardingwaspts">#REF!</definedName>
    <definedName name="Hardingwastries">#REF!</definedName>
    <definedName name="hardwickleicatt">#REF!</definedName>
    <definedName name="hardwickleicgls">#REF!</definedName>
    <definedName name="Hardwickleipts">#REF!</definedName>
    <definedName name="Hardwickleitries">#REF!</definedName>
    <definedName name="Hargreavessarpts">#REF!</definedName>
    <definedName name="Hargreavessartries">#REF!</definedName>
    <definedName name="HarlequinsPts">#REF!</definedName>
    <definedName name="HarlequinsTries">#REF!</definedName>
    <definedName name="Harpersalpts">#REF!</definedName>
    <definedName name="Harpersaltries">#REF!</definedName>
    <definedName name="Harris_Bwaspts">#REF!</definedName>
    <definedName name="Harris_Bwastries">#REF!</definedName>
    <definedName name="Harrisbthpts">#REF!</definedName>
    <definedName name="Harrisbthtries">#REF!</definedName>
    <definedName name="Harrisglopts">GLO!$E$22</definedName>
    <definedName name="Harrisglotries">GLO!$B$22</definedName>
    <definedName name="Harrislipts">BRI!#REF!</definedName>
    <definedName name="Harrislitries">BRI!#REF!</definedName>
    <definedName name="Harrisnewpts">#REF!</definedName>
    <definedName name="Harrisnewtries">#REF!</definedName>
    <definedName name="Harrisonlirpts">#REF!</definedName>
    <definedName name="Harrisonlirtries">#REF!</definedName>
    <definedName name="Harrisonnorpts">#REF!</definedName>
    <definedName name="Harrisonnortries">#REF!</definedName>
    <definedName name="Harrisonsalpts">#REF!</definedName>
    <definedName name="Harrisonsaltris">#REF!</definedName>
    <definedName name="Harrisonsampts">#REF!</definedName>
    <definedName name="Harrisonsamtries">#REF!</definedName>
    <definedName name="harrisonsarpts">SAR!$E$31</definedName>
    <definedName name="Harrisonsartriesd">SAR!$B$31</definedName>
    <definedName name="Harrissarpts">SAR!$E$18</definedName>
    <definedName name="Harrissarptscorrect">SAR!$E$19</definedName>
    <definedName name="Harrissartries">SAR!$B$18</definedName>
    <definedName name="Harrissartriescorrect">SAR!$B$19</definedName>
    <definedName name="Hartleypts">#REF!</definedName>
    <definedName name="Hartleyptscorrect">#REF!</definedName>
    <definedName name="Hartleysarpts">SAR!$E$20</definedName>
    <definedName name="Hartleysartries">SAR!$B$20</definedName>
    <definedName name="hartleytries">#REF!</definedName>
    <definedName name="Hartleytriescorrect">#REF!</definedName>
    <definedName name="Hartleytriesthisiscorrect">#REF!</definedName>
    <definedName name="Hartleywaspts">#REF!</definedName>
    <definedName name="Hartleywasptscorrect">#REF!</definedName>
    <definedName name="Hartleywastries">#REF!</definedName>
    <definedName name="Hartleywastriescorrect">#REF!</definedName>
    <definedName name="Hartryscorers">#REF!</definedName>
    <definedName name="Haskelljamespts">#REF!</definedName>
    <definedName name="Haskelljamestries">#REF!</definedName>
    <definedName name="Haskellnorpts">#REF!</definedName>
    <definedName name="Haskellnortries">#REF!</definedName>
    <definedName name="Hassell_Collinslirpts">#REF!</definedName>
    <definedName name="Hassell_Collinslirtries">#REF!</definedName>
    <definedName name="hastingsbatatt">#REF!</definedName>
    <definedName name="hastingsbatgoals">#REF!</definedName>
    <definedName name="Hastingsbatpts">#REF!</definedName>
    <definedName name="Hastingsbattries">#REF!</definedName>
    <definedName name="hastingsgloatt">GLO!#REF!</definedName>
    <definedName name="Hastingsglogls">GLO!#REF!</definedName>
    <definedName name="Hauptworpts">#REF!</definedName>
    <definedName name="Hauptwortries">#REF!</definedName>
    <definedName name="Hawkinsnewpts">#REF!</definedName>
    <definedName name="Hawkinsnewtries">#REF!</definedName>
    <definedName name="Haydon_Woodnewgls">#REF!</definedName>
    <definedName name="Haydon_Woodnewpts">#REF!</definedName>
    <definedName name="Haydon_Woodnewtries">#REF!</definedName>
    <definedName name="haydonwoodnewatt">#REF!</definedName>
    <definedName name="Hayterpts">#REF!</definedName>
    <definedName name="Haytertries">#REF!</definedName>
    <definedName name="Hayterwaspts">#REF!</definedName>
    <definedName name="Hayterwastries">#REF!</definedName>
    <definedName name="Haywoodmikepts">#REF!</definedName>
    <definedName name="Haywoodmiketries">#REF!</definedName>
    <definedName name="Heaneyworpts">#REF!</definedName>
    <definedName name="Heaneywortries">#REF!</definedName>
    <definedName name="Hearleworpts">#REF!</definedName>
    <definedName name="Hearlewortries">#REF!</definedName>
    <definedName name="Hearnlirpts">BRI!$E$30</definedName>
    <definedName name="Hearnlirtries">BRI!$B$30</definedName>
    <definedName name="heathcoteatt">#REF!</definedName>
    <definedName name="Heathcotegoals">#REF!</definedName>
    <definedName name="Heathcotepts">#REF!</definedName>
    <definedName name="Heathcoteptscorrect">#REF!</definedName>
    <definedName name="Heffernannorpts">#REF!</definedName>
    <definedName name="Heffernannortries">#REF!</definedName>
    <definedName name="Hegartyleicpts">#REF!</definedName>
    <definedName name="Hegartyleictries">#REF!</definedName>
    <definedName name="Heinzglopts">GLO!#REF!</definedName>
    <definedName name="Heinzglotries">GLO!#REF!</definedName>
    <definedName name="heinzworpts">#REF!</definedName>
    <definedName name="Heinzwortries">#REF!</definedName>
    <definedName name="Helleurnewpts">#REF!</definedName>
    <definedName name="Helleurnewtris">#REF!</definedName>
    <definedName name="Helupts">#REF!</definedName>
    <definedName name="Helutries">#REF!</definedName>
    <definedName name="Hendricksonexepts">EXE!$E$15</definedName>
    <definedName name="Hendricksonexetries">EXE!$B$15</definedName>
    <definedName name="Hendriksonexetries">EXE!$B$15</definedName>
    <definedName name="Hendynorpts">#REF!</definedName>
    <definedName name="Hendynortries">#REF!</definedName>
    <definedName name="Hennwelshpts">#REF!</definedName>
    <definedName name="Hennwelshtries">#REF!</definedName>
    <definedName name="henryleicatt">#REF!</definedName>
    <definedName name="Henryleicgls">#REF!</definedName>
    <definedName name="Henryleicpts">#REF!</definedName>
    <definedName name="Henryleictries">#REF!</definedName>
    <definedName name="hensongavinatt">#REF!</definedName>
    <definedName name="Hensongavingoals">#REF!</definedName>
    <definedName name="Hensongavinpts">#REF!</definedName>
    <definedName name="Hensongavintries">#REF!</definedName>
    <definedName name="Hepburnexepts">EXE!$E$16</definedName>
    <definedName name="Hepburnexetries">EXE!$B$16</definedName>
    <definedName name="Hepburnwaspts">#REF!</definedName>
    <definedName name="Hepburnwastries">#REF!</definedName>
    <definedName name="Hepetamaleipts">#REF!</definedName>
    <definedName name="Hepetamaleitries">#REF!</definedName>
    <definedName name="herronharatt">#REF!</definedName>
    <definedName name="Herronhargls">#REF!</definedName>
    <definedName name="Herronharpts">#REF!</definedName>
    <definedName name="Herronhartries">#REF!</definedName>
    <definedName name="Hewardbripts">BRI!$E$25</definedName>
    <definedName name="Hewardbritries">BRI!$B$25</definedName>
    <definedName name="Hibbardglopts">GLO!#REF!</definedName>
    <definedName name="Hibbardglotries">GLO!#REF!</definedName>
    <definedName name="Hicksglopts">GLO!#REF!</definedName>
    <definedName name="Hicksgloptscorrect">GLO!#REF!</definedName>
    <definedName name="Hicksglotries">GLO!#REF!</definedName>
    <definedName name="Hill_Jexepts">EXE!#REF!</definedName>
    <definedName name="Hill_Jexetries">EXE!#REF!</definedName>
    <definedName name="Hill_Jsalpts">#REF!</definedName>
    <definedName name="Hill_Jsaltries">#REF!</definedName>
    <definedName name="Hill_Samexetries">EXE!#REF!</definedName>
    <definedName name="Hill_Sexepts">EXE!#REF!</definedName>
    <definedName name="Hill_Ssamexepts">EXE!#REF!</definedName>
    <definedName name="Hillbthpts">#REF!</definedName>
    <definedName name="Hillbthtries">#REF!</definedName>
    <definedName name="Hillman_Cooperglopts">GLO!$E$24</definedName>
    <definedName name="Hillman_Cooperglotries">GLO!$B$24</definedName>
    <definedName name="Hillsampts">EXE!#REF!</definedName>
    <definedName name="Hillsamtries">EXE!#REF!</definedName>
    <definedName name="Hillworpts">#REF!</definedName>
    <definedName name="Hillwortries">#REF!</definedName>
    <definedName name="Hinessalpts">#REF!</definedName>
    <definedName name="Hinessaltries">#REF!</definedName>
    <definedName name="Hinkleyglopts">GLO!#REF!</definedName>
    <definedName name="Hinkleyglotries">GLO!#REF!</definedName>
    <definedName name="Hinkleynorpts">#REF!</definedName>
    <definedName name="Hinkleynortries">#REF!</definedName>
    <definedName name="Hodgeexeatt">EXE!$I$5</definedName>
    <definedName name="Hodgeexegls">EXE!$H$5</definedName>
    <definedName name="Hodgeexepts">EXE!$E$17</definedName>
    <definedName name="Hodgeexetries">EXE!$B$17</definedName>
    <definedName name="hodgsoncharlieatt">#REF!</definedName>
    <definedName name="Hodgsoncharliegoals">#REF!</definedName>
    <definedName name="Hodgsoncharliepts">#REF!</definedName>
    <definedName name="Hodgsoncharlietries">#REF!</definedName>
    <definedName name="hodgsonjoelatt">#REF!</definedName>
    <definedName name="Hodgsonjoelgoals">#REF!</definedName>
    <definedName name="Hodgsonjoelpts">#REF!</definedName>
    <definedName name="Hodgsonjoeltries">#REF!</definedName>
    <definedName name="Hodgsonnewatt">#REF!</definedName>
    <definedName name="hodgsonnewattcorrect">#REF!</definedName>
    <definedName name="Hodgsonnewgoals">#REF!</definedName>
    <definedName name="Hodgsonnewptscorrect">#REF!</definedName>
    <definedName name="Hodgsonnewtriescorrect">#REF!</definedName>
    <definedName name="hodgsonnoratt">#REF!</definedName>
    <definedName name="hodgsonnorgoals">#REF!</definedName>
    <definedName name="Hodgsonnorpts">#REF!</definedName>
    <definedName name="Hodgsonnortries">#REF!</definedName>
    <definedName name="hodgsonsargoals">#REF!</definedName>
    <definedName name="hoggexeatt">EXE!#REF!</definedName>
    <definedName name="hoggexegls">EXE!#REF!</definedName>
    <definedName name="Hoggexepts">EXE!$E$18</definedName>
    <definedName name="Hoggexetries">EXE!$B$18</definedName>
    <definedName name="Hoggnewpts">#REF!</definedName>
    <definedName name="Hoggnewtries">#REF!</definedName>
    <definedName name="Holensteinharpts">#REF!</definedName>
    <definedName name="Holensteinhartries">#REF!</definedName>
    <definedName name="Holmesexepts">EXE!$E$19</definedName>
    <definedName name="holmesexetries">EXE!$B$19</definedName>
    <definedName name="Holmesjonahpts">#REF!</definedName>
    <definedName name="Holmesjonahtries">#REF!</definedName>
    <definedName name="Holmesleicpts">#REF!</definedName>
    <definedName name="Holmesleictries">#REF!</definedName>
    <definedName name="Holmesnewpts">#REF!</definedName>
    <definedName name="Holmesnewtries">#REF!</definedName>
    <definedName name="Holmeswaspts">#REF!</definedName>
    <definedName name="Holmeswastries">#REF!</definedName>
    <definedName name="Holsey_Lwortries">#REF!</definedName>
    <definedName name="Holseyworpts">#REF!</definedName>
    <definedName name="Homer_Tombthgoals">#REF!</definedName>
    <definedName name="Homer_Tombthpts">#REF!</definedName>
    <definedName name="Homer_Tombthtries">#REF!</definedName>
    <definedName name="Homerbthpts">#REF!</definedName>
    <definedName name="Homerbthtries">#REF!</definedName>
    <definedName name="homerliatt">BRI!#REF!</definedName>
    <definedName name="homerligoals">BRI!#REF!</definedName>
    <definedName name="homertombthatt">#REF!</definedName>
    <definedName name="Homertompts">BRI!#REF!</definedName>
    <definedName name="Homertomtried">BRI!#REF!</definedName>
    <definedName name="hookgloatt">GLO!#REF!</definedName>
    <definedName name="hookglogoals">GLO!#REF!</definedName>
    <definedName name="Hookglopts">GLO!#REF!</definedName>
    <definedName name="Hookglotries">GLO!#REF!</definedName>
    <definedName name="hooleyatt">#REF!</definedName>
    <definedName name="hooleyexeatt">EXE!#REF!</definedName>
    <definedName name="Hooleyexegoals">EXE!#REF!</definedName>
    <definedName name="Hooleyexepts">EXE!#REF!</definedName>
    <definedName name="Hooleyexetries">EXE!#REF!</definedName>
    <definedName name="Hooleygoals">#REF!</definedName>
    <definedName name="Hooleywillpts">#REF!</definedName>
    <definedName name="Hooleywilltries">#REF!</definedName>
    <definedName name="Hooperstuartpts">#REF!</definedName>
    <definedName name="Hooperstuarttries">#REF!</definedName>
    <definedName name="Hopperpts">#REF!</definedName>
    <definedName name="Hoppertries">#REF!</definedName>
    <definedName name="Hornenorpts">#REF!</definedName>
    <definedName name="Hornenortries">#REF!</definedName>
    <definedName name="Horstmannexepts">EXE!#REF!</definedName>
    <definedName name="Horstmannexetries">EXE!#REF!</definedName>
    <definedName name="Hortonleipts">#REF!</definedName>
    <definedName name="Hortonleitries">#REF!</definedName>
    <definedName name="Horwillharpts">#REF!</definedName>
    <definedName name="Horwillhartries">#REF!</definedName>
    <definedName name="Hoskinslirpts">BRI!#REF!</definedName>
    <definedName name="Hoskinslirtries">BRI!#REF!</definedName>
    <definedName name="Hougaardsarpts">SAR!$E$21</definedName>
    <definedName name="Hougaardsartries">SAR!$B$21</definedName>
    <definedName name="Hougaardwaspts">#REF!</definedName>
    <definedName name="Hougaardwastries">#REF!</definedName>
    <definedName name="Hougaardworpts">#REF!</definedName>
    <definedName name="Hougaardwortries">#REF!</definedName>
    <definedName name="Houstonbatpts">#REF!</definedName>
    <definedName name="Houstonbattries">#REF!</definedName>
    <definedName name="Houstonleroypts">#REF!</definedName>
    <definedName name="Houstonleroytries">#REF!</definedName>
    <definedName name="Howardnorpts">#REF!</definedName>
    <definedName name="Howardnortries">#REF!</definedName>
    <definedName name="Howetompts">#REF!</definedName>
    <definedName name="Howetomtries">#REF!</definedName>
    <definedName name="Howewaspts">#REF!</definedName>
    <definedName name="Howewastries">#REF!</definedName>
    <definedName name="Howeworpts">#REF!</definedName>
    <definedName name="Howewortries">#REF!</definedName>
    <definedName name="Hudsonglopts">GLO!$E$23</definedName>
    <definedName name="Hudsonglotries">GLO!$B$23</definedName>
    <definedName name="Hudsonjamespts">GLO!#REF!</definedName>
    <definedName name="hudsonjamestries">GLO!#REF!</definedName>
    <definedName name="Hughesbripts">BRI!$E$27</definedName>
    <definedName name="Hughesbritries">BRI!$B$27</definedName>
    <definedName name="Hughesexepts">EXE!#REF!</definedName>
    <definedName name="Hughesexetries">EXE!#REF!</definedName>
    <definedName name="Hughesnathanpts">#REF!</definedName>
    <definedName name="Hughesnathantries">#REF!</definedName>
    <definedName name="Hugheswaspts">#REF!</definedName>
    <definedName name="Hugheswastries">#REF!</definedName>
    <definedName name="humphreysatt">BRI!#REF!</definedName>
    <definedName name="humphreysgoals">BRI!#REF!</definedName>
    <definedName name="Humphreysiantries">BRI!#REF!</definedName>
    <definedName name="Humphreyspts">BRI!#REF!</definedName>
    <definedName name="Humphreysworpts">#REF!</definedName>
    <definedName name="Humphreyswortries">#REF!</definedName>
    <definedName name="Hunter_Hillsarptscorrect">SAR!$E$22</definedName>
    <definedName name="Hunter_Hillsartriescorrect">SAR!$B$22</definedName>
    <definedName name="Hurdleicpts">#REF!</definedName>
    <definedName name="Hurdleictries">#REF!</definedName>
    <definedName name="Hurrellbstpts">BRI!#REF!</definedName>
    <definedName name="Hurrellbsttries">BRI!#REF!</definedName>
    <definedName name="hutchinsonnoratt">#REF!</definedName>
    <definedName name="hutchinsonnorgls">#REF!</definedName>
    <definedName name="Hutchinsonnorpts">#REF!</definedName>
    <definedName name="Hutchinsonnortries">#REF!</definedName>
    <definedName name="ibitoyebriatt">BRI!#REF!</definedName>
    <definedName name="Ibitoyebrigls">BRI!#REF!</definedName>
    <definedName name="Ibitoyeharpts">#REF!</definedName>
    <definedName name="Ibitoyehartries">#REF!</definedName>
    <definedName name="Ibuanokpeharpts">#REF!</definedName>
    <definedName name="Ibuanokpehartries">#REF!</definedName>
    <definedName name="Ilioneleipts">#REF!</definedName>
    <definedName name="Ilioneleitries">#REF!</definedName>
    <definedName name="Ingallcharliepts">#REF!</definedName>
    <definedName name="Ingallcharlietries">#REF!</definedName>
    <definedName name="Ioanetjsalpts">#REF!</definedName>
    <definedName name="Ioanetjsaltries">#REF!</definedName>
    <definedName name="Iosefa_Scottexepts">EXE!$E$20</definedName>
    <definedName name="Iosefa_Scottexetries">EXE!$B$20</definedName>
    <definedName name="Irvinenorpts">#REF!</definedName>
    <definedName name="Irvinenortries">#REF!</definedName>
    <definedName name="Isaacsglopts">GLO!#REF!</definedName>
    <definedName name="Isaacsglotries">GLO!#REF!</definedName>
    <definedName name="isiekwenorpts">#REF!</definedName>
    <definedName name="Isiekwenortries">#REF!</definedName>
    <definedName name="Isiekwesarpts">#REF!</definedName>
    <definedName name="Isiekwesarptscorrect">SAR!$E$23</definedName>
    <definedName name="Isiekwesartries">#REF!</definedName>
    <definedName name="Isiekwesartriescorrect">SAR!$B$23</definedName>
    <definedName name="Itojesarpts">#REF!</definedName>
    <definedName name="Itojesarptscorrect">SAR!$E$24</definedName>
    <definedName name="Itojesartries">#REF!</definedName>
    <definedName name="Itojesartriescorrect">SAR!$B$24</definedName>
    <definedName name="Jackson_Ewaspts">#REF!</definedName>
    <definedName name="Jackson_Ewastries">#REF!</definedName>
    <definedName name="Jackson_Rwaspts">#REF!</definedName>
    <definedName name="Jackson_Rwastries">#REF!</definedName>
    <definedName name="Jacksonedpts">#REF!</definedName>
    <definedName name="jacksonedtries">#REF!</definedName>
    <definedName name="Jacksonharpts">#REF!</definedName>
    <definedName name="Jacksonhartries">#REF!</definedName>
    <definedName name="Jacksonlirpts">#REF!</definedName>
    <definedName name="Jacksonlirtries">#REF!</definedName>
    <definedName name="jacksonrwasatt">#REF!</definedName>
    <definedName name="jacksonrwasgoals">#REF!</definedName>
    <definedName name="Jacksonsarpts">SAR!$E$26</definedName>
    <definedName name="Jacksonsartries">SAR!$B$26</definedName>
    <definedName name="Jacobsbenpts">#REF!</definedName>
    <definedName name="Jacobsbentries">#REF!</definedName>
    <definedName name="Jacobswaspts">#REF!</definedName>
    <definedName name="Jacobswastries">#REF!</definedName>
    <definedName name="James_Lsalpts">#REF!</definedName>
    <definedName name="James_Lsaltries">#REF!</definedName>
    <definedName name="Jamesnorpts">#REF!</definedName>
    <definedName name="Jamesnortries">#REF!</definedName>
    <definedName name="Jamespaulpts">#REF!</definedName>
    <definedName name="Jamespaultries">#REF!</definedName>
    <definedName name="Jamespts">EXE!$E$23</definedName>
    <definedName name="Jamessalatt">#REF!</definedName>
    <definedName name="Jamessalgls">#REF!</definedName>
    <definedName name="Jamessalpts">#REF!</definedName>
    <definedName name="Jamessaltries">#REF!</definedName>
    <definedName name="jamestries">EXE!$B$23</definedName>
    <definedName name="jameswasatt">#REF!</definedName>
    <definedName name="jameswasgoals">#REF!</definedName>
    <definedName name="Jameswaspts">#REF!</definedName>
    <definedName name="Jameswastries">#REF!</definedName>
    <definedName name="Janse_v_Rensburglirpts">#REF!</definedName>
    <definedName name="Janse_v_Rensburglirtries">#REF!</definedName>
    <definedName name="Jansenleipts">#REF!</definedName>
    <definedName name="Jansenleitries">#REF!</definedName>
    <definedName name="Jansevanrensburgsalpts">#REF!</definedName>
    <definedName name="Jansevanrensburgsaltries">#REF!</definedName>
    <definedName name="jansevrensburgliratt">#REF!</definedName>
    <definedName name="jansevrensburglirgls">#REF!</definedName>
    <definedName name="jardinewasatt">#REF!</definedName>
    <definedName name="jardinewasgls">#REF!</definedName>
    <definedName name="Jardinewaspts">#REF!</definedName>
    <definedName name="Jardinewastries">#REF!</definedName>
    <definedName name="jarvisbriatt">BRI!#REF!</definedName>
    <definedName name="Jarvisbrigoals">BRI!#REF!</definedName>
    <definedName name="Jefferssalepts">#REF!</definedName>
    <definedName name="Jefferssaltries">#REF!</definedName>
    <definedName name="Jeffriesbripts">BRI!#REF!</definedName>
    <definedName name="Jeffriesbriptscorrect">BRI!$E$28</definedName>
    <definedName name="Jeffriesbritries">BRI!#REF!</definedName>
    <definedName name="Jeffriesbritriescorrect">BRI!$B$28</definedName>
    <definedName name="Jeffriesbstpts">BRI!#REF!</definedName>
    <definedName name="Jeffriesbsttries">BRI!#REF!</definedName>
    <definedName name="Jenkins_Dexepts">EXE!$E$21</definedName>
    <definedName name="Jenkins_Dexetries">EXE!$B$21</definedName>
    <definedName name="Jenkins_Iexepts">EXE!$E$22</definedName>
    <definedName name="Jenkins_Iexetries">EXE!$B$22</definedName>
    <definedName name="Jenkinsbripts">BRI!$E$29</definedName>
    <definedName name="Jenkinsbritries">BRI!$B$29</definedName>
    <definedName name="jenkinsiexeatt">EXE!$I$6</definedName>
    <definedName name="jenkinsiexegls">EXE!$H$6</definedName>
    <definedName name="Jenningsbthpts">#REF!</definedName>
    <definedName name="Jenningsbthtries">#REF!</definedName>
    <definedName name="jenningsliratt">#REF!</definedName>
    <definedName name="Jenningslirgls">#REF!</definedName>
    <definedName name="Jenningslirpts">#REF!</definedName>
    <definedName name="Jenningslirtries">#REF!</definedName>
    <definedName name="Jenningssalpts">#REF!</definedName>
    <definedName name="Jenningssaltries">#REF!</definedName>
    <definedName name="Jessexepts">EXE!#REF!</definedName>
    <definedName name="Jessexetries">EXE!#REF!</definedName>
    <definedName name="Jesspts">EXE!#REF!</definedName>
    <definedName name="Jesstries">EXE!#REF!</definedName>
    <definedName name="Jewellsebpts">#REF!</definedName>
    <definedName name="Jewellsebtries">#REF!</definedName>
    <definedName name="Jibuluharpts">#REF!</definedName>
    <definedName name="Jibuluhartries">#REF!</definedName>
    <definedName name="Johnsalpts">#REF!</definedName>
    <definedName name="Johnsaltries">#REF!</definedName>
    <definedName name="Johnsonashleypts">#REF!</definedName>
    <definedName name="johnsonashleytries">#REF!</definedName>
    <definedName name="Johnsonexepts">EXE!#REF!</definedName>
    <definedName name="Johnsonexetries">EXE!#REF!</definedName>
    <definedName name="Johnsontompts">EXE!#REF!</definedName>
    <definedName name="Johnsontomtries">EXE!#REF!</definedName>
    <definedName name="Johnsonwaspts">#REF!</definedName>
    <definedName name="Johnsonwastries">#REF!</definedName>
    <definedName name="Johnsonworpts">#REF!</definedName>
    <definedName name="Johnsonwortries">#REF!</definedName>
    <definedName name="Johnstonjamespts">#REF!</definedName>
    <definedName name="Johnstonjamestries">#REF!</definedName>
    <definedName name="Johnstonwaspts">#REF!</definedName>
    <definedName name="Johnstonwasptscorrect">#REF!</definedName>
    <definedName name="Johnstonwastries">#REF!</definedName>
    <definedName name="jonathanjosephtries">#REF!</definedName>
    <definedName name="Jones_Jsalpts">#REF!</definedName>
    <definedName name="Jones_Jsaltries">#REF!</definedName>
    <definedName name="Jonesadamharpts">#REF!</definedName>
    <definedName name="Jonesadamhartries">#REF!</definedName>
    <definedName name="Joneschrispts">#REF!</definedName>
    <definedName name="joneschristries">#REF!</definedName>
    <definedName name="Jonesexepts">EXE!#REF!</definedName>
    <definedName name="Jonesexetries">EXE!#REF!</definedName>
    <definedName name="Jonesharpts">#REF!</definedName>
    <definedName name="Joneshartries">#REF!</definedName>
    <definedName name="JonesHharpts">#REF!</definedName>
    <definedName name="JonesHhartries">#REF!</definedName>
    <definedName name="Jonesmarcpts">#REF!</definedName>
    <definedName name="Jonesmarctries">#REF!</definedName>
    <definedName name="Jonessalpts">#REF!</definedName>
    <definedName name="Jonessaltries">#REF!</definedName>
    <definedName name="Jonessampts">#REF!</definedName>
    <definedName name="Jonessamtries">#REF!</definedName>
    <definedName name="jonesworatt">#REF!</definedName>
    <definedName name="Jonesworgls">#REF!</definedName>
    <definedName name="Jonesworpts">#REF!</definedName>
    <definedName name="Joneswortries">#REF!</definedName>
    <definedName name="Jonkerbthpts">#REF!</definedName>
    <definedName name="Jonkerbthtries">#REF!</definedName>
    <definedName name="Josephbatpts">#REF!</definedName>
    <definedName name="Josephbattries">#REF!</definedName>
    <definedName name="josephbthatt">#REF!</definedName>
    <definedName name="Josephbthgls">#REF!</definedName>
    <definedName name="Josephjonathanptscorrect">#REF!</definedName>
    <definedName name="Josephjonathantriescorrect">#REF!</definedName>
    <definedName name="Josephlirpts">#REF!</definedName>
    <definedName name="Josephlirtries">#REF!</definedName>
    <definedName name="josephpts">#REF!</definedName>
    <definedName name="Josephpts2">#REF!</definedName>
    <definedName name="Jouberternstpts">#REF!</definedName>
    <definedName name="Jouberternsttries">#REF!</definedName>
    <definedName name="Jubbtompts">#REF!</definedName>
    <definedName name="Jubbtomtries">#REF!</definedName>
    <definedName name="Judgebthpts">#REF!</definedName>
    <definedName name="Judgebthtries">#REF!</definedName>
    <definedName name="Judgesarpts">#REF!</definedName>
    <definedName name="Judgesartries">#REF!</definedName>
    <definedName name="Jureviciusharpts">#REF!</definedName>
    <definedName name="Jureviciushartries">#REF!</definedName>
    <definedName name="Kalamafonileipts">#REF!</definedName>
    <definedName name="Kalamafonileitries">#REF!</definedName>
    <definedName name="Kalamafonipts">GLO!#REF!</definedName>
    <definedName name="Kalamafonitries">GLO!#REF!</definedName>
    <definedName name="Kareaexepts">EXE!#REF!</definedName>
    <definedName name="Kareaexetries">EXE!#REF!</definedName>
    <definedName name="Kearlwepts">#REF!</definedName>
    <definedName name="Kearlwetries">#REF!</definedName>
    <definedName name="Keastexepts">EXE!$E$24</definedName>
    <definedName name="Keastexetries">EXE!$B$24</definedName>
    <definedName name="Kellawaynorpts">#REF!</definedName>
    <definedName name="Kellawaynortries">#REF!</definedName>
    <definedName name="kellyleicatt">#REF!</definedName>
    <definedName name="Kellyleicgls">#REF!</definedName>
    <definedName name="Kenninghamharpts">#REF!</definedName>
    <definedName name="Kenninghamhartries">#REF!</definedName>
    <definedName name="Kennyexepts">EXE!$E$25</definedName>
    <definedName name="Kennyexetries">EXE!$B$25</definedName>
    <definedName name="Kerrbripts">BRI!$E$31</definedName>
    <definedName name="Kerrbritries">BRI!$B$31</definedName>
    <definedName name="Kerrleicpts">#REF!</definedName>
    <definedName name="Kerrleictries">#REF!</definedName>
    <definedName name="Kerrodworpts">#REF!</definedName>
    <definedName name="Kerrodwortries">#REF!</definedName>
    <definedName name="Kessellnorpts">#REF!</definedName>
    <definedName name="Kessellnortries">#REF!</definedName>
    <definedName name="Kibirigezachpts">#REF!</definedName>
    <definedName name="Kibirigezachtries">#REF!</definedName>
    <definedName name="Kilbridgewaspts">#REF!</definedName>
    <definedName name="Kilbridgewastries">#REF!</definedName>
    <definedName name="KingsPts">[1]SKG!$E$47</definedName>
    <definedName name="KingsTries">[1]SKG!$B$47</definedName>
    <definedName name="Kirstenexepts">EXE!$E$26</definedName>
    <definedName name="Kirstenexetries">EXE!$B$26</definedName>
    <definedName name="Kirwancarlpts">#REF!</definedName>
    <definedName name="Kirwancarltries">#REF!</definedName>
    <definedName name="Kitchenergrahamptscorrect">#REF!</definedName>
    <definedName name="Kitchenergrahamtriescorrect">#REF!</definedName>
    <definedName name="Kitchenerpts">#REF!</definedName>
    <definedName name="kitchenertries">#REF!</definedName>
    <definedName name="Kittoleipts">#REF!</definedName>
    <definedName name="Kittoleitries">#REF!</definedName>
    <definedName name="Knightglopts">#REF!</definedName>
    <definedName name="Knightgloptscorrect">GLO!$E$26</definedName>
    <definedName name="Knightglotries">#REF!</definedName>
    <definedName name="Knightglotriescorrect">GLO!$B$26</definedName>
    <definedName name="Knightpts">GLO!#REF!</definedName>
    <definedName name="Knighttries">GLO!#REF!</definedName>
    <definedName name="Kochsarptscorrect">SAR!#REF!</definedName>
    <definedName name="Kochsartriescorrect">SAR!#REF!</definedName>
    <definedName name="Kolo_ofainewpts">#REF!</definedName>
    <definedName name="Kolo_ofainewtries">#REF!</definedName>
    <definedName name="Kpoku__Jonathansarpts">#REF!</definedName>
    <definedName name="Kpoku__Jonathansartries">#REF!</definedName>
    <definedName name="Kpokusarpts">#REF!</definedName>
    <definedName name="Kpokusartries">#REF!</definedName>
    <definedName name="Krielglopts">GLO!$E$25</definedName>
    <definedName name="Krielglotries">GLO!$B$25</definedName>
    <definedName name="Kruisgeorgepts">#REF!</definedName>
    <definedName name="Kruisgeorgetries">#REF!</definedName>
    <definedName name="Kuleminsalpts">#REF!</definedName>
    <definedName name="Kuleminsaltries">#REF!</definedName>
    <definedName name="Kunataniharpts">#REF!</definedName>
    <definedName name="Kunatanihartries">#REF!</definedName>
    <definedName name="Kvesicmattpts">GLO!#REF!</definedName>
    <definedName name="Kvesicmatttries">GLO!#REF!</definedName>
    <definedName name="Lahiffmaxbthpts">#REF!</definedName>
    <definedName name="lahiffmaxbthtries">#REF!</definedName>
    <definedName name="laidlawgloatt">GLO!#REF!</definedName>
    <definedName name="laidlawglogoals">GLO!#REF!</definedName>
    <definedName name="Laidlawglopts">GLO!#REF!</definedName>
    <definedName name="Laidlawglotries">GLO!#REF!</definedName>
    <definedName name="lambatt">#REF!</definedName>
    <definedName name="Lambertharpts">#REF!</definedName>
    <definedName name="Lamberthartries">#REF!</definedName>
    <definedName name="lambgoals">#REF!</definedName>
    <definedName name="Lambpts">#REF!</definedName>
    <definedName name="Lambptscorrect">#REF!</definedName>
    <definedName name="Lambripts">BRI!#REF!</definedName>
    <definedName name="Lambritries">BRI!#REF!</definedName>
    <definedName name="Lambryantries">#REF!</definedName>
    <definedName name="lambryanworatt">#REF!</definedName>
    <definedName name="Lambryanworgoals">#REF!</definedName>
    <definedName name="Lambryanworpts">#REF!</definedName>
    <definedName name="Lambworgoals">#REF!</definedName>
    <definedName name="Lamositelesarpts">#REF!</definedName>
    <definedName name="Lamositelesartries">#REF!</definedName>
    <definedName name="lanceworatt">#REF!</definedName>
    <definedName name="lanceworgls">#REF!</definedName>
    <definedName name="Lanceworpts">#REF!</definedName>
    <definedName name="Lancewortries">#REF!</definedName>
    <definedName name="Landajoharpts">#REF!</definedName>
    <definedName name="Landajohartries">#REF!</definedName>
    <definedName name="Lanebatpts">#REF!</definedName>
    <definedName name="Lanebattris">#REF!</definedName>
    <definedName name="Lanebripts">BRI!$E$34</definedName>
    <definedName name="Lanebritries">BRI!$B$34</definedName>
    <definedName name="Lanerichardpts">#REF!</definedName>
    <definedName name="Lanerichardtries">#REF!</definedName>
    <definedName name="Lanerichardtriescorrect">#REF!</definedName>
    <definedName name="Langdonsalpts">#REF!</definedName>
    <definedName name="Langdonsaltries">#REF!</definedName>
    <definedName name="Langdonworpts">#REF!</definedName>
    <definedName name="Langdonwortries">#REF!</definedName>
    <definedName name="langharatt">#REF!</definedName>
    <definedName name="Langhargls">#REF!</definedName>
    <definedName name="Langharpts">#REF!</definedName>
    <definedName name="Langhartries">#REF!</definedName>
    <definedName name="Langleywaspts">#REF!</definedName>
    <definedName name="Langleywastries">#REF!</definedName>
    <definedName name="lanharatt">#REF!</definedName>
    <definedName name="lanhargoals">#REF!</definedName>
    <definedName name="lanharpts">#REF!</definedName>
    <definedName name="Lasikeharpts">#REF!</definedName>
    <definedName name="Lasikehartries">#REF!</definedName>
    <definedName name="Latunewpts">#REF!</definedName>
    <definedName name="Latunewtries">#REF!</definedName>
    <definedName name="Launchburypts">#REF!</definedName>
    <definedName name="launchburytries">#REF!</definedName>
    <definedName name="Launchburywaspts">#REF!</definedName>
    <definedName name="Launchburywastries">#REF!</definedName>
    <definedName name="Lavaninileicpts">#REF!</definedName>
    <definedName name="Lavaninileictries">#REF!</definedName>
    <definedName name="Lawdayexepts">EXE!#REF!</definedName>
    <definedName name="Lawdayexeptscorrect">EXE!#REF!</definedName>
    <definedName name="Lawdayexetries">EXE!#REF!</definedName>
    <definedName name="Lawdayexetriescorrect">EXE!#REF!</definedName>
    <definedName name="Lawesnorpts">#REF!</definedName>
    <definedName name="Lawesnortries">#REF!</definedName>
    <definedName name="Lawrencebthpts">#REF!</definedName>
    <definedName name="Lawrencebthtries">#REF!</definedName>
    <definedName name="Lawrencewaspts">#REF!</definedName>
    <definedName name="Lawrencewastries">#REF!</definedName>
    <definedName name="Lawrenceworpts">#REF!</definedName>
    <definedName name="Lawrencewortries">#REF!</definedName>
    <definedName name="Lawsonnewpts">#REF!</definedName>
    <definedName name="Lawsonnewtries">#REF!</definedName>
    <definedName name="Lawsonscottpts">#REF!</definedName>
    <definedName name="Lawsonscotttries">#REF!</definedName>
    <definedName name="Laybripts">BRI!$E$32</definedName>
    <definedName name="Laybritries">BRI!$B$32</definedName>
    <definedName name="Le_Bourgeoiswaspts">#REF!</definedName>
    <definedName name="Le_Bourgeoiswastries">#REF!</definedName>
    <definedName name="Le_Rouxwaspts">#REF!</definedName>
    <definedName name="Le_Rouxwastries">#REF!</definedName>
    <definedName name="Lee_Warnerbthpts">#REF!</definedName>
    <definedName name="Lee_Warnerbthtries">#REF!</definedName>
    <definedName name="Leesexepts">EXE!#REF!</definedName>
    <definedName name="Leesexetries">EXE!#REF!</definedName>
    <definedName name="LeicesterPts">#REF!</definedName>
    <definedName name="LeicesterTries">#REF!</definedName>
    <definedName name="leicspentriespts">#REF!</definedName>
    <definedName name="leicspentriestries">#REF!</definedName>
    <definedName name="LeinsterPts">[1]LEIN!$F$58</definedName>
    <definedName name="LeinsterTries">[1]LEIN!$B$58</definedName>
    <definedName name="Leiuaalapatiwaspts">#REF!</definedName>
    <definedName name="Leiuawaspts">#REF!</definedName>
    <definedName name="Leiuawasptscorrect">#REF!</definedName>
    <definedName name="Leiuawastries">#REF!</definedName>
    <definedName name="Lemipts">#REF!</definedName>
    <definedName name="lemitries">#REF!</definedName>
    <definedName name="Leolipts">BRI!#REF!</definedName>
    <definedName name="Leolitries">BRI!#REF!</definedName>
    <definedName name="Leotajohnnypts">#REF!</definedName>
    <definedName name="Leotajohnnytries">#REF!</definedName>
    <definedName name="Lewingtonalextries">BRI!#REF!</definedName>
    <definedName name="Lewingtonpts">BRI!#REF!</definedName>
    <definedName name="Lewingtonsarpts">#REF!</definedName>
    <definedName name="Lewingtonsarptscorrect">SAR!$E$27</definedName>
    <definedName name="Lewingtonsartries">#REF!</definedName>
    <definedName name="Lewingtonsartriescorrect">SAR!$B$27</definedName>
    <definedName name="Lewingtontries">BRI!$B$32</definedName>
    <definedName name="Lewis_">#REF!</definedName>
    <definedName name="Lewis_Robertssalpts">#REF!</definedName>
    <definedName name="Lewis_Robertssaltries">#REF!</definedName>
    <definedName name="lewisbthatt">#REF!</definedName>
    <definedName name="Lewisbthgls">#REF!</definedName>
    <definedName name="Lewisbthpts">#REF!</definedName>
    <definedName name="Lewisbthtries">#REF!</definedName>
    <definedName name="Lewisdaveharpts">#REF!</definedName>
    <definedName name="Lewisdavehartries">#REF!</definedName>
    <definedName name="Lewisdavepts">EXE!#REF!</definedName>
    <definedName name="Lewisdavetries">EXE!#REF!</definedName>
    <definedName name="Lewisjamespts">#REF!</definedName>
    <definedName name="Lewisjamestries">#REF!</definedName>
    <definedName name="Lewisleicpts">#REF!</definedName>
    <definedName name="Lewisleictries">#REF!</definedName>
    <definedName name="Lewisrobpts">#REF!</definedName>
    <definedName name="Lewisrobtries">#REF!</definedName>
    <definedName name="Lewissarptscorrect">SAR!$E$28</definedName>
    <definedName name="Lewissartriescorrect">SAR!$B$28</definedName>
    <definedName name="Liebenbergleicpts">#REF!</definedName>
    <definedName name="Liebenbergleictries">#REF!</definedName>
    <definedName name="Lindsay_Haguenewpts">#REF!</definedName>
    <definedName name="Lindsay_Haguenewtries">#REF!</definedName>
    <definedName name="Lindsay_Hagueolliepts">#REF!</definedName>
    <definedName name="Lindsay_Hagueollietries">#REF!</definedName>
    <definedName name="Lindsaysarpts">#REF!</definedName>
    <definedName name="Lindsaysartries">#REF!</definedName>
    <definedName name="Lindsaywaspts">#REF!</definedName>
    <definedName name="Lindsaywastries">#REF!</definedName>
    <definedName name="Listonjessepts">#REF!</definedName>
    <definedName name="Listonjessetries">#REF!</definedName>
    <definedName name="Litchfieldjimmiepts">#REF!</definedName>
    <definedName name="Litchfieldjimmietries">#REF!</definedName>
    <definedName name="Litchfieldnorpts">#REF!</definedName>
    <definedName name="Litchfieldnortries">#REF!</definedName>
    <definedName name="Lloyd_Jbripts">BRI!$E$37</definedName>
    <definedName name="Lloyd_Jbritries">BRI!$B$37</definedName>
    <definedName name="LloydBriAtt">BRI!#REF!</definedName>
    <definedName name="LloydBriGls">BRI!#REF!</definedName>
    <definedName name="LloydBriPts">BRI!$E$36</definedName>
    <definedName name="LloydBriTries">BRI!$B$36</definedName>
    <definedName name="lloydjbriatt">BRI!#REF!</definedName>
    <definedName name="lloydjbrigls">BRI!#REF!</definedName>
    <definedName name="Lloydlirpts">BRI!$E$33</definedName>
    <definedName name="Lloydlirtries">BRI!$B$33</definedName>
    <definedName name="Loaderlirpts">BRI!$E$35</definedName>
    <definedName name="Loaderlirtries">BRI!$B$35</definedName>
    <definedName name="Loamanuleipts">#REF!</definedName>
    <definedName name="Loamanuleitries">#REF!</definedName>
    <definedName name="Lockettnorpts">#REF!</definedName>
    <definedName name="Lockettnortries">#REF!</definedName>
    <definedName name="Lokotuiglopts">GLO!#REF!</definedName>
    <definedName name="Lokotuiglotries">GLO!#REF!</definedName>
    <definedName name="Lomidzelirpts">BRI!#REF!</definedName>
    <definedName name="Lomidzelirtries">BRI!#REF!</definedName>
    <definedName name="londonirishpentriespts">BRI!#REF!</definedName>
    <definedName name="londonirishpentriestries">BRI!#REF!</definedName>
    <definedName name="LondonIrishPts">#REF!</definedName>
    <definedName name="LondonIrishTres">#REF!</definedName>
    <definedName name="LondonIrishTries">#REF!</definedName>
    <definedName name="Longbottomsalpts">#REF!</definedName>
    <definedName name="Longbottomsaltries">#REF!</definedName>
    <definedName name="Longbottomsarpts">#REF!</definedName>
    <definedName name="LongbottomsarptsCORRECT">#REF!</definedName>
    <definedName name="Longbottomsartries">#REF!</definedName>
    <definedName name="LongbottomsartriesCORRECT">#REF!</definedName>
    <definedName name="Lonsdaleexepts">EXE!#REF!</definedName>
    <definedName name="Lonsdaleexetries">EXE!#REF!</definedName>
    <definedName name="Louwfrancoispts">#REF!</definedName>
    <definedName name="Louwfrancoistris">#REF!</definedName>
    <definedName name="Loweharpts">#REF!</definedName>
    <definedName name="Lowehartries">#REF!</definedName>
    <definedName name="Lowkierantries">BRI!$B$32</definedName>
    <definedName name="Lowlipts">BRI!$E$32</definedName>
    <definedName name="Lowmoraypts">EXE!#REF!</definedName>
    <definedName name="Lowmoraytries">EXE!#REF!</definedName>
    <definedName name="Lowpts">BRI!#REF!</definedName>
    <definedName name="Lowptscorrect">BRI!#REF!</definedName>
    <definedName name="lowtries">BRI!#REF!</definedName>
    <definedName name="Lowtriescorrect">BRI!#REF!</definedName>
    <definedName name="Lozadawaspts">#REF!</definedName>
    <definedName name="Lozadawastries">#REF!</definedName>
    <definedName name="lozowksisarattcorrect">SAR!#REF!</definedName>
    <definedName name="lozowskisarattcorrect">SAR!$I$6</definedName>
    <definedName name="lozowskisarglscorrect">SAR!#REF!</definedName>
    <definedName name="Lozowskisarptscorrect">SAR!$E$29</definedName>
    <definedName name="Lozowskisartriescorrect">SAR!$B$29</definedName>
    <definedName name="lozowskiwasatt">#REF!</definedName>
    <definedName name="lozowskiwasgoals">#REF!</definedName>
    <definedName name="Lozowskiwaspts">#REF!</definedName>
    <definedName name="Lozowskiwastries">#REF!</definedName>
    <definedName name="Lucocknewpts">#REF!</definedName>
    <definedName name="Lucocknewtries">#REF!</definedName>
    <definedName name="Ludlamnorpts">#REF!</definedName>
    <definedName name="Ludlamnortries">#REF!</definedName>
    <definedName name="Ludlowglopts">GLO!$E$27</definedName>
    <definedName name="Ludlowglotries">GLO!$B$27</definedName>
    <definedName name="Lundsalpts">#REF!</definedName>
    <definedName name="Lundsaltries">#REF!</definedName>
    <definedName name="Lutuiglopts">GLO!#REF!</definedName>
    <definedName name="Lutuiglotries">GLO!#REF!</definedName>
    <definedName name="Lynaghharpts">#REF!</definedName>
    <definedName name="Lynaghhartries">#REF!</definedName>
    <definedName name="Ma_afuglopts">GLO!#REF!</definedName>
    <definedName name="Ma_afuglotries">GLO!#REF!</definedName>
    <definedName name="Ma_afunorpts">#REF!</definedName>
    <definedName name="Ma_afunortries">#REF!</definedName>
    <definedName name="Ma_afusalesipts">#REF!</definedName>
    <definedName name="Ma_afusalesitries">#REF!</definedName>
    <definedName name="Maafunorpts">#REF!</definedName>
    <definedName name="Maafunortries">#REF!</definedName>
    <definedName name="macgintybriatt">BRI!#REF!</definedName>
    <definedName name="MacGintybrigls">BRI!#REF!</definedName>
    <definedName name="MacGintybripts">BRI!$E$39</definedName>
    <definedName name="MacGintybritries">BRI!$B$39</definedName>
    <definedName name="Mackenwaspts">#REF!</definedName>
    <definedName name="Mackenwastries">#REF!</definedName>
    <definedName name="MacKenziephilpts">#REF!</definedName>
    <definedName name="MacKenziephiltries">#REF!</definedName>
    <definedName name="MacLeodnewpts">#REF!</definedName>
    <definedName name="MacLeodnewtries">#REF!</definedName>
    <definedName name="macleodnickatt">#REF!</definedName>
    <definedName name="macleodnickgoals">#REF!</definedName>
    <definedName name="MacLeodnickpts">#REF!</definedName>
    <definedName name="MacLeodnickptscorrect">#REF!</definedName>
    <definedName name="MacLeodsalpts">#REF!</definedName>
    <definedName name="MacLeodsaltries">#REF!</definedName>
    <definedName name="Mafibathtries">#REF!</definedName>
    <definedName name="Mafibthpts">#REF!</definedName>
    <definedName name="Mafilirpts">#REF!</definedName>
    <definedName name="Mafilirtries">#REF!</definedName>
    <definedName name="Mafipts">#REF!</definedName>
    <definedName name="Mafistevepts">#REF!</definedName>
    <definedName name="Mafistevetriescorrect">#REF!</definedName>
    <definedName name="mafitries">#REF!</definedName>
    <definedName name="Maitlandsarpts">#REF!</definedName>
    <definedName name="Maitlandsarptscorrect">SAR!$E$32</definedName>
    <definedName name="Maitlandsartries">#REF!</definedName>
    <definedName name="Maitlandsartriescorrect">SAR!$B$32</definedName>
    <definedName name="malinsbriatt">BRI!#REF!</definedName>
    <definedName name="Malinsbrigls">BRI!#REF!</definedName>
    <definedName name="malinssaratt">#REF!</definedName>
    <definedName name="malinssarattcorrect">SAR!#REF!</definedName>
    <definedName name="malinssargls">#REF!</definedName>
    <definedName name="malinssarglscorrect">SAR!#REF!</definedName>
    <definedName name="Malinssarpts">#REF!</definedName>
    <definedName name="Malinssarptscorrect">SAR!$E$33</definedName>
    <definedName name="Malinssartries">#REF!</definedName>
    <definedName name="Malinssartriescorrect">SAR!$B$33</definedName>
    <definedName name="mallindernoratt">#REF!</definedName>
    <definedName name="Mallindernorgoals">#REF!</definedName>
    <definedName name="Mallindernorpts">#REF!</definedName>
    <definedName name="Mallindernortries">#REF!</definedName>
    <definedName name="Maltonexepts">EXE!#REF!</definedName>
    <definedName name="Maltonexetries">EXE!#REF!</definedName>
    <definedName name="Mamukashvilisalpts">#REF!</definedName>
    <definedName name="Mamukashvilisaltries">#REF!</definedName>
    <definedName name="Manoanorpts">#REF!</definedName>
    <definedName name="Manoanortries">#REF!</definedName>
    <definedName name="Manoapts">#REF!</definedName>
    <definedName name="manoatries">#REF!</definedName>
    <definedName name="Manzleicpts">#REF!</definedName>
    <definedName name="Manzleictries">#REF!</definedName>
    <definedName name="Maraisglopts">GLO!$E$28</definedName>
    <definedName name="Maraisglotries">GLO!$B$28</definedName>
    <definedName name="marchantharatt">#REF!</definedName>
    <definedName name="Marchanthargls">#REF!</definedName>
    <definedName name="Marchantharpts">#REF!</definedName>
    <definedName name="Marchanthartries">#REF!</definedName>
    <definedName name="Marfoharpts">#REF!</definedName>
    <definedName name="Marfohartries">#REF!</definedName>
    <definedName name="Marlerharpts">#REF!</definedName>
    <definedName name="Marlerpts">#REF!</definedName>
    <definedName name="marlertries">#REF!</definedName>
    <definedName name="Marshallglopts">GLO!#REF!</definedName>
    <definedName name="marshallliratt">BRI!#REF!</definedName>
    <definedName name="marshalllirgls">BRI!#REF!</definedName>
    <definedName name="Marshalllirpts">BRI!$E$38</definedName>
    <definedName name="Marshalllirtries">BRI!$B$38</definedName>
    <definedName name="Marshallnorpts">#REF!</definedName>
    <definedName name="Marshallnortries">#REF!</definedName>
    <definedName name="Marshalltomglo">GLO!#REF!</definedName>
    <definedName name="Martinleicpts">#REF!</definedName>
    <definedName name="Martinleictries">#REF!</definedName>
    <definedName name="Masiwaspts">#REF!</definedName>
    <definedName name="Masiwastries">#REF!</definedName>
    <definedName name="Matavesi__Joshnewpts">#REF!</definedName>
    <definedName name="Matavesi__JoshnewptsCORRECT">#REF!</definedName>
    <definedName name="Matavesi__Joshnewtries">#REF!</definedName>
    <definedName name="matavesibthatt">#REF!</definedName>
    <definedName name="Matavesibthgoals">#REF!</definedName>
    <definedName name="Matavesinewptscorrect">#REF!</definedName>
    <definedName name="Matavesinewtriescorrect">#REF!</definedName>
    <definedName name="matavesinoratt">#REF!</definedName>
    <definedName name="matavesinorgls">#REF!</definedName>
    <definedName name="Matavesipts">#REF!</definedName>
    <definedName name="matavesitries">#REF!</definedName>
    <definedName name="Matawalubthpts">#REF!</definedName>
    <definedName name="Matawalubthtries">#REF!</definedName>
    <definedName name="Matawaluexepts">EXE!#REF!</definedName>
    <definedName name="Matawaluexetries">EXE!#REF!</definedName>
    <definedName name="Materapablopts">#REF!</definedName>
    <definedName name="Materapablotries">#REF!</definedName>
    <definedName name="mathewswasatt">#REF!</definedName>
    <definedName name="mathewswasgls">#REF!</definedName>
    <definedName name="Matthewsharpts">#REF!</definedName>
    <definedName name="Matthewshartries">#REF!</definedName>
    <definedName name="Matthewsnorpts">#REF!</definedName>
    <definedName name="Matthewsnortries">#REF!</definedName>
    <definedName name="Matthewswaspts">#REF!</definedName>
    <definedName name="Matthewswastries">#REF!</definedName>
    <definedName name="Matu_uglopts">GLO!#REF!</definedName>
    <definedName name="Matu_uglotries">GLO!#REF!</definedName>
    <definedName name="Maunder_Sexepts">EXE!$E$28</definedName>
    <definedName name="Maunder_Sexetries">EXE!$B$28</definedName>
    <definedName name="Maunderexepts">EXE!$E$27</definedName>
    <definedName name="Maunderexetries">EXE!$B$27</definedName>
    <definedName name="Mawisarptscorrect">SAR!$E$34</definedName>
    <definedName name="Mawisartriescorrect">SAR!$B$34</definedName>
    <definedName name="Mayglopts">GLO!#REF!</definedName>
    <definedName name="Mayhewlipts">BRI!$E$42</definedName>
    <definedName name="Mayhewlitries">BRI!$B$42</definedName>
    <definedName name="Mayhewrichardpts">#REF!</definedName>
    <definedName name="Mayhewrichardtries">#REF!</definedName>
    <definedName name="Mayleicpts">#REF!</definedName>
    <definedName name="Mayleictries">#REF!</definedName>
    <definedName name="Maypts">GLO!#REF!</definedName>
    <definedName name="Maytompts">#REF!</definedName>
    <definedName name="Maytomtries">#REF!</definedName>
    <definedName name="Maytris">GLO!#REF!</definedName>
    <definedName name="McAllisterglopts">GLO!#REF!</definedName>
    <definedName name="McAllisterglotries">GLO!#REF!</definedName>
    <definedName name="McCabebripts">BRI!#REF!</definedName>
    <definedName name="McCabebritrie">BRI!#REF!</definedName>
    <definedName name="McCaffreywelshpts">#REF!</definedName>
    <definedName name="McCaffreywelshtries">#REF!</definedName>
    <definedName name="McCauleyexepts">EXE!#REF!</definedName>
    <definedName name="McCauleyexetries">EXE!#REF!</definedName>
    <definedName name="McCollgloptsd">GLO!#REF!</definedName>
    <definedName name="McCollglotries">GLO!#REF!</definedName>
    <definedName name="McConnochiebthpts">#REF!</definedName>
    <definedName name="McConnochiebthtries">#REF!</definedName>
    <definedName name="McCuskerlirpts">BRI!#REF!</definedName>
    <definedName name="McCuskerlirtries">BRI!#REF!</definedName>
    <definedName name="McFarlandsarptscorrect">SAR!$E$35</definedName>
    <definedName name="McFarlandsartriescorrect">SAR!$B$35</definedName>
    <definedName name="McGuiganexepts">EXE!#REF!</definedName>
    <definedName name="McGuiganexetries">EXE!#REF!</definedName>
    <definedName name="McGuiganglopts">GLO!$E$29</definedName>
    <definedName name="McGuiganglotries">GLO!$B$29</definedName>
    <definedName name="McGuigannewpts">#REF!</definedName>
    <definedName name="McGuigannewtries">#REF!</definedName>
    <definedName name="McGuiganpts">#REF!</definedName>
    <definedName name="mcguigansalatt">#REF!</definedName>
    <definedName name="McGuigansalgoals">#REF!</definedName>
    <definedName name="McGuigansalpts">#REF!</definedName>
    <definedName name="McGuigansaltries">#REF!</definedName>
    <definedName name="McGuigantries">#REF!</definedName>
    <definedName name="McIntyresalpts">#REF!</definedName>
    <definedName name="McIntyresaltries">#REF!</definedName>
    <definedName name="McIntyresimonpts">#REF!</definedName>
    <definedName name="McIntyresimontries">#REF!</definedName>
    <definedName name="McIntyrewastries">#REF!</definedName>
    <definedName name="McKenziefraserpts">#REF!</definedName>
    <definedName name="McKenziefrasertries">#REF!</definedName>
    <definedName name="mckibbinliratt">BRI!#REF!</definedName>
    <definedName name="mckibbinlirattcorrect">BRI!#REF!</definedName>
    <definedName name="mckibbinlirgls">BRI!#REF!</definedName>
    <definedName name="mckibbinlirgoals">BRI!#REF!</definedName>
    <definedName name="McKibbinlirgoalscorrect">BRI!#REF!</definedName>
    <definedName name="mckibbinlirishatt">BRI!#REF!</definedName>
    <definedName name="McKibbinlirpts">BRI!#REF!</definedName>
    <definedName name="McKibbinlirtries">BRI!#REF!</definedName>
    <definedName name="McLeanlirpts">BRI!#REF!</definedName>
    <definedName name="McLeanlirtries">BRI!#REF!</definedName>
    <definedName name="mcleansalatt">#REF!</definedName>
    <definedName name="mcleansalgoals">#REF!</definedName>
    <definedName name="McLeansalpts">#REF!</definedName>
    <definedName name="McLeansaltries">#REF!</definedName>
    <definedName name="Mcmillanlirpts">#REF!</definedName>
    <definedName name="Mcmillanlirtries">#REF!</definedName>
    <definedName name="McMillannorpts">#REF!</definedName>
    <definedName name="McMillannortries">#REF!</definedName>
    <definedName name="McNallybthpts">#REF!</definedName>
    <definedName name="McNallybthtries">#REF!</definedName>
    <definedName name="McNallyjoshpts">#REF!</definedName>
    <definedName name="McNallyjoshtries">#REF!</definedName>
    <definedName name="McNallylirpts">BRI!$E$41</definedName>
    <definedName name="McNallylirtries">BRI!$B$41</definedName>
    <definedName name="McNultyharpts">#REF!</definedName>
    <definedName name="McNultyhartries">#REF!</definedName>
    <definedName name="Mcphilipsleipts">#REF!</definedName>
    <definedName name="Mcphilipsleitries">#REF!</definedName>
    <definedName name="Meakesglopts">GLO!#REF!</definedName>
    <definedName name="Meakesglotries">GLO!#REF!</definedName>
    <definedName name="Meehanglopts">GLO!$E$30</definedName>
    <definedName name="Meehanglotries">GLO!$B$30</definedName>
    <definedName name="Mehsonwaspts">#REF!</definedName>
    <definedName name="Mehsonwastries">#REF!</definedName>
    <definedName name="Melcksarpts">#REF!</definedName>
    <definedName name="Melcksartries">#REF!</definedName>
    <definedName name="meleatt">#REF!</definedName>
    <definedName name="Meledavidpts">#REF!</definedName>
    <definedName name="Meledavidptscorrect">#REF!</definedName>
    <definedName name="Meledavidtries">#REF!</definedName>
    <definedName name="Meledaviestries">#REF!</definedName>
    <definedName name="melegoals">#REF!</definedName>
    <definedName name="Meleleipts">#REF!</definedName>
    <definedName name="Melepts">#REF!</definedName>
    <definedName name="meletries">#REF!</definedName>
    <definedName name="Meletriescorrect">#REF!</definedName>
    <definedName name="Meletriesthisiscorrect">#REF!</definedName>
    <definedName name="Mercer_Gbthpts">#REF!</definedName>
    <definedName name="Mercer_Gbthtries">#REF!</definedName>
    <definedName name="Mercerbatpts">#REF!</definedName>
    <definedName name="Mercerbattries">#REF!</definedName>
    <definedName name="Mercerguypts">#REF!</definedName>
    <definedName name="Mercerguyptscorrect">#REF!</definedName>
    <definedName name="Mercerpts">#REF!</definedName>
    <definedName name="Mercertries">#REF!</definedName>
    <definedName name="Mercertriescorrect">#REF!</definedName>
    <definedName name="Merceynorpts">#REF!</definedName>
    <definedName name="Merceynortries">#REF!</definedName>
    <definedName name="meredithleiatt">#REF!</definedName>
    <definedName name="meredithleigls">#REF!</definedName>
    <definedName name="Meredithleipts">#REF!</definedName>
    <definedName name="Meredithleitries">#REF!</definedName>
    <definedName name="Mermozleicpts">#REF!</definedName>
    <definedName name="Mermozleictries">#REF!</definedName>
    <definedName name="Mermoznewpts">#REF!</definedName>
    <definedName name="Mermoznewtries">#REF!</definedName>
    <definedName name="Merrickharpts">#REF!</definedName>
    <definedName name="Merrickhartries">#REF!</definedName>
    <definedName name="Merricknewpts">#REF!</definedName>
    <definedName name="Merricknewtries">#REF!</definedName>
    <definedName name="mieresatt">#REF!</definedName>
    <definedName name="mieresgoals">#REF!</definedName>
    <definedName name="Mierespts">#REF!</definedName>
    <definedName name="mierestries">#REF!</definedName>
    <definedName name="mikepts">#REF!</definedName>
    <definedName name="Milasinovichworpts">#REF!</definedName>
    <definedName name="Milasinovichwortries">#REF!</definedName>
    <definedName name="Millerrobpts">#REF!</definedName>
    <definedName name="Millerrobtries">#REF!</definedName>
    <definedName name="millersalatt">#REF!</definedName>
    <definedName name="millersalgoals">#REF!</definedName>
    <definedName name="millerwasatt">#REF!</definedName>
    <definedName name="millerwasgoals">#REF!</definedName>
    <definedName name="Millerwaspts">#REF!</definedName>
    <definedName name="Millerwastries">#REF!</definedName>
    <definedName name="Millerworpts">#REF!</definedName>
    <definedName name="Millerwortries">#REF!</definedName>
    <definedName name="Millsjonathanpts">#REF!</definedName>
    <definedName name="Millsjonathantries">#REF!</definedName>
    <definedName name="millsworatt">#REF!</definedName>
    <definedName name="millsworgoals">#REF!</definedName>
    <definedName name="Mitchellnorpts">#REF!</definedName>
    <definedName name="Mitchellnortries">#REF!</definedName>
    <definedName name="mitchellsalatt">#REF!</definedName>
    <definedName name="Mitchellsalgoals">#REF!</definedName>
    <definedName name="Mitchellsalpts">#REF!</definedName>
    <definedName name="Mitchellsaltries">#REF!</definedName>
    <definedName name="Moatesjacktries">#REF!</definedName>
    <definedName name="Moatespts">#REF!</definedName>
    <definedName name="Moatestries">#REF!</definedName>
    <definedName name="Moateswaspts">#REF!</definedName>
    <definedName name="Moateswastries">#REF!</definedName>
    <definedName name="Molenaartimpts">#REF!</definedName>
    <definedName name="Molenaartimtries">#REF!</definedName>
    <definedName name="Molenaarwelpts">#REF!</definedName>
    <definedName name="Molenaarweltries">#REF!</definedName>
    <definedName name="Monahanshanepts">GLO!#REF!</definedName>
    <definedName name="Monahanshanetries">GLO!#REF!</definedName>
    <definedName name="Montgomerynewpts">#REF!</definedName>
    <definedName name="Montgomerynewtries">#REF!</definedName>
    <definedName name="Montgomeryworpts">#REF!</definedName>
    <definedName name="Montgomerywortries">#REF!</definedName>
    <definedName name="Montoyaleicpts">#REF!</definedName>
    <definedName name="Montoyaleictries">#REF!</definedName>
    <definedName name="Monyeugopts">#REF!</definedName>
    <definedName name="Monyeugotries">#REF!</definedName>
    <definedName name="Moon_Anortries">#REF!</definedName>
    <definedName name="Moonnorpts">#REF!</definedName>
    <definedName name="Mooresalpts">#REF!</definedName>
    <definedName name="Mooresaltries">#REF!</definedName>
    <definedName name="Mooresarpts">SAR!$E$36</definedName>
    <definedName name="Mooresartries">SAR!$B$36</definedName>
    <definedName name="Moorewaspts">#REF!</definedName>
    <definedName name="Moorewastries">#REF!</definedName>
    <definedName name="Mordtnilspts">#REF!</definedName>
    <definedName name="mordtsaratt">#REF!</definedName>
    <definedName name="mordtsargoals">#REF!</definedName>
    <definedName name="Mordtsartries">#REF!</definedName>
    <definedName name="Morgan_Aglopts">GLO!$E$31</definedName>
    <definedName name="Morgan_Aglotries">GLO!$B$31</definedName>
    <definedName name="Morganbenpts">GLO!$E$32</definedName>
    <definedName name="Morganbentries">GLO!$B$32</definedName>
    <definedName name="Moriartyglopts">GLO!$E$35</definedName>
    <definedName name="Moriartyglotries">GLO!$B$35</definedName>
    <definedName name="morleyexeatt">EXE!#REF!</definedName>
    <definedName name="Morleyexegls">EXE!#REF!</definedName>
    <definedName name="Moronileicpts">#REF!</definedName>
    <definedName name="Moronileictries">#REF!</definedName>
    <definedName name="Morrisbenwasgtries">#REF!</definedName>
    <definedName name="Morrisbenwaspts">#REF!</definedName>
    <definedName name="Morrisglopts">GLO!$E$34</definedName>
    <definedName name="Morrisglotries">GLO!$B$34</definedName>
    <definedName name="Morrisharpts">#REF!</definedName>
    <definedName name="Morrishartries">#REF!</definedName>
    <definedName name="morrisjgloatt">GLO!$I$7</definedName>
    <definedName name="Morrisjglogls">GLO!$H$7</definedName>
    <definedName name="Morrisjglopts">GLO!$E$33</definedName>
    <definedName name="Morrisjglotries">GLO!$B$33</definedName>
    <definedName name="Morrislwepts">#REF!</definedName>
    <definedName name="Morrislwetries">#REF!</definedName>
    <definedName name="Morrisniallpts">#REF!</definedName>
    <definedName name="Morrisnialltries">#REF!</definedName>
    <definedName name="Morrissarptscorrect">SAR!$E$37</definedName>
    <definedName name="Morrissartriescorrect">SAR!$B$37</definedName>
    <definedName name="Morriswaspts">#REF!</definedName>
    <definedName name="Morriswastries">#REF!</definedName>
    <definedName name="Morrisworpts">#REF!</definedName>
    <definedName name="Morriswortries">#REF!</definedName>
    <definedName name="Mortonsalpts">#REF!</definedName>
    <definedName name="Mortonsaltries">#REF!</definedName>
    <definedName name="Mudarikiworpts">#REF!</definedName>
    <definedName name="Mudarikiwortries">#REF!</definedName>
    <definedName name="Mugfordsalpts">#REF!</definedName>
    <definedName name="Mugfordsaltries">#REF!</definedName>
    <definedName name="Muirbthpts">#REF!</definedName>
    <definedName name="Muirbthtries">#REF!</definedName>
    <definedName name="Mujatisalpts">#REF!</definedName>
    <definedName name="Mujatisalptscorrect">#REF!</definedName>
    <definedName name="Mujatisaltries">#REF!</definedName>
    <definedName name="Mulchroneharpts">#REF!</definedName>
    <definedName name="Mulchronehartries">#REF!</definedName>
    <definedName name="Mulchronelipts">BRI!$E$43</definedName>
    <definedName name="MulchronelirtriesCORRECT">BRI!$B$43</definedName>
    <definedName name="Mulchronelitries">BRI!$B$43</definedName>
    <definedName name="Mulchronepts">BRI!#REF!</definedName>
    <definedName name="Mulchronetries">BRI!#REF!</definedName>
    <definedName name="Muldowneybripts">BRI!$E$42</definedName>
    <definedName name="Muldowneybritries">BRI!$B$42</definedName>
    <definedName name="mulipolaleicatt">#REF!</definedName>
    <definedName name="Mulipolaleicgls">#REF!</definedName>
    <definedName name="Mulipolaleipts">#REF!</definedName>
    <definedName name="Mulipolaleitries">#REF!</definedName>
    <definedName name="Mulipolanewpts">#REF!</definedName>
    <definedName name="Mulipolanewtries">#REF!</definedName>
    <definedName name="Mulipolapts">#REF!</definedName>
    <definedName name="Mulipolatries">#REF!</definedName>
    <definedName name="Mullanpts">#REF!</definedName>
    <definedName name="Mullantries">#REF!</definedName>
    <definedName name="Mullanwaspts">#REF!</definedName>
    <definedName name="Mullanwastries">#REF!</definedName>
    <definedName name="Mullennewpts">#REF!</definedName>
    <definedName name="Mullennewtries">#REF!</definedName>
    <definedName name="MullisGLOPTS">GLO!#REF!</definedName>
    <definedName name="MullisGLOTRIES">GLO!#REF!</definedName>
    <definedName name="Mummpts">EXE!$E$29</definedName>
    <definedName name="mummtries">EXE!$B$29</definedName>
    <definedName name="MunsterPts">[1]MUN!$F$55</definedName>
    <definedName name="MunsterTries">[1]MUN!$B$55</definedName>
    <definedName name="Murleyharpts">#REF!</definedName>
    <definedName name="Murleyhartries">#REF!</definedName>
    <definedName name="Murphydanpts">GLO!#REF!</definedName>
    <definedName name="Murphydantries">GLO!#REF!</definedName>
    <definedName name="Murphyharpts">#REF!</definedName>
    <definedName name="Murphyhartries">#REF!</definedName>
    <definedName name="Murrayharpts">#REF!</definedName>
    <definedName name="Murrayhartries">#REF!</definedName>
    <definedName name="Muskharpts">#REF!</definedName>
    <definedName name="Muskhartries">#REF!</definedName>
    <definedName name="Myallpts">#REF!</definedName>
    <definedName name="Myalltries">#REF!</definedName>
    <definedName name="myleratt">#REF!</definedName>
    <definedName name="mylergoals">#REF!</definedName>
    <definedName name="Mylerlirpts">#REF!</definedName>
    <definedName name="Mylerlirtries">#REF!</definedName>
    <definedName name="Mylernorpts">#REF!</definedName>
    <definedName name="Mylerpts">#REF!</definedName>
    <definedName name="Mylerstephentries">#REF!</definedName>
    <definedName name="Nagusanewpts">#REF!</definedName>
    <definedName name="Nagusanewtries">#REF!</definedName>
    <definedName name="Nahololirpts">#REF!</definedName>
    <definedName name="Nahololirtries">#REF!</definedName>
    <definedName name="Naiyaravoronorpts">#REF!</definedName>
    <definedName name="Naiyaravoronortries">#REF!</definedName>
    <definedName name="Nanaiworpts">#REF!</definedName>
    <definedName name="Nanaiwortries">#REF!</definedName>
    <definedName name="Naoupuharpts">#REF!</definedName>
    <definedName name="Naoupuhartries">#REF!</definedName>
    <definedName name="Naqelevukisirelipts">EXE!#REF!</definedName>
    <definedName name="Naqelevukisirelitries">EXE!#REF!</definedName>
    <definedName name="Narrawaylipts">BRI!#REF!</definedName>
    <definedName name="Naysarpts">#REF!</definedName>
    <definedName name="Naysartries">#REF!</definedName>
    <definedName name="Nealwaspts">#REF!</definedName>
    <definedName name="Nealwastries">#REF!</definedName>
    <definedName name="Neildsalpts">#REF!</definedName>
    <definedName name="Neildsaltries">#REF!</definedName>
    <definedName name="Nelsonnewpts">#REF!</definedName>
    <definedName name="Nelsonnewtries">#REF!</definedName>
    <definedName name="Nemsadzebstpts">BRI!#REF!</definedName>
    <definedName name="Nemsadzebsttries">BRI!#REF!</definedName>
    <definedName name="newcastlepenaltytriespts">#REF!</definedName>
    <definedName name="newcastlepenaltytriestries">#REF!</definedName>
    <definedName name="Nixonexepts">EXE!#REF!</definedName>
    <definedName name="Nixonexetries">EXE!#REF!</definedName>
    <definedName name="noakesliatt">BRI!#REF!</definedName>
    <definedName name="noakesligoals">BRI!#REF!</definedName>
    <definedName name="Noakeslipts">BRI!$E$45</definedName>
    <definedName name="Noakeslitries">BRI!$B$45</definedName>
    <definedName name="Noguerabthpts">#REF!</definedName>
    <definedName name="Noguerabthtries">#REF!</definedName>
    <definedName name="Noonemichaelpts">#REF!</definedName>
    <definedName name="Noonemichaeltries">#REF!</definedName>
    <definedName name="Noreyexepts">EXE!$E$30</definedName>
    <definedName name="Noreyexetries">EXE!$B$30</definedName>
    <definedName name="NorthamptonPts">#REF!</definedName>
    <definedName name="NorthamptonTries">#REF!</definedName>
    <definedName name="Northcote_Greenbthpts">#REF!</definedName>
    <definedName name="Northcote_Greenbthtries">#REF!</definedName>
    <definedName name="Northmoreharpts">#REF!</definedName>
    <definedName name="Northmorehartries">#REF!</definedName>
    <definedName name="Northnorpts">#REF!</definedName>
    <definedName name="Northnortries">#REF!</definedName>
    <definedName name="Northpts">#REF!</definedName>
    <definedName name="Northtries">#REF!</definedName>
    <definedName name="Nortonlirpts">#REF!</definedName>
    <definedName name="Nortonlirtries">#REF!</definedName>
    <definedName name="Nottlirpts">#REF!</definedName>
    <definedName name="Nottlirtries">#REF!</definedName>
    <definedName name="Nottsalpts">#REF!</definedName>
    <definedName name="Nottsaltries">#REF!</definedName>
    <definedName name="Nowellexepts">EXE!$E$31</definedName>
    <definedName name="Nowellexetries">EXE!$B$31</definedName>
    <definedName name="Nutleybenpts">#REF!</definedName>
    <definedName name="Nutleybentries">#REF!</definedName>
    <definedName name="O_Brienexepts">EXE!$E$32</definedName>
    <definedName name="O_Brienexetries">EXE!$B$32</definedName>
    <definedName name="O_Connorjamespts">BRI!#REF!</definedName>
    <definedName name="O_Connorptssal">#REF!</definedName>
    <definedName name="O_Connortriessal">#REF!</definedName>
    <definedName name="O_Connorwaspts">#REF!</definedName>
    <definedName name="O_Connorwastries">#REF!</definedName>
    <definedName name="O_Donnellrobpts">#REF!</definedName>
    <definedName name="O_Donnellrobptscorrect">#REF!</definedName>
    <definedName name="O_Donnellrobtries">#REF!</definedName>
    <definedName name="O_Learylipts">BRI!#REF!</definedName>
    <definedName name="O_Learylitries">BRI!#REF!</definedName>
    <definedName name="O_Sullivanlirpts">#REF!</definedName>
    <definedName name="O_Sullivanlirtries">#REF!</definedName>
    <definedName name="O_Sullivanwaspts">#REF!</definedName>
    <definedName name="O_Sullivanwastries">#REF!</definedName>
    <definedName name="Obanobthpts">#REF!</definedName>
    <definedName name="Obanobthtries">#REF!</definedName>
    <definedName name="Obatoyinbonewpts">#REF!</definedName>
    <definedName name="Obatoyinbonewtries">#REF!</definedName>
    <definedName name="Obatoyinbosarptscorrect">SAR!#REF!</definedName>
    <definedName name="Obatoyinbosartriescorrect">SAR!#REF!</definedName>
    <definedName name="Obatoysarpts">#REF!</definedName>
    <definedName name="Obatoysartries">#REF!</definedName>
    <definedName name="Obonnanewpts">#REF!</definedName>
    <definedName name="Obonnanewtries">#REF!</definedName>
    <definedName name="oconnoratt">BRI!#REF!</definedName>
    <definedName name="oconnorgoals">BRI!#REF!</definedName>
    <definedName name="OConnorjamestries">BRI!#REF!</definedName>
    <definedName name="Odendaalwaspts">#REF!</definedName>
    <definedName name="Odendaalwastries">#REF!</definedName>
    <definedName name="Odogwusalpts">#REF!</definedName>
    <definedName name="Odogwusaltries">#REF!</definedName>
    <definedName name="Odogwuwaspts">#REF!</definedName>
    <definedName name="Odogwuwastries">#REF!</definedName>
    <definedName name="OjomohBTHPTS">#REF!</definedName>
    <definedName name="OjomohBTHTRIES">#REF!</definedName>
    <definedName name="Ojotopsypts">BRI!#REF!</definedName>
    <definedName name="Ojotopsytries">BRI!#REF!</definedName>
    <definedName name="Olowofela_Jleicpts">#REF!</definedName>
    <definedName name="Olowofela_Jleictries">#REF!</definedName>
    <definedName name="olvernoratt">#REF!</definedName>
    <definedName name="olvernorgoals">#REF!</definedName>
    <definedName name="Olvernorpts">#REF!</definedName>
    <definedName name="Olvernortries">#REF!</definedName>
    <definedName name="Olvernortriescorrect">#REF!</definedName>
    <definedName name="olverworatt">#REF!</definedName>
    <definedName name="Olverworgls">#REF!</definedName>
    <definedName name="Olverworpts">#REF!</definedName>
    <definedName name="Olverwortries">#REF!</definedName>
    <definedName name="Oresanyaharpts">#REF!</definedName>
    <definedName name="Oresanyahartries">#REF!</definedName>
    <definedName name="Orlandibatpts">#REF!</definedName>
    <definedName name="Orlandibattries">#REF!</definedName>
    <definedName name="Orrglopts">GLO!#REF!</definedName>
    <definedName name="Orrglotries">GLO!#REF!</definedName>
    <definedName name="Osborneharpts">#REF!</definedName>
    <definedName name="Osbornehartries">#REF!</definedName>
    <definedName name="OspreysPts">[1]OSP!$F$50</definedName>
    <definedName name="OspreysTries">[1]OSP!$B$50</definedName>
    <definedName name="Ostrikovandreipts">#REF!</definedName>
    <definedName name="Ostrikovandreitries">#REF!</definedName>
    <definedName name="OStrikovsalpts">#REF!</definedName>
    <definedName name="Ovensjoshpts">#REF!</definedName>
    <definedName name="Ovensjoshtries">#REF!</definedName>
    <definedName name="Owenleicpts">#REF!</definedName>
    <definedName name="Owenleictries">#REF!</definedName>
    <definedName name="Owennewptscorrect">#REF!</definedName>
    <definedName name="Owennewtriescorrect">#REF!</definedName>
    <definedName name="Packmanhowardpts">#REF!</definedName>
    <definedName name="Packmanhowardtries">#REF!</definedName>
    <definedName name="PaiceDavidpts">BRI!#REF!</definedName>
    <definedName name="PaiceDavidptts">BRI!#REF!</definedName>
    <definedName name="Painternorpts">#REF!</definedName>
    <definedName name="Painternortries">#REF!</definedName>
    <definedName name="Palamobrispts">BRI!$E$49</definedName>
    <definedName name="Palamobristries">BRI!$B$49</definedName>
    <definedName name="Palframanworpts">#REF!</definedName>
    <definedName name="Palframanwortries">#REF!</definedName>
    <definedName name="Palma_Newportpts">#REF!</definedName>
    <definedName name="palmanewporttries">#REF!</definedName>
    <definedName name="Palmerglopts">GLO!#REF!</definedName>
    <definedName name="Palmerglotries">GLO!#REF!</definedName>
    <definedName name="Palmerpts">#REF!</definedName>
    <definedName name="palmertomtries">#REF!</definedName>
    <definedName name="Parlingexepts">EXE!#REF!</definedName>
    <definedName name="Parlingexetries">EXE!#REF!</definedName>
    <definedName name="Parlinggeoffexepts">EXE!#REF!</definedName>
    <definedName name="Parlingleipts">#REF!</definedName>
    <definedName name="Parlingleitries">#REF!</definedName>
    <definedName name="Parrmattpts">BRI!#REF!</definedName>
    <definedName name="Parrmatttries">BRI!#REF!</definedName>
    <definedName name="Pasqualileipts">#REF!</definedName>
    <definedName name="Pasqualileitries">#REF!</definedName>
    <definedName name="Patersonmichaelpts">#REF!</definedName>
    <definedName name="Patersonmichaeltries">#REF!</definedName>
    <definedName name="Patersonnorpts">#REF!</definedName>
    <definedName name="Patersonnortries">#REF!</definedName>
    <definedName name="Paulolirpts">BRI!$E$52</definedName>
    <definedName name="paulolirtries">BRI!$B$52</definedName>
    <definedName name="Pearceleipts">#REF!</definedName>
    <definedName name="Pearceleitries">#REF!</definedName>
    <definedName name="Pearcesalpts">#REF!</definedName>
    <definedName name="Pearcesaltries">#REF!</definedName>
    <definedName name="Pearsonexepts">EXE!$E$33</definedName>
    <definedName name="Pearsonexetries">EXE!$B$33</definedName>
    <definedName name="Pearsonlirpts">#REF!</definedName>
    <definedName name="Pearsonlirtries">#REF!</definedName>
    <definedName name="Peeldwaynepts">#REF!</definedName>
    <definedName name="Peeldwaynetries">#REF!</definedName>
    <definedName name="Peeldwaynetriescorrect">#REF!</definedName>
    <definedName name="Penalty_Triesbath">#REF!</definedName>
    <definedName name="Penalty_Triesbripts">BRI!$E$44</definedName>
    <definedName name="Penalty_Triesbritries">BRI!$B$44</definedName>
    <definedName name="Penalty_Triesexepts">EXE!$E$34</definedName>
    <definedName name="Penalty_Triesexetries">EXE!$B$34</definedName>
    <definedName name="Penalty_Triesglopts">GLO!$E$36</definedName>
    <definedName name="Penalty_Triesglotries">GLO!$B$36</definedName>
    <definedName name="Penalty_Triesharpts">#REF!</definedName>
    <definedName name="Penalty_Trieshartries">#REF!</definedName>
    <definedName name="Penalty_Triesnewpts">#REF!</definedName>
    <definedName name="Penalty_Triesnewptscorrect">#REF!</definedName>
    <definedName name="Penalty_Triesnewtries">#REF!</definedName>
    <definedName name="Penalty_Triesnewtriescorrect">#REF!</definedName>
    <definedName name="Penalty_Triessaintspts">#REF!</definedName>
    <definedName name="Penalty_Triessaintstries">#REF!</definedName>
    <definedName name="Penalty_Triessalpts">#REF!</definedName>
    <definedName name="Penalty_Triessaltries">#REF!</definedName>
    <definedName name="Penalty_Triessarpts">#REF!</definedName>
    <definedName name="Penalty_Triessarptscorrect">SAR!$E$38</definedName>
    <definedName name="Penalty_Triessartries">#REF!</definedName>
    <definedName name="Penalty_Triessartriescorrect">SAR!$B$38</definedName>
    <definedName name="Penalty_Triessarwomentries">SAR!$B$46</definedName>
    <definedName name="Penalty_Trieswaspts">#REF!</definedName>
    <definedName name="Penalty_Trieswastries">#REF!</definedName>
    <definedName name="Penalty_Triesworpts">#REF!</definedName>
    <definedName name="Penalty_Trieswortries">#REF!</definedName>
    <definedName name="penaltytriessarwomenpts">SAR!$E$46</definedName>
    <definedName name="pennellchrisatt">#REF!</definedName>
    <definedName name="Pennellchrisgoals">#REF!</definedName>
    <definedName name="Pennellchrispts">#REF!</definedName>
    <definedName name="Pennellchristries">#REF!</definedName>
    <definedName name="pennellworatt">#REF!</definedName>
    <definedName name="Pennellworgls">#REF!</definedName>
    <definedName name="Pennynewtries">#REF!</definedName>
    <definedName name="Pennytnewpts">#REF!</definedName>
    <definedName name="Pennytnewtries">#REF!</definedName>
    <definedName name="Peppernewpts">#REF!</definedName>
    <definedName name="Peppernewtries">#REF!</definedName>
    <definedName name="Pereniseanthonypts">#REF!</definedName>
    <definedName name="Perenisebthpts">#REF!</definedName>
    <definedName name="Perenisebthtries">#REF!</definedName>
    <definedName name="perenisepts">#REF!</definedName>
    <definedName name="Pereniseptscorrect">#REF!</definedName>
    <definedName name="perenisetries">#REF!</definedName>
    <definedName name="Perenisetriescorrect">#REF!</definedName>
    <definedName name="Perkinssarpts">#REF!</definedName>
    <definedName name="Perkinssartries">#REF!</definedName>
    <definedName name="Petersnewpts">#REF!</definedName>
    <definedName name="Petersnewtries">#REF!</definedName>
    <definedName name="Phibbslipts">BRI!#REF!</definedName>
    <definedName name="Phibbslitries">BRI!#REF!</definedName>
    <definedName name="Phillipsbthpts">#REF!</definedName>
    <definedName name="Phillipsbthtries">#REF!</definedName>
    <definedName name="Phillipsjamespts">EXE!$E$31</definedName>
    <definedName name="Phillipsjamessalpts">#REF!</definedName>
    <definedName name="Phillipsjamessaltries">#REF!</definedName>
    <definedName name="Phillipsjamestries">EXE!$B$31</definedName>
    <definedName name="Phillipssalpts">#REF!</definedName>
    <definedName name="Phillipssaltries">#REF!</definedName>
    <definedName name="Phillipsworpts">#REF!</definedName>
    <definedName name="Phillipswortries">#REF!</definedName>
    <definedName name="Picamolesnorpts">#REF!</definedName>
    <definedName name="Picamolesnortries">#REF!</definedName>
    <definedName name="Pienaarbenpts">#REF!</definedName>
    <definedName name="Pienaarbentries">#REF!</definedName>
    <definedName name="Pietersenleipts">#REF!</definedName>
    <definedName name="Pietersenleitries">#REF!</definedName>
    <definedName name="Pifeletisarptscorrect">SAR!$E$39</definedName>
    <definedName name="Pifeletisartriescorrect">SAR!$B$39</definedName>
    <definedName name="Pincusbripts">BRI!#REF!</definedName>
    <definedName name="Pincusbritries">BRI!#REF!</definedName>
    <definedName name="Pisi_Gnorpts">#REF!</definedName>
    <definedName name="Pisi_Gnortries">#REF!</definedName>
    <definedName name="Pisibripts">BRI!#REF!</definedName>
    <definedName name="Pisibritries">BRI!#REF!</definedName>
    <definedName name="Pisigeorgepts">#REF!</definedName>
    <definedName name="Pisigeorgeptscorrect">#REF!</definedName>
    <definedName name="pisigeorgetries">#REF!</definedName>
    <definedName name="Pisigeorgetriescorrect">#REF!</definedName>
    <definedName name="Pisikenpts">#REF!</definedName>
    <definedName name="Pisikenptscorrect">#REF!</definedName>
    <definedName name="pisikentries">#REF!</definedName>
    <definedName name="Pisikentriescorrect">#REF!</definedName>
    <definedName name="Piutau_Cbritriescorrect">BRI!$B$45</definedName>
    <definedName name="Piutau_Swaspts">#REF!</definedName>
    <definedName name="Piutau_Swastries">#REF!</definedName>
    <definedName name="Piutaubripts">BRI!#REF!</definedName>
    <definedName name="Piutaubritries">BRI!#REF!</definedName>
    <definedName name="Piutauwaspts">#REF!</definedName>
    <definedName name="Piutauwastries">#REF!</definedName>
    <definedName name="pollardleicatt">#REF!</definedName>
    <definedName name="Pollardleicgls">#REF!</definedName>
    <definedName name="Polledriglopts">GLO!$E$37</definedName>
    <definedName name="Polledriglotries">GLO!$B$37</definedName>
    <definedName name="Pollocknorpts">#REF!</definedName>
    <definedName name="Pollocknortries">#REF!</definedName>
    <definedName name="Poreckilirpts">BRI!#REF!</definedName>
    <definedName name="Poreckilirptscorrect">#REF!</definedName>
    <definedName name="Poreckilirtries">BRI!#REF!</definedName>
    <definedName name="Poreckilirtriescorrect">#REF!</definedName>
    <definedName name="Porterleicpts">#REF!</definedName>
    <definedName name="Porterleictries">#REF!</definedName>
    <definedName name="Postlethwaitesalpts">#REF!</definedName>
    <definedName name="Postlethwaitesaltries">#REF!</definedName>
    <definedName name="Potgieterworpts">#REF!</definedName>
    <definedName name="Potgieterwortries">#REF!</definedName>
    <definedName name="Powelladampts">#REF!</definedName>
    <definedName name="Powelladamtries">#REF!</definedName>
    <definedName name="Powellbripts">BRI!$E$46</definedName>
    <definedName name="Powellbritries">BRI!$B$46</definedName>
    <definedName name="Powelllirpts">#REF!</definedName>
    <definedName name="Powelllirtries">#REF!</definedName>
    <definedName name="priestlandbthatt">#REF!</definedName>
    <definedName name="Priestlandbthgoals">#REF!</definedName>
    <definedName name="Priestlandbthpts">#REF!</definedName>
    <definedName name="Priestlandbthtries">#REF!</definedName>
    <definedName name="priorharatt">#REF!</definedName>
    <definedName name="priorhargls">#REF!</definedName>
    <definedName name="Protheroebripts">BRI!#REF!</definedName>
    <definedName name="Protheroebritries">BRI!#REF!</definedName>
    <definedName name="Prydiebthpts">#REF!</definedName>
    <definedName name="Prydiebthtries">#REF!</definedName>
    <definedName name="pts">#REF!</definedName>
    <definedName name="Puafisiglopts">GLO!#REF!</definedName>
    <definedName name="Puafisiglotries">GLO!#REF!</definedName>
    <definedName name="Purdybripts">BRI!$E$47</definedName>
    <definedName name="Purdybritries">BRI!$B$47</definedName>
    <definedName name="Purdyglospts">GLO!#REF!</definedName>
    <definedName name="Purdyglotries">GLO!#REF!</definedName>
    <definedName name="Qorowalenewpts">#REF!</definedName>
    <definedName name="Qorowalenewtries">#REF!</definedName>
    <definedName name="quinspentriespts">#REF!</definedName>
    <definedName name="quinspentriestries">#REF!</definedName>
    <definedName name="Quirkesalpts">#REF!</definedName>
    <definedName name="Quirkesaltries">#REF!</definedName>
    <definedName name="Radradrabripts">BRI!$E$48</definedName>
    <definedName name="Radradrabritries">BRI!$B$48</definedName>
    <definedName name="Radwannewpts">#REF!</definedName>
    <definedName name="Radwannewptscorrect">#REF!</definedName>
    <definedName name="Radwannewtries">#REF!</definedName>
    <definedName name="Radwannewtriescorrect">#REF!</definedName>
    <definedName name="Ramageleicpts">#REF!</definedName>
    <definedName name="Ramageleictries">#REF!</definedName>
    <definedName name="Randallbripts">BRI!$E$49</definedName>
    <definedName name="Randallbritries">BRI!$B$49</definedName>
    <definedName name="Ransombenpts">#REF!</definedName>
    <definedName name="Ransombentries">#REF!</definedName>
    <definedName name="Ransomlirpts">BRI!#REF!</definedName>
    <definedName name="Ransomlirtries">BRI!#REF!</definedName>
    <definedName name="Rapava_Ruskinglopts">GLO!$E$38</definedName>
    <definedName name="Rapava_Ruskinglotries">GLO!$B$38</definedName>
    <definedName name="Rapava_Ruskinworpts">#REF!</definedName>
    <definedName name="Rapava_Ruskinwortries">#REF!</definedName>
    <definedName name="Ratuniyarawanorpts">#REF!</definedName>
    <definedName name="Ratuniyarawanortries">#REF!</definedName>
    <definedName name="Rawacasarpts">#REF!</definedName>
    <definedName name="Rawacasartries">#REF!</definedName>
    <definedName name="Readsalpts">#REF!</definedName>
    <definedName name="Readsaltries">#REF!</definedName>
    <definedName name="Reddishharpts">#REF!</definedName>
    <definedName name="Reddishhartries">#REF!</definedName>
    <definedName name="Redmondlirpts">#REF!</definedName>
    <definedName name="Redmondlirtries">#REF!</definedName>
    <definedName name="redpathbthatt">#REF!</definedName>
    <definedName name="Redpathbthpts">#REF!</definedName>
    <definedName name="Redpathbthtries">#REF!</definedName>
    <definedName name="redpathsalatt">#REF!</definedName>
    <definedName name="redpathsalegls">#REF!</definedName>
    <definedName name="Redpathsalpts">#REF!</definedName>
    <definedName name="Redpathsaltries">#REF!</definedName>
    <definedName name="Rees_Zammitglopts">GLO!$E$39</definedName>
    <definedName name="Rees_Zammitglotries">GLO!$B$39</definedName>
    <definedName name="Reevesglopts">GLO!$E$40</definedName>
    <definedName name="Reevesglotries">GLO!$B$40</definedName>
    <definedName name="Reevesrickypts">#REF!</definedName>
    <definedName name="Reevesrickytries">#REF!</definedName>
    <definedName name="Reffellsarpts">#REF!</definedName>
    <definedName name="Reffellsarptscorrect">SAR!$E$40</definedName>
    <definedName name="Reffellsartries">#REF!</definedName>
    <definedName name="Reffellsartriescorrect">SAR!$B$40</definedName>
    <definedName name="Reidleicatt">#REF!</definedName>
    <definedName name="Reidleicgls">#REF!</definedName>
    <definedName name="Reidleipts">#REF!</definedName>
    <definedName name="Reidleitries">#REF!</definedName>
    <definedName name="Reidlirpts">#REF!</definedName>
    <definedName name="Reidlirtries">#REF!</definedName>
    <definedName name="reinachnoratt">#REF!</definedName>
    <definedName name="reinachnorgls">#REF!</definedName>
    <definedName name="Reinachnorpts">#REF!</definedName>
    <definedName name="Reinachnortries">#REF!</definedName>
    <definedName name="Reltonexepts">EXE!$E$35</definedName>
    <definedName name="Reltonexetries">EXE!$B$35</definedName>
    <definedName name="repathbthgls">#REF!</definedName>
    <definedName name="Reynoldsnicpts">#REF!</definedName>
    <definedName name="Reynoldsnictries">#REF!</definedName>
    <definedName name="Reynoldsstefpts">GLO!#REF!</definedName>
    <definedName name="Reynoldssteftries">GLO!#REF!</definedName>
    <definedName name="Rhodessarpts">#REF!</definedName>
    <definedName name="Rhodessartries">#REF!</definedName>
    <definedName name="Ribbansnorpts">#REF!</definedName>
    <definedName name="Ribbansnortries">#REF!</definedName>
    <definedName name="Riccionisarptscorrect">SAR!$E$41</definedName>
    <definedName name="Riccionisartriescorrect">SAR!$B$41</definedName>
    <definedName name="Richardsbthpts">#REF!</definedName>
    <definedName name="Richardsbthtries">#REF!</definedName>
    <definedName name="Richardsonleicpts">#REF!</definedName>
    <definedName name="Richardsonleictries">#REF!</definedName>
    <definedName name="Riederwaspts">#REF!</definedName>
    <definedName name="Riederwastries">#REF!</definedName>
    <definedName name="Rimmercarlpts">EXE!#REF!</definedName>
    <definedName name="Rimmercarltries">EXE!#REF!</definedName>
    <definedName name="Ripper_Smithworpts">#REF!</definedName>
    <definedName name="Ripper_Smithwortries">#REF!</definedName>
    <definedName name="Rizzoleipts">#REF!</definedName>
    <definedName name="Rizzoleitries">#REF!</definedName>
    <definedName name="Robertsbthpts">#REF!</definedName>
    <definedName name="Robertsbthtries">#REF!</definedName>
    <definedName name="Robertsharpts">#REF!</definedName>
    <definedName name="Robertshartries">#REF!</definedName>
    <definedName name="Robertsmartinpts">#REF!</definedName>
    <definedName name="Robertsmartintruies">#REF!</definedName>
    <definedName name="Robertstristanpts">#REF!</definedName>
    <definedName name="Robertstristantries">#REF!</definedName>
    <definedName name="robertswelatt">#REF!</definedName>
    <definedName name="robertswelgoals">#REF!</definedName>
    <definedName name="Robinsonglopts">GLO!$E$55</definedName>
    <definedName name="Robinsonglotries">GLO!$B$55</definedName>
    <definedName name="Robinsonnewpts">#REF!</definedName>
    <definedName name="Robinsonnewtries">#REF!</definedName>
    <definedName name="robinsonwelatt">#REF!</definedName>
    <definedName name="robinsonwelgoals">#REF!</definedName>
    <definedName name="Robinsonwillpts">#REF!</definedName>
    <definedName name="Robinsonwilltries">#REF!</definedName>
    <definedName name="Robshawharpts">#REF!</definedName>
    <definedName name="Robshawhartries">#REF!</definedName>
    <definedName name="robsobwasgoals">#REF!</definedName>
    <definedName name="Robsonglopts">GLO!#REF!</definedName>
    <definedName name="Robsonglotries">GLO!#REF!</definedName>
    <definedName name="Robsonharpts">#REF!</definedName>
    <definedName name="Robsonhartries">#REF!</definedName>
    <definedName name="robsonwasatt">#REF!</definedName>
    <definedName name="Robsonwaspts">#REF!</definedName>
    <definedName name="Robsonwastries">#REF!</definedName>
    <definedName name="Roddsalpts">#REF!</definedName>
    <definedName name="Roddsaltries">#REF!</definedName>
    <definedName name="Roebucksalpts">#REF!</definedName>
    <definedName name="Roebucksaltries">#REF!</definedName>
    <definedName name="Rogersnewpts">#REF!</definedName>
    <definedName name="Rogersnewtries">#REF!</definedName>
    <definedName name="Rokodugunibatpts">#REF!</definedName>
    <definedName name="Rokodugunibattries">#REF!</definedName>
    <definedName name="Rokodugunipts">#REF!</definedName>
    <definedName name="Rokoduguniptscorrect">#REF!</definedName>
    <definedName name="Rokodugunisemesapts">#REF!</definedName>
    <definedName name="Rokodugunisemesaptscorrect">#REF!</definedName>
    <definedName name="Rokodugunitries">#REF!</definedName>
    <definedName name="Rokodugunitriescorrect">#REF!</definedName>
    <definedName name="Rossgordonpts">#REF!</definedName>
    <definedName name="Rossgordontries">#REF!</definedName>
    <definedName name="Rosssalpts">#REF!</definedName>
    <definedName name="Rosssaltries">#REF!</definedName>
    <definedName name="rosswelatt">#REF!</definedName>
    <definedName name="rosswelgoals">#REF!</definedName>
    <definedName name="Rouselipts">BRI!#REF!</definedName>
    <definedName name="Rouselitries">BRI!#REF!</definedName>
    <definedName name="Rousepts">BRI!#REF!</definedName>
    <definedName name="rousetries">BRI!#REF!</definedName>
    <definedName name="Rowanglopts">GLO!#REF!</definedName>
    <definedName name="Rowanglotries">GLO!#REF!</definedName>
    <definedName name="Rowelirpts">#REF!</definedName>
    <definedName name="Rowelirtries">#REF!</definedName>
    <definedName name="Rowlandswaspts">#REF!</definedName>
    <definedName name="Rowlandswastries">#REF!</definedName>
    <definedName name="Rowleypaulpts">#REF!</definedName>
    <definedName name="Rowleypaultries">#REF!</definedName>
    <definedName name="Rubiolonewpts">#REF!</definedName>
    <definedName name="Rubiolonewtries">#REF!</definedName>
    <definedName name="Rugmanglopts">GLO!$E$56</definedName>
    <definedName name="Rugmanglotries">GLO!$B$56</definedName>
    <definedName name="Ruizlirpts">#REF!</definedName>
    <definedName name="Ruizlirtries">#REF!</definedName>
    <definedName name="Russellglopts">GLO!$E$57</definedName>
    <definedName name="Russellglotries">GLO!$B$57</definedName>
    <definedName name="Sackeypaulpts">#REF!</definedName>
    <definedName name="Sackeypaultries">#REF!</definedName>
    <definedName name="Safeglopts">GLO!$E$41</definedName>
    <definedName name="Safeglotries">GLO!$B$41</definedName>
    <definedName name="Salakaia_Lotonorpts">#REF!</definedName>
    <definedName name="Salakaia_Lotonortries">#REF!</definedName>
    <definedName name="SalePts">#REF!</definedName>
    <definedName name="Saletries">#REF!</definedName>
    <definedName name="Salmonexepts">EXE!#REF!</definedName>
    <definedName name="Salmonexetries">EXE!#REF!</definedName>
    <definedName name="Salomonbripts">BRI!$E$50</definedName>
    <definedName name="Salomonbritries">BRI!$B$50</definedName>
    <definedName name="Salvijulianpts">#REF!</definedName>
    <definedName name="Salvijuliantries">#REF!</definedName>
    <definedName name="Samudaglopts">GLO!$E$58</definedName>
    <definedName name="Samudaglotries">GLO!$B$58</definedName>
    <definedName name="Sandfordjamespts">#REF!</definedName>
    <definedName name="Sandfordjamestries">#REF!</definedName>
    <definedName name="saracenspenaltytriespts">#REF!</definedName>
    <definedName name="saracenspenaltytriestries">#REF!</definedName>
    <definedName name="SaracensPts">#REF!</definedName>
    <definedName name="SaracensTries">#REF!</definedName>
    <definedName name="Saullandypts">#REF!</definedName>
    <definedName name="Saullandytries">#REF!</definedName>
    <definedName name="Saulolirpts">BRI!#REF!</definedName>
    <definedName name="Saulolirtries">BRI!#REF!</definedName>
    <definedName name="Saumakileicpts">#REF!</definedName>
    <definedName name="Saumakileictries">#REF!</definedName>
    <definedName name="Saunderssarpts">#REF!</definedName>
    <definedName name="Saunderssartries">#REF!</definedName>
    <definedName name="Savageglopts">GLO!#REF!</definedName>
    <definedName name="Savageglotries">GLO!#REF!</definedName>
    <definedName name="ScarletsPts">[1]SCA!$F$56</definedName>
    <definedName name="ScarletsTries">[1]SCA!$B$56</definedName>
    <definedName name="Scaysbrookpts">EXE!#REF!</definedName>
    <definedName name="scaysbrooktries">EXE!#REF!</definedName>
    <definedName name="Schatzlirpts">BRI!#REF!</definedName>
    <definedName name="Schatzlirtries">BRI!#REF!</definedName>
    <definedName name="Schickerlingexepts">EXE!$E$36</definedName>
    <definedName name="Schickerlingexetries">EXE!$B$36</definedName>
    <definedName name="Schoeman_Tbthpts">#REF!</definedName>
    <definedName name="Schoeman_Tbthptscorrect">#REF!</definedName>
    <definedName name="Schoeman_Tbthtries">#REF!</definedName>
    <definedName name="schoemanbthatt">#REF!</definedName>
    <definedName name="Schoemanbthgls">#REF!</definedName>
    <definedName name="Schoemanbthpts">#REF!</definedName>
    <definedName name="Schoemanbthtries">#REF!</definedName>
    <definedName name="Schofieldwelpts">#REF!</definedName>
    <definedName name="Schofieldweltries">#REF!</definedName>
    <definedName name="schutzlersarpts">SAR!$E$49</definedName>
    <definedName name="Schutzlersartries">SAR!$B$49</definedName>
    <definedName name="Scotland_W_sonharpts">#REF!</definedName>
    <definedName name="Scotland_W_sonhartries">#REF!</definedName>
    <definedName name="ScotlandWilliamsonchristianpts">#REF!</definedName>
    <definedName name="ScotlandWilliamsonchristiantries">#REF!</definedName>
    <definedName name="Scott_Youngnorpts">#REF!</definedName>
    <definedName name="Scott_Youngnortries">#REF!</definedName>
    <definedName name="scottglohpts">GLO!$E$59</definedName>
    <definedName name="Scottglohtries">GLO!$B$59</definedName>
    <definedName name="Scottglopts">GLO!#REF!</definedName>
    <definedName name="Scottglotries">GLO!#REF!</definedName>
    <definedName name="Scottleicpts">#REF!</definedName>
    <definedName name="Scottleictries">#REF!</definedName>
    <definedName name="Scottnickpts">#REF!</definedName>
    <definedName name="Scottnicktries">#REF!</definedName>
    <definedName name="Scragglirpts">#REF!</definedName>
    <definedName name="Scragglirtries">#REF!</definedName>
    <definedName name="Scullyblainepts">#REF!</definedName>
    <definedName name="Scullyblainetries">#REF!</definedName>
    <definedName name="Scullypts">#REF!</definedName>
    <definedName name="scullytries">#REF!</definedName>
    <definedName name="Seabrookglopts">GLO!$E$42</definedName>
    <definedName name="Seabrookglotries">GLO!$B$42</definedName>
    <definedName name="searlebriatt">BRI!#REF!</definedName>
    <definedName name="searlebrigoals">BRI!#REF!</definedName>
    <definedName name="Searlebstpts">BRI!#REF!</definedName>
    <definedName name="Searlebsttries">BRI!#REF!</definedName>
    <definedName name="searlebthatt">#REF!</definedName>
    <definedName name="Searlebthgls">#REF!</definedName>
    <definedName name="Searlebthpts">#REF!</definedName>
    <definedName name="Searlebthtries">#REF!</definedName>
    <definedName name="searlewasatt">#REF!</definedName>
    <definedName name="Searlewasgls">#REF!</definedName>
    <definedName name="Searlewaspts">#REF!</definedName>
    <definedName name="Searlewastries">#REF!</definedName>
    <definedName name="searleworatt">#REF!</definedName>
    <definedName name="Searleworgls">#REF!</definedName>
    <definedName name="Searleworpts">#REF!</definedName>
    <definedName name="Searlewortris">#REF!</definedName>
    <definedName name="Searlswaspts">#REF!</definedName>
    <definedName name="Searlswastries">#REF!</definedName>
    <definedName name="Segunsarpts">#REF!</definedName>
    <definedName name="Segunsarptscorrect">SAR!$E$42</definedName>
    <definedName name="Segunsartries">#REF!</definedName>
    <definedName name="Segunsartriescorrect">SAR!$B$42</definedName>
    <definedName name="Sextonexepoints">EXE!#REF!</definedName>
    <definedName name="Sextonexetries">EXE!#REF!</definedName>
    <definedName name="Seymourdavidpts">#REF!</definedName>
    <definedName name="seymourdavidtries">#REF!</definedName>
    <definedName name="Seymourdavidtriescorrect">#REF!</definedName>
    <definedName name="Sharplesglopts">GLO!#REF!</definedName>
    <definedName name="Sharplesglotries">GLO!#REF!</definedName>
    <definedName name="Sharplespts">GLO!#REF!</definedName>
    <definedName name="Sharplestries">GLO!#REF!</definedName>
    <definedName name="Sheridaneamonnpts">BRI!#REF!</definedName>
    <definedName name="Sheridaneamonntries">BRI!#REF!</definedName>
    <definedName name="Sheriffsarpts">#REF!</definedName>
    <definedName name="Sheriffsartries">#REF!</definedName>
    <definedName name="Shervingtonwaspts">#REF!</definedName>
    <definedName name="Shervingtonwastries">#REF!</definedName>
    <definedName name="Shieldswaspts">#REF!</definedName>
    <definedName name="Shieldswastries">#REF!</definedName>
    <definedName name="Shiellsgrahambatpts">#REF!</definedName>
    <definedName name="Shiellsgrahambattries">#REF!</definedName>
    <definedName name="Shillcockworpts">#REF!</definedName>
    <definedName name="Shillcockwortries">#REF!</definedName>
    <definedName name="shilllcockworatt">#REF!</definedName>
    <definedName name="shilllcockworgoals">#REF!</definedName>
    <definedName name="Short_Alirpts">BRI!#REF!</definedName>
    <definedName name="Short_Alirtries">BRI!#REF!</definedName>
    <definedName name="Shortexepts">EXE!#REF!</definedName>
    <definedName name="Shortexetries">EXE!#REF!</definedName>
    <definedName name="Shortjamespts">#REF!</definedName>
    <definedName name="Shortjamestries">#REF!</definedName>
    <definedName name="Shortlandpts">#REF!</definedName>
    <definedName name="Shortlandryanpts">#REF!</definedName>
    <definedName name="Shortlandtries">#REF!</definedName>
    <definedName name="Shortlipts">BRI!#REF!</definedName>
    <definedName name="Shortlitries">BRI!#REF!</definedName>
    <definedName name="Simmonds_Sexepts">EXE!$E$38</definedName>
    <definedName name="Simmonds_Sexetries">EXE!$B$38</definedName>
    <definedName name="simmondsexeatt">EXE!$I$7</definedName>
    <definedName name="simmondsexegoals">EXE!$H$7</definedName>
    <definedName name="Simmondsexepts">EXE!$E$37</definedName>
    <definedName name="Simmondsexetries">EXE!$B$37</definedName>
    <definedName name="Simmonsleicpts">#REF!</definedName>
    <definedName name="Simmonsleictries">#REF!</definedName>
    <definedName name="Simmonslirpts">#REF!</definedName>
    <definedName name="Simmonslirtries">#REF!</definedName>
    <definedName name="Simpson_Danieljamespts">GLO!#REF!</definedName>
    <definedName name="Simpson_Danieljamestries">GLO!#REF!</definedName>
    <definedName name="Simpson_Gsarpts">SAR!$E$43</definedName>
    <definedName name="Simpson_Gsartries">SAR!$B$43</definedName>
    <definedName name="Simpsonbthpts">#REF!</definedName>
    <definedName name="Simpsonbthtries">#REF!</definedName>
    <definedName name="Simpsonglopts">GLO!$E$43</definedName>
    <definedName name="Simpsonglotries">GLO!$B$43</definedName>
    <definedName name="Simpsonjoepts">#REF!</definedName>
    <definedName name="Simpsonjoetries">#REF!</definedName>
    <definedName name="Simpsonwaspts">#REF!</definedName>
    <definedName name="Simpsonwastries">#REF!</definedName>
    <definedName name="Simsbripts">BRI!$E$40</definedName>
    <definedName name="Simsbritries">BRI!$B$40</definedName>
    <definedName name="Sincklerharpts">#REF!</definedName>
    <definedName name="Sincklerhartries">#REF!</definedName>
    <definedName name="Sinclairjebbpts">BRI!#REF!</definedName>
    <definedName name="Sinclairjebbtries">BRI!#REF!</definedName>
    <definedName name="Singglopts">GLO!$E$60</definedName>
    <definedName name="Singglotries">GLO!$B$60</definedName>
    <definedName name="Singletonsarpts">#REF!</definedName>
    <definedName name="Singletonsartries">#REF!</definedName>
    <definedName name="Singletonworpts">#REF!</definedName>
    <definedName name="Singletonwortries">#REF!</definedName>
    <definedName name="Sinotisinotipts">#REF!</definedName>
    <definedName name="Sinotisinotitries">#REF!</definedName>
    <definedName name="Sioexepts">EXE!$E$39</definedName>
    <definedName name="Sioexetries">EXE!$B$39</definedName>
    <definedName name="Sioleipts">#REF!</definedName>
    <definedName name="Sioleitries">#REF!</definedName>
    <definedName name="Sirkerwaspts">#REF!</definedName>
    <definedName name="Sirkerwastries">#REF!</definedName>
    <definedName name="Sisidavidpts">#REF!</definedName>
    <definedName name="Sisidavidtries">#REF!</definedName>
    <definedName name="Sisilirpts">BRI!#REF!</definedName>
    <definedName name="Sisilirtries">BRI!#REF!</definedName>
    <definedName name="Skeltonsarpts">#REF!</definedName>
    <definedName name="Skeltonsartries">#REF!</definedName>
    <definedName name="Skinner_Hexepts">EXE!$E$40</definedName>
    <definedName name="Skinner_Hexetries">EXE!$B$40</definedName>
    <definedName name="Skinnerexeatt">EXE!#REF!</definedName>
    <definedName name="Skinnerexegls">EXE!#REF!</definedName>
    <definedName name="Skinnerexepts">EXE!#REF!</definedName>
    <definedName name="Skinnerexetries">EXE!#REF!</definedName>
    <definedName name="Skivingtongeorgeli">BRI!#REF!</definedName>
    <definedName name="Skivingtongeorgepts">BRI!#REF!</definedName>
    <definedName name="Skivingtongeorgetries">BRI!#REF!</definedName>
    <definedName name="Skusebatpts">#REF!</definedName>
    <definedName name="Skusebattries">#REF!</definedName>
    <definedName name="sladeatt">EXE!#REF!</definedName>
    <definedName name="Sladeexepts">EXE!$E$41</definedName>
    <definedName name="Sladeexetries">EXE!$B$41</definedName>
    <definedName name="sladegoals">EXE!#REF!</definedName>
    <definedName name="Sladehenrypts">EXE!#REF!</definedName>
    <definedName name="Slaterglopts">GLO!$E$44</definedName>
    <definedName name="Slaterglotries">GLO!$B$44</definedName>
    <definedName name="Slaterpts">#REF!</definedName>
    <definedName name="Slaterptscorrect">#REF!</definedName>
    <definedName name="slatertries">#REF!</definedName>
    <definedName name="Slatertriescorrect">#REF!</definedName>
    <definedName name="Sleightholme_Fnorpts">#REF!</definedName>
    <definedName name="Sleightholme_Fnortries">#REF!</definedName>
    <definedName name="Sleightholmenorpts">#REF!</definedName>
    <definedName name="Sleightholmenortries">#REF!</definedName>
    <definedName name="Slevinharpts">#REF!</definedName>
    <definedName name="Slevinhartries">#REF!</definedName>
    <definedName name="Sloanharrypts">#REF!</definedName>
    <definedName name="Sloanharrytries">#REF!</definedName>
    <definedName name="Slowikworpts">#REF!</definedName>
    <definedName name="Slowikwortries">#REF!</definedName>
    <definedName name="Smith_Rnorpts">#REF!</definedName>
    <definedName name="Smith_Rnortries">#REF!</definedName>
    <definedName name="Smithbripts">BRI!#REF!</definedName>
    <definedName name="Smithbritries">BRI!#REF!</definedName>
    <definedName name="smithglopts">GLO!$E$61</definedName>
    <definedName name="Smithglotries">GLO!$B$61</definedName>
    <definedName name="Smithharpts">#REF!</definedName>
    <definedName name="Smithhartries">#REF!</definedName>
    <definedName name="smithleeatt">#REF!</definedName>
    <definedName name="Smithleegoals">#REF!</definedName>
    <definedName name="Smithleepts">#REF!</definedName>
    <definedName name="Smithleicpts">#REF!</definedName>
    <definedName name="Smithleictries">#REF!</definedName>
    <definedName name="Smithleipts">#REF!</definedName>
    <definedName name="Smithleitries">#REF!</definedName>
    <definedName name="Smithnewtries">#REF!</definedName>
    <definedName name="smithnoratt">#REF!</definedName>
    <definedName name="Smithnorgls">#REF!</definedName>
    <definedName name="Smithrnewpts">#REF!</definedName>
    <definedName name="Smithrnewtries">#REF!</definedName>
    <definedName name="Smithrobbienewpts">#REF!</definedName>
    <definedName name="Smithrobbienewtries">#REF!</definedName>
    <definedName name="Smithsampts">#REF!</definedName>
    <definedName name="Smithsamtries">#REF!</definedName>
    <definedName name="Smithsarpts">#REF!</definedName>
    <definedName name="Smithsartries">#REF!</definedName>
    <definedName name="Smithwaspts">#REF!</definedName>
    <definedName name="Smithwastries">#REF!</definedName>
    <definedName name="smithworatt">#REF!</definedName>
    <definedName name="Smithworgls">#REF!</definedName>
    <definedName name="Smithworpts">#REF!</definedName>
    <definedName name="Smithwortries">#REF!</definedName>
    <definedName name="Snymanleicpts">#REF!</definedName>
    <definedName name="Snymanleictries">#REF!</definedName>
    <definedName name="Socino_Snewpts">#REF!</definedName>
    <definedName name="Socino_Snewtries">#REF!</definedName>
    <definedName name="Socinoglopts">GLO!$E$46</definedName>
    <definedName name="Socinoglotries">GLO!$B$46</definedName>
    <definedName name="Socinoleicpts">#REF!</definedName>
    <definedName name="Socinoleictries">#REF!</definedName>
    <definedName name="socinonewatt">#REF!</definedName>
    <definedName name="socinonewgoals">#REF!</definedName>
    <definedName name="Socinonewpts">#REF!</definedName>
    <definedName name="Socinonewtries">#REF!</definedName>
    <definedName name="Solomonasalpts">#REF!</definedName>
    <definedName name="Solomonasaltries">#REF!</definedName>
    <definedName name="SopoagaGLSWAS">#REF!</definedName>
    <definedName name="SOPOAGAWASATT">#REF!</definedName>
    <definedName name="Sopoagawaspts">#REF!</definedName>
    <definedName name="Sopoagawastries">#REF!</definedName>
    <definedName name="Southworthexepts">EXE!$E$42</definedName>
    <definedName name="Southworthexetries">EXE!$B$42</definedName>
    <definedName name="Sowreynewpts">#REF!</definedName>
    <definedName name="Sowreynewtries">#REF!</definedName>
    <definedName name="spcncerbthgls">#REF!</definedName>
    <definedName name="Spencer_Bbthpts">#REF!</definedName>
    <definedName name="Spencer_Bbthtries">#REF!</definedName>
    <definedName name="Spencer_Wbthpts">#REF!</definedName>
    <definedName name="Spencer_Wbthtries">#REF!</definedName>
    <definedName name="spencerbenatt">#REF!</definedName>
    <definedName name="spencerbengoals">#REF!</definedName>
    <definedName name="Spencerbenpts">#REF!</definedName>
    <definedName name="Spencerbentries">#REF!</definedName>
    <definedName name="spencerbthatt">#REF!</definedName>
    <definedName name="Spencerleicpts">#REF!</definedName>
    <definedName name="Spencerleictries">#REF!</definedName>
    <definedName name="Spencersarpts">#REF!</definedName>
    <definedName name="Spencerwillpts">#REF!</definedName>
    <definedName name="Spencerwilltries">#REF!</definedName>
    <definedName name="Spurlingsarpts">#REF!</definedName>
    <definedName name="Spurlingsartries">#REF!</definedName>
    <definedName name="Stanleyglopts">GLO!$E$47</definedName>
    <definedName name="Stanleyglotries">GLO!$B$47</definedName>
    <definedName name="Stedmanolliepts">#REF!</definedName>
    <definedName name="Stedmanollietrie">#REF!</definedName>
    <definedName name="Steelelipts">BRI!#REF!</definedName>
    <definedName name="Steelelirpts">#REF!</definedName>
    <definedName name="Steelelirtries">#REF!</definedName>
    <definedName name="Steelelitries">BRI!#REF!</definedName>
    <definedName name="Steenson">EXE!#REF!</definedName>
    <definedName name="steensonatt">EXE!#REF!</definedName>
    <definedName name="Steensonexepts">EXE!#REF!</definedName>
    <definedName name="Steensonexetries">EXE!#REF!</definedName>
    <definedName name="steensongarethtries">EXE!#REF!</definedName>
    <definedName name="Steensongoals">EXE!#REF!</definedName>
    <definedName name="Steensonpts">EXE!#REF!</definedName>
    <definedName name="Stegmannsebpts">#REF!</definedName>
    <definedName name="Stegmannsebtries">#REF!</definedName>
    <definedName name="Stellingmaxpts">#REF!</definedName>
    <definedName name="Stellingmaxtries">#REF!</definedName>
    <definedName name="stellingworatt">#REF!</definedName>
    <definedName name="stellingworgoals">#REF!</definedName>
    <definedName name="Stephensonjamespts">#REF!</definedName>
    <definedName name="Stephensonjamestries">#REF!</definedName>
    <definedName name="Stephensontompts">#REF!</definedName>
    <definedName name="Stephensontomtries">#REF!</definedName>
    <definedName name="Stevensjimmypts">BRI!#REF!</definedName>
    <definedName name="Stevensjimmytries">BRI!#REF!</definedName>
    <definedName name="Stevensleicpts">#REF!</definedName>
    <definedName name="Stevensleictries">#REF!</definedName>
    <definedName name="Stevenslipts">BRI!#REF!</definedName>
    <definedName name="Stevenslitries">BRI!#REF!</definedName>
    <definedName name="Stevensmattpts">#REF!</definedName>
    <definedName name="Stevensonnewpts">#REF!</definedName>
    <definedName name="Stevensonnewtries">#REF!</definedName>
    <definedName name="Stevensonwaspts">#REF!</definedName>
    <definedName name="Stevensonwastries">#REF!</definedName>
    <definedName name="stevenstries">#REF!</definedName>
    <definedName name="stewardleicatt">#REF!</definedName>
    <definedName name="Stewardleicgls">#REF!</definedName>
    <definedName name="Stewartbthpts">#REF!</definedName>
    <definedName name="Stewartbthtries">#REF!</definedName>
    <definedName name="Stirzakerbripts">BRI!#REF!</definedName>
    <definedName name="Stirzakerbritries">BRI!#REF!</definedName>
    <definedName name="Stokeslirpts">#REF!</definedName>
    <definedName name="Stokeslirtries">#REF!</definedName>
    <definedName name="Stookeglotres">GLO!#REF!</definedName>
    <definedName name="Stookeglptd">GLO!#REF!</definedName>
    <definedName name="Stookepts">GLO!#REF!</definedName>
    <definedName name="Stooketries">GLO!#REF!</definedName>
    <definedName name="Stookewaspts">#REF!</definedName>
    <definedName name="Stookewastries">#REF!</definedName>
    <definedName name="Strainnewpts">#REF!</definedName>
    <definedName name="Strainnewtries">#REF!</definedName>
    <definedName name="Strangbripts">BRI!#REF!</definedName>
    <definedName name="Strangbritries">BRI!#REF!</definedName>
    <definedName name="Streathertimpts">#REF!</definedName>
    <definedName name="Streathertimtries">#REF!</definedName>
    <definedName name="Streetexepts">EXE!$E$43</definedName>
    <definedName name="Streetexetries">EXE!$B$43</definedName>
    <definedName name="Strettlepts">#REF!</definedName>
    <definedName name="Strettlesarpts">#REF!</definedName>
    <definedName name="Strettlesarptscorrect">#REF!</definedName>
    <definedName name="Strettlesartries">#REF!</definedName>
    <definedName name="strettletries">#REF!</definedName>
    <definedName name="Strettllesartries">#REF!</definedName>
    <definedName name="Stringerpeterpts">#REF!</definedName>
    <definedName name="Stringerpetertries">#REF!</definedName>
    <definedName name="Stringersalpts">#REF!</definedName>
    <definedName name="Stringersaltries">#REF!</definedName>
    <definedName name="Stringerworpts">#REF!</definedName>
    <definedName name="Stringerwortries">#REF!</definedName>
    <definedName name="Strongexepts">EXE!#REF!</definedName>
    <definedName name="Strongexetries">EXE!#REF!</definedName>
    <definedName name="Stuartbthpts">#REF!</definedName>
    <definedName name="Stuartbthtries">#REF!</definedName>
    <definedName name="Stuartharpts">#REF!</definedName>
    <definedName name="Stuarthartries">#REF!</definedName>
    <definedName name="stuartnewatt">#REF!</definedName>
    <definedName name="Stuartnewgls">#REF!</definedName>
    <definedName name="Stuartnewpts">#REF!</definedName>
    <definedName name="Stuartnewtries">#REF!</definedName>
    <definedName name="Stuartwaspts">#REF!</definedName>
    <definedName name="Stuartwastries">#REF!</definedName>
    <definedName name="Sturgessexepts">EXE!#REF!</definedName>
    <definedName name="Sturgessexetries">EXE!#REF!</definedName>
    <definedName name="suajeremypts">#REF!</definedName>
    <definedName name="suajeremytries">#REF!</definedName>
    <definedName name="Suniulawaspts">#REF!</definedName>
    <definedName name="Suniulawastries">#REF!</definedName>
    <definedName name="Sutherlandworpts">#REF!</definedName>
    <definedName name="Sutherlandwortries">#REF!</definedName>
    <definedName name="Swainstonharpts">#REF!</definedName>
    <definedName name="Swainstonhartries">#REF!</definedName>
    <definedName name="Swainstonwapts">#REF!</definedName>
    <definedName name="Swainstonwastries">#REF!</definedName>
    <definedName name="Sweeneyceripts">EXE!#REF!</definedName>
    <definedName name="Sweeneyceritries">EXE!#REF!</definedName>
    <definedName name="sweeneyexeatt">EXE!#REF!</definedName>
    <definedName name="sweeneyexegoals">EXE!#REF!</definedName>
    <definedName name="swielharatt">#REF!</definedName>
    <definedName name="Swielhargoals">#REF!</definedName>
    <definedName name="Swielharpts">#REF!</definedName>
    <definedName name="Swielhartries">#REF!</definedName>
    <definedName name="Swielnewatt">#REF!</definedName>
    <definedName name="Swielnewgls">#REF!</definedName>
    <definedName name="Swielnewpts">#REF!</definedName>
    <definedName name="Swielnewtries">#REF!</definedName>
    <definedName name="Swinsonsarptscorrect">SAR!$E$44</definedName>
    <definedName name="Swinsonsartriescorrect">SAR!$B$44</definedName>
    <definedName name="Symonsandypts">#REF!</definedName>
    <definedName name="Symonsandytries">#REF!</definedName>
    <definedName name="Symonsharpts">#REF!</definedName>
    <definedName name="Symonshartries">#REF!</definedName>
    <definedName name="Symonslirpts">BRI!#REF!</definedName>
    <definedName name="Symonslirtries">BRI!#REF!</definedName>
    <definedName name="Symonsnorpts">#REF!</definedName>
    <definedName name="Symonsnortries">#REF!</definedName>
    <definedName name="Symonswaspts">#REF!</definedName>
    <definedName name="Symonswastries">#REF!</definedName>
    <definedName name="symonsworatt">#REF!</definedName>
    <definedName name="Symonsworgoals">#REF!</definedName>
    <definedName name="Tagicakibausailosipts">BRI!#REF!</definedName>
    <definedName name="Tagicakibausailositries">BRI!#REF!</definedName>
    <definedName name="Tagicakibausarpts">#REF!</definedName>
    <definedName name="Tagicakibausartries">#REF!</definedName>
    <definedName name="Tagicakibauwaspts">#REF!</definedName>
    <definedName name="Tagucakibauwastries">#REF!</definedName>
    <definedName name="Taioneexepts">EXE!#REF!</definedName>
    <definedName name="Taioneexetries">EXE!#REF!</definedName>
    <definedName name="Taitalexpts">#REF!</definedName>
    <definedName name="Taitalextries">#REF!</definedName>
    <definedName name="Taitmathewpts">#REF!</definedName>
    <definedName name="Taitmathewtries">#REF!</definedName>
    <definedName name="Taitnewpts">#REF!</definedName>
    <definedName name="Taitnewtris">#REF!</definedName>
    <definedName name="Takaluanewpts">#REF!</definedName>
    <definedName name="takaluanewtries">#REF!</definedName>
    <definedName name="takuluanewatt">#REF!</definedName>
    <definedName name="takuluanewgoals">#REF!</definedName>
    <definedName name="Tandyglopts">GLO!$E$62</definedName>
    <definedName name="Tandyglotries">GLO!$B$62</definedName>
    <definedName name="Tapuaibatpts">#REF!</definedName>
    <definedName name="Tapuaibattries">#REF!</definedName>
    <definedName name="tapuaibthatt">#REF!</definedName>
    <definedName name="tapuaibthgoals">#REF!</definedName>
    <definedName name="tapuaihargls">#REF!</definedName>
    <definedName name="tapuaiharglsatt">#REF!</definedName>
    <definedName name="tapuaiharglscorrect">#REF!</definedName>
    <definedName name="Tapuaiharpts">#REF!</definedName>
    <definedName name="Tapuaihartries">#REF!</definedName>
    <definedName name="Taufete_eworpts">#REF!</definedName>
    <definedName name="Taufete_ewortries">#REF!</definedName>
    <definedName name="Taulaniharpts">#REF!</definedName>
    <definedName name="Taulaniharptscorrect">#REF!</definedName>
    <definedName name="Taulanihartries">#REF!</definedName>
    <definedName name="Taulanihartriescorrect">#REF!</definedName>
    <definedName name="Taulavasemisipts">#REF!</definedName>
    <definedName name="Taulavasemisitries">#REF!</definedName>
    <definedName name="Taylorduncanpts">#REF!</definedName>
    <definedName name="Taylorduncantries">#REF!</definedName>
    <definedName name="Taylorglopts">GLO!$E$48</definedName>
    <definedName name="Taylorglotries">GLO!$B$48</definedName>
    <definedName name="Taylornathanpts">#REF!</definedName>
    <definedName name="Taylornathantries">#REF!</definedName>
    <definedName name="Taylornorpts">#REF!</definedName>
    <definedName name="Taylornortries">#REF!</definedName>
    <definedName name="Taylorsalpts">#REF!</definedName>
    <definedName name="Taylorsaltries">#REF!</definedName>
    <definedName name="Taylorsarpts">#REF!</definedName>
    <definedName name="Taylorsarptscorrect">SAR!$E$45</definedName>
    <definedName name="Taylorsartries">#REF!</definedName>
    <definedName name="Taylorsartriescorrect">SAR!$B$45</definedName>
    <definedName name="Taylortommywaspts">#REF!</definedName>
    <definedName name="Taylortommywastries">#REF!</definedName>
    <definedName name="Taylortsalpts">#REF!</definedName>
    <definedName name="Taylortsaltries">#REF!</definedName>
    <definedName name="Taylorwaspts">#REF!</definedName>
    <definedName name="Taylorwastries">#REF!</definedName>
    <definedName name="Taylorworpts">#REF!</definedName>
    <definedName name="Taylorwortries">#REF!</definedName>
    <definedName name="Temmnewpts">#REF!</definedName>
    <definedName name="Temmnewtries">#REF!</definedName>
    <definedName name="Terryglopts">GLO!$E$45</definedName>
    <definedName name="Terryglotries">GLO!$B$45</definedName>
    <definedName name="test">#REF!</definedName>
    <definedName name="Thacker_Cleicpts">#REF!</definedName>
    <definedName name="Thacker_Cleictries">#REF!</definedName>
    <definedName name="Thacker_Hleipts">#REF!</definedName>
    <definedName name="Thacker_Hleitries">#REF!</definedName>
    <definedName name="Thielsarpts">#REF!</definedName>
    <definedName name="Thielsartries">#REF!</definedName>
    <definedName name="Thomas_Dbripts">BRI!#REF!</definedName>
    <definedName name="Thomas_Dbritries">BRI!#REF!</definedName>
    <definedName name="Thomas_DBRITRIESCORRECT">BRI!#REF!</definedName>
    <definedName name="Thomas_Dglopts">GLO!#REF!</definedName>
    <definedName name="Thomas_Dglotriews">GLO!#REF!</definedName>
    <definedName name="Thomas_Yglopts">GLO!#REF!</definedName>
    <definedName name="Thomas_Yglotries">GLO!#REF!</definedName>
    <definedName name="thomasagloatt">GLO!#REF!</definedName>
    <definedName name="thomasaglogoals">GLO!#REF!</definedName>
    <definedName name="Thomasaledglopts">GLO!#REF!</definedName>
    <definedName name="Thomasaledglotries">GLO!#REF!</definedName>
    <definedName name="Thomasexepts">EXE!#REF!</definedName>
    <definedName name="Thomasexetries">EXE!#REF!</definedName>
    <definedName name="Thomasglopts">GLO!$E$49</definedName>
    <definedName name="Thomasglotries">GLO!$B$49</definedName>
    <definedName name="Thomashaydnpts">EXE!#REF!</definedName>
    <definedName name="Thomashaydntries">EXE!#REF!</definedName>
    <definedName name="Thomashenrybatpts">#REF!</definedName>
    <definedName name="Thomashenrybattries">#REF!</definedName>
    <definedName name="Thomashenrypts">#REF!</definedName>
    <definedName name="Thomashenrytries">#REF!</definedName>
    <definedName name="Thomasmartynpts">GLO!#REF!</definedName>
    <definedName name="Thomasmartyntries">GLO!#REF!</definedName>
    <definedName name="thomasnewatt">#REF!</definedName>
    <definedName name="thomasnewgls">#REF!</definedName>
    <definedName name="Thomasnewpts">#REF!</definedName>
    <definedName name="Thomasnewtries">#REF!</definedName>
    <definedName name="Thompson_Stringersarpts">#REF!</definedName>
    <definedName name="Thompson_Stringersartries">#REF!</definedName>
    <definedName name="Thompsonleicpts">#REF!</definedName>
    <definedName name="Thompsonleictries">#REF!</definedName>
    <definedName name="Thompsonnewpts">#REF!</definedName>
    <definedName name="Thompsonnewtries">#REF!</definedName>
    <definedName name="Thompsonpts">#REF!</definedName>
    <definedName name="Thompsontries">#REF!</definedName>
    <definedName name="Thompsonwaspts">#REF!</definedName>
    <definedName name="Thompsonwastries">#REF!</definedName>
    <definedName name="Thompstoneleipts">#REF!</definedName>
    <definedName name="Thompstoneleitries">#REF!</definedName>
    <definedName name="Thompstonepts">#REF!</definedName>
    <definedName name="Thompstoneptscorrect">#REF!</definedName>
    <definedName name="thompstonetries">#REF!</definedName>
    <definedName name="Thorleyglopts">GLO!#REF!</definedName>
    <definedName name="Thorleygloptscorrect">GLO!$E$50</definedName>
    <definedName name="Thorleyglotries">GLO!#REF!</definedName>
    <definedName name="Thorleyglotriescorrect">GLO!$B$50</definedName>
    <definedName name="Thornleipts">#REF!</definedName>
    <definedName name="Thornleitries">#REF!</definedName>
    <definedName name="Thorperichardpts">#REF!</definedName>
    <definedName name="Thorperichardtries">#REF!</definedName>
    <definedName name="Tiesinewpts">#REF!</definedName>
    <definedName name="Tiesinewtries">#REF!</definedName>
    <definedName name="Tiffennewpts">#REF!</definedName>
    <definedName name="Tiffennewtries">#REF!</definedName>
    <definedName name="Tikoirotumaharpts">#REF!</definedName>
    <definedName name="Tikoirotumahartries">#REF!</definedName>
    <definedName name="Tikoirotumalirpts">BRI!#REF!</definedName>
    <definedName name="Tikoirotumalirtries">BRI!#REF!</definedName>
    <definedName name="Tincknelljamespts">#REF!</definedName>
    <definedName name="Tincknelljamestries">#REF!</definedName>
    <definedName name="tindallgloatt">GLO!#REF!</definedName>
    <definedName name="tindallglogoals">GLO!#REF!</definedName>
    <definedName name="Tindallmikepts">GLO!#REF!</definedName>
    <definedName name="Tindallmiketries">GLO!#REF!</definedName>
    <definedName name="Tipunanewpts">#REF!</definedName>
    <definedName name="Tipunanewtries">#REF!</definedName>
    <definedName name="Tolofuasarpts">#REF!</definedName>
    <definedName name="Tolofuasartries">#REF!</definedName>
    <definedName name="Tomaszczyknewpts">#REF!</definedName>
    <definedName name="Tomaszczyknewtries">#REF!</definedName>
    <definedName name="Tomesnewpts">#REF!</definedName>
    <definedName name="Tomesnewtries">#REF!</definedName>
    <definedName name="Tomkinsjoelpts">#REF!</definedName>
    <definedName name="tomkinstries">#REF!</definedName>
    <definedName name="Tompkinsnickpts">#REF!</definedName>
    <definedName name="Tompkinsnicktries">#REF!</definedName>
    <definedName name="Tompkinssarpts">#REF!</definedName>
    <definedName name="Tompkinssarptscorrect">#REF!</definedName>
    <definedName name="Tompkinssarptscorrect2">SAR!$E$47</definedName>
    <definedName name="Tompkinssartries">#REF!</definedName>
    <definedName name="Tompkinssartriescorrect">SAR!$B$47</definedName>
    <definedName name="Tonga_uihabstpts">BRI!#REF!</definedName>
    <definedName name="Tonga_uihabsttries">BRI!#REF!</definedName>
    <definedName name="Tonksliratt">BRI!#REF!</definedName>
    <definedName name="Tonkslirgoals">BRI!#REF!</definedName>
    <definedName name="Tonkslirpts">BRI!#REF!</definedName>
    <definedName name="Tonkslirtries">BRI!#REF!</definedName>
    <definedName name="Tonksnorpts">#REF!</definedName>
    <definedName name="Tonksnortries">#REF!</definedName>
    <definedName name="Toomaga_Allenwaspts">#REF!</definedName>
    <definedName name="Toomaga_Allenwastries">#REF!</definedName>
    <definedName name="toomualeicatt">#REF!</definedName>
    <definedName name="Toomualeicgls">#REF!</definedName>
    <definedName name="Toomualeipts">#REF!</definedName>
    <definedName name="Toomualeitries">#REF!</definedName>
    <definedName name="Townsendexepts">EXE!$E$44</definedName>
    <definedName name="Townsendexetries">EXE!$B$44</definedName>
    <definedName name="Trayfootharpts">#REF!</definedName>
    <definedName name="Trayfoothartries">#REF!</definedName>
    <definedName name="Trayfootlirpts">BRI!#REF!</definedName>
    <definedName name="Trayfootlirtries">BRI!#REF!</definedName>
    <definedName name="Trevettnathanpts">#REF!</definedName>
    <definedName name="Trevettnathantries">#REF!</definedName>
    <definedName name="Treviranuspts">BRI!#REF!</definedName>
    <definedName name="Treviranustries">BRI!#REF!</definedName>
    <definedName name="Trinderglopts">GLO!$E$51</definedName>
    <definedName name="Trinderhenrypts">GLO!#REF!</definedName>
    <definedName name="Trinderpts">GLO!#REF!</definedName>
    <definedName name="trindertries">GLO!#REF!</definedName>
    <definedName name="Trindertriestries">GLO!$B$51</definedName>
    <definedName name="Tshiunzaexepts">EXE!$E$45</definedName>
    <definedName name="Tshiunzaexetries">EXE!$B$45</definedName>
    <definedName name="Tualanorpts">#REF!</definedName>
    <definedName name="TualaNORTRIES">#REF!</definedName>
    <definedName name="Tuilagi__Alesananewgoals">#REF!</definedName>
    <definedName name="Tuilagi_Alesananewpts">#REF!</definedName>
    <definedName name="Tuilagi_Alesananewtries">#REF!</definedName>
    <definedName name="Tuilagi_Aniteleanewpts">#REF!</definedName>
    <definedName name="Tuilagi_Aniteleanewtries">#REF!</definedName>
    <definedName name="Tuilagi_Fleicpts">#REF!</definedName>
    <definedName name="Tuilagi_Fleictries">#REF!</definedName>
    <definedName name="tuilagialesananewatt">#REF!</definedName>
    <definedName name="Tuilagimanupts">#REF!</definedName>
    <definedName name="Tuilagimanutries">#REF!</definedName>
    <definedName name="Tuimaexepts">EXE!$E$46</definedName>
    <definedName name="Tuimaexetries">EXE!$B$46</definedName>
    <definedName name="tuipulotuglopts">GLO!$E$63</definedName>
    <definedName name="Tuipulotuglotries">GLO!$B$63</definedName>
    <definedName name="Tuitavakenorpts">#REF!</definedName>
    <definedName name="Tuitavakenortries">#REF!</definedName>
    <definedName name="Tuitupousampts">#REF!</definedName>
    <definedName name="Tuitupousamtries">#REF!</definedName>
    <definedName name="Tunneywaspts">#REF!</definedName>
    <definedName name="Tunneywastries">#REF!</definedName>
    <definedName name="Tuohybripts">BRI!#REF!</definedName>
    <definedName name="Tuohybritries">BRI!#REF!</definedName>
    <definedName name="Turner_Hallharpts">#REF!</definedName>
    <definedName name="Turner_Hallhartries">#REF!</definedName>
    <definedName name="Turnerexepts">EXE!#REF!</definedName>
    <definedName name="Turnerexetries">EXE!#REF!</definedName>
    <definedName name="twelvetreesatt">GLO!$I$8</definedName>
    <definedName name="Twelvetreesglopts">GLO!$E$52</definedName>
    <definedName name="Twelvetreesglotries">GLO!$B$52</definedName>
    <definedName name="twelvetreesgoals">GLO!$H$8</definedName>
    <definedName name="Twelvetreespts">GLO!#REF!</definedName>
    <definedName name="Twelvetreestries">GLO!#REF!</definedName>
    <definedName name="Twomeyharpts">#REF!</definedName>
    <definedName name="Twomeyhartries">#REF!</definedName>
    <definedName name="UlsterPts">[1]ULS!$F$59</definedName>
    <definedName name="UlsterTries">[1]ULS!$B$59</definedName>
    <definedName name="umagawasatt">#REF!</definedName>
    <definedName name="umagawasgoals">#REF!</definedName>
    <definedName name="Umagawaspts">#REF!</definedName>
    <definedName name="Umagawastries">#REF!</definedName>
    <definedName name="Underhillbthpts">#REF!</definedName>
    <definedName name="Underhillbthtries">#REF!</definedName>
    <definedName name="UrenBRITRIES">BRI!#REF!</definedName>
    <definedName name="Uzokwenewpts">#REF!</definedName>
    <definedName name="Uzokwenewtries">#REF!</definedName>
    <definedName name="Vailanusarpts">#REF!</definedName>
    <definedName name="Vailanusartries">#REF!</definedName>
    <definedName name="Vailanuwaspts">#REF!</definedName>
    <definedName name="Vailanuwastries">#REF!</definedName>
    <definedName name="Vainikoloexepts">EXE!#REF!</definedName>
    <definedName name="Vainikoloexetries">EXE!#REF!</definedName>
    <definedName name="Vainikolopts">EXE!#REF!</definedName>
    <definedName name="Vainikolotries">EXE!#REF!</definedName>
    <definedName name="Van_Bredaworpts">#REF!</definedName>
    <definedName name="Van_Bredawortries">#REF!</definedName>
    <definedName name="Van_der_Merwe_Asalpts">#REF!</definedName>
    <definedName name="Van_der_Merwe_Asaltries">#REF!</definedName>
    <definedName name="van_der_Merwelirpts">#REF!</definedName>
    <definedName name="van_der_Merwelirtries">#REF!</definedName>
    <definedName name="van_der_Merweworpts">#REF!</definedName>
    <definedName name="van_der_Merwewortries">#REF!</definedName>
    <definedName name="van_der_Sluysexepts">EXE!$E$48</definedName>
    <definedName name="van_der_Sluysexetries">EXE!$B$48</definedName>
    <definedName name="van_Heerdenexepts">EXE!$E$47</definedName>
    <definedName name="van_Heerdenexetries">EXE!$B$47</definedName>
    <definedName name="van_Poortvlietleicpts">#REF!</definedName>
    <definedName name="van_Poortvlietleictries">#REF!</definedName>
    <definedName name="van_Rensburgsalpts">#REF!</definedName>
    <definedName name="van_Rensburgsaltries">#REF!</definedName>
    <definedName name="van_Rooyenbthpts">#REF!</definedName>
    <definedName name="van_Rooyenbthtries">#REF!</definedName>
    <definedName name="van_Stadenleicpts">#REF!</definedName>
    <definedName name="van_Stadenleictries">#REF!</definedName>
    <definedName name="van_Velzebthpts">#REF!</definedName>
    <definedName name="van_Velzebthtries">#REF!</definedName>
    <definedName name="van_Velzegjpts">#REF!</definedName>
    <definedName name="van_Velzegjtries">#REF!</definedName>
    <definedName name="van_Vuurenbthpts">#REF!</definedName>
    <definedName name="van_Vuurenbthtries">#REF!</definedName>
    <definedName name="van_Wyk_Fleicpts">#REF!</definedName>
    <definedName name="van_Wyk_Fleictries">#REF!</definedName>
    <definedName name="van_Wykkobusleicpts">#REF!</definedName>
    <definedName name="van_Wykkobusleictries">#REF!</definedName>
    <definedName name="van_Wyknorpts">#REF!</definedName>
    <definedName name="van_Wyknortries">#REF!</definedName>
    <definedName name="van_Zyllirpts">BRI!#REF!</definedName>
    <definedName name="van_Zyllirtries">BRI!#REF!</definedName>
    <definedName name="van_Zylsarptscorrect">SAR!$E$48</definedName>
    <definedName name="van_Zylsartriescorrect">SAR!$B$48</definedName>
    <definedName name="vanbredaworatt">#REF!</definedName>
    <definedName name="vanbredaworgls">#REF!</definedName>
    <definedName name="Vanesleicpts">#REF!</definedName>
    <definedName name="Vanesleictries">#REF!</definedName>
    <definedName name="Varndelltompts">#REF!</definedName>
    <definedName name="Varndelltomtries">#REF!</definedName>
    <definedName name="Veainuleipts">#REF!</definedName>
    <definedName name="Veainuleitries">#REF!</definedName>
    <definedName name="Veanewpts">#REF!</definedName>
    <definedName name="Veanewtries">#REF!</definedName>
    <definedName name="Veataionelwelshpts">#REF!</definedName>
    <definedName name="Veataionelwelshtries">#REF!</definedName>
    <definedName name="Veataionepts">#REF!</definedName>
    <definedName name="Veataionetroes">#REF!</definedName>
    <definedName name="Vellacottglopts">GLO!$E$53</definedName>
    <definedName name="Vellacottglotries">GLO!$B$53</definedName>
    <definedName name="Vellacottwaspts">#REF!</definedName>
    <definedName name="Vellacottwastries">#REF!</definedName>
    <definedName name="Vellanathanpts">#REF!</definedName>
    <definedName name="Vellanathantries">#REF!</definedName>
    <definedName name="Vendittinewpts">#REF!</definedName>
    <definedName name="Vendittinewtries">#REF!</definedName>
    <definedName name="vennerglohpts">GLO!$E$64</definedName>
    <definedName name="Vennerglohtries">GLO!$B$64</definedName>
    <definedName name="VennerGLOPTS">GLO!#REF!</definedName>
    <definedName name="VennerGLOTRIES">GLO!#REF!</definedName>
    <definedName name="Ventersarptscorrect">SAR!#REF!</definedName>
    <definedName name="Ventersartriescorrect">SAR!#REF!</definedName>
    <definedName name="Venterworpts">#REF!</definedName>
    <definedName name="Venterwortries">#REF!</definedName>
    <definedName name="Verbakelnorpts">#REF!</definedName>
    <definedName name="Verbakelnortries">#REF!</definedName>
    <definedName name="Vermeulenexepts">EXE!#REF!</definedName>
    <definedName name="Vermeulenexetries">EXE!#REF!</definedName>
    <definedName name="Vickersnewpts">#REF!</definedName>
    <definedName name="Vickersnewtries">#REF!</definedName>
    <definedName name="Viljoen_EWleicatt">#REF!</definedName>
    <definedName name="Viljoen_EWleicgls">#REF!</definedName>
    <definedName name="Vinuezasarpts">SAR!$E$53</definedName>
    <definedName name="Vinuezasartries">SAR!$B$53</definedName>
    <definedName name="Visagieglopts">GLO!$E$54</definedName>
    <definedName name="Visagieglotries">GLO!$B$54</definedName>
    <definedName name="Vossleicpts">#REF!</definedName>
    <definedName name="Vossleictries">#REF!</definedName>
    <definedName name="Vuibripts">BRI!#REF!</definedName>
    <definedName name="Vuibritries">BRI!#REF!</definedName>
    <definedName name="Vukasinovicwaspts">#REF!</definedName>
    <definedName name="Vukasinovicwastries">#REF!</definedName>
    <definedName name="Vunabthpts">#REF!</definedName>
    <definedName name="Vunabthtries">#REF!</definedName>
    <definedName name="Vunipola__Makosarpts">#REF!</definedName>
    <definedName name="Vunipola__Makosarptscorrect">SAR!$E$51</definedName>
    <definedName name="Vunipola__Makosartries">#REF!</definedName>
    <definedName name="Vunipola__Makosartriescorrect">SAR!$B$51</definedName>
    <definedName name="Vunipola__Manusarptscorrect">SAR!$E$52</definedName>
    <definedName name="Vunipola__Manusartriescorrect">SAR!$B$52</definedName>
    <definedName name="Vunipola_Bsarpts">#REF!</definedName>
    <definedName name="Vunipola_Bsarptscorrect">SAR!$E$50</definedName>
    <definedName name="Vunipola_Bsartries">#REF!</definedName>
    <definedName name="Vunipola_Bsartriescorrect">SAR!$B$50</definedName>
    <definedName name="Vunipola_Msaratt">#REF!</definedName>
    <definedName name="Vunipola_Msargls">#REF!</definedName>
    <definedName name="Vunipola_Msarpts">#REF!</definedName>
    <definedName name="Vunipola_Msartries">#REF!</definedName>
    <definedName name="Vunipolabillypts">#REF!</definedName>
    <definedName name="vunipolabillytries">#REF!</definedName>
    <definedName name="Vunipolamakopts">#REF!</definedName>
    <definedName name="vunipolamakotries">#REF!</definedName>
    <definedName name="vunipolasarattcorrect">SAR!$I$7</definedName>
    <definedName name="vunipolasarglscorrect">SAR!$H$7</definedName>
    <definedName name="Vunisasarpts">#REF!</definedName>
    <definedName name="Vunisasartries">#REF!</definedName>
    <definedName name="Wacokecokenewpts">#REF!</definedName>
    <definedName name="Wacokecokenewtries">#REF!</definedName>
    <definedName name="Wadepts">#REF!</definedName>
    <definedName name="wadetries">#REF!</definedName>
    <definedName name="wadewasatt">#REF!</definedName>
    <definedName name="Wadewasgls">#REF!</definedName>
    <definedName name="Wadewaspts">#REF!</definedName>
    <definedName name="Wadewastries">#REF!</definedName>
    <definedName name="Waldoucklirpts">BRI!#REF!</definedName>
    <definedName name="Waldoucklirtries">BRI!#REF!</definedName>
    <definedName name="Waldoucknewpts">#REF!</definedName>
    <definedName name="Waldoucknewtries">#REF!</definedName>
    <definedName name="Waldoucknorpts">#REF!</definedName>
    <definedName name="Waldoucknortries">#REF!</definedName>
    <definedName name="Waldromexepts">EXE!#REF!</definedName>
    <definedName name="Waldromexetries">EXE!#REF!</definedName>
    <definedName name="Waldrompts">#REF!</definedName>
    <definedName name="Waldromptscorrect">#REF!</definedName>
    <definedName name="waldromtries">#REF!</definedName>
    <definedName name="Waldromtriescorrect">#REF!</definedName>
    <definedName name="Walkerbthpts">#REF!</definedName>
    <definedName name="Walkerbthtries">#REF!</definedName>
    <definedName name="Walkercharliehqtries">#REF!</definedName>
    <definedName name="Walkercharliepts">#REF!</definedName>
    <definedName name="walkerglohpts">GLO!$E$65</definedName>
    <definedName name="Walkerglohtries">GLO!$B$65</definedName>
    <definedName name="Walkerharpts">#REF!</definedName>
    <definedName name="Walkerhartries">#REF!</definedName>
    <definedName name="Walkernewpts">#REF!</definedName>
    <definedName name="Walkernewtries">#REF!</definedName>
    <definedName name="Wallacebriatt">BRI!#REF!</definedName>
    <definedName name="Wallacebrigls">BRI!#REF!</definedName>
    <definedName name="Wallacebripts">BRI!#REF!</definedName>
    <definedName name="Wallacebritries">BRI!#REF!</definedName>
    <definedName name="Wallacelukepts">#REF!</definedName>
    <definedName name="Wallaceluketries">#REF!</definedName>
    <definedName name="wallerethanpts">#REF!</definedName>
    <definedName name="wallerethantries">#REF!</definedName>
    <definedName name="Wallerworpts">#REF!</definedName>
    <definedName name="Wallerwortries">#REF!</definedName>
    <definedName name="Walshexegls">EXE!#REF!</definedName>
    <definedName name="walshleiatt">#REF!</definedName>
    <definedName name="walshleigls">#REF!</definedName>
    <definedName name="Walshleipts">#REF!</definedName>
    <definedName name="Walshleitries">#REF!</definedName>
    <definedName name="Warddavepts">#REF!</definedName>
    <definedName name="warddavetries">#REF!</definedName>
    <definedName name="Warrsalpts">#REF!</definedName>
    <definedName name="Warrsaltries">#REF!</definedName>
    <definedName name="warwickatt">#REF!</definedName>
    <definedName name="warwickgoals">#REF!</definedName>
    <definedName name="Warwickpaulpts">#REF!</definedName>
    <definedName name="Warwickpaultries">#REF!</definedName>
    <definedName name="waslhexeatt">EXE!#REF!</definedName>
    <definedName name="waspspenaltytriespts">#REF!</definedName>
    <definedName name="waspspenaltytriestries">#REF!</definedName>
    <definedName name="waspspentries">#REF!</definedName>
    <definedName name="Waspspentriespts">#REF!</definedName>
    <definedName name="WaspsPts">#REF!</definedName>
    <definedName name="WaspsTries">#REF!</definedName>
    <definedName name="Watersharpts">#REF!</definedName>
    <definedName name="Watershartries">#REF!</definedName>
    <definedName name="Waterswelpts">#REF!</definedName>
    <definedName name="Watersweltries">#REF!</definedName>
    <definedName name="Watsonanthonypts">#REF!</definedName>
    <definedName name="Watsonanthonytries">#REF!</definedName>
    <definedName name="Watsonleicpts">#REF!</definedName>
    <definedName name="Watsonleictries">#REF!</definedName>
    <definedName name="Watsonnewpts">#REF!</definedName>
    <definedName name="Watsonnewtriwes">#REF!</definedName>
    <definedName name="Watsonsarpts">#REF!</definedName>
    <definedName name="Watsonsartries">#REF!</definedName>
    <definedName name="Watsonwaspts">#REF!</definedName>
    <definedName name="Watsonwastries">#REF!</definedName>
    <definedName name="Webberpts">#REF!</definedName>
    <definedName name="Webberrobtries">#REF!</definedName>
    <definedName name="Webbersalpts">#REF!</definedName>
    <definedName name="Webbersaltries">#REF!</definedName>
    <definedName name="Webbertries">#REF!</definedName>
    <definedName name="Weepuwelshpts">#REF!</definedName>
    <definedName name="Weepuwelshtries">#REF!</definedName>
    <definedName name="Weirworpts">#REF!</definedName>
    <definedName name="Weirwortries">#REF!</definedName>
    <definedName name="Welchdamianpts">EXE!#REF!</definedName>
    <definedName name="Welchdamiantries">EXE!#REF!</definedName>
    <definedName name="Welchexepts">EXE!#REF!</definedName>
    <definedName name="Welchexetries">EXE!#REF!</definedName>
    <definedName name="Welchwillpts">#REF!</definedName>
    <definedName name="Welchwilltries">#REF!</definedName>
    <definedName name="Wellsharrypts">#REF!</definedName>
    <definedName name="Wellsharrytries">#REF!</definedName>
    <definedName name="Wellsleicpts">#REF!</definedName>
    <definedName name="Wellsleictries">#REF!</definedName>
    <definedName name="Welshnewpts">#REF!</definedName>
    <definedName name="Welshnewtries">#REF!</definedName>
    <definedName name="Westbenpts">#REF!</definedName>
    <definedName name="Westbentries">#REF!</definedName>
    <definedName name="Westwaspts">#REF!</definedName>
    <definedName name="Westwastries">#REF!</definedName>
    <definedName name="White_NexeptsCORRECT">EXE!#REF!</definedName>
    <definedName name="White_Nicexepts">EXE!#REF!</definedName>
    <definedName name="White_Nicexetries">EXE!#REF!</definedName>
    <definedName name="Whiteexepts">EXE!#REF!</definedName>
    <definedName name="Whiteharpts">#REF!</definedName>
    <definedName name="Whitehartries">#REF!</definedName>
    <definedName name="Whiteheadchrispts">EXE!#REF!</definedName>
    <definedName name="Whiteheadchristries">EXE!#REF!</definedName>
    <definedName name="Whiteleicpts">#REF!</definedName>
    <definedName name="Whiteleictries">#REF!</definedName>
    <definedName name="whiteleybriatt">BRI!#REF!</definedName>
    <definedName name="Whiteleybrigls">BRI!#REF!</definedName>
    <definedName name="Whiteleybripts">BRI!#REF!</definedName>
    <definedName name="Whiteleybritries">BRI!#REF!</definedName>
    <definedName name="whiteleysaratt">#REF!</definedName>
    <definedName name="Whiteleysargls">#REF!</definedName>
    <definedName name="Whiteleysarpts">#REF!</definedName>
    <definedName name="Whiteleysartries">#REF!</definedName>
    <definedName name="Whitelirpts">#REF!</definedName>
    <definedName name="Whitelirtries">#REF!</definedName>
    <definedName name="Whitepts">EXE!#REF!</definedName>
    <definedName name="whitetrie">EXE!#REF!</definedName>
    <definedName name="Whittenpts">EXE!$E$49</definedName>
    <definedName name="Whittentries">EXE!$B$49</definedName>
    <definedName name="Wieseleicpts">#REF!</definedName>
    <definedName name="Wieseleictries">#REF!</definedName>
    <definedName name="Wigglesworthleictries">#REF!</definedName>
    <definedName name="Wigglesworthlicpts">#REF!</definedName>
    <definedName name="Wigglesworthrichardpts">#REF!</definedName>
    <definedName name="Wigglesworthrichardtries">#REF!</definedName>
    <definedName name="wigglesworthsaratt">#REF!</definedName>
    <definedName name="Wigglesworthsargoals">#REF!</definedName>
    <definedName name="Wiliamsnewtries">#REF!</definedName>
    <definedName name="Wilkinsnorpts">#REF!</definedName>
    <definedName name="Wilkinsnortries">#REF!</definedName>
    <definedName name="Wilkinsonbripts">BRI!$E$51</definedName>
    <definedName name="Wilkinsonbritries">BRI!$B$51</definedName>
    <definedName name="wilkinsonsalatt">#REF!</definedName>
    <definedName name="wilkinsonsalgls">#REF!</definedName>
    <definedName name="Wilkinsonsalpts">#REF!</definedName>
    <definedName name="Wilkinsonsaltries">#REF!</definedName>
    <definedName name="Willemsesarpts">#REF!</definedName>
    <definedName name="Willemsesartries">#REF!</definedName>
    <definedName name="Williams_Jbstpts">BRI!#REF!</definedName>
    <definedName name="Williams_Jbsttries">BRI!#REF!</definedName>
    <definedName name="Williams_Rbstpts">BRI!#REF!</definedName>
    <definedName name="Williams_Rbsttries">BRI!#REF!</definedName>
    <definedName name="Williamsbenpts">#REF!</definedName>
    <definedName name="Williamsbentries">#REF!</definedName>
    <definedName name="williamsbriatt">BRI!$I$6</definedName>
    <definedName name="williamsbrigls">BRI!$H$6</definedName>
    <definedName name="Williamsbripts">BRI!#REF!</definedName>
    <definedName name="Williamsbritries">BRI!#REF!</definedName>
    <definedName name="Williamsexepts">EXE!$E$50</definedName>
    <definedName name="Williamsexetries">EXE!$B$50</definedName>
    <definedName name="williamsglopts">GLO!#REF!</definedName>
    <definedName name="williamsglotries">GLO!#REF!</definedName>
    <definedName name="Williamsjohnnylirpts">BRI!#REF!</definedName>
    <definedName name="Williamsjohnnylirtries">BRI!#REF!</definedName>
    <definedName name="Williamsleipts">#REF!</definedName>
    <definedName name="Williamsleitries">#REF!</definedName>
    <definedName name="Williamsmikepts">#REF!</definedName>
    <definedName name="Williamsmiketries">#REF!</definedName>
    <definedName name="Williamsmiketriescorrect">#REF!</definedName>
    <definedName name="williamsnewatt">#REF!</definedName>
    <definedName name="Williamsnewgls">#REF!</definedName>
    <definedName name="Williamsnewpts">#REF!</definedName>
    <definedName name="Williamsnorpts">#REF!</definedName>
    <definedName name="Williamsnortries">#REF!</definedName>
    <definedName name="williamsowenatt">#REF!</definedName>
    <definedName name="williamsowengoals">#REF!</definedName>
    <definedName name="Williamsowenpts">#REF!</definedName>
    <definedName name="Williamsowenptscorrect">#REF!</definedName>
    <definedName name="williamssalatt">#REF!</definedName>
    <definedName name="williamssalgls">#REF!</definedName>
    <definedName name="Williamssalpts">#REF!</definedName>
    <definedName name="Williamssaltries">#REF!</definedName>
    <definedName name="Williamssarpts">#REF!</definedName>
    <definedName name="Williamssartries">#REF!</definedName>
    <definedName name="Williamstompts">#REF!</definedName>
    <definedName name="Williamstomtries">#REF!</definedName>
    <definedName name="Williamstomtriescorrect">#REF!</definedName>
    <definedName name="williamsworatt">#REF!</definedName>
    <definedName name="Williamsworgls">#REF!</definedName>
    <definedName name="Williamsworpts">#REF!</definedName>
    <definedName name="Williamswortries">#REF!</definedName>
    <definedName name="Willis_Twaspts">#REF!</definedName>
    <definedName name="Willis_Twastries">#REF!</definedName>
    <definedName name="Willismewtries">#REF!</definedName>
    <definedName name="willisnewatt">#REF!</definedName>
    <definedName name="Willisnewgoals">#REF!</definedName>
    <definedName name="Willisnewpts">#REF!</definedName>
    <definedName name="Willisonbthpts">#REF!</definedName>
    <definedName name="Willisonbthtries">#REF!</definedName>
    <definedName name="Willisonworpts">#REF!</definedName>
    <definedName name="Willisonwortries">#REF!</definedName>
    <definedName name="Williswaspts">#REF!</definedName>
    <definedName name="Williswastries">#REF!</definedName>
    <definedName name="Wilson__Jamesbthgls">#REF!</definedName>
    <definedName name="Wilson__Jamesbthpts">#REF!</definedName>
    <definedName name="Wilson__Jamesbthptscorrect">#REF!</definedName>
    <definedName name="Wilson__Jamesbthtries">#REF!</definedName>
    <definedName name="Wilson__Jamesbthtriescorrect">#REF!</definedName>
    <definedName name="Wilson_Dnewpts">#REF!</definedName>
    <definedName name="Wilson_Dnewtries">#REF!</definedName>
    <definedName name="Wilson_Markpts">#REF!</definedName>
    <definedName name="Wilson_Marktries">#REF!</definedName>
    <definedName name="Wilson_Snewpts">#REF!</definedName>
    <definedName name="Wilson_Snewtries">#REF!</definedName>
    <definedName name="Wilsonbatpts">#REF!</definedName>
    <definedName name="Wilsonbattries">#REF!</definedName>
    <definedName name="Wilsondavidpts">#REF!</definedName>
    <definedName name="Wilsondavidtries">#REF!</definedName>
    <definedName name="Wilsonjackpts">#REF!</definedName>
    <definedName name="Wilsonjacktries">#REF!</definedName>
    <definedName name="Wilsonjacktriescorr">#REF!</definedName>
    <definedName name="Wilsonjacktriescorrect">#REF!</definedName>
    <definedName name="wilsonjamesatt">#REF!</definedName>
    <definedName name="wilsonjamesbthatt">#REF!</definedName>
    <definedName name="wilsonjamesbthgls">#REF!</definedName>
    <definedName name="Wilsonjamesgoals">#REF!</definedName>
    <definedName name="Wilsonjamesnorpts">#REF!</definedName>
    <definedName name="Wilsonjamespts">#REF!</definedName>
    <definedName name="Wilsonjamesptscorrect">#REF!</definedName>
    <definedName name="wilsonjamestries">#REF!</definedName>
    <definedName name="Wilsonjamestriescorrect">#REF!</definedName>
    <definedName name="wilsonjbthatt">#REF!</definedName>
    <definedName name="Wilsonnewpts">#REF!</definedName>
    <definedName name="Wilsonnewtries">#REF!</definedName>
    <definedName name="Wilsonsarpts">SAR!$E$54</definedName>
    <definedName name="Wilsonsartries">SAR!$B$54</definedName>
    <definedName name="wilsteadbriatt">BRI!$I$7</definedName>
    <definedName name="wilsteadbrigls">BRI!$H$7</definedName>
    <definedName name="Wilsteadbripts">BRI!#REF!</definedName>
    <definedName name="Wilsteadbritries">BRI!#REF!</definedName>
    <definedName name="Wittyexepts">EXE!#REF!</definedName>
    <definedName name="Wittyexetries">EXE!#REF!</definedName>
    <definedName name="Wittynewpts">#REF!</definedName>
    <definedName name="Wittynewtries">#REF!</definedName>
    <definedName name="Wolstenholmewaspts">#REF!</definedName>
    <definedName name="Wolstenholmewastries">#REF!</definedName>
    <definedName name="Wolstenhomewaspts">#REF!</definedName>
    <definedName name="Woodburnexepts">EXE!$E$51</definedName>
    <definedName name="Woodburnexetries">EXE!$B$51</definedName>
    <definedName name="Woodburnollypts">#REF!</definedName>
    <definedName name="woodburnollytries">#REF!</definedName>
    <definedName name="Woodburnworpts">#REF!</definedName>
    <definedName name="Woodburnwortries">#REF!</definedName>
    <definedName name="Woodglopts">GLO!#REF!</definedName>
    <definedName name="Woodglotries">GLO!#REF!</definedName>
    <definedName name="Woodtompts">#REF!</definedName>
    <definedName name="Woodtomptscorrect">#REF!</definedName>
    <definedName name="woodtomtries">#REF!</definedName>
    <definedName name="Woodtomtriescorrect">#REF!</definedName>
    <definedName name="woodwardbriatt">BRI!#REF!</definedName>
    <definedName name="Woodwardbrigoals">BRI!#REF!</definedName>
    <definedName name="Woodwardbripts">BRI!#REF!</definedName>
    <definedName name="Woodwardbritries">BRI!#REF!</definedName>
    <definedName name="Woodwardglopts">GLO!$E$66</definedName>
    <definedName name="Woodwardglotries">GLO!$B$66</definedName>
    <definedName name="Woolfordnorpts">#REF!</definedName>
    <definedName name="Woolfordnortries">#REF!</definedName>
    <definedName name="Woolmoreexepts">EXE!#REF!</definedName>
    <definedName name="Woolmoreexetries">EXE!#REF!</definedName>
    <definedName name="WoolstencroftEurTries">SAR!#REF!</definedName>
    <definedName name="Woolstencroftsarpts">#REF!</definedName>
    <definedName name="Woolstencroftsarptscorrect">SAR!$E$55</definedName>
    <definedName name="Woolstencroftsartries">#REF!</definedName>
    <definedName name="Woolstencroftsartriescorrect">SAR!$B$55</definedName>
    <definedName name="Woolstencroftwaspts">#REF!</definedName>
    <definedName name="Woolstencroftwastries">#REF!</definedName>
    <definedName name="woratt">#REF!</definedName>
    <definedName name="worboysbthatt">#REF!</definedName>
    <definedName name="worboysbthgls">#REF!</definedName>
    <definedName name="Worboysbthpts">#REF!</definedName>
    <definedName name="WorboysBTHTRIES">#REF!</definedName>
    <definedName name="worcesterpentries">#REF!</definedName>
    <definedName name="worcesterpentriespts">#REF!</definedName>
    <definedName name="WorcesterPts">#REF!</definedName>
    <definedName name="WorcesterTries">#REF!</definedName>
    <definedName name="Worleynorpts">#REF!</definedName>
    <definedName name="Worleynortries">#REF!</definedName>
    <definedName name="worsleybriatt">BRI!$I$8</definedName>
    <definedName name="worsleybrigls">BRI!$H$8</definedName>
    <definedName name="worthleiatt">#REF!</definedName>
    <definedName name="worthleigoals">#REF!</definedName>
    <definedName name="Worthleipts">#REF!</definedName>
    <definedName name="Worthleitries">#REF!</definedName>
    <definedName name="Wrayjacksonpts">#REF!</definedName>
    <definedName name="Wrayjacksontries">#REF!</definedName>
    <definedName name="Wraysarptscorrect">SAR!$E$56</definedName>
    <definedName name="Wraysartriescorrect">SAR!$B$56</definedName>
    <definedName name="Wrightnewpts">#REF!</definedName>
    <definedName name="Wrightnewtries">#REF!</definedName>
    <definedName name="Wyattexepts">EXE!$E$52</definedName>
    <definedName name="Wyattexetries">EXE!$B$52</definedName>
    <definedName name="Wylespts">#REF!</definedName>
    <definedName name="wylestries">#REF!</definedName>
    <definedName name="Yappwaspts">#REF!</definedName>
    <definedName name="Yappwastries">#REF!</definedName>
    <definedName name="Yardeharpts">#REF!</definedName>
    <definedName name="Yardehartries">#REF!</definedName>
    <definedName name="Yardepts">BRI!#REF!</definedName>
    <definedName name="Yardesalpts">#REF!</definedName>
    <definedName name="Yardesaltries">#REF!</definedName>
    <definedName name="yardetries">BRI!#REF!</definedName>
    <definedName name="Yeandlejackpts">EXE!#REF!</definedName>
    <definedName name="Yeandlejacktries">EXE!#REF!</definedName>
    <definedName name="Yorkchrispts">#REF!</definedName>
    <definedName name="Yorkchristries">#REF!</definedName>
    <definedName name="Young_Gnewpts">#REF!</definedName>
    <definedName name="Young_Gnewtries">#REF!</definedName>
    <definedName name="Youngmickypts">#REF!</definedName>
    <definedName name="Youngmickytries">#REF!</definedName>
    <definedName name="youngsbatt">#REF!</definedName>
    <definedName name="Youngsbenpts">#REF!</definedName>
    <definedName name="Youngsbenptscorrect">#REF!</definedName>
    <definedName name="youngsbentries">#REF!</definedName>
    <definedName name="youngsbgoals">#REF!</definedName>
    <definedName name="youngstompts">#REF!</definedName>
    <definedName name="youngstomtries">#REF!</definedName>
    <definedName name="Youngwaspts">#REF!</definedName>
    <definedName name="Youngwastries">#REF!</definedName>
    <definedName name="ZebrePts">[1]ZEB!$F$49</definedName>
    <definedName name="ZebreTries">[1]ZEB!$B$49</definedName>
    <definedName name="Zhvaniawaspts">#REF!</definedName>
    <definedName name="Zhvaniawastries">#REF!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6" i="15" l="1"/>
  <c r="E111" i="15"/>
  <c r="F111" i="15" s="1"/>
  <c r="B111" i="15"/>
  <c r="C111" i="15" s="1"/>
  <c r="F82" i="15"/>
  <c r="C80" i="15"/>
  <c r="F110" i="15"/>
  <c r="C110" i="15"/>
  <c r="F109" i="15"/>
  <c r="C109" i="15"/>
  <c r="F108" i="15"/>
  <c r="C108" i="15"/>
  <c r="F83" i="15"/>
  <c r="C107" i="15"/>
  <c r="F81" i="15"/>
  <c r="C79" i="15"/>
  <c r="F66" i="15"/>
  <c r="C64" i="15"/>
  <c r="F107" i="15"/>
  <c r="C106" i="15"/>
  <c r="F72" i="15"/>
  <c r="C70" i="15"/>
  <c r="F106" i="15"/>
  <c r="C105" i="15"/>
  <c r="F63" i="15"/>
  <c r="C61" i="15"/>
  <c r="F80" i="15"/>
  <c r="C78" i="15"/>
  <c r="F105" i="15"/>
  <c r="C104" i="15"/>
  <c r="F104" i="15"/>
  <c r="C103" i="15"/>
  <c r="F103" i="15"/>
  <c r="C102" i="15"/>
  <c r="F102" i="15"/>
  <c r="C101" i="15"/>
  <c r="F79" i="15"/>
  <c r="C77" i="15"/>
  <c r="F101" i="15"/>
  <c r="C100" i="15"/>
  <c r="F65" i="15"/>
  <c r="C63" i="15"/>
  <c r="F78" i="15"/>
  <c r="C76" i="15"/>
  <c r="F100" i="15"/>
  <c r="C99" i="15"/>
  <c r="F99" i="15"/>
  <c r="C98" i="15"/>
  <c r="F98" i="15"/>
  <c r="C97" i="15"/>
  <c r="F97" i="15"/>
  <c r="C96" i="15"/>
  <c r="F77" i="15"/>
  <c r="C75" i="15"/>
  <c r="F96" i="15"/>
  <c r="C95" i="15"/>
  <c r="F95" i="15"/>
  <c r="C94" i="15"/>
  <c r="F69" i="15"/>
  <c r="C93" i="15"/>
  <c r="F68" i="15"/>
  <c r="C67" i="15"/>
  <c r="F94" i="15"/>
  <c r="C92" i="15"/>
  <c r="F93" i="15"/>
  <c r="C91" i="15"/>
  <c r="F92" i="15"/>
  <c r="C90" i="15"/>
  <c r="F91" i="15"/>
  <c r="C89" i="15"/>
  <c r="F71" i="15"/>
  <c r="C69" i="15"/>
  <c r="F60" i="15"/>
  <c r="C66" i="15"/>
  <c r="F90" i="15"/>
  <c r="C88" i="15"/>
  <c r="F76" i="15"/>
  <c r="C74" i="15"/>
  <c r="F75" i="15"/>
  <c r="C73" i="15"/>
  <c r="F89" i="15"/>
  <c r="C87" i="15"/>
  <c r="F88" i="15"/>
  <c r="C86" i="15"/>
  <c r="F74" i="15"/>
  <c r="C72" i="15"/>
  <c r="F67" i="15"/>
  <c r="C65" i="15"/>
  <c r="F70" i="15"/>
  <c r="C68" i="15"/>
  <c r="F59" i="15"/>
  <c r="C85" i="15"/>
  <c r="F62" i="15"/>
  <c r="C60" i="15"/>
  <c r="F84" i="15"/>
  <c r="C84" i="15"/>
  <c r="F87" i="15"/>
  <c r="C83" i="15"/>
  <c r="F86" i="15"/>
  <c r="C82" i="15"/>
  <c r="F64" i="15"/>
  <c r="C62" i="15"/>
  <c r="F85" i="15"/>
  <c r="C81" i="15"/>
  <c r="F61" i="15"/>
  <c r="C59" i="15"/>
  <c r="F73" i="15"/>
  <c r="C71" i="15"/>
  <c r="F22" i="15"/>
  <c r="F52" i="15"/>
  <c r="F51" i="15"/>
  <c r="C52" i="15"/>
  <c r="C51" i="15"/>
  <c r="F45" i="15"/>
  <c r="C45" i="15"/>
  <c r="C22" i="15"/>
  <c r="F7" i="15"/>
  <c r="C7" i="15"/>
  <c r="F8" i="15"/>
  <c r="C8" i="15"/>
  <c r="F37" i="15"/>
  <c r="C37" i="15"/>
  <c r="F25" i="15"/>
  <c r="C25" i="15"/>
  <c r="F5" i="15"/>
  <c r="C5" i="15"/>
  <c r="F31" i="15"/>
  <c r="C31" i="15"/>
  <c r="F54" i="15"/>
  <c r="F53" i="15"/>
  <c r="F50" i="15"/>
  <c r="F49" i="15"/>
  <c r="F48" i="15"/>
  <c r="F47" i="15"/>
  <c r="F46" i="15"/>
  <c r="F44" i="15"/>
  <c r="F43" i="15"/>
  <c r="F42" i="15"/>
  <c r="F41" i="15"/>
  <c r="F40" i="15"/>
  <c r="F39" i="15"/>
  <c r="F38" i="15"/>
  <c r="F36" i="15"/>
  <c r="F35" i="15"/>
  <c r="F34" i="15"/>
  <c r="F33" i="15"/>
  <c r="F32" i="15"/>
  <c r="F30" i="15"/>
  <c r="F29" i="15"/>
  <c r="F28" i="15"/>
  <c r="F27" i="15"/>
  <c r="F26" i="15"/>
  <c r="F24" i="15"/>
  <c r="F23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6" i="15"/>
  <c r="F4" i="15"/>
  <c r="C54" i="15"/>
  <c r="C53" i="15"/>
  <c r="C50" i="15"/>
  <c r="C49" i="15"/>
  <c r="C48" i="15"/>
  <c r="C47" i="15"/>
  <c r="C46" i="15"/>
  <c r="C44" i="15"/>
  <c r="C43" i="15"/>
  <c r="C42" i="15"/>
  <c r="C41" i="15"/>
  <c r="C40" i="15"/>
  <c r="C39" i="15"/>
  <c r="C38" i="15"/>
  <c r="C36" i="15"/>
  <c r="C35" i="15"/>
  <c r="C34" i="15"/>
  <c r="C33" i="15"/>
  <c r="C32" i="15"/>
  <c r="C30" i="15"/>
  <c r="C29" i="15"/>
  <c r="C28" i="15"/>
  <c r="C27" i="15"/>
  <c r="C26" i="15"/>
  <c r="C24" i="15"/>
  <c r="C23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6" i="15"/>
  <c r="C4" i="15"/>
  <c r="E55" i="15"/>
  <c r="F55" i="15" s="1"/>
  <c r="B55" i="15"/>
  <c r="C55" i="15" s="1"/>
  <c r="J8" i="15"/>
  <c r="J7" i="15"/>
  <c r="J6" i="15"/>
  <c r="J5" i="15"/>
  <c r="J4" i="15"/>
  <c r="F3" i="15"/>
  <c r="C3" i="15"/>
  <c r="E107" i="2"/>
  <c r="F107" i="2" s="1"/>
  <c r="B107" i="2"/>
  <c r="C107" i="2" s="1"/>
  <c r="F58" i="2"/>
  <c r="C57" i="2"/>
  <c r="F80" i="2"/>
  <c r="C79" i="2"/>
  <c r="F106" i="2"/>
  <c r="C106" i="2"/>
  <c r="F81" i="2"/>
  <c r="C105" i="2"/>
  <c r="F105" i="2"/>
  <c r="C104" i="2"/>
  <c r="F104" i="2"/>
  <c r="C103" i="2"/>
  <c r="F103" i="2"/>
  <c r="C102" i="2"/>
  <c r="F73" i="2"/>
  <c r="C71" i="2"/>
  <c r="F77" i="2"/>
  <c r="C76" i="2"/>
  <c r="F72" i="2"/>
  <c r="C70" i="2"/>
  <c r="F76" i="2"/>
  <c r="C75" i="2"/>
  <c r="F102" i="2"/>
  <c r="C101" i="2"/>
  <c r="F101" i="2"/>
  <c r="C100" i="2"/>
  <c r="F59" i="2"/>
  <c r="C58" i="2"/>
  <c r="F67" i="2"/>
  <c r="C66" i="2"/>
  <c r="F100" i="2"/>
  <c r="C99" i="2"/>
  <c r="F99" i="2"/>
  <c r="C98" i="2"/>
  <c r="F98" i="2"/>
  <c r="C97" i="2"/>
  <c r="F97" i="2"/>
  <c r="C96" i="2"/>
  <c r="F79" i="2"/>
  <c r="C78" i="2"/>
  <c r="F96" i="2"/>
  <c r="C95" i="2"/>
  <c r="F71" i="2"/>
  <c r="C69" i="2"/>
  <c r="F85" i="2"/>
  <c r="C84" i="2"/>
  <c r="F66" i="2"/>
  <c r="C64" i="2"/>
  <c r="F95" i="2"/>
  <c r="C94" i="2"/>
  <c r="F78" i="2"/>
  <c r="C77" i="2"/>
  <c r="F84" i="2"/>
  <c r="C83" i="2"/>
  <c r="F57" i="2"/>
  <c r="C65" i="2"/>
  <c r="F75" i="2"/>
  <c r="C74" i="2"/>
  <c r="F94" i="2"/>
  <c r="C93" i="2"/>
  <c r="F62" i="2"/>
  <c r="C60" i="2"/>
  <c r="F93" i="2"/>
  <c r="C92" i="2"/>
  <c r="F83" i="2"/>
  <c r="C82" i="2"/>
  <c r="F92" i="2"/>
  <c r="C91" i="2"/>
  <c r="F65" i="2"/>
  <c r="C63" i="2"/>
  <c r="F64" i="2"/>
  <c r="C62" i="2"/>
  <c r="F82" i="2"/>
  <c r="C81" i="2"/>
  <c r="F91" i="2"/>
  <c r="C90" i="2"/>
  <c r="F90" i="2"/>
  <c r="C89" i="2"/>
  <c r="F89" i="2"/>
  <c r="C88" i="2"/>
  <c r="F88" i="2"/>
  <c r="C87" i="2"/>
  <c r="F87" i="2"/>
  <c r="C86" i="2"/>
  <c r="F70" i="2"/>
  <c r="C68" i="2"/>
  <c r="F86" i="2"/>
  <c r="C85" i="2"/>
  <c r="F69" i="2"/>
  <c r="C67" i="2"/>
  <c r="F68" i="2"/>
  <c r="C73" i="2"/>
  <c r="F61" i="2"/>
  <c r="C80" i="2"/>
  <c r="F63" i="2"/>
  <c r="C61" i="2"/>
  <c r="F74" i="2"/>
  <c r="C72" i="2"/>
  <c r="F60" i="2"/>
  <c r="C59" i="2"/>
  <c r="E135" i="3"/>
  <c r="F135" i="3" s="1"/>
  <c r="B135" i="3"/>
  <c r="C135" i="3" s="1"/>
  <c r="F134" i="3"/>
  <c r="C134" i="3"/>
  <c r="F133" i="3"/>
  <c r="C133" i="3"/>
  <c r="F84" i="3"/>
  <c r="C82" i="3"/>
  <c r="F83" i="3"/>
  <c r="C81" i="3"/>
  <c r="F100" i="3"/>
  <c r="C99" i="3"/>
  <c r="F132" i="3"/>
  <c r="C132" i="3"/>
  <c r="F71" i="3"/>
  <c r="C78" i="3"/>
  <c r="F131" i="3"/>
  <c r="C131" i="3"/>
  <c r="F130" i="3"/>
  <c r="C130" i="3"/>
  <c r="F129" i="3"/>
  <c r="C129" i="3"/>
  <c r="F72" i="3"/>
  <c r="C71" i="3"/>
  <c r="F128" i="3"/>
  <c r="C128" i="3"/>
  <c r="F127" i="3"/>
  <c r="C127" i="3"/>
  <c r="F80" i="3"/>
  <c r="C77" i="3"/>
  <c r="F126" i="3"/>
  <c r="C126" i="3"/>
  <c r="F125" i="3"/>
  <c r="C125" i="3"/>
  <c r="F85" i="3"/>
  <c r="C88" i="3"/>
  <c r="F87" i="3"/>
  <c r="C85" i="3"/>
  <c r="F124" i="3"/>
  <c r="C124" i="3"/>
  <c r="F123" i="3"/>
  <c r="C123" i="3"/>
  <c r="F92" i="3"/>
  <c r="C91" i="3"/>
  <c r="F122" i="3"/>
  <c r="C122" i="3"/>
  <c r="F91" i="3"/>
  <c r="C90" i="3"/>
  <c r="F121" i="3"/>
  <c r="C121" i="3"/>
  <c r="F73" i="3"/>
  <c r="C72" i="3"/>
  <c r="F99" i="3"/>
  <c r="C98" i="3"/>
  <c r="F120" i="3"/>
  <c r="C120" i="3"/>
  <c r="F82" i="3"/>
  <c r="C80" i="3"/>
  <c r="F119" i="3"/>
  <c r="C119" i="3"/>
  <c r="F118" i="3"/>
  <c r="C118" i="3"/>
  <c r="F117" i="3"/>
  <c r="C117" i="3"/>
  <c r="F81" i="3"/>
  <c r="C79" i="3"/>
  <c r="F75" i="3"/>
  <c r="C74" i="3"/>
  <c r="F89" i="3"/>
  <c r="C87" i="3"/>
  <c r="F116" i="3"/>
  <c r="C116" i="3"/>
  <c r="F98" i="3"/>
  <c r="C97" i="3"/>
  <c r="F115" i="3"/>
  <c r="C115" i="3"/>
  <c r="F79" i="3"/>
  <c r="C76" i="3"/>
  <c r="F114" i="3"/>
  <c r="C114" i="3"/>
  <c r="F113" i="3"/>
  <c r="C113" i="3"/>
  <c r="F97" i="3"/>
  <c r="C96" i="3"/>
  <c r="F96" i="3"/>
  <c r="C95" i="3"/>
  <c r="F95" i="3"/>
  <c r="C94" i="3"/>
  <c r="F78" i="3"/>
  <c r="C84" i="3"/>
  <c r="F112" i="3"/>
  <c r="C112" i="3"/>
  <c r="F94" i="3"/>
  <c r="C93" i="3"/>
  <c r="F77" i="3"/>
  <c r="C111" i="3"/>
  <c r="F90" i="3"/>
  <c r="C89" i="3"/>
  <c r="F111" i="3"/>
  <c r="C110" i="3"/>
  <c r="F110" i="3"/>
  <c r="C109" i="3"/>
  <c r="F88" i="3"/>
  <c r="C86" i="3"/>
  <c r="F109" i="3"/>
  <c r="C108" i="3"/>
  <c r="F108" i="3"/>
  <c r="C107" i="3"/>
  <c r="F107" i="3"/>
  <c r="C106" i="3"/>
  <c r="F106" i="3"/>
  <c r="C105" i="3"/>
  <c r="F105" i="3"/>
  <c r="C104" i="3"/>
  <c r="F104" i="3"/>
  <c r="C103" i="3"/>
  <c r="F103" i="3"/>
  <c r="C102" i="3"/>
  <c r="F76" i="3"/>
  <c r="C75" i="3"/>
  <c r="F93" i="3"/>
  <c r="C92" i="3"/>
  <c r="F74" i="3"/>
  <c r="C73" i="3"/>
  <c r="F102" i="3"/>
  <c r="C101" i="3"/>
  <c r="F86" i="3"/>
  <c r="C83" i="3"/>
  <c r="F101" i="3"/>
  <c r="C100" i="3"/>
  <c r="F115" i="14"/>
  <c r="E115" i="14"/>
  <c r="B115" i="14"/>
  <c r="C115" i="14" s="1"/>
  <c r="F80" i="14"/>
  <c r="C79" i="14"/>
  <c r="F69" i="14"/>
  <c r="C114" i="14"/>
  <c r="F85" i="14"/>
  <c r="C84" i="14"/>
  <c r="F84" i="14"/>
  <c r="C83" i="14"/>
  <c r="F114" i="14"/>
  <c r="C113" i="14"/>
  <c r="F113" i="14"/>
  <c r="C112" i="14"/>
  <c r="F112" i="14"/>
  <c r="C111" i="14"/>
  <c r="F111" i="14"/>
  <c r="C110" i="14"/>
  <c r="F110" i="14"/>
  <c r="C109" i="14"/>
  <c r="F68" i="14"/>
  <c r="C66" i="14"/>
  <c r="F109" i="14"/>
  <c r="C108" i="14"/>
  <c r="F66" i="14"/>
  <c r="C65" i="14"/>
  <c r="F108" i="14"/>
  <c r="C107" i="14"/>
  <c r="F77" i="14"/>
  <c r="C74" i="14"/>
  <c r="F107" i="14"/>
  <c r="C106" i="14"/>
  <c r="F106" i="14"/>
  <c r="C105" i="14"/>
  <c r="F76" i="14"/>
  <c r="C73" i="14"/>
  <c r="F73" i="14"/>
  <c r="C72" i="14"/>
  <c r="F105" i="14"/>
  <c r="C104" i="14"/>
  <c r="F104" i="14"/>
  <c r="C103" i="14"/>
  <c r="F103" i="14"/>
  <c r="C102" i="14"/>
  <c r="F72" i="14"/>
  <c r="C69" i="14"/>
  <c r="F102" i="14"/>
  <c r="C101" i="14"/>
  <c r="F101" i="14"/>
  <c r="C100" i="14"/>
  <c r="F83" i="14"/>
  <c r="C82" i="14"/>
  <c r="F62" i="14"/>
  <c r="C81" i="14"/>
  <c r="F79" i="14"/>
  <c r="C76" i="14"/>
  <c r="F82" i="14"/>
  <c r="C80" i="14"/>
  <c r="F65" i="14"/>
  <c r="C64" i="14"/>
  <c r="F100" i="14"/>
  <c r="C99" i="14"/>
  <c r="F99" i="14"/>
  <c r="C98" i="14"/>
  <c r="F98" i="14"/>
  <c r="C97" i="14"/>
  <c r="F97" i="14"/>
  <c r="C96" i="14"/>
  <c r="F96" i="14"/>
  <c r="C95" i="14"/>
  <c r="F95" i="14"/>
  <c r="C94" i="14"/>
  <c r="F94" i="14"/>
  <c r="C93" i="14"/>
  <c r="F78" i="14"/>
  <c r="C75" i="14"/>
  <c r="F93" i="14"/>
  <c r="C92" i="14"/>
  <c r="F75" i="14"/>
  <c r="C71" i="14"/>
  <c r="F92" i="14"/>
  <c r="C91" i="14"/>
  <c r="F71" i="14"/>
  <c r="C68" i="14"/>
  <c r="F64" i="14"/>
  <c r="C63" i="14"/>
  <c r="F91" i="14"/>
  <c r="C90" i="14"/>
  <c r="F70" i="14"/>
  <c r="C67" i="14"/>
  <c r="F90" i="14"/>
  <c r="C89" i="14"/>
  <c r="F89" i="14"/>
  <c r="C88" i="14"/>
  <c r="F63" i="14"/>
  <c r="C62" i="14"/>
  <c r="F61" i="14"/>
  <c r="C61" i="14"/>
  <c r="F88" i="14"/>
  <c r="C87" i="14"/>
  <c r="F81" i="14"/>
  <c r="C78" i="14"/>
  <c r="F87" i="14"/>
  <c r="C86" i="14"/>
  <c r="F86" i="14"/>
  <c r="C85" i="14"/>
  <c r="F74" i="14"/>
  <c r="C70" i="14"/>
  <c r="F67" i="14"/>
  <c r="C77" i="14"/>
  <c r="E107" i="6"/>
  <c r="F107" i="6" s="1"/>
  <c r="B107" i="6"/>
  <c r="C107" i="6" s="1"/>
  <c r="F68" i="6"/>
  <c r="C66" i="6"/>
  <c r="F72" i="6"/>
  <c r="C83" i="6"/>
  <c r="F63" i="6"/>
  <c r="C60" i="6"/>
  <c r="F106" i="6"/>
  <c r="C106" i="6"/>
  <c r="F105" i="6"/>
  <c r="C105" i="6"/>
  <c r="F104" i="6"/>
  <c r="C104" i="6"/>
  <c r="F59" i="6"/>
  <c r="C74" i="6"/>
  <c r="F103" i="6"/>
  <c r="C103" i="6"/>
  <c r="F102" i="6"/>
  <c r="C102" i="6"/>
  <c r="F83" i="6"/>
  <c r="C82" i="6"/>
  <c r="F82" i="6"/>
  <c r="C81" i="6"/>
  <c r="F84" i="6"/>
  <c r="C101" i="6"/>
  <c r="F81" i="6"/>
  <c r="C80" i="6"/>
  <c r="F58" i="6"/>
  <c r="C70" i="6"/>
  <c r="F101" i="6"/>
  <c r="C100" i="6"/>
  <c r="F100" i="6"/>
  <c r="C99" i="6"/>
  <c r="F71" i="6"/>
  <c r="C69" i="6"/>
  <c r="F76" i="6"/>
  <c r="C79" i="6"/>
  <c r="F75" i="6"/>
  <c r="C73" i="6"/>
  <c r="F99" i="6"/>
  <c r="C98" i="6"/>
  <c r="F98" i="6"/>
  <c r="C97" i="6"/>
  <c r="F80" i="6"/>
  <c r="C78" i="6"/>
  <c r="F79" i="6"/>
  <c r="C77" i="6"/>
  <c r="F97" i="6"/>
  <c r="C96" i="6"/>
  <c r="F62" i="6"/>
  <c r="C59" i="6"/>
  <c r="F96" i="6"/>
  <c r="C95" i="6"/>
  <c r="F95" i="6"/>
  <c r="C94" i="6"/>
  <c r="F67" i="6"/>
  <c r="C65" i="6"/>
  <c r="F70" i="6"/>
  <c r="C68" i="6"/>
  <c r="F66" i="6"/>
  <c r="C64" i="6"/>
  <c r="F94" i="6"/>
  <c r="C93" i="6"/>
  <c r="F93" i="6"/>
  <c r="C92" i="6"/>
  <c r="F78" i="6"/>
  <c r="C76" i="6"/>
  <c r="F92" i="6"/>
  <c r="C91" i="6"/>
  <c r="F74" i="6"/>
  <c r="C72" i="6"/>
  <c r="F91" i="6"/>
  <c r="C90" i="6"/>
  <c r="F90" i="6"/>
  <c r="C89" i="6"/>
  <c r="F89" i="6"/>
  <c r="C88" i="6"/>
  <c r="F57" i="6"/>
  <c r="C57" i="6"/>
  <c r="F88" i="6"/>
  <c r="C87" i="6"/>
  <c r="F69" i="6"/>
  <c r="C67" i="6"/>
  <c r="F65" i="6"/>
  <c r="C63" i="6"/>
  <c r="F87" i="6"/>
  <c r="C86" i="6"/>
  <c r="F73" i="6"/>
  <c r="C71" i="6"/>
  <c r="F86" i="6"/>
  <c r="C85" i="6"/>
  <c r="F64" i="6"/>
  <c r="C62" i="6"/>
  <c r="F60" i="6"/>
  <c r="C61" i="6"/>
  <c r="F61" i="6"/>
  <c r="C58" i="6"/>
  <c r="F77" i="6"/>
  <c r="C75" i="6"/>
  <c r="F85" i="6"/>
  <c r="C84" i="6"/>
  <c r="M8" i="3"/>
  <c r="J15" i="13"/>
  <c r="I15" i="13"/>
  <c r="J12" i="13"/>
  <c r="I12" i="13"/>
  <c r="J7" i="13"/>
  <c r="I7" i="13"/>
  <c r="K20" i="13"/>
  <c r="K8" i="13"/>
  <c r="K4" i="13"/>
  <c r="K16" i="13"/>
  <c r="K9" i="13"/>
  <c r="K11" i="13"/>
  <c r="K5" i="13"/>
  <c r="K14" i="13"/>
  <c r="K17" i="13"/>
  <c r="M4" i="14"/>
  <c r="J4" i="14"/>
  <c r="F25" i="14"/>
  <c r="F31" i="14"/>
  <c r="F30" i="14"/>
  <c r="F49" i="14"/>
  <c r="F48" i="14"/>
  <c r="F47" i="14"/>
  <c r="F46" i="14"/>
  <c r="F131" i="13"/>
  <c r="C125" i="13"/>
  <c r="F53" i="14"/>
  <c r="C53" i="14"/>
  <c r="J4" i="3"/>
  <c r="J5" i="3"/>
  <c r="J7" i="3"/>
  <c r="F65" i="3"/>
  <c r="F64" i="3"/>
  <c r="F63" i="3"/>
  <c r="F62" i="3"/>
  <c r="F61" i="3"/>
  <c r="F60" i="3"/>
  <c r="F59" i="3"/>
  <c r="F58" i="3"/>
  <c r="F57" i="3"/>
  <c r="F56" i="3"/>
  <c r="F55" i="3"/>
  <c r="C65" i="3"/>
  <c r="C64" i="3"/>
  <c r="C63" i="3"/>
  <c r="C62" i="3"/>
  <c r="C61" i="3"/>
  <c r="C60" i="3"/>
  <c r="C59" i="3"/>
  <c r="C58" i="3"/>
  <c r="C57" i="3"/>
  <c r="C56" i="3"/>
  <c r="C55" i="3"/>
  <c r="M6" i="2"/>
  <c r="J6" i="2"/>
  <c r="J5" i="2"/>
  <c r="J4" i="2"/>
  <c r="J7" i="6"/>
  <c r="J8" i="6"/>
  <c r="F96" i="13"/>
  <c r="C107" i="13"/>
  <c r="F51" i="6"/>
  <c r="C51" i="6"/>
  <c r="F113" i="13"/>
  <c r="C104" i="13"/>
  <c r="F40" i="6"/>
  <c r="C40" i="6"/>
  <c r="F37" i="13"/>
  <c r="C22" i="13"/>
  <c r="F214" i="13"/>
  <c r="C210" i="13"/>
  <c r="F213" i="13"/>
  <c r="C209" i="13"/>
  <c r="F17" i="13"/>
  <c r="C9" i="13"/>
  <c r="F12" i="13"/>
  <c r="C7" i="13"/>
  <c r="F212" i="13"/>
  <c r="C208" i="13"/>
  <c r="F106" i="13"/>
  <c r="C98" i="13"/>
  <c r="F211" i="13"/>
  <c r="C207" i="13"/>
  <c r="F210" i="13"/>
  <c r="C206" i="13"/>
  <c r="F83" i="13"/>
  <c r="C66" i="13"/>
  <c r="F22" i="13"/>
  <c r="C96" i="13"/>
  <c r="F235" i="13"/>
  <c r="C231" i="13"/>
  <c r="F233" i="13"/>
  <c r="C229" i="13"/>
  <c r="F86" i="13"/>
  <c r="C70" i="13"/>
  <c r="F11" i="13"/>
  <c r="C122" i="13"/>
  <c r="F94" i="13"/>
  <c r="C83" i="13"/>
  <c r="F222" i="13"/>
  <c r="C218" i="13"/>
  <c r="F218" i="13"/>
  <c r="C214" i="13"/>
  <c r="C46" i="14"/>
  <c r="C49" i="14"/>
  <c r="C31" i="14"/>
  <c r="C30" i="14"/>
  <c r="C25" i="14"/>
  <c r="F209" i="13"/>
  <c r="C205" i="13"/>
  <c r="F67" i="13"/>
  <c r="C53" i="13"/>
  <c r="F66" i="13"/>
  <c r="C52" i="13"/>
  <c r="F127" i="13"/>
  <c r="C120" i="13"/>
  <c r="F208" i="13"/>
  <c r="C204" i="13"/>
  <c r="C36" i="13"/>
  <c r="F207" i="13"/>
  <c r="C203" i="13"/>
  <c r="F206" i="13"/>
  <c r="C202" i="13"/>
  <c r="F205" i="13"/>
  <c r="C201" i="13"/>
  <c r="F9" i="13"/>
  <c r="C6" i="13"/>
  <c r="F204" i="13"/>
  <c r="C200" i="13"/>
  <c r="F197" i="13"/>
  <c r="C193" i="13"/>
  <c r="C95" i="13"/>
  <c r="C93" i="13"/>
  <c r="C118" i="13"/>
  <c r="C186" i="13"/>
  <c r="C113" i="13"/>
  <c r="F196" i="13"/>
  <c r="C192" i="13"/>
  <c r="F48" i="13"/>
  <c r="C32" i="13"/>
  <c r="F60" i="13"/>
  <c r="C46" i="13"/>
  <c r="F142" i="13"/>
  <c r="C135" i="13"/>
  <c r="F97" i="13"/>
  <c r="C85" i="13"/>
  <c r="K12" i="13" l="1"/>
  <c r="K7" i="13"/>
  <c r="K15" i="13"/>
  <c r="F93" i="13"/>
  <c r="C82" i="13"/>
  <c r="F20" i="14"/>
  <c r="C20" i="14"/>
  <c r="F87" i="13" l="1"/>
  <c r="C75" i="13"/>
  <c r="F4" i="2"/>
  <c r="C4" i="2"/>
  <c r="F61" i="13" l="1"/>
  <c r="C47" i="13"/>
  <c r="F25" i="6"/>
  <c r="C25" i="6"/>
  <c r="J8" i="3"/>
  <c r="J6" i="6"/>
  <c r="F21" i="14"/>
  <c r="C21" i="14"/>
  <c r="F10" i="14"/>
  <c r="C10" i="14"/>
  <c r="F29" i="3" l="1"/>
  <c r="C29" i="3"/>
  <c r="F9" i="6" l="1"/>
  <c r="C9" i="6"/>
  <c r="F145" i="13"/>
  <c r="C138" i="13"/>
  <c r="F29" i="6"/>
  <c r="C29" i="6"/>
  <c r="F157" i="13" l="1"/>
  <c r="C151" i="13"/>
  <c r="F12" i="2"/>
  <c r="C12" i="2"/>
  <c r="F156" i="13"/>
  <c r="C150" i="13"/>
  <c r="F11" i="2"/>
  <c r="C11" i="2"/>
  <c r="F6" i="3" l="1"/>
  <c r="C6" i="3"/>
  <c r="F124" i="13"/>
  <c r="C117" i="13"/>
  <c r="F26" i="3"/>
  <c r="C26" i="3"/>
  <c r="F26" i="13"/>
  <c r="C16" i="13"/>
  <c r="F162" i="13"/>
  <c r="C156" i="13"/>
  <c r="F22" i="2"/>
  <c r="C22" i="2"/>
  <c r="F21" i="2"/>
  <c r="C21" i="2"/>
  <c r="F76" i="13"/>
  <c r="C61" i="13"/>
  <c r="F8" i="2"/>
  <c r="C8" i="2"/>
  <c r="K3" i="13" l="1"/>
  <c r="F8" i="13"/>
  <c r="C4" i="13"/>
  <c r="F39" i="2"/>
  <c r="C39" i="2"/>
  <c r="F138" i="13" l="1"/>
  <c r="C131" i="13"/>
  <c r="F16" i="6"/>
  <c r="C16" i="6"/>
  <c r="F43" i="14"/>
  <c r="C43" i="14"/>
  <c r="F59" i="13" l="1"/>
  <c r="C45" i="13"/>
  <c r="F11" i="6"/>
  <c r="C11" i="6"/>
  <c r="J6" i="3" l="1"/>
  <c r="J7" i="14" l="1"/>
  <c r="J6" i="14" l="1"/>
  <c r="F215" i="13" l="1"/>
  <c r="C211" i="13"/>
  <c r="F14" i="14"/>
  <c r="C14" i="14"/>
  <c r="F173" i="13" l="1"/>
  <c r="C167" i="13"/>
  <c r="F47" i="2" l="1"/>
  <c r="C47" i="2"/>
  <c r="F130" i="13"/>
  <c r="F227" i="13"/>
  <c r="C124" i="13"/>
  <c r="C223" i="13"/>
  <c r="F54" i="14"/>
  <c r="C54" i="14"/>
  <c r="F36" i="14"/>
  <c r="C36" i="14"/>
  <c r="F182" i="13" l="1"/>
  <c r="C177" i="13"/>
  <c r="F13" i="3"/>
  <c r="C13" i="3"/>
  <c r="C38" i="2"/>
  <c r="F38" i="2"/>
  <c r="K2" i="13" l="1"/>
  <c r="F217" i="13"/>
  <c r="C213" i="13"/>
  <c r="F19" i="14"/>
  <c r="C19" i="14"/>
  <c r="F45" i="2" l="1"/>
  <c r="C45" i="2"/>
  <c r="J8" i="14" l="1"/>
  <c r="J5" i="14"/>
  <c r="F7" i="13" l="1"/>
  <c r="C60" i="13"/>
  <c r="J4" i="6"/>
  <c r="J5" i="6"/>
  <c r="F39" i="6"/>
  <c r="C39" i="6"/>
  <c r="F73" i="13"/>
  <c r="C57" i="13"/>
  <c r="F12" i="6"/>
  <c r="C12" i="6"/>
  <c r="J7" i="2"/>
  <c r="J18" i="13"/>
  <c r="I18" i="13"/>
  <c r="F164" i="13"/>
  <c r="C158" i="13"/>
  <c r="F28" i="2"/>
  <c r="C28" i="2"/>
  <c r="F32" i="13"/>
  <c r="C20" i="13"/>
  <c r="F8" i="3"/>
  <c r="C8" i="3"/>
  <c r="F49" i="3"/>
  <c r="C49" i="3"/>
  <c r="F4" i="14"/>
  <c r="C4" i="14"/>
  <c r="F6" i="14"/>
  <c r="C6" i="14"/>
  <c r="F223" i="13"/>
  <c r="C219" i="13"/>
  <c r="F26" i="14"/>
  <c r="C26" i="14"/>
  <c r="F148" i="13"/>
  <c r="C141" i="13"/>
  <c r="F37" i="6"/>
  <c r="C37" i="6"/>
  <c r="F99" i="13"/>
  <c r="C87" i="13"/>
  <c r="F34" i="6"/>
  <c r="C34" i="6"/>
  <c r="F122" i="13"/>
  <c r="C115" i="13"/>
  <c r="F24" i="3"/>
  <c r="C24" i="3"/>
  <c r="F119" i="13"/>
  <c r="C112" i="13"/>
  <c r="F30" i="2"/>
  <c r="C30" i="2"/>
  <c r="F159" i="13"/>
  <c r="C153" i="13"/>
  <c r="F14" i="2"/>
  <c r="C14" i="2"/>
  <c r="F186" i="13"/>
  <c r="C181" i="13"/>
  <c r="F18" i="3"/>
  <c r="C18" i="3"/>
  <c r="F137" i="13"/>
  <c r="C130" i="13"/>
  <c r="F15" i="6"/>
  <c r="C15" i="6"/>
  <c r="F101" i="13"/>
  <c r="C90" i="13"/>
  <c r="F33" i="2"/>
  <c r="C33" i="2"/>
  <c r="F168" i="13"/>
  <c r="C162" i="13"/>
  <c r="F36" i="2"/>
  <c r="C36" i="2"/>
  <c r="F5" i="14"/>
  <c r="C5" i="14"/>
  <c r="F62" i="13"/>
  <c r="F110" i="13"/>
  <c r="F152" i="13"/>
  <c r="F112" i="13"/>
  <c r="F128" i="13"/>
  <c r="F40" i="13"/>
  <c r="F18" i="13"/>
  <c r="F171" i="13"/>
  <c r="F169" i="13"/>
  <c r="F225" i="13"/>
  <c r="F103" i="13"/>
  <c r="F68" i="13"/>
  <c r="F187" i="13"/>
  <c r="F224" i="13"/>
  <c r="F191" i="13"/>
  <c r="F231" i="13"/>
  <c r="F63" i="13"/>
  <c r="F236" i="13"/>
  <c r="F10" i="13"/>
  <c r="F120" i="13"/>
  <c r="F184" i="13"/>
  <c r="F189" i="13"/>
  <c r="F228" i="13"/>
  <c r="F65" i="13"/>
  <c r="F192" i="13"/>
  <c r="F176" i="13"/>
  <c r="F45" i="13"/>
  <c r="F221" i="13"/>
  <c r="F107" i="13"/>
  <c r="F132" i="13"/>
  <c r="F201" i="13"/>
  <c r="F237" i="13"/>
  <c r="F35" i="13"/>
  <c r="F170" i="13"/>
  <c r="F216" i="13"/>
  <c r="F229" i="13"/>
  <c r="F166" i="13"/>
  <c r="F150" i="13"/>
  <c r="F177" i="13"/>
  <c r="F134" i="13"/>
  <c r="F3" i="13"/>
  <c r="F181" i="13"/>
  <c r="F70" i="13"/>
  <c r="F77" i="13"/>
  <c r="F74" i="13"/>
  <c r="F116" i="13"/>
  <c r="F161" i="13"/>
  <c r="F117" i="13"/>
  <c r="F220" i="13"/>
  <c r="F42" i="13"/>
  <c r="F111" i="13"/>
  <c r="F147" i="13"/>
  <c r="F75" i="13"/>
  <c r="F149" i="13"/>
  <c r="F129" i="13"/>
  <c r="F100" i="13"/>
  <c r="F226" i="13"/>
  <c r="F69" i="13"/>
  <c r="F78" i="13"/>
  <c r="F115" i="13"/>
  <c r="F151" i="13"/>
  <c r="F194" i="13"/>
  <c r="F126" i="13"/>
  <c r="F105" i="13"/>
  <c r="F33" i="13"/>
  <c r="F172" i="13"/>
  <c r="F203" i="13"/>
  <c r="F95" i="13"/>
  <c r="F133" i="13"/>
  <c r="F109" i="13"/>
  <c r="F81" i="13"/>
  <c r="F41" i="13"/>
  <c r="F36" i="13"/>
  <c r="F58" i="13"/>
  <c r="F178" i="13"/>
  <c r="F135" i="13"/>
  <c r="F179" i="13"/>
  <c r="F136" i="13"/>
  <c r="F44" i="13"/>
  <c r="F180" i="13"/>
  <c r="F183" i="13"/>
  <c r="F91" i="13"/>
  <c r="F185" i="13"/>
  <c r="F155" i="13"/>
  <c r="F139" i="13"/>
  <c r="F98" i="13"/>
  <c r="F140" i="13"/>
  <c r="F34" i="13"/>
  <c r="F141" i="13"/>
  <c r="F121" i="13"/>
  <c r="F158" i="13"/>
  <c r="F84" i="13"/>
  <c r="F160" i="13"/>
  <c r="F143" i="13"/>
  <c r="F144" i="13"/>
  <c r="F219" i="13"/>
  <c r="F163" i="13"/>
  <c r="F123" i="13"/>
  <c r="F88" i="13"/>
  <c r="F118" i="13"/>
  <c r="F146" i="13"/>
  <c r="F20" i="13"/>
  <c r="F188" i="13"/>
  <c r="F190" i="13"/>
  <c r="F46" i="13"/>
  <c r="F125" i="13"/>
  <c r="F92" i="13"/>
  <c r="F64" i="13"/>
  <c r="F114" i="13"/>
  <c r="F165" i="13"/>
  <c r="F71" i="13"/>
  <c r="F193" i="13"/>
  <c r="F30" i="13"/>
  <c r="F153" i="13"/>
  <c r="F154" i="13"/>
  <c r="F195" i="13"/>
  <c r="F85" i="13"/>
  <c r="F167" i="13"/>
  <c r="F230" i="13"/>
  <c r="F43" i="13"/>
  <c r="F104" i="13"/>
  <c r="F89" i="13"/>
  <c r="F198" i="13"/>
  <c r="F79" i="13"/>
  <c r="F232" i="13"/>
  <c r="F21" i="13"/>
  <c r="F199" i="13"/>
  <c r="F90" i="13"/>
  <c r="F200" i="13"/>
  <c r="F234" i="13"/>
  <c r="F49" i="13"/>
  <c r="F174" i="13"/>
  <c r="F238" i="13"/>
  <c r="F202" i="13"/>
  <c r="F108" i="13"/>
  <c r="F175" i="13"/>
  <c r="F102" i="13"/>
  <c r="F6" i="13"/>
  <c r="C100" i="13"/>
  <c r="C146" i="13"/>
  <c r="C102" i="13"/>
  <c r="C103" i="13"/>
  <c r="C143" i="13"/>
  <c r="C127" i="13"/>
  <c r="C2" i="13"/>
  <c r="C58" i="13"/>
  <c r="C26" i="13"/>
  <c r="C101" i="13"/>
  <c r="C140" i="13"/>
  <c r="C59" i="13"/>
  <c r="C142" i="13"/>
  <c r="C106" i="13"/>
  <c r="C144" i="13"/>
  <c r="C145" i="13"/>
  <c r="C126" i="13"/>
  <c r="C99" i="13"/>
  <c r="C24" i="13"/>
  <c r="C43" i="13"/>
  <c r="C44" i="13"/>
  <c r="C128" i="13"/>
  <c r="C129" i="13"/>
  <c r="C132" i="13"/>
  <c r="C86" i="13"/>
  <c r="C133" i="13"/>
  <c r="C134" i="13"/>
  <c r="C136" i="13"/>
  <c r="C137" i="13"/>
  <c r="C139" i="13"/>
  <c r="C105" i="13"/>
  <c r="C88" i="13"/>
  <c r="C147" i="13"/>
  <c r="C148" i="13"/>
  <c r="C27" i="13"/>
  <c r="C48" i="13"/>
  <c r="C49" i="13"/>
  <c r="C165" i="13"/>
  <c r="C5" i="13"/>
  <c r="C108" i="13"/>
  <c r="C30" i="13"/>
  <c r="C163" i="13"/>
  <c r="C76" i="13"/>
  <c r="C62" i="13"/>
  <c r="C109" i="13"/>
  <c r="C155" i="13"/>
  <c r="C110" i="13"/>
  <c r="C89" i="13"/>
  <c r="C63" i="13"/>
  <c r="C160" i="13"/>
  <c r="C166" i="13"/>
  <c r="C28" i="13"/>
  <c r="C149" i="13"/>
  <c r="C152" i="13"/>
  <c r="C154" i="13"/>
  <c r="C157" i="13"/>
  <c r="C77" i="13"/>
  <c r="C111" i="13"/>
  <c r="C31" i="13"/>
  <c r="C159" i="13"/>
  <c r="C161" i="13"/>
  <c r="C164" i="13"/>
  <c r="C78" i="13"/>
  <c r="C71" i="13"/>
  <c r="C79" i="13"/>
  <c r="C168" i="13"/>
  <c r="C169" i="13"/>
  <c r="C170" i="13"/>
  <c r="C91" i="13"/>
  <c r="C3" i="13"/>
  <c r="C183" i="13"/>
  <c r="C187" i="13"/>
  <c r="C179" i="13"/>
  <c r="C185" i="13"/>
  <c r="C171" i="13"/>
  <c r="C188" i="13"/>
  <c r="C197" i="13"/>
  <c r="C172" i="13"/>
  <c r="C176" i="13"/>
  <c r="C190" i="13"/>
  <c r="C119" i="13"/>
  <c r="C199" i="13"/>
  <c r="C64" i="13"/>
  <c r="C173" i="13"/>
  <c r="C174" i="13"/>
  <c r="C175" i="13"/>
  <c r="C178" i="13"/>
  <c r="C80" i="13"/>
  <c r="C180" i="13"/>
  <c r="C92" i="13"/>
  <c r="C182" i="13"/>
  <c r="C114" i="13"/>
  <c r="C65" i="13"/>
  <c r="C116" i="13"/>
  <c r="C184" i="13"/>
  <c r="C81" i="13"/>
  <c r="C50" i="13"/>
  <c r="C189" i="13"/>
  <c r="C191" i="13"/>
  <c r="C194" i="13"/>
  <c r="C195" i="13"/>
  <c r="C196" i="13"/>
  <c r="C33" i="13"/>
  <c r="C198" i="13"/>
  <c r="C51" i="13"/>
  <c r="C221" i="13"/>
  <c r="C54" i="13"/>
  <c r="C220" i="13"/>
  <c r="C227" i="13"/>
  <c r="C232" i="13"/>
  <c r="C224" i="13"/>
  <c r="C217" i="13"/>
  <c r="C121" i="13"/>
  <c r="C233" i="13"/>
  <c r="C235" i="13"/>
  <c r="C212" i="13"/>
  <c r="C216" i="13"/>
  <c r="C123" i="13"/>
  <c r="C222" i="13"/>
  <c r="C55" i="13"/>
  <c r="C225" i="13"/>
  <c r="C21" i="13"/>
  <c r="C97" i="13"/>
  <c r="C10" i="13"/>
  <c r="C67" i="13"/>
  <c r="C215" i="13"/>
  <c r="C12" i="13"/>
  <c r="C72" i="13"/>
  <c r="C69" i="13"/>
  <c r="C226" i="13"/>
  <c r="C228" i="13"/>
  <c r="C13" i="13"/>
  <c r="C230" i="13"/>
  <c r="C234" i="13"/>
  <c r="F10" i="3"/>
  <c r="C10" i="3"/>
  <c r="F30" i="3"/>
  <c r="C30" i="3"/>
  <c r="J10" i="13"/>
  <c r="I10" i="13"/>
  <c r="E53" i="6"/>
  <c r="F52" i="6"/>
  <c r="F50" i="6"/>
  <c r="F49" i="6"/>
  <c r="F48" i="6"/>
  <c r="F47" i="6"/>
  <c r="F46" i="6"/>
  <c r="F45" i="6"/>
  <c r="F44" i="6"/>
  <c r="F43" i="6"/>
  <c r="F42" i="6"/>
  <c r="F41" i="6"/>
  <c r="F38" i="6"/>
  <c r="F36" i="6"/>
  <c r="F35" i="6"/>
  <c r="F33" i="6"/>
  <c r="F32" i="6"/>
  <c r="F31" i="6"/>
  <c r="F30" i="6"/>
  <c r="F28" i="6"/>
  <c r="F27" i="6"/>
  <c r="F26" i="6"/>
  <c r="F24" i="6"/>
  <c r="F23" i="6"/>
  <c r="F22" i="6"/>
  <c r="F21" i="6"/>
  <c r="F20" i="6"/>
  <c r="F19" i="6"/>
  <c r="F18" i="6"/>
  <c r="F17" i="6"/>
  <c r="F14" i="6"/>
  <c r="F13" i="6"/>
  <c r="F10" i="6"/>
  <c r="F8" i="6"/>
  <c r="F7" i="6"/>
  <c r="F6" i="6"/>
  <c r="F5" i="6"/>
  <c r="F4" i="6"/>
  <c r="F3" i="6"/>
  <c r="B53" i="6"/>
  <c r="C52" i="6"/>
  <c r="C50" i="6"/>
  <c r="C49" i="6"/>
  <c r="C48" i="6"/>
  <c r="C47" i="6"/>
  <c r="C46" i="6"/>
  <c r="C45" i="6"/>
  <c r="C44" i="6"/>
  <c r="C43" i="6"/>
  <c r="C42" i="6"/>
  <c r="C41" i="6"/>
  <c r="C38" i="6"/>
  <c r="C36" i="6"/>
  <c r="C35" i="6"/>
  <c r="C33" i="6"/>
  <c r="C32" i="6"/>
  <c r="C31" i="6"/>
  <c r="C30" i="6"/>
  <c r="C28" i="6"/>
  <c r="C27" i="6"/>
  <c r="C26" i="6"/>
  <c r="C24" i="6"/>
  <c r="C23" i="6"/>
  <c r="C22" i="6"/>
  <c r="C21" i="6"/>
  <c r="C20" i="6"/>
  <c r="C19" i="6"/>
  <c r="C18" i="6"/>
  <c r="C17" i="6"/>
  <c r="C14" i="6"/>
  <c r="C13" i="6"/>
  <c r="C10" i="6"/>
  <c r="C8" i="6"/>
  <c r="C7" i="6"/>
  <c r="C6" i="6"/>
  <c r="C5" i="6"/>
  <c r="C4" i="6"/>
  <c r="C3" i="6"/>
  <c r="F35" i="2"/>
  <c r="C35" i="2"/>
  <c r="F40" i="3"/>
  <c r="C40" i="3"/>
  <c r="F48" i="3"/>
  <c r="C48" i="3"/>
  <c r="F31" i="3"/>
  <c r="C31" i="3"/>
  <c r="F18" i="14"/>
  <c r="C18" i="14"/>
  <c r="E53" i="2"/>
  <c r="F52" i="2"/>
  <c r="F51" i="2"/>
  <c r="F50" i="2"/>
  <c r="F49" i="2"/>
  <c r="F48" i="2"/>
  <c r="F46" i="2"/>
  <c r="F44" i="2"/>
  <c r="F43" i="2"/>
  <c r="F42" i="2"/>
  <c r="F41" i="2"/>
  <c r="F40" i="2"/>
  <c r="F37" i="2"/>
  <c r="F34" i="2"/>
  <c r="F32" i="2"/>
  <c r="F31" i="2"/>
  <c r="F29" i="2"/>
  <c r="F27" i="2"/>
  <c r="F26" i="2"/>
  <c r="F25" i="2"/>
  <c r="F24" i="2"/>
  <c r="F23" i="2"/>
  <c r="F20" i="2"/>
  <c r="F19" i="2"/>
  <c r="F18" i="2"/>
  <c r="F17" i="2"/>
  <c r="F16" i="2"/>
  <c r="F15" i="2"/>
  <c r="F13" i="2"/>
  <c r="F10" i="2"/>
  <c r="F9" i="2"/>
  <c r="F7" i="2"/>
  <c r="F6" i="2"/>
  <c r="F5" i="2"/>
  <c r="F3" i="2"/>
  <c r="B53" i="2"/>
  <c r="C52" i="2"/>
  <c r="C51" i="2"/>
  <c r="C50" i="2"/>
  <c r="C49" i="2"/>
  <c r="C48" i="2"/>
  <c r="C46" i="2"/>
  <c r="C44" i="2"/>
  <c r="C43" i="2"/>
  <c r="C42" i="2"/>
  <c r="C41" i="2"/>
  <c r="C40" i="2"/>
  <c r="C37" i="2"/>
  <c r="C34" i="2"/>
  <c r="C32" i="2"/>
  <c r="C31" i="2"/>
  <c r="C29" i="2"/>
  <c r="C27" i="2"/>
  <c r="C26" i="2"/>
  <c r="C25" i="2"/>
  <c r="C24" i="2"/>
  <c r="C23" i="2"/>
  <c r="C20" i="2"/>
  <c r="C19" i="2"/>
  <c r="C18" i="2"/>
  <c r="C17" i="2"/>
  <c r="C16" i="2"/>
  <c r="C15" i="2"/>
  <c r="C13" i="2"/>
  <c r="C10" i="2"/>
  <c r="C9" i="2"/>
  <c r="C7" i="2"/>
  <c r="C6" i="2"/>
  <c r="C5" i="2"/>
  <c r="C3" i="2"/>
  <c r="F17" i="3"/>
  <c r="C17" i="3"/>
  <c r="E67" i="3"/>
  <c r="F66" i="3"/>
  <c r="F54" i="3"/>
  <c r="F53" i="3"/>
  <c r="F52" i="3"/>
  <c r="F51" i="3"/>
  <c r="F50" i="3"/>
  <c r="F47" i="3"/>
  <c r="F46" i="3"/>
  <c r="F45" i="3"/>
  <c r="F44" i="3"/>
  <c r="F43" i="3"/>
  <c r="F42" i="3"/>
  <c r="F41" i="3"/>
  <c r="F39" i="3"/>
  <c r="F38" i="3"/>
  <c r="F37" i="3"/>
  <c r="F36" i="3"/>
  <c r="F35" i="3"/>
  <c r="F34" i="3"/>
  <c r="F33" i="3"/>
  <c r="F32" i="3"/>
  <c r="F28" i="3"/>
  <c r="F27" i="3"/>
  <c r="F25" i="3"/>
  <c r="F23" i="3"/>
  <c r="F22" i="3"/>
  <c r="F21" i="3"/>
  <c r="F20" i="3"/>
  <c r="F19" i="3"/>
  <c r="F16" i="3"/>
  <c r="F15" i="3"/>
  <c r="F14" i="3"/>
  <c r="F12" i="3"/>
  <c r="F11" i="3"/>
  <c r="F9" i="3"/>
  <c r="F7" i="3"/>
  <c r="F5" i="3"/>
  <c r="F4" i="3"/>
  <c r="F3" i="3"/>
  <c r="B67" i="3"/>
  <c r="C66" i="3"/>
  <c r="C54" i="3"/>
  <c r="C53" i="3"/>
  <c r="C52" i="3"/>
  <c r="C51" i="3"/>
  <c r="C50" i="3"/>
  <c r="C47" i="3"/>
  <c r="C46" i="3"/>
  <c r="C45" i="3"/>
  <c r="C44" i="3"/>
  <c r="C43" i="3"/>
  <c r="C42" i="3"/>
  <c r="C41" i="3"/>
  <c r="C39" i="3"/>
  <c r="C38" i="3"/>
  <c r="C37" i="3"/>
  <c r="C36" i="3"/>
  <c r="C35" i="3"/>
  <c r="C34" i="3"/>
  <c r="C33" i="3"/>
  <c r="C32" i="3"/>
  <c r="C28" i="3"/>
  <c r="C27" i="3"/>
  <c r="C25" i="3"/>
  <c r="C23" i="3"/>
  <c r="C22" i="3"/>
  <c r="C21" i="3"/>
  <c r="C20" i="3"/>
  <c r="C19" i="3"/>
  <c r="C16" i="3"/>
  <c r="C15" i="3"/>
  <c r="C14" i="3"/>
  <c r="C12" i="3"/>
  <c r="C11" i="3"/>
  <c r="C9" i="3"/>
  <c r="C7" i="3"/>
  <c r="C5" i="3"/>
  <c r="C4" i="3"/>
  <c r="C3" i="3"/>
  <c r="E57" i="14"/>
  <c r="F56" i="14"/>
  <c r="F55" i="14"/>
  <c r="F52" i="14"/>
  <c r="F51" i="14"/>
  <c r="F50" i="14"/>
  <c r="F45" i="14"/>
  <c r="F44" i="14"/>
  <c r="F42" i="14"/>
  <c r="F41" i="14"/>
  <c r="F40" i="14"/>
  <c r="F39" i="14"/>
  <c r="F38" i="14"/>
  <c r="F37" i="14"/>
  <c r="F35" i="14"/>
  <c r="F34" i="14"/>
  <c r="F33" i="14"/>
  <c r="F32" i="14"/>
  <c r="F29" i="14"/>
  <c r="F28" i="14"/>
  <c r="F27" i="14"/>
  <c r="F24" i="14"/>
  <c r="F23" i="14"/>
  <c r="F22" i="14"/>
  <c r="F17" i="14"/>
  <c r="F16" i="14"/>
  <c r="F15" i="14"/>
  <c r="F13" i="14"/>
  <c r="F12" i="14"/>
  <c r="F11" i="14"/>
  <c r="F9" i="14"/>
  <c r="F8" i="14"/>
  <c r="F7" i="14"/>
  <c r="F3" i="14"/>
  <c r="B57" i="14"/>
  <c r="C56" i="14"/>
  <c r="C55" i="14"/>
  <c r="C52" i="14"/>
  <c r="C51" i="14"/>
  <c r="C50" i="14"/>
  <c r="C48" i="14"/>
  <c r="C47" i="14"/>
  <c r="C45" i="14"/>
  <c r="C44" i="14"/>
  <c r="C42" i="14"/>
  <c r="C41" i="14"/>
  <c r="C40" i="14"/>
  <c r="C39" i="14"/>
  <c r="C38" i="14"/>
  <c r="C37" i="14"/>
  <c r="C35" i="14"/>
  <c r="C34" i="14"/>
  <c r="C33" i="14"/>
  <c r="C32" i="14"/>
  <c r="C29" i="14"/>
  <c r="C28" i="14"/>
  <c r="C27" i="14"/>
  <c r="C24" i="14"/>
  <c r="C23" i="14"/>
  <c r="C22" i="14"/>
  <c r="C17" i="14"/>
  <c r="C16" i="14"/>
  <c r="C15" i="14"/>
  <c r="C13" i="14"/>
  <c r="C12" i="14"/>
  <c r="C11" i="14"/>
  <c r="C9" i="14"/>
  <c r="C8" i="14"/>
  <c r="C7" i="14"/>
  <c r="C3" i="14"/>
  <c r="I6" i="13"/>
  <c r="J6" i="13"/>
  <c r="I19" i="13"/>
  <c r="J19" i="13"/>
  <c r="K10" i="13" l="1"/>
  <c r="K18" i="13"/>
  <c r="K13" i="13"/>
  <c r="K19" i="13"/>
  <c r="C67" i="3"/>
  <c r="F67" i="3"/>
  <c r="C57" i="14"/>
  <c r="F57" i="14"/>
  <c r="C53" i="2"/>
  <c r="F53" i="2"/>
  <c r="K6" i="13"/>
  <c r="F53" i="6"/>
  <c r="C53" i="6"/>
  <c r="C642" i="13"/>
  <c r="F645" i="13"/>
</calcChain>
</file>

<file path=xl/sharedStrings.xml><?xml version="1.0" encoding="utf-8"?>
<sst xmlns="http://schemas.openxmlformats.org/spreadsheetml/2006/main" count="2390" uniqueCount="318">
  <si>
    <t>TRIES</t>
  </si>
  <si>
    <t>Tot</t>
  </si>
  <si>
    <t>POINTS</t>
  </si>
  <si>
    <t>TOTALS</t>
  </si>
  <si>
    <t>Penalty Tries</t>
  </si>
  <si>
    <t>Williams</t>
  </si>
  <si>
    <t>Most Points</t>
  </si>
  <si>
    <t>Att</t>
  </si>
  <si>
    <t>%</t>
  </si>
  <si>
    <t>Ordered</t>
  </si>
  <si>
    <t>ordered</t>
  </si>
  <si>
    <t>TOTAL</t>
  </si>
  <si>
    <t>This Season</t>
  </si>
  <si>
    <t>-</t>
  </si>
  <si>
    <t>Prem</t>
  </si>
  <si>
    <t>Walker</t>
  </si>
  <si>
    <t xml:space="preserve"> </t>
  </si>
  <si>
    <t>Lewis</t>
  </si>
  <si>
    <t>Clark</t>
  </si>
  <si>
    <t>Most Tries</t>
  </si>
  <si>
    <t>© Hillsport Media Ltd</t>
  </si>
  <si>
    <t>Top Strike Rates*</t>
  </si>
  <si>
    <t>Last Match             (All Comps)</t>
  </si>
  <si>
    <t xml:space="preserve">This Season </t>
  </si>
  <si>
    <t>Gls</t>
  </si>
  <si>
    <t>AC</t>
  </si>
  <si>
    <t>GLO</t>
  </si>
  <si>
    <t>WOR</t>
  </si>
  <si>
    <t>SAL</t>
  </si>
  <si>
    <t>HAR</t>
  </si>
  <si>
    <t>EXE</t>
  </si>
  <si>
    <t>WAS</t>
  </si>
  <si>
    <t>BRI</t>
  </si>
  <si>
    <t>Joyce</t>
  </si>
  <si>
    <t>Last Match            (All Comps)</t>
  </si>
  <si>
    <t>^regular season</t>
  </si>
  <si>
    <t>Top Try Scorer^</t>
  </si>
  <si>
    <t>Seq</t>
  </si>
  <si>
    <t>George</t>
  </si>
  <si>
    <t>SAR</t>
  </si>
  <si>
    <t>EXETER 2022/23 SCORERS</t>
  </si>
  <si>
    <t>SARACENS 2022/23 SCORERS</t>
  </si>
  <si>
    <t>Hartley</t>
  </si>
  <si>
    <t>Moore</t>
  </si>
  <si>
    <t>*Qual 15 attempts</t>
  </si>
  <si>
    <t xml:space="preserve">Most Points^ </t>
  </si>
  <si>
    <t>BRISTOL 2022/23 SCORERS</t>
  </si>
  <si>
    <t>P15</t>
  </si>
  <si>
    <t>Barwick</t>
  </si>
  <si>
    <t>Bern</t>
  </si>
  <si>
    <t>Bevan</t>
  </si>
  <si>
    <t>Butchers</t>
  </si>
  <si>
    <t>Burgess</t>
  </si>
  <si>
    <t>Burns</t>
  </si>
  <si>
    <t>Coles</t>
  </si>
  <si>
    <t>Crompton</t>
  </si>
  <si>
    <t>Cunningham</t>
  </si>
  <si>
    <t>Herring</t>
  </si>
  <si>
    <t>Davies L</t>
  </si>
  <si>
    <t>Davies M</t>
  </si>
  <si>
    <t>Balogun</t>
  </si>
  <si>
    <t>Johnes</t>
  </si>
  <si>
    <t>Inman</t>
  </si>
  <si>
    <t>Keight</t>
  </si>
  <si>
    <t>Bonner</t>
  </si>
  <si>
    <t>Lockwood</t>
  </si>
  <si>
    <t>Lovibond</t>
  </si>
  <si>
    <t>Molloy</t>
  </si>
  <si>
    <t>Marston</t>
  </si>
  <si>
    <t>Martin</t>
  </si>
  <si>
    <t>Mayes</t>
  </si>
  <si>
    <t>Murray</t>
  </si>
  <si>
    <t>Mulhearn</t>
  </si>
  <si>
    <t>Nigrelli</t>
  </si>
  <si>
    <t>Owen</t>
  </si>
  <si>
    <t>Parsons</t>
  </si>
  <si>
    <t>Pam</t>
  </si>
  <si>
    <t>Phillips</t>
  </si>
  <si>
    <t>Powell</t>
  </si>
  <si>
    <t>Pyrs</t>
  </si>
  <si>
    <t>Reed</t>
  </si>
  <si>
    <t>Skuse</t>
  </si>
  <si>
    <t>Sprague</t>
  </si>
  <si>
    <t>Smith</t>
  </si>
  <si>
    <t>Stafford</t>
  </si>
  <si>
    <t>Snowsill</t>
  </si>
  <si>
    <t>Ward</t>
  </si>
  <si>
    <t>White</t>
  </si>
  <si>
    <t>Webb</t>
  </si>
  <si>
    <t>Wilkinson</t>
  </si>
  <si>
    <t>Smale</t>
  </si>
  <si>
    <t>Smyth</t>
  </si>
  <si>
    <t>Osborn-Clarke</t>
  </si>
  <si>
    <t>Allen</t>
  </si>
  <si>
    <t>Bradley</t>
  </si>
  <si>
    <t>Buchanan</t>
  </si>
  <si>
    <t>Cantorna</t>
  </si>
  <si>
    <t>Cramer</t>
  </si>
  <si>
    <t>Doidge</t>
  </si>
  <si>
    <t>Fleming</t>
  </si>
  <si>
    <t>Fryday</t>
  </si>
  <si>
    <t>Gale</t>
  </si>
  <si>
    <t>Gower</t>
  </si>
  <si>
    <t>Grimes</t>
  </si>
  <si>
    <t>Hanlon</t>
  </si>
  <si>
    <t>Jacoby</t>
  </si>
  <si>
    <t>Jefferies</t>
  </si>
  <si>
    <t>Johnson</t>
  </si>
  <si>
    <t>Langford</t>
  </si>
  <si>
    <t>Leitch</t>
  </si>
  <si>
    <t>Leonard</t>
  </si>
  <si>
    <t>MacDonald</t>
  </si>
  <si>
    <t>McDonald</t>
  </si>
  <si>
    <t>McGillivray</t>
  </si>
  <si>
    <t>McGoverne</t>
  </si>
  <si>
    <t>McMahon</t>
  </si>
  <si>
    <t>Menin</t>
  </si>
  <si>
    <t>Middlebrooke</t>
  </si>
  <si>
    <t>Moloney</t>
  </si>
  <si>
    <t>Muzambe</t>
  </si>
  <si>
    <t>Nielson</t>
  </si>
  <si>
    <t>Orchard</t>
  </si>
  <si>
    <t>Ounsley</t>
  </si>
  <si>
    <t>Plant</t>
  </si>
  <si>
    <t>Preece</t>
  </si>
  <si>
    <t>Roberts</t>
  </si>
  <si>
    <t>Robinson</t>
  </si>
  <si>
    <t>Rogers</t>
  </si>
  <si>
    <t>Ryall</t>
  </si>
  <si>
    <t>Senft</t>
  </si>
  <si>
    <t>Sheehan</t>
  </si>
  <si>
    <t>Sinclair</t>
  </si>
  <si>
    <t>Turani</t>
  </si>
  <si>
    <t>Tuttosi</t>
  </si>
  <si>
    <t>van der Velden</t>
  </si>
  <si>
    <t>Whitehouse</t>
  </si>
  <si>
    <t>Wilkins</t>
  </si>
  <si>
    <t>Willett</t>
  </si>
  <si>
    <t>Woodman</t>
  </si>
  <si>
    <t>Zackary</t>
  </si>
  <si>
    <t>Addy</t>
  </si>
  <si>
    <t>Aldcroft</t>
  </si>
  <si>
    <t>Batishhill</t>
  </si>
  <si>
    <t>Beckett</t>
  </si>
  <si>
    <t>Blackburn</t>
  </si>
  <si>
    <t>Bridger</t>
  </si>
  <si>
    <t>Brock</t>
  </si>
  <si>
    <t>Buggy</t>
  </si>
  <si>
    <t>Burtonshaw</t>
  </si>
  <si>
    <t>Constable A</t>
  </si>
  <si>
    <t>Constable O</t>
  </si>
  <si>
    <t>Cooney</t>
  </si>
  <si>
    <t>Copson</t>
  </si>
  <si>
    <t>Crabb</t>
  </si>
  <si>
    <t>Dale</t>
  </si>
  <si>
    <t>Delgado</t>
  </si>
  <si>
    <t>Else</t>
  </si>
  <si>
    <t>Gilbert</t>
  </si>
  <si>
    <t>Gordon</t>
  </si>
  <si>
    <t>Goulden</t>
  </si>
  <si>
    <t>Hale</t>
  </si>
  <si>
    <t>Heard</t>
  </si>
  <si>
    <t>Hendy</t>
  </si>
  <si>
    <t>Hennessy</t>
  </si>
  <si>
    <t>Hope</t>
  </si>
  <si>
    <t>Hunt</t>
  </si>
  <si>
    <t>Isaac</t>
  </si>
  <si>
    <t>Isherwood</t>
  </si>
  <si>
    <t>Jones H</t>
  </si>
  <si>
    <t>Jones K</t>
  </si>
  <si>
    <t>Jones B</t>
  </si>
  <si>
    <t>Jones N</t>
  </si>
  <si>
    <t>Jones O</t>
  </si>
  <si>
    <t>Lake</t>
  </si>
  <si>
    <t>Learned</t>
  </si>
  <si>
    <t>Lewis B</t>
  </si>
  <si>
    <t>Lewis C</t>
  </si>
  <si>
    <t>Lillicrap</t>
  </si>
  <si>
    <t>Lund</t>
  </si>
  <si>
    <t>Manns</t>
  </si>
  <si>
    <t>Matthews</t>
  </si>
  <si>
    <t>Maude</t>
  </si>
  <si>
    <t>Monaghan</t>
  </si>
  <si>
    <t>Muir</t>
  </si>
  <si>
    <t>Mundy</t>
  </si>
  <si>
    <t>Neumann</t>
  </si>
  <si>
    <t>Podpadec</t>
  </si>
  <si>
    <t>Pohjanheimo</t>
  </si>
  <si>
    <t>Richards</t>
  </si>
  <si>
    <t>Rugman</t>
  </si>
  <si>
    <t>Russell</t>
  </si>
  <si>
    <t>Samuda</t>
  </si>
  <si>
    <t>Scott</t>
  </si>
  <si>
    <t>Sing</t>
  </si>
  <si>
    <t>Tandy</t>
  </si>
  <si>
    <t>Tuipulotu</t>
  </si>
  <si>
    <t>Venner</t>
  </si>
  <si>
    <t>GLOUCESTER-HARTPURY 2022/23 SCORERS</t>
  </si>
  <si>
    <t>Evans A</t>
  </si>
  <si>
    <t>Ellis</t>
  </si>
  <si>
    <t>Corrigan</t>
  </si>
  <si>
    <t>Goddard</t>
  </si>
  <si>
    <t>Wardle</t>
  </si>
  <si>
    <t>Jacobs</t>
  </si>
  <si>
    <t>Miell</t>
  </si>
  <si>
    <t>Flanagan</t>
  </si>
  <si>
    <t>Langdale</t>
  </si>
  <si>
    <t>Grant</t>
  </si>
  <si>
    <t>Rose</t>
  </si>
  <si>
    <t>Wyrwas</t>
  </si>
  <si>
    <t>Bloomfield</t>
  </si>
  <si>
    <t>McIntosh</t>
  </si>
  <si>
    <t>Evans G</t>
  </si>
  <si>
    <t>Botterman</t>
  </si>
  <si>
    <t>Casey</t>
  </si>
  <si>
    <t>Aitchison</t>
  </si>
  <si>
    <t>Alejandro</t>
  </si>
  <si>
    <t>Loyola</t>
  </si>
  <si>
    <t>Breach</t>
  </si>
  <si>
    <t>Rettie</t>
  </si>
  <si>
    <t>Turl</t>
  </si>
  <si>
    <t>Evans K</t>
  </si>
  <si>
    <t>Clifford</t>
  </si>
  <si>
    <t>Exley</t>
  </si>
  <si>
    <t>Infante</t>
  </si>
  <si>
    <t>Musa</t>
  </si>
  <si>
    <t>Clapp</t>
  </si>
  <si>
    <t>McMillan</t>
  </si>
  <si>
    <t>Biggs</t>
  </si>
  <si>
    <t>Carson</t>
  </si>
  <si>
    <t>Packer</t>
  </si>
  <si>
    <t>Campbell</t>
  </si>
  <si>
    <t>Montiel</t>
  </si>
  <si>
    <t>Evans M</t>
  </si>
  <si>
    <t>Gooding</t>
  </si>
  <si>
    <t>Cleall</t>
  </si>
  <si>
    <t>Bebbington</t>
  </si>
  <si>
    <t>McKenna</t>
  </si>
  <si>
    <t>Kasolo</t>
  </si>
  <si>
    <t>Green</t>
  </si>
  <si>
    <t>Shams</t>
  </si>
  <si>
    <t>Tansley</t>
  </si>
  <si>
    <t>Gregson</t>
  </si>
  <si>
    <t>Schutzler</t>
  </si>
  <si>
    <t>Fleetwood</t>
  </si>
  <si>
    <t>Harrison</t>
  </si>
  <si>
    <t>Wills</t>
  </si>
  <si>
    <t>Sims</t>
  </si>
  <si>
    <t>PREMIER 15s</t>
  </si>
  <si>
    <t>Vinueza</t>
  </si>
  <si>
    <t>Kildunne</t>
  </si>
  <si>
    <t>Field</t>
  </si>
  <si>
    <t>LOU</t>
  </si>
  <si>
    <t>Williams-Morris</t>
  </si>
  <si>
    <t>Laflin</t>
  </si>
  <si>
    <t>Cokayne</t>
  </si>
  <si>
    <t>Farries</t>
  </si>
  <si>
    <t>McKenzie</t>
  </si>
  <si>
    <t>Nelson</t>
  </si>
  <si>
    <t>Tuima</t>
  </si>
  <si>
    <t>Duffy</t>
  </si>
  <si>
    <t>Foxwell</t>
  </si>
  <si>
    <t>Irwin</t>
  </si>
  <si>
    <t>Dow</t>
  </si>
  <si>
    <t>Lingham</t>
  </si>
  <si>
    <t>Kabeya</t>
  </si>
  <si>
    <t>Bawden</t>
  </si>
  <si>
    <t>Thorpe</t>
  </si>
  <si>
    <t>Delany</t>
  </si>
  <si>
    <t>Yamamoto</t>
  </si>
  <si>
    <t>Edwards</t>
  </si>
  <si>
    <t>Feury</t>
  </si>
  <si>
    <t>DMP</t>
  </si>
  <si>
    <t>SALE 2022/23 SCORERS</t>
  </si>
  <si>
    <t>Washington</t>
  </si>
  <si>
    <t>Benson</t>
  </si>
  <si>
    <t>Grieve</t>
  </si>
  <si>
    <t>Kinlinski</t>
  </si>
  <si>
    <t>Tounesi</t>
  </si>
  <si>
    <t>Fielding</t>
  </si>
  <si>
    <t>Irwin V A</t>
  </si>
  <si>
    <t>Irwin V E</t>
  </si>
  <si>
    <t>Waters</t>
  </si>
  <si>
    <t>Young</t>
  </si>
  <si>
    <t>Pursglove</t>
  </si>
  <si>
    <t>Haungatau</t>
  </si>
  <si>
    <t>Antwis</t>
  </si>
  <si>
    <t>Taylor-Roberts</t>
  </si>
  <si>
    <t>Howard</t>
  </si>
  <si>
    <t>Perrin</t>
  </si>
  <si>
    <t>Howat</t>
  </si>
  <si>
    <t>McLachlan</t>
  </si>
  <si>
    <t>Cookland</t>
  </si>
  <si>
    <t>Law</t>
  </si>
  <si>
    <t>Houghton</t>
  </si>
  <si>
    <t>Wallace</t>
  </si>
  <si>
    <t>Orrow</t>
  </si>
  <si>
    <t>Ridgeway</t>
  </si>
  <si>
    <t>Swailes</t>
  </si>
  <si>
    <t>Wright</t>
  </si>
  <si>
    <t>Innes</t>
  </si>
  <si>
    <t>Iwanejko</t>
  </si>
  <si>
    <t>James</t>
  </si>
  <si>
    <t>Lyons</t>
  </si>
  <si>
    <t>Morrissey</t>
  </si>
  <si>
    <t>Hazell</t>
  </si>
  <si>
    <t>Searcy</t>
  </si>
  <si>
    <t>Bell</t>
  </si>
  <si>
    <t>Jones</t>
  </si>
  <si>
    <t>Perris-Redding G</t>
  </si>
  <si>
    <t>Perris-Redding I</t>
  </si>
  <si>
    <t>Calton</t>
  </si>
  <si>
    <t>Bolger</t>
  </si>
  <si>
    <t>Ishida</t>
  </si>
  <si>
    <t>Ramsbottom</t>
  </si>
  <si>
    <t>Tonkin</t>
  </si>
  <si>
    <t>Wood</t>
  </si>
  <si>
    <t>Woosey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</si>
</sst>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3333"/>
      <name val="Calibri"/>
      <family val="2"/>
      <scheme val="minor"/>
    </font>
    <font>
      <b/>
      <sz val="11"/>
      <color rgb="FFFF3333"/>
      <name val="Calibri"/>
      <family val="2"/>
      <scheme val="minor"/>
    </font>
    <font>
      <b/>
      <sz val="11"/>
      <color rgb="FFF145E1"/>
      <name val="Calibri"/>
      <family val="2"/>
      <scheme val="minor"/>
    </font>
    <font>
      <b/>
      <sz val="11"/>
      <color rgb="FFF4BAE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145E1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9" fillId="4" borderId="3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right" vertical="center" wrapText="1"/>
    </xf>
    <xf numFmtId="0" fontId="8" fillId="0" borderId="0" xfId="0" applyFont="1"/>
    <xf numFmtId="0" fontId="12" fillId="3" borderId="4" xfId="0" applyFont="1" applyFill="1" applyBorder="1" applyAlignment="1">
      <alignment horizontal="right" vertical="center" wrapText="1"/>
    </xf>
    <xf numFmtId="0" fontId="9" fillId="7" borderId="1" xfId="0" applyFont="1" applyFill="1" applyBorder="1" applyAlignment="1">
      <alignment horizontal="right" vertical="center" wrapText="1"/>
    </xf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/>
    <xf numFmtId="0" fontId="9" fillId="7" borderId="3" xfId="0" applyFont="1" applyFill="1" applyBorder="1"/>
    <xf numFmtId="0" fontId="2" fillId="7" borderId="2" xfId="0" applyFont="1" applyFill="1" applyBorder="1" applyAlignment="1">
      <alignment vertical="center" wrapText="1"/>
    </xf>
    <xf numFmtId="0" fontId="9" fillId="7" borderId="3" xfId="0" applyFont="1" applyFill="1" applyBorder="1" applyAlignment="1">
      <alignment vertical="top" wrapText="1"/>
    </xf>
    <xf numFmtId="0" fontId="15" fillId="2" borderId="4" xfId="0" applyFont="1" applyFill="1" applyBorder="1" applyAlignment="1">
      <alignment horizontal="right" vertical="center" wrapText="1"/>
    </xf>
    <xf numFmtId="0" fontId="9" fillId="4" borderId="4" xfId="0" applyFont="1" applyFill="1" applyBorder="1"/>
    <xf numFmtId="0" fontId="9" fillId="4" borderId="3" xfId="0" applyFont="1" applyFill="1" applyBorder="1"/>
    <xf numFmtId="0" fontId="9" fillId="4" borderId="1" xfId="0" applyFont="1" applyFill="1" applyBorder="1" applyAlignment="1">
      <alignment horizontal="right" vertical="center" wrapText="1"/>
    </xf>
    <xf numFmtId="0" fontId="9" fillId="4" borderId="1" xfId="0" applyFont="1" applyFill="1" applyBorder="1"/>
    <xf numFmtId="0" fontId="8" fillId="4" borderId="1" xfId="0" applyFont="1" applyFill="1" applyBorder="1"/>
    <xf numFmtId="0" fontId="9" fillId="4" borderId="1" xfId="0" applyFont="1" applyFill="1" applyBorder="1" applyAlignment="1">
      <alignment vertical="center" wrapText="1"/>
    </xf>
    <xf numFmtId="0" fontId="9" fillId="4" borderId="2" xfId="0" applyFont="1" applyFill="1" applyBorder="1"/>
    <xf numFmtId="0" fontId="9" fillId="4" borderId="6" xfId="0" applyFont="1" applyFill="1" applyBorder="1"/>
    <xf numFmtId="0" fontId="2" fillId="4" borderId="2" xfId="0" applyFont="1" applyFill="1" applyBorder="1" applyAlignment="1">
      <alignment vertical="center" wrapText="1"/>
    </xf>
    <xf numFmtId="1" fontId="12" fillId="2" borderId="4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horizontal="right" vertical="center" wrapText="1"/>
    </xf>
    <xf numFmtId="0" fontId="7" fillId="9" borderId="1" xfId="0" applyFont="1" applyFill="1" applyBorder="1" applyAlignment="1">
      <alignment horizontal="right" vertical="center" wrapText="1"/>
    </xf>
    <xf numFmtId="0" fontId="8" fillId="9" borderId="1" xfId="0" applyFont="1" applyFill="1" applyBorder="1"/>
    <xf numFmtId="1" fontId="8" fillId="9" borderId="1" xfId="0" applyNumberFormat="1" applyFont="1" applyFill="1" applyBorder="1"/>
    <xf numFmtId="0" fontId="7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5" fillId="7" borderId="0" xfId="0" applyFont="1" applyFill="1"/>
    <xf numFmtId="0" fontId="0" fillId="7" borderId="8" xfId="0" applyFill="1" applyBorder="1"/>
    <xf numFmtId="0" fontId="3" fillId="7" borderId="0" xfId="0" applyFont="1" applyFill="1"/>
    <xf numFmtId="0" fontId="0" fillId="7" borderId="0" xfId="0" applyFill="1"/>
    <xf numFmtId="0" fontId="5" fillId="7" borderId="8" xfId="0" applyFont="1" applyFill="1" applyBorder="1"/>
    <xf numFmtId="0" fontId="0" fillId="0" borderId="8" xfId="0" applyBorder="1"/>
    <xf numFmtId="0" fontId="2" fillId="7" borderId="8" xfId="0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right" vertical="center" wrapText="1"/>
    </xf>
    <xf numFmtId="1" fontId="11" fillId="3" borderId="4" xfId="0" applyNumberFormat="1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5" fillId="0" borderId="0" xfId="0" applyFont="1"/>
    <xf numFmtId="0" fontId="13" fillId="7" borderId="0" xfId="0" applyFont="1" applyFill="1" applyAlignment="1">
      <alignment vertical="center" wrapText="1"/>
    </xf>
    <xf numFmtId="0" fontId="8" fillId="7" borderId="1" xfId="0" applyFont="1" applyFill="1" applyBorder="1"/>
    <xf numFmtId="0" fontId="15" fillId="2" borderId="3" xfId="0" applyFont="1" applyFill="1" applyBorder="1" applyAlignment="1">
      <alignment vertical="center" wrapText="1"/>
    </xf>
    <xf numFmtId="0" fontId="10" fillId="7" borderId="0" xfId="0" applyFont="1" applyFill="1" applyAlignment="1">
      <alignment horizontal="right" vertical="center" wrapText="1"/>
    </xf>
    <xf numFmtId="1" fontId="10" fillId="7" borderId="0" xfId="0" applyNumberFormat="1" applyFont="1" applyFill="1" applyAlignment="1">
      <alignment horizontal="right" vertical="center" wrapText="1"/>
    </xf>
    <xf numFmtId="0" fontId="3" fillId="7" borderId="8" xfId="0" applyFont="1" applyFill="1" applyBorder="1"/>
    <xf numFmtId="0" fontId="12" fillId="2" borderId="4" xfId="0" applyFont="1" applyFill="1" applyBorder="1" applyAlignment="1">
      <alignment horizontal="right" vertical="center" wrapText="1"/>
    </xf>
    <xf numFmtId="0" fontId="9" fillId="7" borderId="3" xfId="0" applyFont="1" applyFill="1" applyBorder="1" applyAlignment="1">
      <alignment vertical="center" wrapText="1"/>
    </xf>
    <xf numFmtId="0" fontId="13" fillId="7" borderId="0" xfId="0" applyFont="1" applyFill="1"/>
    <xf numFmtId="0" fontId="16" fillId="3" borderId="8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4" fillId="7" borderId="0" xfId="0" applyFont="1" applyFill="1"/>
    <xf numFmtId="0" fontId="12" fillId="6" borderId="3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horizontal="right" vertical="center" wrapText="1"/>
    </xf>
    <xf numFmtId="0" fontId="14" fillId="7" borderId="0" xfId="0" applyFont="1" applyFill="1" applyAlignment="1">
      <alignment horizontal="left" vertical="center" wrapText="1"/>
    </xf>
    <xf numFmtId="0" fontId="1" fillId="7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right" vertical="center" wrapText="1"/>
    </xf>
    <xf numFmtId="0" fontId="11" fillId="7" borderId="0" xfId="0" applyFont="1" applyFill="1" applyAlignment="1">
      <alignment horizontal="right" vertical="center" wrapText="1"/>
    </xf>
    <xf numFmtId="0" fontId="16" fillId="3" borderId="9" xfId="0" applyFont="1" applyFill="1" applyBorder="1" applyAlignment="1">
      <alignment vertical="center"/>
    </xf>
    <xf numFmtId="0" fontId="11" fillId="8" borderId="4" xfId="0" applyFont="1" applyFill="1" applyBorder="1" applyAlignment="1">
      <alignment horizontal="right" vertical="center" wrapText="1"/>
    </xf>
    <xf numFmtId="1" fontId="11" fillId="8" borderId="4" xfId="0" applyNumberFormat="1" applyFont="1" applyFill="1" applyBorder="1" applyAlignment="1">
      <alignment horizontal="right" vertical="center" wrapText="1"/>
    </xf>
    <xf numFmtId="0" fontId="11" fillId="8" borderId="10" xfId="0" applyFont="1" applyFill="1" applyBorder="1" applyAlignment="1">
      <alignment vertical="center" wrapText="1"/>
    </xf>
    <xf numFmtId="0" fontId="0" fillId="0" borderId="13" xfId="0" applyBorder="1"/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9" borderId="1" xfId="0" applyFont="1" applyFill="1" applyBorder="1" applyAlignment="1">
      <alignment vertical="center" wrapText="1"/>
    </xf>
    <xf numFmtId="0" fontId="8" fillId="7" borderId="13" xfId="0" applyFont="1" applyFill="1" applyBorder="1"/>
    <xf numFmtId="0" fontId="12" fillId="6" borderId="2" xfId="0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12" fillId="6" borderId="2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vertical="center" wrapText="1"/>
    </xf>
    <xf numFmtId="14" fontId="11" fillId="3" borderId="3" xfId="0" applyNumberFormat="1" applyFont="1" applyFill="1" applyBorder="1" applyAlignment="1">
      <alignment horizontal="left" vertical="center" wrapText="1"/>
    </xf>
    <xf numFmtId="0" fontId="17" fillId="0" borderId="0" xfId="0" applyFont="1"/>
    <xf numFmtId="0" fontId="17" fillId="7" borderId="0" xfId="0" applyFont="1" applyFill="1"/>
    <xf numFmtId="0" fontId="12" fillId="10" borderId="4" xfId="0" applyFont="1" applyFill="1" applyBorder="1" applyAlignment="1">
      <alignment horizontal="right" vertical="center" wrapText="1"/>
    </xf>
    <xf numFmtId="0" fontId="12" fillId="10" borderId="2" xfId="0" applyFont="1" applyFill="1" applyBorder="1" applyAlignment="1">
      <alignment horizontal="right" vertical="center" wrapText="1"/>
    </xf>
    <xf numFmtId="0" fontId="12" fillId="10" borderId="5" xfId="0" applyFont="1" applyFill="1" applyBorder="1" applyAlignment="1">
      <alignment horizontal="right" vertical="center" wrapText="1"/>
    </xf>
    <xf numFmtId="1" fontId="15" fillId="2" borderId="4" xfId="0" applyNumberFormat="1" applyFont="1" applyFill="1" applyBorder="1" applyAlignment="1">
      <alignment horizontal="right" vertical="center" wrapText="1"/>
    </xf>
    <xf numFmtId="0" fontId="9" fillId="7" borderId="3" xfId="0" applyFont="1" applyFill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8" fillId="5" borderId="3" xfId="0" applyFont="1" applyFill="1" applyBorder="1" applyAlignment="1">
      <alignment horizontal="right" vertical="center" wrapText="1"/>
    </xf>
    <xf numFmtId="0" fontId="2" fillId="7" borderId="0" xfId="0" applyFont="1" applyFill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right" vertical="center" wrapText="1"/>
    </xf>
    <xf numFmtId="0" fontId="12" fillId="11" borderId="4" xfId="0" applyFont="1" applyFill="1" applyBorder="1" applyAlignment="1">
      <alignment horizontal="right" vertical="center" wrapText="1"/>
    </xf>
    <xf numFmtId="0" fontId="8" fillId="9" borderId="1" xfId="0" applyFont="1" applyFill="1" applyBorder="1" applyAlignment="1">
      <alignment horizontal="right"/>
    </xf>
    <xf numFmtId="0" fontId="9" fillId="9" borderId="1" xfId="0" applyFont="1" applyFill="1" applyBorder="1" applyAlignment="1">
      <alignment horizontal="right"/>
    </xf>
    <xf numFmtId="0" fontId="11" fillId="7" borderId="0" xfId="0" applyFont="1" applyFill="1" applyAlignment="1">
      <alignment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top" wrapText="1"/>
    </xf>
    <xf numFmtId="0" fontId="10" fillId="7" borderId="0" xfId="0" applyFont="1" applyFill="1" applyAlignment="1">
      <alignment vertical="center" wrapText="1"/>
    </xf>
    <xf numFmtId="0" fontId="18" fillId="7" borderId="0" xfId="0" applyFont="1" applyFill="1" applyAlignment="1">
      <alignment horizontal="right" vertical="center" wrapText="1"/>
    </xf>
    <xf numFmtId="0" fontId="19" fillId="7" borderId="0" xfId="0" applyFont="1" applyFill="1" applyAlignment="1">
      <alignment horizontal="right" vertical="center" wrapText="1"/>
    </xf>
    <xf numFmtId="0" fontId="13" fillId="7" borderId="5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right" vertical="center" wrapText="1"/>
    </xf>
    <xf numFmtId="0" fontId="20" fillId="7" borderId="0" xfId="0" applyFont="1" applyFill="1" applyAlignment="1">
      <alignment horizontal="center" vertical="center" wrapText="1"/>
    </xf>
    <xf numFmtId="0" fontId="10" fillId="7" borderId="13" xfId="0" applyFont="1" applyFill="1" applyBorder="1" applyAlignment="1">
      <alignment vertical="center" wrapText="1"/>
    </xf>
    <xf numFmtId="0" fontId="11" fillId="6" borderId="2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3" xfId="0" applyFont="1" applyFill="1" applyBorder="1" applyAlignment="1">
      <alignment vertical="center" wrapText="1"/>
    </xf>
    <xf numFmtId="0" fontId="22" fillId="3" borderId="2" xfId="0" applyFont="1" applyFill="1" applyBorder="1" applyAlignment="1">
      <alignment horizontal="right" vertical="center" wrapText="1"/>
    </xf>
    <xf numFmtId="0" fontId="22" fillId="3" borderId="4" xfId="0" applyFont="1" applyFill="1" applyBorder="1" applyAlignment="1">
      <alignment horizontal="right" vertical="center" wrapText="1"/>
    </xf>
    <xf numFmtId="1" fontId="22" fillId="3" borderId="4" xfId="0" applyNumberFormat="1" applyFont="1" applyFill="1" applyBorder="1" applyAlignment="1">
      <alignment horizontal="right" vertical="center" wrapText="1"/>
    </xf>
    <xf numFmtId="0" fontId="22" fillId="3" borderId="1" xfId="0" applyFont="1" applyFill="1" applyBorder="1"/>
    <xf numFmtId="0" fontId="9" fillId="4" borderId="1" xfId="0" applyFont="1" applyFill="1" applyBorder="1" applyAlignment="1">
      <alignment vertical="top" wrapText="1"/>
    </xf>
    <xf numFmtId="0" fontId="9" fillId="7" borderId="1" xfId="0" applyFont="1" applyFill="1" applyBorder="1" applyAlignment="1">
      <alignment vertical="top" wrapText="1"/>
    </xf>
    <xf numFmtId="0" fontId="12" fillId="11" borderId="1" xfId="0" applyFont="1" applyFill="1" applyBorder="1" applyAlignment="1">
      <alignment vertical="center" wrapText="1"/>
    </xf>
    <xf numFmtId="0" fontId="12" fillId="11" borderId="3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vertical="center" wrapText="1"/>
    </xf>
    <xf numFmtId="0" fontId="12" fillId="10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/>
    <xf numFmtId="0" fontId="8" fillId="4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horizontal="right" vertical="center" wrapText="1"/>
    </xf>
    <xf numFmtId="1" fontId="12" fillId="11" borderId="1" xfId="0" applyNumberFormat="1" applyFont="1" applyFill="1" applyBorder="1" applyAlignment="1">
      <alignment horizontal="right" vertical="center" wrapText="1"/>
    </xf>
    <xf numFmtId="0" fontId="12" fillId="11" borderId="11" xfId="0" applyFont="1" applyFill="1" applyBorder="1" applyAlignment="1">
      <alignment vertical="center" wrapText="1"/>
    </xf>
    <xf numFmtId="0" fontId="12" fillId="11" borderId="12" xfId="0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vertical="center" wrapText="1"/>
    </xf>
    <xf numFmtId="0" fontId="8" fillId="4" borderId="6" xfId="0" applyFont="1" applyFill="1" applyBorder="1"/>
    <xf numFmtId="0" fontId="9" fillId="4" borderId="6" xfId="0" applyFont="1" applyFill="1" applyBorder="1" applyAlignment="1">
      <alignment horizontal="right" vertical="center" wrapText="1"/>
    </xf>
    <xf numFmtId="0" fontId="8" fillId="4" borderId="4" xfId="0" applyFont="1" applyFill="1" applyBorder="1"/>
    <xf numFmtId="0" fontId="9" fillId="0" borderId="0" xfId="0" applyFont="1"/>
    <xf numFmtId="0" fontId="9" fillId="0" borderId="1" xfId="0" applyFont="1" applyBorder="1"/>
    <xf numFmtId="0" fontId="8" fillId="7" borderId="3" xfId="0" applyFont="1" applyFill="1" applyBorder="1" applyAlignment="1">
      <alignment vertical="center" wrapText="1"/>
    </xf>
    <xf numFmtId="0" fontId="8" fillId="7" borderId="0" xfId="0" applyFont="1" applyFill="1"/>
    <xf numFmtId="0" fontId="8" fillId="4" borderId="2" xfId="0" applyFont="1" applyFill="1" applyBorder="1"/>
    <xf numFmtId="0" fontId="13" fillId="7" borderId="13" xfId="0" applyFont="1" applyFill="1" applyBorder="1" applyAlignment="1">
      <alignment vertical="center" wrapText="1"/>
    </xf>
    <xf numFmtId="0" fontId="10" fillId="7" borderId="8" xfId="0" applyFont="1" applyFill="1" applyBorder="1" applyAlignment="1">
      <alignment vertical="center" wrapText="1"/>
    </xf>
    <xf numFmtId="0" fontId="10" fillId="7" borderId="8" xfId="0" applyFont="1" applyFill="1" applyBorder="1" applyAlignment="1">
      <alignment horizontal="right" vertical="center" wrapText="1"/>
    </xf>
    <xf numFmtId="0" fontId="9" fillId="7" borderId="0" xfId="0" applyFont="1" applyFill="1"/>
    <xf numFmtId="0" fontId="8" fillId="4" borderId="3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vertical="center" wrapText="1"/>
    </xf>
    <xf numFmtId="0" fontId="9" fillId="9" borderId="1" xfId="0" applyFont="1" applyFill="1" applyBorder="1"/>
    <xf numFmtId="0" fontId="8" fillId="9" borderId="3" xfId="0" applyFont="1" applyFill="1" applyBorder="1"/>
    <xf numFmtId="0" fontId="9" fillId="9" borderId="4" xfId="0" applyFont="1" applyFill="1" applyBorder="1" applyAlignment="1">
      <alignment horizontal="right"/>
    </xf>
    <xf numFmtId="0" fontId="9" fillId="9" borderId="1" xfId="0" applyFont="1" applyFill="1" applyBorder="1" applyAlignment="1">
      <alignment horizontal="right" vertical="center" wrapText="1"/>
    </xf>
    <xf numFmtId="0" fontId="8" fillId="9" borderId="4" xfId="0" applyFont="1" applyFill="1" applyBorder="1" applyAlignment="1">
      <alignment horizontal="right"/>
    </xf>
    <xf numFmtId="1" fontId="8" fillId="9" borderId="4" xfId="0" applyNumberFormat="1" applyFont="1" applyFill="1" applyBorder="1"/>
    <xf numFmtId="1" fontId="9" fillId="9" borderId="1" xfId="0" applyNumberFormat="1" applyFont="1" applyFill="1" applyBorder="1" applyAlignment="1">
      <alignment horizontal="right" vertical="center" wrapText="1"/>
    </xf>
    <xf numFmtId="14" fontId="13" fillId="12" borderId="3" xfId="0" applyNumberFormat="1" applyFont="1" applyFill="1" applyBorder="1" applyAlignment="1">
      <alignment horizontal="left" vertical="center" wrapText="1"/>
    </xf>
    <xf numFmtId="14" fontId="0" fillId="12" borderId="3" xfId="0" applyNumberForma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right" vertical="center" wrapText="1"/>
    </xf>
    <xf numFmtId="0" fontId="23" fillId="3" borderId="2" xfId="0" applyFont="1" applyFill="1" applyBorder="1" applyAlignment="1">
      <alignment horizontal="right" vertical="center" wrapText="1"/>
    </xf>
    <xf numFmtId="0" fontId="23" fillId="3" borderId="4" xfId="0" applyFont="1" applyFill="1" applyBorder="1" applyAlignment="1">
      <alignment horizontal="right" vertical="center" wrapText="1"/>
    </xf>
    <xf numFmtId="0" fontId="23" fillId="4" borderId="4" xfId="0" applyFont="1" applyFill="1" applyBorder="1" applyAlignment="1">
      <alignment horizontal="right" vertical="center" wrapText="1"/>
    </xf>
    <xf numFmtId="0" fontId="23" fillId="11" borderId="2" xfId="0" applyFont="1" applyFill="1" applyBorder="1" applyAlignment="1">
      <alignment horizontal="center" vertical="center" wrapText="1"/>
    </xf>
    <xf numFmtId="0" fontId="23" fillId="11" borderId="4" xfId="0" applyFont="1" applyFill="1" applyBorder="1" applyAlignment="1">
      <alignment horizontal="right" vertical="center" wrapText="1"/>
    </xf>
    <xf numFmtId="0" fontId="23" fillId="10" borderId="2" xfId="0" applyFont="1" applyFill="1" applyBorder="1" applyAlignment="1">
      <alignment horizontal="right" vertical="center" wrapText="1"/>
    </xf>
    <xf numFmtId="0" fontId="23" fillId="10" borderId="4" xfId="0" applyFont="1" applyFill="1" applyBorder="1" applyAlignment="1">
      <alignment horizontal="right" vertical="center" wrapText="1"/>
    </xf>
    <xf numFmtId="0" fontId="24" fillId="2" borderId="4" xfId="0" applyFont="1" applyFill="1" applyBorder="1" applyAlignment="1">
      <alignment horizontal="right" vertical="center" wrapText="1"/>
    </xf>
    <xf numFmtId="0" fontId="24" fillId="2" borderId="2" xfId="0" applyFont="1" applyFill="1" applyBorder="1" applyAlignment="1">
      <alignment horizontal="right" vertical="center" wrapText="1"/>
    </xf>
    <xf numFmtId="0" fontId="24" fillId="6" borderId="2" xfId="0" applyFont="1" applyFill="1" applyBorder="1" applyAlignment="1">
      <alignment horizontal="right" vertical="center" wrapText="1"/>
    </xf>
    <xf numFmtId="0" fontId="24" fillId="6" borderId="4" xfId="0" applyFont="1" applyFill="1" applyBorder="1" applyAlignment="1">
      <alignment horizontal="right" vertical="center" wrapText="1"/>
    </xf>
    <xf numFmtId="0" fontId="13" fillId="7" borderId="0" xfId="0" applyFont="1" applyFill="1" applyAlignment="1">
      <alignment vertical="center" wrapText="1"/>
    </xf>
    <xf numFmtId="0" fontId="0" fillId="0" borderId="0" xfId="0"/>
    <xf numFmtId="0" fontId="10" fillId="7" borderId="0" xfId="0" applyFont="1" applyFill="1" applyAlignment="1">
      <alignment vertical="center" wrapText="1"/>
    </xf>
    <xf numFmtId="0" fontId="10" fillId="0" borderId="0" xfId="0" applyFont="1"/>
    <xf numFmtId="0" fontId="6" fillId="11" borderId="9" xfId="0" applyFont="1" applyFill="1" applyBorder="1" applyAlignment="1">
      <alignment horizontal="left" vertical="center"/>
    </xf>
    <xf numFmtId="0" fontId="6" fillId="11" borderId="8" xfId="0" applyFont="1" applyFill="1" applyBorder="1" applyAlignment="1">
      <alignment horizontal="left" vertical="center"/>
    </xf>
    <xf numFmtId="0" fontId="6" fillId="11" borderId="6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vertical="center" wrapText="1"/>
    </xf>
    <xf numFmtId="0" fontId="9" fillId="12" borderId="3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21" fillId="3" borderId="9" xfId="0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0" fillId="7" borderId="9" xfId="0" applyFont="1" applyFill="1" applyBorder="1" applyAlignment="1">
      <alignment vertical="center" wrapText="1"/>
    </xf>
    <xf numFmtId="0" fontId="0" fillId="0" borderId="8" xfId="0" applyBorder="1"/>
    <xf numFmtId="0" fontId="10" fillId="7" borderId="8" xfId="0" applyFont="1" applyFill="1" applyBorder="1" applyAlignment="1">
      <alignment vertical="center" wrapText="1"/>
    </xf>
    <xf numFmtId="0" fontId="6" fillId="13" borderId="9" xfId="0" applyFont="1" applyFill="1" applyBorder="1" applyAlignment="1">
      <alignment horizontal="left" vertical="center"/>
    </xf>
    <xf numFmtId="0" fontId="6" fillId="13" borderId="8" xfId="0" applyFont="1" applyFill="1" applyBorder="1" applyAlignment="1">
      <alignment horizontal="left" vertical="center"/>
    </xf>
    <xf numFmtId="0" fontId="6" fillId="13" borderId="6" xfId="0" applyFont="1" applyFill="1" applyBorder="1" applyAlignment="1">
      <alignment horizontal="left" vertical="center"/>
    </xf>
    <xf numFmtId="0" fontId="12" fillId="13" borderId="3" xfId="0" applyFont="1" applyFill="1" applyBorder="1" applyAlignment="1">
      <alignment vertical="center" wrapText="1"/>
    </xf>
    <xf numFmtId="0" fontId="12" fillId="13" borderId="4" xfId="0" applyFont="1" applyFill="1" applyBorder="1" applyAlignment="1">
      <alignment horizontal="right" vertical="center" wrapText="1"/>
    </xf>
    <xf numFmtId="1" fontId="12" fillId="13" borderId="4" xfId="0" applyNumberFormat="1" applyFont="1" applyFill="1" applyBorder="1" applyAlignment="1">
      <alignment horizontal="right" vertical="center" wrapText="1"/>
    </xf>
    <xf numFmtId="0" fontId="12" fillId="13" borderId="1" xfId="0" applyFont="1" applyFill="1" applyBorder="1" applyAlignment="1">
      <alignment vertical="center" wrapText="1"/>
    </xf>
    <xf numFmtId="0" fontId="12" fillId="13" borderId="1" xfId="0" applyFont="1" applyFill="1" applyBorder="1"/>
    <xf numFmtId="0" fontId="23" fillId="13" borderId="2" xfId="0" applyFont="1" applyFill="1" applyBorder="1" applyAlignment="1">
      <alignment horizontal="right" vertical="center" wrapText="1"/>
    </xf>
    <xf numFmtId="0" fontId="23" fillId="13" borderId="4" xfId="0" applyFont="1" applyFill="1" applyBorder="1" applyAlignment="1">
      <alignment horizontal="right" vertical="center" wrapText="1"/>
    </xf>
    <xf numFmtId="0" fontId="12" fillId="13" borderId="2" xfId="0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BAE8"/>
      <color rgb="FFF145E1"/>
      <color rgb="FFFF3333"/>
      <color rgb="FFFF3300"/>
      <color rgb="FFA6A6A6"/>
      <color rgb="FF762949"/>
      <color rgb="FF133926"/>
      <color rgb="FF008000"/>
      <color rgb="FF682300"/>
      <color rgb="FFFF8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anhill/Documents/WORK/RWC%202019%20Databases/Pro%2014/2019:20/2019-10-15%20Round%203/PRO14%2019-10-15%20Scor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"/>
      <sheetName val="CBL"/>
      <sheetName val="CHE"/>
      <sheetName val="CON"/>
      <sheetName val="DRA"/>
      <sheetName val="EDI"/>
      <sheetName val="GLA"/>
      <sheetName val="LEIN"/>
      <sheetName val="MUN"/>
      <sheetName val="OSP"/>
      <sheetName val="SCA"/>
      <sheetName val="SKG"/>
      <sheetName val="ULS"/>
      <sheetName val="ZEB"/>
      <sheetName val="OVERALL"/>
    </sheetNames>
    <sheetDataSet>
      <sheetData sheetId="0">
        <row r="54">
          <cell r="B54">
            <v>6</v>
          </cell>
          <cell r="F54">
            <v>52</v>
          </cell>
        </row>
      </sheetData>
      <sheetData sheetId="1">
        <row r="50">
          <cell r="B50">
            <v>7</v>
          </cell>
          <cell r="F50">
            <v>55</v>
          </cell>
        </row>
      </sheetData>
      <sheetData sheetId="2">
        <row r="62">
          <cell r="B62">
            <v>22</v>
          </cell>
          <cell r="E62">
            <v>151</v>
          </cell>
        </row>
      </sheetData>
      <sheetData sheetId="3">
        <row r="51">
          <cell r="B51">
            <v>12</v>
          </cell>
          <cell r="F51">
            <v>89</v>
          </cell>
        </row>
      </sheetData>
      <sheetData sheetId="4">
        <row r="55">
          <cell r="B55">
            <v>9</v>
          </cell>
          <cell r="F55">
            <v>75</v>
          </cell>
        </row>
      </sheetData>
      <sheetData sheetId="5">
        <row r="51">
          <cell r="B51">
            <v>10</v>
          </cell>
          <cell r="F51">
            <v>83</v>
          </cell>
        </row>
      </sheetData>
      <sheetData sheetId="6">
        <row r="58">
          <cell r="B58">
            <v>6</v>
          </cell>
          <cell r="F58">
            <v>52</v>
          </cell>
        </row>
      </sheetData>
      <sheetData sheetId="7">
        <row r="58">
          <cell r="B58">
            <v>18</v>
          </cell>
          <cell r="F58">
            <v>125</v>
          </cell>
        </row>
      </sheetData>
      <sheetData sheetId="8">
        <row r="55">
          <cell r="B55">
            <v>10</v>
          </cell>
          <cell r="F55">
            <v>86</v>
          </cell>
        </row>
      </sheetData>
      <sheetData sheetId="9">
        <row r="50">
          <cell r="B50">
            <v>6</v>
          </cell>
          <cell r="F50">
            <v>43</v>
          </cell>
        </row>
      </sheetData>
      <sheetData sheetId="10">
        <row r="56">
          <cell r="B56">
            <v>13</v>
          </cell>
          <cell r="F56">
            <v>97</v>
          </cell>
        </row>
      </sheetData>
      <sheetData sheetId="11">
        <row r="47">
          <cell r="B47">
            <v>7</v>
          </cell>
          <cell r="E47">
            <v>64</v>
          </cell>
        </row>
      </sheetData>
      <sheetData sheetId="12">
        <row r="59">
          <cell r="B59">
            <v>15</v>
          </cell>
          <cell r="F59">
            <v>106</v>
          </cell>
        </row>
      </sheetData>
      <sheetData sheetId="13">
        <row r="49">
          <cell r="B49">
            <v>7</v>
          </cell>
          <cell r="F49">
            <v>53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8"/>
  <sheetViews>
    <sheetView topLeftCell="A45" workbookViewId="0">
      <selection activeCell="G55" sqref="G55"/>
    </sheetView>
  </sheetViews>
  <sheetFormatPr defaultColWidth="8.875" defaultRowHeight="14.3" x14ac:dyDescent="0.25"/>
  <cols>
    <col min="1" max="1" width="16.375" customWidth="1"/>
    <col min="2" max="2" width="3.75" customWidth="1"/>
    <col min="3" max="3" width="4.75" customWidth="1"/>
    <col min="4" max="4" width="16.375" customWidth="1"/>
    <col min="5" max="6" width="5.25" customWidth="1"/>
    <col min="7" max="7" width="16.75" customWidth="1"/>
    <col min="8" max="10" width="5.375" customWidth="1"/>
    <col min="11" max="19" width="5.75" customWidth="1"/>
    <col min="20" max="24" width="4.75" customWidth="1"/>
  </cols>
  <sheetData>
    <row r="1" spans="1:27" ht="14.95" customHeight="1" thickBot="1" x14ac:dyDescent="0.3">
      <c r="A1" s="169" t="s">
        <v>46</v>
      </c>
      <c r="B1" s="170"/>
      <c r="C1" s="170"/>
      <c r="D1" s="170"/>
      <c r="E1" s="170"/>
      <c r="F1" s="171"/>
      <c r="G1" s="176" t="s">
        <v>248</v>
      </c>
      <c r="H1" s="172" t="s">
        <v>12</v>
      </c>
      <c r="I1" s="178"/>
      <c r="J1" s="173"/>
      <c r="K1" s="172" t="s">
        <v>34</v>
      </c>
      <c r="L1" s="178"/>
      <c r="M1" s="173"/>
      <c r="N1" s="172" t="s">
        <v>37</v>
      </c>
      <c r="O1" s="173"/>
      <c r="P1" s="95"/>
      <c r="Q1" s="88"/>
      <c r="R1" s="88"/>
      <c r="S1" s="3"/>
      <c r="T1" s="3"/>
      <c r="U1" s="3"/>
      <c r="X1" s="3"/>
    </row>
    <row r="2" spans="1:27" ht="14.95" customHeight="1" thickBot="1" x14ac:dyDescent="0.3">
      <c r="A2" s="118" t="s">
        <v>0</v>
      </c>
      <c r="B2" s="157" t="s">
        <v>47</v>
      </c>
      <c r="C2" s="90" t="s">
        <v>1</v>
      </c>
      <c r="D2" s="120" t="s">
        <v>2</v>
      </c>
      <c r="E2" s="159" t="s">
        <v>47</v>
      </c>
      <c r="F2" s="82" t="s">
        <v>1</v>
      </c>
      <c r="G2" s="177"/>
      <c r="H2" s="174"/>
      <c r="I2" s="179"/>
      <c r="J2" s="175"/>
      <c r="K2" s="174"/>
      <c r="L2" s="179"/>
      <c r="M2" s="175"/>
      <c r="N2" s="174"/>
      <c r="O2" s="175"/>
      <c r="P2" s="95"/>
      <c r="Q2" s="88"/>
      <c r="R2" s="88"/>
      <c r="V2" s="3"/>
      <c r="W2" s="3"/>
      <c r="X2" s="3"/>
      <c r="Y2" s="3"/>
      <c r="Z2" s="3"/>
      <c r="AA2" s="3"/>
    </row>
    <row r="3" spans="1:27" ht="14.95" customHeight="1" thickBot="1" x14ac:dyDescent="0.3">
      <c r="A3" s="119" t="s">
        <v>60</v>
      </c>
      <c r="B3" s="158">
        <v>0</v>
      </c>
      <c r="C3" s="91">
        <f t="shared" ref="C3:C34" si="0">SUM(B3:B3)</f>
        <v>0</v>
      </c>
      <c r="D3" s="121" t="s">
        <v>60</v>
      </c>
      <c r="E3" s="160">
        <v>0</v>
      </c>
      <c r="F3" s="81">
        <f t="shared" ref="F3:F34" si="1">SUM(E3:E3)</f>
        <v>0</v>
      </c>
      <c r="G3" s="151" t="s">
        <v>16</v>
      </c>
      <c r="H3" s="2" t="s">
        <v>24</v>
      </c>
      <c r="I3" s="2" t="s">
        <v>7</v>
      </c>
      <c r="J3" s="2" t="s">
        <v>8</v>
      </c>
      <c r="K3" s="87" t="s">
        <v>24</v>
      </c>
      <c r="L3" s="2" t="s">
        <v>7</v>
      </c>
      <c r="M3" s="2" t="s">
        <v>8</v>
      </c>
      <c r="N3" s="2" t="s">
        <v>47</v>
      </c>
      <c r="O3" s="2" t="s">
        <v>25</v>
      </c>
      <c r="P3" s="66"/>
      <c r="Q3" s="67"/>
      <c r="R3" s="67"/>
    </row>
    <row r="4" spans="1:27" ht="14.95" customHeight="1" thickBot="1" x14ac:dyDescent="0.3">
      <c r="A4" s="119" t="s">
        <v>48</v>
      </c>
      <c r="B4" s="158">
        <v>1</v>
      </c>
      <c r="C4" s="91">
        <f t="shared" si="0"/>
        <v>1</v>
      </c>
      <c r="D4" s="121" t="s">
        <v>48</v>
      </c>
      <c r="E4" s="160">
        <v>5</v>
      </c>
      <c r="F4" s="81">
        <f t="shared" si="1"/>
        <v>5</v>
      </c>
      <c r="G4" s="118" t="s">
        <v>50</v>
      </c>
      <c r="H4" s="125">
        <v>9</v>
      </c>
      <c r="I4" s="125">
        <v>11</v>
      </c>
      <c r="J4" s="126">
        <f>(H4/I4)*100</f>
        <v>81.818181818181827</v>
      </c>
      <c r="K4" s="125" t="s">
        <v>13</v>
      </c>
      <c r="L4" s="125" t="s">
        <v>13</v>
      </c>
      <c r="M4" s="126" t="s">
        <v>13</v>
      </c>
      <c r="N4" s="90">
        <v>-1</v>
      </c>
      <c r="O4" s="90">
        <v>-1</v>
      </c>
      <c r="P4" s="66"/>
      <c r="Q4" s="67"/>
      <c r="R4" s="67"/>
    </row>
    <row r="5" spans="1:27" ht="14.95" customHeight="1" thickBot="1" x14ac:dyDescent="0.3">
      <c r="A5" s="119" t="s">
        <v>49</v>
      </c>
      <c r="B5" s="158">
        <v>7</v>
      </c>
      <c r="C5" s="91">
        <f t="shared" si="0"/>
        <v>7</v>
      </c>
      <c r="D5" s="121" t="s">
        <v>49</v>
      </c>
      <c r="E5" s="160">
        <v>35</v>
      </c>
      <c r="F5" s="81">
        <f t="shared" si="1"/>
        <v>35</v>
      </c>
      <c r="G5" s="118" t="s">
        <v>80</v>
      </c>
      <c r="H5" s="125">
        <v>35</v>
      </c>
      <c r="I5" s="90">
        <v>55</v>
      </c>
      <c r="J5" s="126">
        <f>(H5/I5)*100</f>
        <v>63.636363636363633</v>
      </c>
      <c r="K5" s="125" t="s">
        <v>13</v>
      </c>
      <c r="L5" s="125" t="s">
        <v>13</v>
      </c>
      <c r="M5" s="126" t="s">
        <v>13</v>
      </c>
      <c r="N5" s="90">
        <v>-1</v>
      </c>
      <c r="O5" s="90">
        <v>-1</v>
      </c>
      <c r="P5" s="66"/>
      <c r="Q5" s="67"/>
      <c r="R5" s="67"/>
    </row>
    <row r="6" spans="1:27" ht="14.95" customHeight="1" thickBot="1" x14ac:dyDescent="0.3">
      <c r="A6" s="119" t="s">
        <v>50</v>
      </c>
      <c r="B6" s="158">
        <v>5</v>
      </c>
      <c r="C6" s="91">
        <f t="shared" si="0"/>
        <v>5</v>
      </c>
      <c r="D6" s="121" t="s">
        <v>50</v>
      </c>
      <c r="E6" s="160">
        <v>43</v>
      </c>
      <c r="F6" s="81">
        <f t="shared" si="1"/>
        <v>43</v>
      </c>
      <c r="G6" s="127" t="s">
        <v>81</v>
      </c>
      <c r="H6" s="125">
        <v>1</v>
      </c>
      <c r="I6" s="90">
        <v>6</v>
      </c>
      <c r="J6" s="126">
        <f>(H6/I6)*100</f>
        <v>16.666666666666664</v>
      </c>
      <c r="K6" s="125" t="s">
        <v>13</v>
      </c>
      <c r="L6" s="125" t="s">
        <v>13</v>
      </c>
      <c r="M6" s="126" t="s">
        <v>13</v>
      </c>
      <c r="N6" s="125">
        <v>-4</v>
      </c>
      <c r="O6" s="128">
        <v>-4</v>
      </c>
      <c r="P6" s="66"/>
      <c r="Q6" s="67"/>
      <c r="R6" s="67"/>
    </row>
    <row r="7" spans="1:27" ht="14.95" customHeight="1" thickBot="1" x14ac:dyDescent="0.3">
      <c r="A7" s="119" t="s">
        <v>64</v>
      </c>
      <c r="B7" s="158">
        <v>5</v>
      </c>
      <c r="C7" s="91">
        <f t="shared" si="0"/>
        <v>5</v>
      </c>
      <c r="D7" s="121" t="s">
        <v>64</v>
      </c>
      <c r="E7" s="160">
        <v>25</v>
      </c>
      <c r="F7" s="81">
        <f t="shared" si="1"/>
        <v>25</v>
      </c>
      <c r="G7" s="127" t="s">
        <v>85</v>
      </c>
      <c r="H7" s="125">
        <v>18</v>
      </c>
      <c r="I7" s="125">
        <v>29</v>
      </c>
      <c r="J7" s="126">
        <f>(H7/I7)*100</f>
        <v>62.068965517241381</v>
      </c>
      <c r="K7" s="125">
        <v>1</v>
      </c>
      <c r="L7" s="125">
        <v>2</v>
      </c>
      <c r="M7" s="126">
        <v>0</v>
      </c>
      <c r="N7" s="125">
        <v>-1</v>
      </c>
      <c r="O7" s="128">
        <v>-1</v>
      </c>
      <c r="P7" s="66"/>
      <c r="Q7" s="67"/>
      <c r="R7" s="67"/>
    </row>
    <row r="8" spans="1:27" ht="14.95" customHeight="1" thickBot="1" x14ac:dyDescent="0.3">
      <c r="A8" s="119" t="s">
        <v>51</v>
      </c>
      <c r="B8" s="158">
        <v>0</v>
      </c>
      <c r="C8" s="91">
        <f t="shared" si="0"/>
        <v>0</v>
      </c>
      <c r="D8" s="121" t="s">
        <v>51</v>
      </c>
      <c r="E8" s="160">
        <v>0</v>
      </c>
      <c r="F8" s="81">
        <f t="shared" si="1"/>
        <v>0</v>
      </c>
      <c r="G8" s="127" t="s">
        <v>89</v>
      </c>
      <c r="H8" s="125">
        <v>3</v>
      </c>
      <c r="I8" s="90">
        <v>6</v>
      </c>
      <c r="J8" s="126">
        <f>(H8/I8)*100</f>
        <v>50</v>
      </c>
      <c r="K8" s="125" t="s">
        <v>13</v>
      </c>
      <c r="L8" s="125" t="s">
        <v>13</v>
      </c>
      <c r="M8" s="126" t="s">
        <v>13</v>
      </c>
      <c r="N8" s="125">
        <v>3</v>
      </c>
      <c r="O8" s="128">
        <v>3</v>
      </c>
      <c r="P8" s="66"/>
      <c r="Q8" s="67"/>
      <c r="R8" s="67"/>
      <c r="S8" s="3"/>
    </row>
    <row r="9" spans="1:27" ht="14.95" customHeight="1" thickBot="1" x14ac:dyDescent="0.3">
      <c r="A9" s="119" t="s">
        <v>52</v>
      </c>
      <c r="B9" s="158">
        <v>2</v>
      </c>
      <c r="C9" s="91">
        <f t="shared" si="0"/>
        <v>2</v>
      </c>
      <c r="D9" s="121" t="s">
        <v>52</v>
      </c>
      <c r="E9" s="160">
        <v>10</v>
      </c>
      <c r="F9" s="81">
        <f t="shared" si="1"/>
        <v>10</v>
      </c>
      <c r="P9" s="67"/>
      <c r="Q9" s="67"/>
      <c r="R9" s="67"/>
    </row>
    <row r="10" spans="1:27" ht="14.95" customHeight="1" thickBot="1" x14ac:dyDescent="0.3">
      <c r="A10" s="119" t="s">
        <v>53</v>
      </c>
      <c r="B10" s="158">
        <v>0</v>
      </c>
      <c r="C10" s="91">
        <f t="shared" si="0"/>
        <v>0</v>
      </c>
      <c r="D10" s="121" t="s">
        <v>53</v>
      </c>
      <c r="E10" s="160">
        <v>0</v>
      </c>
      <c r="F10" s="81">
        <f t="shared" si="1"/>
        <v>0</v>
      </c>
      <c r="G10" s="3"/>
      <c r="H10" s="3"/>
    </row>
    <row r="11" spans="1:27" ht="14.95" customHeight="1" thickBot="1" x14ac:dyDescent="0.3">
      <c r="A11" s="119" t="s">
        <v>54</v>
      </c>
      <c r="B11" s="158">
        <v>5</v>
      </c>
      <c r="C11" s="91">
        <f t="shared" si="0"/>
        <v>5</v>
      </c>
      <c r="D11" s="121" t="s">
        <v>54</v>
      </c>
      <c r="E11" s="160">
        <v>25</v>
      </c>
      <c r="F11" s="81">
        <f t="shared" si="1"/>
        <v>25</v>
      </c>
      <c r="G11" s="3"/>
      <c r="H11" s="3"/>
    </row>
    <row r="12" spans="1:27" ht="14.95" customHeight="1" thickBot="1" x14ac:dyDescent="0.3">
      <c r="A12" s="119" t="s">
        <v>55</v>
      </c>
      <c r="B12" s="158">
        <v>4</v>
      </c>
      <c r="C12" s="91">
        <f t="shared" si="0"/>
        <v>4</v>
      </c>
      <c r="D12" s="121" t="s">
        <v>55</v>
      </c>
      <c r="E12" s="160">
        <v>20</v>
      </c>
      <c r="F12" s="81">
        <f t="shared" si="1"/>
        <v>20</v>
      </c>
      <c r="G12" s="86"/>
      <c r="H12" s="86"/>
      <c r="I12" s="59"/>
      <c r="J12" s="59"/>
      <c r="K12" s="59"/>
    </row>
    <row r="13" spans="1:27" ht="14.95" customHeight="1" thickBot="1" x14ac:dyDescent="0.3">
      <c r="A13" s="119" t="s">
        <v>56</v>
      </c>
      <c r="B13" s="158">
        <v>0</v>
      </c>
      <c r="C13" s="91">
        <f t="shared" si="0"/>
        <v>0</v>
      </c>
      <c r="D13" s="121" t="s">
        <v>56</v>
      </c>
      <c r="E13" s="160">
        <v>0</v>
      </c>
      <c r="F13" s="81">
        <f t="shared" si="1"/>
        <v>0</v>
      </c>
      <c r="G13" s="58"/>
      <c r="H13" s="58"/>
      <c r="I13" s="58"/>
    </row>
    <row r="14" spans="1:27" ht="14.95" customHeight="1" thickBot="1" x14ac:dyDescent="0.3">
      <c r="A14" s="119" t="s">
        <v>58</v>
      </c>
      <c r="B14" s="158">
        <v>23</v>
      </c>
      <c r="C14" s="91">
        <f t="shared" si="0"/>
        <v>23</v>
      </c>
      <c r="D14" s="121" t="s">
        <v>58</v>
      </c>
      <c r="E14" s="160">
        <v>115</v>
      </c>
      <c r="F14" s="81">
        <f t="shared" si="1"/>
        <v>115</v>
      </c>
      <c r="G14" s="58"/>
      <c r="H14" s="58"/>
      <c r="I14" s="58"/>
    </row>
    <row r="15" spans="1:27" ht="14.95" customHeight="1" thickBot="1" x14ac:dyDescent="0.3">
      <c r="A15" s="119" t="s">
        <v>59</v>
      </c>
      <c r="B15" s="158">
        <v>0</v>
      </c>
      <c r="C15" s="91">
        <f t="shared" si="0"/>
        <v>0</v>
      </c>
      <c r="D15" s="121" t="s">
        <v>59</v>
      </c>
      <c r="E15" s="160">
        <v>0</v>
      </c>
      <c r="F15" s="81">
        <f t="shared" si="1"/>
        <v>0</v>
      </c>
    </row>
    <row r="16" spans="1:27" ht="14.95" customHeight="1" thickBot="1" x14ac:dyDescent="0.3">
      <c r="A16" s="119" t="s">
        <v>57</v>
      </c>
      <c r="B16" s="158">
        <v>0</v>
      </c>
      <c r="C16" s="91">
        <f t="shared" si="0"/>
        <v>0</v>
      </c>
      <c r="D16" s="121" t="s">
        <v>57</v>
      </c>
      <c r="E16" s="160">
        <v>0</v>
      </c>
      <c r="F16" s="81">
        <f t="shared" si="1"/>
        <v>0</v>
      </c>
    </row>
    <row r="17" spans="1:13" ht="14.95" customHeight="1" thickBot="1" x14ac:dyDescent="0.3">
      <c r="A17" s="119" t="s">
        <v>62</v>
      </c>
      <c r="B17" s="158">
        <v>0</v>
      </c>
      <c r="C17" s="91">
        <f t="shared" si="0"/>
        <v>0</v>
      </c>
      <c r="D17" s="121" t="s">
        <v>62</v>
      </c>
      <c r="E17" s="160">
        <v>0</v>
      </c>
      <c r="F17" s="81">
        <f t="shared" si="1"/>
        <v>0</v>
      </c>
    </row>
    <row r="18" spans="1:13" ht="14.95" customHeight="1" thickBot="1" x14ac:dyDescent="0.3">
      <c r="A18" s="119" t="s">
        <v>61</v>
      </c>
      <c r="B18" s="158">
        <v>2</v>
      </c>
      <c r="C18" s="91">
        <f t="shared" si="0"/>
        <v>2</v>
      </c>
      <c r="D18" s="121" t="s">
        <v>61</v>
      </c>
      <c r="E18" s="160">
        <v>10</v>
      </c>
      <c r="F18" s="81">
        <f t="shared" si="1"/>
        <v>10</v>
      </c>
      <c r="L18" s="57"/>
      <c r="M18" s="57"/>
    </row>
    <row r="19" spans="1:13" ht="14.95" customHeight="1" thickBot="1" x14ac:dyDescent="0.3">
      <c r="A19" s="119" t="s">
        <v>33</v>
      </c>
      <c r="B19" s="158">
        <v>0</v>
      </c>
      <c r="C19" s="91">
        <f t="shared" si="0"/>
        <v>0</v>
      </c>
      <c r="D19" s="121" t="s">
        <v>33</v>
      </c>
      <c r="E19" s="160">
        <v>0</v>
      </c>
      <c r="F19" s="81">
        <f t="shared" si="1"/>
        <v>0</v>
      </c>
    </row>
    <row r="20" spans="1:13" ht="14.95" customHeight="1" thickBot="1" x14ac:dyDescent="0.3">
      <c r="A20" s="119" t="s">
        <v>63</v>
      </c>
      <c r="B20" s="158">
        <v>1</v>
      </c>
      <c r="C20" s="91">
        <f t="shared" si="0"/>
        <v>1</v>
      </c>
      <c r="D20" s="121" t="s">
        <v>63</v>
      </c>
      <c r="E20" s="160">
        <v>5</v>
      </c>
      <c r="F20" s="81">
        <f t="shared" si="1"/>
        <v>5</v>
      </c>
    </row>
    <row r="21" spans="1:13" ht="14.95" customHeight="1" thickBot="1" x14ac:dyDescent="0.3">
      <c r="A21" s="119" t="s">
        <v>17</v>
      </c>
      <c r="B21" s="158">
        <v>0</v>
      </c>
      <c r="C21" s="91">
        <f t="shared" si="0"/>
        <v>0</v>
      </c>
      <c r="D21" s="121" t="s">
        <v>17</v>
      </c>
      <c r="E21" s="160">
        <v>0</v>
      </c>
      <c r="F21" s="81">
        <f t="shared" si="1"/>
        <v>0</v>
      </c>
    </row>
    <row r="22" spans="1:13" ht="14.95" customHeight="1" thickBot="1" x14ac:dyDescent="0.3">
      <c r="A22" s="119" t="s">
        <v>65</v>
      </c>
      <c r="B22" s="158">
        <v>0</v>
      </c>
      <c r="C22" s="91">
        <f t="shared" si="0"/>
        <v>0</v>
      </c>
      <c r="D22" s="121" t="s">
        <v>65</v>
      </c>
      <c r="E22" s="160">
        <v>0</v>
      </c>
      <c r="F22" s="81">
        <f t="shared" si="1"/>
        <v>0</v>
      </c>
    </row>
    <row r="23" spans="1:13" ht="14.95" customHeight="1" thickBot="1" x14ac:dyDescent="0.3">
      <c r="A23" s="119" t="s">
        <v>66</v>
      </c>
      <c r="B23" s="158">
        <v>5</v>
      </c>
      <c r="C23" s="91">
        <f t="shared" si="0"/>
        <v>5</v>
      </c>
      <c r="D23" s="121" t="s">
        <v>66</v>
      </c>
      <c r="E23" s="160">
        <v>25</v>
      </c>
      <c r="F23" s="81">
        <f t="shared" si="1"/>
        <v>25</v>
      </c>
    </row>
    <row r="24" spans="1:13" ht="14.95" customHeight="1" thickBot="1" x14ac:dyDescent="0.3">
      <c r="A24" s="119" t="s">
        <v>67</v>
      </c>
      <c r="B24" s="158">
        <v>4</v>
      </c>
      <c r="C24" s="91">
        <f t="shared" si="0"/>
        <v>4</v>
      </c>
      <c r="D24" s="121" t="s">
        <v>67</v>
      </c>
      <c r="E24" s="160">
        <v>20</v>
      </c>
      <c r="F24" s="81">
        <f t="shared" si="1"/>
        <v>20</v>
      </c>
    </row>
    <row r="25" spans="1:13" ht="14.95" customHeight="1" thickBot="1" x14ac:dyDescent="0.3">
      <c r="A25" s="119" t="s">
        <v>68</v>
      </c>
      <c r="B25" s="158">
        <v>5</v>
      </c>
      <c r="C25" s="91">
        <f t="shared" si="0"/>
        <v>5</v>
      </c>
      <c r="D25" s="121" t="s">
        <v>68</v>
      </c>
      <c r="E25" s="160">
        <v>25</v>
      </c>
      <c r="F25" s="81">
        <f t="shared" si="1"/>
        <v>25</v>
      </c>
    </row>
    <row r="26" spans="1:13" ht="14.95" customHeight="1" thickBot="1" x14ac:dyDescent="0.3">
      <c r="A26" s="119" t="s">
        <v>69</v>
      </c>
      <c r="B26" s="158">
        <v>0</v>
      </c>
      <c r="C26" s="91">
        <f t="shared" si="0"/>
        <v>0</v>
      </c>
      <c r="D26" s="121" t="s">
        <v>69</v>
      </c>
      <c r="E26" s="160">
        <v>0</v>
      </c>
      <c r="F26" s="81">
        <f t="shared" si="1"/>
        <v>0</v>
      </c>
    </row>
    <row r="27" spans="1:13" ht="14.95" customHeight="1" thickBot="1" x14ac:dyDescent="0.3">
      <c r="A27" s="119" t="s">
        <v>70</v>
      </c>
      <c r="B27" s="158">
        <v>0</v>
      </c>
      <c r="C27" s="91">
        <f t="shared" si="0"/>
        <v>0</v>
      </c>
      <c r="D27" s="121" t="s">
        <v>70</v>
      </c>
      <c r="E27" s="160">
        <v>0</v>
      </c>
      <c r="F27" s="81">
        <f t="shared" si="1"/>
        <v>0</v>
      </c>
    </row>
    <row r="28" spans="1:13" ht="14.95" customHeight="1" thickBot="1" x14ac:dyDescent="0.3">
      <c r="A28" s="119" t="s">
        <v>71</v>
      </c>
      <c r="B28" s="158">
        <v>7</v>
      </c>
      <c r="C28" s="91">
        <f t="shared" si="0"/>
        <v>7</v>
      </c>
      <c r="D28" s="121" t="s">
        <v>71</v>
      </c>
      <c r="E28" s="160">
        <v>35</v>
      </c>
      <c r="F28" s="81">
        <f t="shared" si="1"/>
        <v>35</v>
      </c>
    </row>
    <row r="29" spans="1:13" ht="14.95" customHeight="1" thickBot="1" x14ac:dyDescent="0.3">
      <c r="A29" s="119" t="s">
        <v>72</v>
      </c>
      <c r="B29" s="158">
        <v>0</v>
      </c>
      <c r="C29" s="91">
        <f t="shared" si="0"/>
        <v>0</v>
      </c>
      <c r="D29" s="121" t="s">
        <v>72</v>
      </c>
      <c r="E29" s="160">
        <v>0</v>
      </c>
      <c r="F29" s="81">
        <f t="shared" si="1"/>
        <v>0</v>
      </c>
    </row>
    <row r="30" spans="1:13" ht="14.95" customHeight="1" thickBot="1" x14ac:dyDescent="0.3">
      <c r="A30" s="119" t="s">
        <v>73</v>
      </c>
      <c r="B30" s="158">
        <v>1</v>
      </c>
      <c r="C30" s="91">
        <f t="shared" si="0"/>
        <v>1</v>
      </c>
      <c r="D30" s="121" t="s">
        <v>73</v>
      </c>
      <c r="E30" s="160">
        <v>5</v>
      </c>
      <c r="F30" s="81">
        <f t="shared" si="1"/>
        <v>5</v>
      </c>
    </row>
    <row r="31" spans="1:13" ht="14.95" customHeight="1" thickBot="1" x14ac:dyDescent="0.3">
      <c r="A31" s="119" t="s">
        <v>92</v>
      </c>
      <c r="B31" s="158">
        <v>1</v>
      </c>
      <c r="C31" s="91">
        <f t="shared" si="0"/>
        <v>1</v>
      </c>
      <c r="D31" s="121" t="s">
        <v>92</v>
      </c>
      <c r="E31" s="160">
        <v>5</v>
      </c>
      <c r="F31" s="83">
        <f t="shared" si="1"/>
        <v>5</v>
      </c>
    </row>
    <row r="32" spans="1:13" ht="14.95" customHeight="1" thickBot="1" x14ac:dyDescent="0.3">
      <c r="A32" s="119" t="s">
        <v>74</v>
      </c>
      <c r="B32" s="158">
        <v>0</v>
      </c>
      <c r="C32" s="91">
        <f t="shared" si="0"/>
        <v>0</v>
      </c>
      <c r="D32" s="121" t="s">
        <v>74</v>
      </c>
      <c r="E32" s="160">
        <v>0</v>
      </c>
      <c r="F32" s="83">
        <f t="shared" si="1"/>
        <v>0</v>
      </c>
    </row>
    <row r="33" spans="1:24" ht="14.95" customHeight="1" thickBot="1" x14ac:dyDescent="0.3">
      <c r="A33" s="119" t="s">
        <v>75</v>
      </c>
      <c r="B33" s="158">
        <v>0</v>
      </c>
      <c r="C33" s="91">
        <f t="shared" si="0"/>
        <v>0</v>
      </c>
      <c r="D33" s="121" t="s">
        <v>75</v>
      </c>
      <c r="E33" s="160">
        <v>0</v>
      </c>
      <c r="F33" s="83">
        <f t="shared" si="1"/>
        <v>0</v>
      </c>
    </row>
    <row r="34" spans="1:24" ht="14.95" customHeight="1" thickBot="1" x14ac:dyDescent="0.3">
      <c r="A34" s="119" t="s">
        <v>76</v>
      </c>
      <c r="B34" s="158">
        <v>2</v>
      </c>
      <c r="C34" s="91">
        <f t="shared" si="0"/>
        <v>2</v>
      </c>
      <c r="D34" s="121" t="s">
        <v>76</v>
      </c>
      <c r="E34" s="160">
        <v>10</v>
      </c>
      <c r="F34" s="83">
        <f t="shared" si="1"/>
        <v>10</v>
      </c>
    </row>
    <row r="35" spans="1:24" ht="14.95" customHeight="1" thickBot="1" x14ac:dyDescent="0.3">
      <c r="A35" s="119" t="s">
        <v>4</v>
      </c>
      <c r="B35" s="158">
        <v>1</v>
      </c>
      <c r="C35" s="91">
        <f t="shared" ref="C35:C53" si="2">SUM(B35:B35)</f>
        <v>1</v>
      </c>
      <c r="D35" s="121" t="s">
        <v>4</v>
      </c>
      <c r="E35" s="160">
        <v>7</v>
      </c>
      <c r="F35" s="83">
        <f t="shared" ref="F35:F53" si="3">SUM(E35:E35)</f>
        <v>7</v>
      </c>
    </row>
    <row r="36" spans="1:24" ht="14.95" customHeight="1" thickBot="1" x14ac:dyDescent="0.3">
      <c r="A36" s="119" t="s">
        <v>77</v>
      </c>
      <c r="B36" s="158">
        <v>4</v>
      </c>
      <c r="C36" s="91">
        <f t="shared" si="2"/>
        <v>4</v>
      </c>
      <c r="D36" s="121" t="s">
        <v>77</v>
      </c>
      <c r="E36" s="160">
        <v>20</v>
      </c>
      <c r="F36" s="83">
        <f t="shared" si="3"/>
        <v>20</v>
      </c>
    </row>
    <row r="37" spans="1:24" ht="14.95" customHeight="1" thickBot="1" x14ac:dyDescent="0.3">
      <c r="A37" s="119" t="s">
        <v>78</v>
      </c>
      <c r="B37" s="158">
        <v>0</v>
      </c>
      <c r="C37" s="91">
        <f t="shared" si="2"/>
        <v>0</v>
      </c>
      <c r="D37" s="121" t="s">
        <v>78</v>
      </c>
      <c r="E37" s="160">
        <v>0</v>
      </c>
      <c r="F37" s="83">
        <f t="shared" si="3"/>
        <v>0</v>
      </c>
    </row>
    <row r="38" spans="1:24" ht="14.95" customHeight="1" thickBot="1" x14ac:dyDescent="0.3">
      <c r="A38" s="119" t="s">
        <v>79</v>
      </c>
      <c r="B38" s="158">
        <v>0</v>
      </c>
      <c r="C38" s="91">
        <f t="shared" si="2"/>
        <v>0</v>
      </c>
      <c r="D38" s="121" t="s">
        <v>79</v>
      </c>
      <c r="E38" s="160">
        <v>0</v>
      </c>
      <c r="F38" s="83">
        <f t="shared" si="3"/>
        <v>0</v>
      </c>
    </row>
    <row r="39" spans="1:24" ht="14.95" customHeight="1" thickBot="1" x14ac:dyDescent="0.3">
      <c r="A39" s="119" t="s">
        <v>80</v>
      </c>
      <c r="B39" s="158">
        <v>4</v>
      </c>
      <c r="C39" s="91">
        <f t="shared" si="2"/>
        <v>4</v>
      </c>
      <c r="D39" s="121" t="s">
        <v>80</v>
      </c>
      <c r="E39" s="160">
        <v>90</v>
      </c>
      <c r="F39" s="83">
        <f t="shared" si="3"/>
        <v>90</v>
      </c>
      <c r="L39" s="123"/>
    </row>
    <row r="40" spans="1:24" ht="14.95" customHeight="1" thickBot="1" x14ac:dyDescent="0.3">
      <c r="A40" s="119" t="s">
        <v>247</v>
      </c>
      <c r="B40" s="158">
        <v>1</v>
      </c>
      <c r="C40" s="91">
        <f t="shared" si="2"/>
        <v>1</v>
      </c>
      <c r="D40" s="121" t="s">
        <v>247</v>
      </c>
      <c r="E40" s="160">
        <v>5</v>
      </c>
      <c r="F40" s="83">
        <f t="shared" si="3"/>
        <v>5</v>
      </c>
    </row>
    <row r="41" spans="1:24" ht="14.95" customHeight="1" thickBot="1" x14ac:dyDescent="0.3">
      <c r="A41" s="119" t="s">
        <v>81</v>
      </c>
      <c r="B41" s="158">
        <v>0</v>
      </c>
      <c r="C41" s="91">
        <f t="shared" si="2"/>
        <v>0</v>
      </c>
      <c r="D41" s="121" t="s">
        <v>81</v>
      </c>
      <c r="E41" s="160">
        <v>2</v>
      </c>
      <c r="F41" s="81">
        <f t="shared" si="3"/>
        <v>2</v>
      </c>
      <c r="V41" s="105"/>
      <c r="W41" s="50"/>
      <c r="X41" s="50"/>
    </row>
    <row r="42" spans="1:24" ht="14.95" customHeight="1" thickBot="1" x14ac:dyDescent="0.3">
      <c r="A42" s="119" t="s">
        <v>82</v>
      </c>
      <c r="B42" s="158">
        <v>1</v>
      </c>
      <c r="C42" s="91">
        <f t="shared" si="2"/>
        <v>1</v>
      </c>
      <c r="D42" s="121" t="s">
        <v>82</v>
      </c>
      <c r="E42" s="160">
        <v>5</v>
      </c>
      <c r="F42" s="81">
        <f t="shared" si="3"/>
        <v>5</v>
      </c>
      <c r="P42" s="123"/>
      <c r="Q42" s="123"/>
      <c r="R42" s="123"/>
      <c r="S42" s="123"/>
      <c r="T42" s="123"/>
      <c r="U42" s="123"/>
      <c r="V42" s="123"/>
      <c r="W42" s="123"/>
      <c r="X42" s="123"/>
    </row>
    <row r="43" spans="1:24" ht="14.95" thickBot="1" x14ac:dyDescent="0.3">
      <c r="A43" s="119" t="s">
        <v>90</v>
      </c>
      <c r="B43" s="158">
        <v>1</v>
      </c>
      <c r="C43" s="91">
        <f t="shared" si="2"/>
        <v>1</v>
      </c>
      <c r="D43" s="121" t="s">
        <v>90</v>
      </c>
      <c r="E43" s="160">
        <v>5</v>
      </c>
      <c r="F43" s="81">
        <f t="shared" si="3"/>
        <v>5</v>
      </c>
      <c r="T43" s="67"/>
      <c r="U43" s="67"/>
      <c r="V43" s="67"/>
    </row>
    <row r="44" spans="1:24" ht="14.95" thickBot="1" x14ac:dyDescent="0.3">
      <c r="A44" s="119" t="s">
        <v>83</v>
      </c>
      <c r="B44" s="158">
        <v>0</v>
      </c>
      <c r="C44" s="91">
        <f t="shared" si="2"/>
        <v>0</v>
      </c>
      <c r="D44" s="121" t="s">
        <v>83</v>
      </c>
      <c r="E44" s="160">
        <v>0</v>
      </c>
      <c r="F44" s="81">
        <f t="shared" si="3"/>
        <v>0</v>
      </c>
      <c r="T44" s="67"/>
      <c r="U44" s="67"/>
      <c r="V44" s="67"/>
    </row>
    <row r="45" spans="1:24" ht="14.95" customHeight="1" thickBot="1" x14ac:dyDescent="0.3">
      <c r="A45" s="119" t="s">
        <v>91</v>
      </c>
      <c r="B45" s="158">
        <v>0</v>
      </c>
      <c r="C45" s="91">
        <f t="shared" si="2"/>
        <v>0</v>
      </c>
      <c r="D45" s="121" t="s">
        <v>91</v>
      </c>
      <c r="E45" s="160">
        <v>0</v>
      </c>
      <c r="F45" s="81">
        <f t="shared" si="3"/>
        <v>0</v>
      </c>
      <c r="V45" s="67"/>
    </row>
    <row r="46" spans="1:24" ht="14.95" thickBot="1" x14ac:dyDescent="0.3">
      <c r="A46" s="119" t="s">
        <v>85</v>
      </c>
      <c r="B46" s="158">
        <v>2</v>
      </c>
      <c r="C46" s="91">
        <f t="shared" si="2"/>
        <v>2</v>
      </c>
      <c r="D46" s="121" t="s">
        <v>85</v>
      </c>
      <c r="E46" s="160">
        <v>47</v>
      </c>
      <c r="F46" s="81">
        <f t="shared" si="3"/>
        <v>47</v>
      </c>
      <c r="V46" s="67"/>
    </row>
    <row r="47" spans="1:24" ht="14.95" thickBot="1" x14ac:dyDescent="0.3">
      <c r="A47" s="119" t="s">
        <v>84</v>
      </c>
      <c r="B47" s="158">
        <v>0</v>
      </c>
      <c r="C47" s="91">
        <f t="shared" si="2"/>
        <v>0</v>
      </c>
      <c r="D47" s="121" t="s">
        <v>84</v>
      </c>
      <c r="E47" s="160">
        <v>0</v>
      </c>
      <c r="F47" s="81">
        <f t="shared" si="3"/>
        <v>0</v>
      </c>
      <c r="V47" s="67"/>
    </row>
    <row r="48" spans="1:24" ht="14.95" thickBot="1" x14ac:dyDescent="0.3">
      <c r="A48" s="119" t="s">
        <v>86</v>
      </c>
      <c r="B48" s="158">
        <v>0</v>
      </c>
      <c r="C48" s="91">
        <f t="shared" si="2"/>
        <v>0</v>
      </c>
      <c r="D48" s="121" t="s">
        <v>86</v>
      </c>
      <c r="E48" s="160">
        <v>0</v>
      </c>
      <c r="F48" s="81">
        <f t="shared" si="3"/>
        <v>0</v>
      </c>
    </row>
    <row r="49" spans="1:6" ht="14.95" thickBot="1" x14ac:dyDescent="0.3">
      <c r="A49" s="119" t="s">
        <v>88</v>
      </c>
      <c r="B49" s="158">
        <v>0</v>
      </c>
      <c r="C49" s="91">
        <f t="shared" si="2"/>
        <v>0</v>
      </c>
      <c r="D49" s="121" t="s">
        <v>88</v>
      </c>
      <c r="E49" s="160">
        <v>0</v>
      </c>
      <c r="F49" s="81">
        <f t="shared" si="3"/>
        <v>0</v>
      </c>
    </row>
    <row r="50" spans="1:6" ht="14.95" thickBot="1" x14ac:dyDescent="0.3">
      <c r="A50" s="119" t="s">
        <v>87</v>
      </c>
      <c r="B50" s="158">
        <v>7</v>
      </c>
      <c r="C50" s="91">
        <f t="shared" si="2"/>
        <v>7</v>
      </c>
      <c r="D50" s="121" t="s">
        <v>87</v>
      </c>
      <c r="E50" s="160">
        <v>35</v>
      </c>
      <c r="F50" s="81">
        <f t="shared" si="3"/>
        <v>35</v>
      </c>
    </row>
    <row r="51" spans="1:6" ht="14.95" thickBot="1" x14ac:dyDescent="0.3">
      <c r="A51" s="119" t="s">
        <v>89</v>
      </c>
      <c r="B51" s="158">
        <v>1</v>
      </c>
      <c r="C51" s="91">
        <f t="shared" si="2"/>
        <v>1</v>
      </c>
      <c r="D51" s="121" t="s">
        <v>89</v>
      </c>
      <c r="E51" s="160">
        <v>11</v>
      </c>
      <c r="F51" s="81">
        <f t="shared" si="3"/>
        <v>11</v>
      </c>
    </row>
    <row r="52" spans="1:6" ht="14.95" thickBot="1" x14ac:dyDescent="0.3">
      <c r="A52" s="119" t="s">
        <v>246</v>
      </c>
      <c r="B52" s="158">
        <v>5</v>
      </c>
      <c r="C52" s="91">
        <f t="shared" si="2"/>
        <v>5</v>
      </c>
      <c r="D52" s="121" t="s">
        <v>246</v>
      </c>
      <c r="E52" s="160">
        <v>25</v>
      </c>
      <c r="F52" s="81">
        <f t="shared" si="3"/>
        <v>25</v>
      </c>
    </row>
    <row r="53" spans="1:6" ht="14.3" customHeight="1" thickBot="1" x14ac:dyDescent="0.3">
      <c r="A53" s="119" t="s">
        <v>3</v>
      </c>
      <c r="B53" s="158">
        <f>SUM(B3:B52)</f>
        <v>107</v>
      </c>
      <c r="C53" s="91">
        <f t="shared" si="2"/>
        <v>107</v>
      </c>
      <c r="D53" s="121" t="s">
        <v>3</v>
      </c>
      <c r="E53" s="160">
        <f>SUM(E3:E52)</f>
        <v>670</v>
      </c>
      <c r="F53" s="81">
        <f t="shared" si="3"/>
        <v>670</v>
      </c>
    </row>
    <row r="54" spans="1:6" x14ac:dyDescent="0.25">
      <c r="A54" s="167"/>
      <c r="B54" s="168"/>
      <c r="C54" s="168"/>
      <c r="D54" s="168"/>
      <c r="E54" s="168"/>
      <c r="F54" s="30"/>
    </row>
    <row r="55" spans="1:6" ht="14.95" thickBot="1" x14ac:dyDescent="0.3">
      <c r="A55" t="s">
        <v>9</v>
      </c>
      <c r="B55" s="79"/>
      <c r="D55" s="29"/>
      <c r="E55" s="80"/>
      <c r="F55" s="32"/>
    </row>
    <row r="56" spans="1:6" ht="14.95" customHeight="1" thickBot="1" x14ac:dyDescent="0.3">
      <c r="A56" s="118" t="s">
        <v>0</v>
      </c>
      <c r="B56" s="157" t="s">
        <v>47</v>
      </c>
      <c r="C56" s="90" t="s">
        <v>1</v>
      </c>
      <c r="D56" s="120" t="s">
        <v>2</v>
      </c>
      <c r="E56" s="159" t="s">
        <v>47</v>
      </c>
      <c r="F56" s="82" t="s">
        <v>1</v>
      </c>
    </row>
    <row r="57" spans="1:6" ht="14.95" thickBot="1" x14ac:dyDescent="0.3">
      <c r="A57" s="119" t="s">
        <v>58</v>
      </c>
      <c r="B57" s="158">
        <v>23</v>
      </c>
      <c r="C57" s="91">
        <f t="shared" ref="C57:C88" si="4">SUM(B57:B57)</f>
        <v>23</v>
      </c>
      <c r="D57" s="121" t="s">
        <v>58</v>
      </c>
      <c r="E57" s="160">
        <v>115</v>
      </c>
      <c r="F57" s="81">
        <f t="shared" ref="F57:F88" si="5">SUM(E57:E57)</f>
        <v>115</v>
      </c>
    </row>
    <row r="58" spans="1:6" ht="14.95" thickBot="1" x14ac:dyDescent="0.3">
      <c r="A58" s="119" t="s">
        <v>49</v>
      </c>
      <c r="B58" s="158">
        <v>7</v>
      </c>
      <c r="C58" s="91">
        <f t="shared" si="4"/>
        <v>7</v>
      </c>
      <c r="D58" s="121" t="s">
        <v>80</v>
      </c>
      <c r="E58" s="160">
        <v>90</v>
      </c>
      <c r="F58" s="81">
        <f t="shared" si="5"/>
        <v>90</v>
      </c>
    </row>
    <row r="59" spans="1:6" ht="14.95" thickBot="1" x14ac:dyDescent="0.3">
      <c r="A59" s="119" t="s">
        <v>71</v>
      </c>
      <c r="B59" s="158">
        <v>7</v>
      </c>
      <c r="C59" s="91">
        <f t="shared" si="4"/>
        <v>7</v>
      </c>
      <c r="D59" s="121" t="s">
        <v>85</v>
      </c>
      <c r="E59" s="160">
        <v>47</v>
      </c>
      <c r="F59" s="81">
        <f t="shared" si="5"/>
        <v>47</v>
      </c>
    </row>
    <row r="60" spans="1:6" ht="14.95" thickBot="1" x14ac:dyDescent="0.3">
      <c r="A60" s="119" t="s">
        <v>87</v>
      </c>
      <c r="B60" s="158">
        <v>7</v>
      </c>
      <c r="C60" s="91">
        <f t="shared" si="4"/>
        <v>7</v>
      </c>
      <c r="D60" s="121" t="s">
        <v>50</v>
      </c>
      <c r="E60" s="160">
        <v>43</v>
      </c>
      <c r="F60" s="81">
        <f t="shared" si="5"/>
        <v>43</v>
      </c>
    </row>
    <row r="61" spans="1:6" ht="14.95" thickBot="1" x14ac:dyDescent="0.3">
      <c r="A61" s="119" t="s">
        <v>50</v>
      </c>
      <c r="B61" s="158">
        <v>5</v>
      </c>
      <c r="C61" s="91">
        <f t="shared" si="4"/>
        <v>5</v>
      </c>
      <c r="D61" s="121" t="s">
        <v>49</v>
      </c>
      <c r="E61" s="160">
        <v>35</v>
      </c>
      <c r="F61" s="81">
        <f t="shared" si="5"/>
        <v>35</v>
      </c>
    </row>
    <row r="62" spans="1:6" ht="14.95" thickBot="1" x14ac:dyDescent="0.3">
      <c r="A62" s="119" t="s">
        <v>64</v>
      </c>
      <c r="B62" s="158">
        <v>5</v>
      </c>
      <c r="C62" s="91">
        <f t="shared" si="4"/>
        <v>5</v>
      </c>
      <c r="D62" s="121" t="s">
        <v>71</v>
      </c>
      <c r="E62" s="160">
        <v>35</v>
      </c>
      <c r="F62" s="81">
        <f t="shared" si="5"/>
        <v>35</v>
      </c>
    </row>
    <row r="63" spans="1:6" ht="14.95" thickBot="1" x14ac:dyDescent="0.3">
      <c r="A63" s="119" t="s">
        <v>54</v>
      </c>
      <c r="B63" s="158">
        <v>5</v>
      </c>
      <c r="C63" s="91">
        <f t="shared" si="4"/>
        <v>5</v>
      </c>
      <c r="D63" s="121" t="s">
        <v>87</v>
      </c>
      <c r="E63" s="160">
        <v>35</v>
      </c>
      <c r="F63" s="81">
        <f t="shared" si="5"/>
        <v>35</v>
      </c>
    </row>
    <row r="64" spans="1:6" ht="14.95" thickBot="1" x14ac:dyDescent="0.3">
      <c r="A64" s="119" t="s">
        <v>66</v>
      </c>
      <c r="B64" s="158">
        <v>5</v>
      </c>
      <c r="C64" s="91">
        <f t="shared" si="4"/>
        <v>5</v>
      </c>
      <c r="D64" s="121" t="s">
        <v>64</v>
      </c>
      <c r="E64" s="160">
        <v>25</v>
      </c>
      <c r="F64" s="81">
        <f t="shared" si="5"/>
        <v>25</v>
      </c>
    </row>
    <row r="65" spans="1:6" ht="14.95" thickBot="1" x14ac:dyDescent="0.3">
      <c r="A65" s="119" t="s">
        <v>68</v>
      </c>
      <c r="B65" s="158">
        <v>5</v>
      </c>
      <c r="C65" s="91">
        <f t="shared" si="4"/>
        <v>5</v>
      </c>
      <c r="D65" s="121" t="s">
        <v>54</v>
      </c>
      <c r="E65" s="160">
        <v>25</v>
      </c>
      <c r="F65" s="81">
        <f t="shared" si="5"/>
        <v>25</v>
      </c>
    </row>
    <row r="66" spans="1:6" ht="14.95" thickBot="1" x14ac:dyDescent="0.3">
      <c r="A66" s="119" t="s">
        <v>246</v>
      </c>
      <c r="B66" s="158">
        <v>5</v>
      </c>
      <c r="C66" s="91">
        <f t="shared" si="4"/>
        <v>5</v>
      </c>
      <c r="D66" s="121" t="s">
        <v>66</v>
      </c>
      <c r="E66" s="160">
        <v>25</v>
      </c>
      <c r="F66" s="81">
        <f t="shared" si="5"/>
        <v>25</v>
      </c>
    </row>
    <row r="67" spans="1:6" ht="14.95" thickBot="1" x14ac:dyDescent="0.3">
      <c r="A67" s="119" t="s">
        <v>55</v>
      </c>
      <c r="B67" s="158">
        <v>4</v>
      </c>
      <c r="C67" s="91">
        <f t="shared" si="4"/>
        <v>4</v>
      </c>
      <c r="D67" s="121" t="s">
        <v>68</v>
      </c>
      <c r="E67" s="160">
        <v>25</v>
      </c>
      <c r="F67" s="81">
        <f t="shared" si="5"/>
        <v>25</v>
      </c>
    </row>
    <row r="68" spans="1:6" ht="14.95" thickBot="1" x14ac:dyDescent="0.3">
      <c r="A68" s="119" t="s">
        <v>67</v>
      </c>
      <c r="B68" s="158">
        <v>4</v>
      </c>
      <c r="C68" s="91">
        <f t="shared" si="4"/>
        <v>4</v>
      </c>
      <c r="D68" s="121" t="s">
        <v>246</v>
      </c>
      <c r="E68" s="160">
        <v>25</v>
      </c>
      <c r="F68" s="81">
        <f t="shared" si="5"/>
        <v>25</v>
      </c>
    </row>
    <row r="69" spans="1:6" ht="14.95" thickBot="1" x14ac:dyDescent="0.3">
      <c r="A69" s="119" t="s">
        <v>77</v>
      </c>
      <c r="B69" s="158">
        <v>4</v>
      </c>
      <c r="C69" s="91">
        <f t="shared" si="4"/>
        <v>4</v>
      </c>
      <c r="D69" s="121" t="s">
        <v>55</v>
      </c>
      <c r="E69" s="160">
        <v>20</v>
      </c>
      <c r="F69" s="81">
        <f t="shared" si="5"/>
        <v>20</v>
      </c>
    </row>
    <row r="70" spans="1:6" ht="14.95" thickBot="1" x14ac:dyDescent="0.3">
      <c r="A70" s="119" t="s">
        <v>80</v>
      </c>
      <c r="B70" s="158">
        <v>4</v>
      </c>
      <c r="C70" s="91">
        <f t="shared" si="4"/>
        <v>4</v>
      </c>
      <c r="D70" s="121" t="s">
        <v>67</v>
      </c>
      <c r="E70" s="160">
        <v>20</v>
      </c>
      <c r="F70" s="81">
        <f t="shared" si="5"/>
        <v>20</v>
      </c>
    </row>
    <row r="71" spans="1:6" ht="14.95" thickBot="1" x14ac:dyDescent="0.3">
      <c r="A71" s="119" t="s">
        <v>52</v>
      </c>
      <c r="B71" s="158">
        <v>2</v>
      </c>
      <c r="C71" s="91">
        <f t="shared" si="4"/>
        <v>2</v>
      </c>
      <c r="D71" s="121" t="s">
        <v>77</v>
      </c>
      <c r="E71" s="160">
        <v>20</v>
      </c>
      <c r="F71" s="81">
        <f t="shared" si="5"/>
        <v>20</v>
      </c>
    </row>
    <row r="72" spans="1:6" ht="14.95" thickBot="1" x14ac:dyDescent="0.3">
      <c r="A72" s="119" t="s">
        <v>61</v>
      </c>
      <c r="B72" s="158">
        <v>2</v>
      </c>
      <c r="C72" s="91">
        <f t="shared" si="4"/>
        <v>2</v>
      </c>
      <c r="D72" s="121" t="s">
        <v>89</v>
      </c>
      <c r="E72" s="160">
        <v>11</v>
      </c>
      <c r="F72" s="81">
        <f t="shared" si="5"/>
        <v>11</v>
      </c>
    </row>
    <row r="73" spans="1:6" ht="14.95" thickBot="1" x14ac:dyDescent="0.3">
      <c r="A73" s="119" t="s">
        <v>76</v>
      </c>
      <c r="B73" s="158">
        <v>2</v>
      </c>
      <c r="C73" s="91">
        <f t="shared" si="4"/>
        <v>2</v>
      </c>
      <c r="D73" s="121" t="s">
        <v>52</v>
      </c>
      <c r="E73" s="160">
        <v>10</v>
      </c>
      <c r="F73" s="81">
        <f t="shared" si="5"/>
        <v>10</v>
      </c>
    </row>
    <row r="74" spans="1:6" ht="14.95" thickBot="1" x14ac:dyDescent="0.3">
      <c r="A74" s="119" t="s">
        <v>85</v>
      </c>
      <c r="B74" s="158">
        <v>2</v>
      </c>
      <c r="C74" s="91">
        <f t="shared" si="4"/>
        <v>2</v>
      </c>
      <c r="D74" s="121" t="s">
        <v>61</v>
      </c>
      <c r="E74" s="160">
        <v>10</v>
      </c>
      <c r="F74" s="81">
        <f t="shared" si="5"/>
        <v>10</v>
      </c>
    </row>
    <row r="75" spans="1:6" ht="14.95" thickBot="1" x14ac:dyDescent="0.3">
      <c r="A75" s="119" t="s">
        <v>48</v>
      </c>
      <c r="B75" s="158">
        <v>1</v>
      </c>
      <c r="C75" s="91">
        <f t="shared" si="4"/>
        <v>1</v>
      </c>
      <c r="D75" s="121" t="s">
        <v>76</v>
      </c>
      <c r="E75" s="160">
        <v>10</v>
      </c>
      <c r="F75" s="81">
        <f t="shared" si="5"/>
        <v>10</v>
      </c>
    </row>
    <row r="76" spans="1:6" ht="14.95" thickBot="1" x14ac:dyDescent="0.3">
      <c r="A76" s="119" t="s">
        <v>63</v>
      </c>
      <c r="B76" s="158">
        <v>1</v>
      </c>
      <c r="C76" s="91">
        <f t="shared" si="4"/>
        <v>1</v>
      </c>
      <c r="D76" s="121" t="s">
        <v>4</v>
      </c>
      <c r="E76" s="160">
        <v>7</v>
      </c>
      <c r="F76" s="81">
        <f t="shared" si="5"/>
        <v>7</v>
      </c>
    </row>
    <row r="77" spans="1:6" ht="14.95" thickBot="1" x14ac:dyDescent="0.3">
      <c r="A77" s="119" t="s">
        <v>73</v>
      </c>
      <c r="B77" s="158">
        <v>1</v>
      </c>
      <c r="C77" s="91">
        <f t="shared" si="4"/>
        <v>1</v>
      </c>
      <c r="D77" s="121" t="s">
        <v>48</v>
      </c>
      <c r="E77" s="160">
        <v>5</v>
      </c>
      <c r="F77" s="81">
        <f t="shared" si="5"/>
        <v>5</v>
      </c>
    </row>
    <row r="78" spans="1:6" ht="14.95" thickBot="1" x14ac:dyDescent="0.3">
      <c r="A78" s="119" t="s">
        <v>92</v>
      </c>
      <c r="B78" s="158">
        <v>1</v>
      </c>
      <c r="C78" s="91">
        <f t="shared" si="4"/>
        <v>1</v>
      </c>
      <c r="D78" s="121" t="s">
        <v>63</v>
      </c>
      <c r="E78" s="160">
        <v>5</v>
      </c>
      <c r="F78" s="81">
        <f t="shared" si="5"/>
        <v>5</v>
      </c>
    </row>
    <row r="79" spans="1:6" ht="14.95" thickBot="1" x14ac:dyDescent="0.3">
      <c r="A79" s="119" t="s">
        <v>4</v>
      </c>
      <c r="B79" s="158">
        <v>1</v>
      </c>
      <c r="C79" s="91">
        <f t="shared" si="4"/>
        <v>1</v>
      </c>
      <c r="D79" s="121" t="s">
        <v>73</v>
      </c>
      <c r="E79" s="160">
        <v>5</v>
      </c>
      <c r="F79" s="81">
        <f t="shared" si="5"/>
        <v>5</v>
      </c>
    </row>
    <row r="80" spans="1:6" ht="14.95" thickBot="1" x14ac:dyDescent="0.3">
      <c r="A80" s="119" t="s">
        <v>247</v>
      </c>
      <c r="B80" s="158">
        <v>1</v>
      </c>
      <c r="C80" s="91">
        <f t="shared" si="4"/>
        <v>1</v>
      </c>
      <c r="D80" s="121" t="s">
        <v>92</v>
      </c>
      <c r="E80" s="160">
        <v>5</v>
      </c>
      <c r="F80" s="81">
        <f t="shared" si="5"/>
        <v>5</v>
      </c>
    </row>
    <row r="81" spans="1:6" ht="14.95" thickBot="1" x14ac:dyDescent="0.3">
      <c r="A81" s="119" t="s">
        <v>82</v>
      </c>
      <c r="B81" s="158">
        <v>1</v>
      </c>
      <c r="C81" s="91">
        <f t="shared" si="4"/>
        <v>1</v>
      </c>
      <c r="D81" s="121" t="s">
        <v>247</v>
      </c>
      <c r="E81" s="160">
        <v>5</v>
      </c>
      <c r="F81" s="81">
        <f t="shared" si="5"/>
        <v>5</v>
      </c>
    </row>
    <row r="82" spans="1:6" ht="14.95" thickBot="1" x14ac:dyDescent="0.3">
      <c r="A82" s="119" t="s">
        <v>90</v>
      </c>
      <c r="B82" s="158">
        <v>1</v>
      </c>
      <c r="C82" s="91">
        <f t="shared" si="4"/>
        <v>1</v>
      </c>
      <c r="D82" s="121" t="s">
        <v>82</v>
      </c>
      <c r="E82" s="160">
        <v>5</v>
      </c>
      <c r="F82" s="81">
        <f t="shared" si="5"/>
        <v>5</v>
      </c>
    </row>
    <row r="83" spans="1:6" ht="14.95" thickBot="1" x14ac:dyDescent="0.3">
      <c r="A83" s="119" t="s">
        <v>89</v>
      </c>
      <c r="B83" s="158">
        <v>1</v>
      </c>
      <c r="C83" s="91">
        <f t="shared" si="4"/>
        <v>1</v>
      </c>
      <c r="D83" s="121" t="s">
        <v>90</v>
      </c>
      <c r="E83" s="160">
        <v>5</v>
      </c>
      <c r="F83" s="81">
        <f t="shared" si="5"/>
        <v>5</v>
      </c>
    </row>
    <row r="84" spans="1:6" ht="14.95" thickBot="1" x14ac:dyDescent="0.3">
      <c r="A84" s="119" t="s">
        <v>60</v>
      </c>
      <c r="B84" s="158">
        <v>0</v>
      </c>
      <c r="C84" s="91">
        <f t="shared" si="4"/>
        <v>0</v>
      </c>
      <c r="D84" s="121" t="s">
        <v>81</v>
      </c>
      <c r="E84" s="160">
        <v>2</v>
      </c>
      <c r="F84" s="81">
        <f t="shared" si="5"/>
        <v>2</v>
      </c>
    </row>
    <row r="85" spans="1:6" ht="14.95" thickBot="1" x14ac:dyDescent="0.3">
      <c r="A85" s="119" t="s">
        <v>51</v>
      </c>
      <c r="B85" s="158">
        <v>0</v>
      </c>
      <c r="C85" s="91">
        <f t="shared" si="4"/>
        <v>0</v>
      </c>
      <c r="D85" s="121" t="s">
        <v>60</v>
      </c>
      <c r="E85" s="160">
        <v>0</v>
      </c>
      <c r="F85" s="83">
        <f t="shared" si="5"/>
        <v>0</v>
      </c>
    </row>
    <row r="86" spans="1:6" ht="14.95" thickBot="1" x14ac:dyDescent="0.3">
      <c r="A86" s="119" t="s">
        <v>53</v>
      </c>
      <c r="B86" s="158">
        <v>0</v>
      </c>
      <c r="C86" s="91">
        <f t="shared" si="4"/>
        <v>0</v>
      </c>
      <c r="D86" s="121" t="s">
        <v>51</v>
      </c>
      <c r="E86" s="160">
        <v>0</v>
      </c>
      <c r="F86" s="83">
        <f t="shared" si="5"/>
        <v>0</v>
      </c>
    </row>
    <row r="87" spans="1:6" ht="14.95" thickBot="1" x14ac:dyDescent="0.3">
      <c r="A87" s="119" t="s">
        <v>56</v>
      </c>
      <c r="B87" s="158">
        <v>0</v>
      </c>
      <c r="C87" s="91">
        <f t="shared" si="4"/>
        <v>0</v>
      </c>
      <c r="D87" s="121" t="s">
        <v>53</v>
      </c>
      <c r="E87" s="160">
        <v>0</v>
      </c>
      <c r="F87" s="83">
        <f t="shared" si="5"/>
        <v>0</v>
      </c>
    </row>
    <row r="88" spans="1:6" ht="14.95" thickBot="1" x14ac:dyDescent="0.3">
      <c r="A88" s="119" t="s">
        <v>59</v>
      </c>
      <c r="B88" s="158">
        <v>0</v>
      </c>
      <c r="C88" s="91">
        <f t="shared" si="4"/>
        <v>0</v>
      </c>
      <c r="D88" s="121" t="s">
        <v>56</v>
      </c>
      <c r="E88" s="160">
        <v>0</v>
      </c>
      <c r="F88" s="83">
        <f t="shared" si="5"/>
        <v>0</v>
      </c>
    </row>
    <row r="89" spans="1:6" ht="14.95" thickBot="1" x14ac:dyDescent="0.3">
      <c r="A89" s="119" t="s">
        <v>57</v>
      </c>
      <c r="B89" s="158">
        <v>0</v>
      </c>
      <c r="C89" s="91">
        <f t="shared" ref="C89:C106" si="6">SUM(B89:B89)</f>
        <v>0</v>
      </c>
      <c r="D89" s="121" t="s">
        <v>59</v>
      </c>
      <c r="E89" s="160">
        <v>0</v>
      </c>
      <c r="F89" s="83">
        <f t="shared" ref="F89:F106" si="7">SUM(E89:E89)</f>
        <v>0</v>
      </c>
    </row>
    <row r="90" spans="1:6" ht="14.95" thickBot="1" x14ac:dyDescent="0.3">
      <c r="A90" s="119" t="s">
        <v>62</v>
      </c>
      <c r="B90" s="158">
        <v>0</v>
      </c>
      <c r="C90" s="91">
        <f t="shared" si="6"/>
        <v>0</v>
      </c>
      <c r="D90" s="121" t="s">
        <v>57</v>
      </c>
      <c r="E90" s="160">
        <v>0</v>
      </c>
      <c r="F90" s="83">
        <f t="shared" si="7"/>
        <v>0</v>
      </c>
    </row>
    <row r="91" spans="1:6" ht="14.95" thickBot="1" x14ac:dyDescent="0.3">
      <c r="A91" s="119" t="s">
        <v>33</v>
      </c>
      <c r="B91" s="158">
        <v>0</v>
      </c>
      <c r="C91" s="91">
        <f t="shared" si="6"/>
        <v>0</v>
      </c>
      <c r="D91" s="121" t="s">
        <v>62</v>
      </c>
      <c r="E91" s="160">
        <v>0</v>
      </c>
      <c r="F91" s="83">
        <f t="shared" si="7"/>
        <v>0</v>
      </c>
    </row>
    <row r="92" spans="1:6" ht="14.95" thickBot="1" x14ac:dyDescent="0.3">
      <c r="A92" s="119" t="s">
        <v>17</v>
      </c>
      <c r="B92" s="158">
        <v>0</v>
      </c>
      <c r="C92" s="91">
        <f t="shared" si="6"/>
        <v>0</v>
      </c>
      <c r="D92" s="121" t="s">
        <v>33</v>
      </c>
      <c r="E92" s="160">
        <v>0</v>
      </c>
      <c r="F92" s="83">
        <f t="shared" si="7"/>
        <v>0</v>
      </c>
    </row>
    <row r="93" spans="1:6" ht="14.95" thickBot="1" x14ac:dyDescent="0.3">
      <c r="A93" s="119" t="s">
        <v>65</v>
      </c>
      <c r="B93" s="158">
        <v>0</v>
      </c>
      <c r="C93" s="91">
        <f t="shared" si="6"/>
        <v>0</v>
      </c>
      <c r="D93" s="121" t="s">
        <v>17</v>
      </c>
      <c r="E93" s="160">
        <v>0</v>
      </c>
      <c r="F93" s="83">
        <f t="shared" si="7"/>
        <v>0</v>
      </c>
    </row>
    <row r="94" spans="1:6" ht="14.95" thickBot="1" x14ac:dyDescent="0.3">
      <c r="A94" s="119" t="s">
        <v>69</v>
      </c>
      <c r="B94" s="158">
        <v>0</v>
      </c>
      <c r="C94" s="91">
        <f t="shared" si="6"/>
        <v>0</v>
      </c>
      <c r="D94" s="121" t="s">
        <v>65</v>
      </c>
      <c r="E94" s="160">
        <v>0</v>
      </c>
      <c r="F94" s="83">
        <f t="shared" si="7"/>
        <v>0</v>
      </c>
    </row>
    <row r="95" spans="1:6" ht="14.95" thickBot="1" x14ac:dyDescent="0.3">
      <c r="A95" s="119" t="s">
        <v>70</v>
      </c>
      <c r="B95" s="158">
        <v>0</v>
      </c>
      <c r="C95" s="91">
        <f t="shared" si="6"/>
        <v>0</v>
      </c>
      <c r="D95" s="121" t="s">
        <v>69</v>
      </c>
      <c r="E95" s="160">
        <v>0</v>
      </c>
      <c r="F95" s="81">
        <f t="shared" si="7"/>
        <v>0</v>
      </c>
    </row>
    <row r="96" spans="1:6" ht="14.95" thickBot="1" x14ac:dyDescent="0.3">
      <c r="A96" s="119" t="s">
        <v>72</v>
      </c>
      <c r="B96" s="158">
        <v>0</v>
      </c>
      <c r="C96" s="91">
        <f t="shared" si="6"/>
        <v>0</v>
      </c>
      <c r="D96" s="121" t="s">
        <v>70</v>
      </c>
      <c r="E96" s="160">
        <v>0</v>
      </c>
      <c r="F96" s="81">
        <f t="shared" si="7"/>
        <v>0</v>
      </c>
    </row>
    <row r="97" spans="1:6" ht="14.95" thickBot="1" x14ac:dyDescent="0.3">
      <c r="A97" s="119" t="s">
        <v>74</v>
      </c>
      <c r="B97" s="158">
        <v>0</v>
      </c>
      <c r="C97" s="91">
        <f t="shared" si="6"/>
        <v>0</v>
      </c>
      <c r="D97" s="121" t="s">
        <v>72</v>
      </c>
      <c r="E97" s="160">
        <v>0</v>
      </c>
      <c r="F97" s="81">
        <f t="shared" si="7"/>
        <v>0</v>
      </c>
    </row>
    <row r="98" spans="1:6" ht="14.95" thickBot="1" x14ac:dyDescent="0.3">
      <c r="A98" s="119" t="s">
        <v>75</v>
      </c>
      <c r="B98" s="158">
        <v>0</v>
      </c>
      <c r="C98" s="91">
        <f t="shared" si="6"/>
        <v>0</v>
      </c>
      <c r="D98" s="121" t="s">
        <v>74</v>
      </c>
      <c r="E98" s="160">
        <v>0</v>
      </c>
      <c r="F98" s="81">
        <f t="shared" si="7"/>
        <v>0</v>
      </c>
    </row>
    <row r="99" spans="1:6" ht="14.95" thickBot="1" x14ac:dyDescent="0.3">
      <c r="A99" s="119" t="s">
        <v>78</v>
      </c>
      <c r="B99" s="158">
        <v>0</v>
      </c>
      <c r="C99" s="91">
        <f t="shared" si="6"/>
        <v>0</v>
      </c>
      <c r="D99" s="121" t="s">
        <v>75</v>
      </c>
      <c r="E99" s="160">
        <v>0</v>
      </c>
      <c r="F99" s="81">
        <f t="shared" si="7"/>
        <v>0</v>
      </c>
    </row>
    <row r="100" spans="1:6" ht="14.95" thickBot="1" x14ac:dyDescent="0.3">
      <c r="A100" s="119" t="s">
        <v>79</v>
      </c>
      <c r="B100" s="158">
        <v>0</v>
      </c>
      <c r="C100" s="91">
        <f t="shared" si="6"/>
        <v>0</v>
      </c>
      <c r="D100" s="121" t="s">
        <v>78</v>
      </c>
      <c r="E100" s="160">
        <v>0</v>
      </c>
      <c r="F100" s="81">
        <f t="shared" si="7"/>
        <v>0</v>
      </c>
    </row>
    <row r="101" spans="1:6" ht="14.95" thickBot="1" x14ac:dyDescent="0.3">
      <c r="A101" s="119" t="s">
        <v>81</v>
      </c>
      <c r="B101" s="158">
        <v>0</v>
      </c>
      <c r="C101" s="91">
        <f t="shared" si="6"/>
        <v>0</v>
      </c>
      <c r="D101" s="121" t="s">
        <v>79</v>
      </c>
      <c r="E101" s="160">
        <v>0</v>
      </c>
      <c r="F101" s="81">
        <f t="shared" si="7"/>
        <v>0</v>
      </c>
    </row>
    <row r="102" spans="1:6" ht="14.95" thickBot="1" x14ac:dyDescent="0.3">
      <c r="A102" s="119" t="s">
        <v>83</v>
      </c>
      <c r="B102" s="158">
        <v>0</v>
      </c>
      <c r="C102" s="91">
        <f t="shared" si="6"/>
        <v>0</v>
      </c>
      <c r="D102" s="121" t="s">
        <v>83</v>
      </c>
      <c r="E102" s="160">
        <v>0</v>
      </c>
      <c r="F102" s="81">
        <f t="shared" si="7"/>
        <v>0</v>
      </c>
    </row>
    <row r="103" spans="1:6" ht="14.95" thickBot="1" x14ac:dyDescent="0.3">
      <c r="A103" s="119" t="s">
        <v>91</v>
      </c>
      <c r="B103" s="158">
        <v>0</v>
      </c>
      <c r="C103" s="91">
        <f t="shared" si="6"/>
        <v>0</v>
      </c>
      <c r="D103" s="121" t="s">
        <v>91</v>
      </c>
      <c r="E103" s="160">
        <v>0</v>
      </c>
      <c r="F103" s="81">
        <f t="shared" si="7"/>
        <v>0</v>
      </c>
    </row>
    <row r="104" spans="1:6" ht="14.95" thickBot="1" x14ac:dyDescent="0.3">
      <c r="A104" s="119" t="s">
        <v>84</v>
      </c>
      <c r="B104" s="158">
        <v>0</v>
      </c>
      <c r="C104" s="91">
        <f t="shared" si="6"/>
        <v>0</v>
      </c>
      <c r="D104" s="121" t="s">
        <v>84</v>
      </c>
      <c r="E104" s="160">
        <v>0</v>
      </c>
      <c r="F104" s="81">
        <f t="shared" si="7"/>
        <v>0</v>
      </c>
    </row>
    <row r="105" spans="1:6" ht="14.95" thickBot="1" x14ac:dyDescent="0.3">
      <c r="A105" s="119" t="s">
        <v>86</v>
      </c>
      <c r="B105" s="158">
        <v>0</v>
      </c>
      <c r="C105" s="91">
        <f t="shared" si="6"/>
        <v>0</v>
      </c>
      <c r="D105" s="121" t="s">
        <v>86</v>
      </c>
      <c r="E105" s="160">
        <v>0</v>
      </c>
      <c r="F105" s="81">
        <f t="shared" si="7"/>
        <v>0</v>
      </c>
    </row>
    <row r="106" spans="1:6" ht="14.95" thickBot="1" x14ac:dyDescent="0.3">
      <c r="A106" s="119" t="s">
        <v>88</v>
      </c>
      <c r="B106" s="158">
        <v>0</v>
      </c>
      <c r="C106" s="91">
        <f t="shared" si="6"/>
        <v>0</v>
      </c>
      <c r="D106" s="121" t="s">
        <v>88</v>
      </c>
      <c r="E106" s="160">
        <v>0</v>
      </c>
      <c r="F106" s="81">
        <f t="shared" si="7"/>
        <v>0</v>
      </c>
    </row>
    <row r="107" spans="1:6" ht="14.95" thickBot="1" x14ac:dyDescent="0.3">
      <c r="A107" s="119" t="s">
        <v>3</v>
      </c>
      <c r="B107" s="158">
        <f>SUM(B57:B106)</f>
        <v>107</v>
      </c>
      <c r="C107" s="91">
        <f t="shared" ref="C107" si="8">SUM(B107:B107)</f>
        <v>107</v>
      </c>
      <c r="D107" s="121" t="s">
        <v>3</v>
      </c>
      <c r="E107" s="160">
        <f>SUM(E57:E106)</f>
        <v>670</v>
      </c>
      <c r="F107" s="81">
        <f t="shared" ref="F107" si="9">SUM(E107:E107)</f>
        <v>670</v>
      </c>
    </row>
    <row r="108" spans="1:6" x14ac:dyDescent="0.25">
      <c r="A108" s="165" t="s">
        <v>20</v>
      </c>
      <c r="B108" s="166"/>
      <c r="C108" s="166"/>
      <c r="D108" s="166"/>
      <c r="E108" s="166"/>
      <c r="F108" s="166"/>
    </row>
  </sheetData>
  <sortState xmlns:xlrd2="http://schemas.microsoft.com/office/spreadsheetml/2017/richdata2" ref="D57:F106">
    <sortCondition descending="1" ref="F57:F106"/>
  </sortState>
  <mergeCells count="7">
    <mergeCell ref="A108:F108"/>
    <mergeCell ref="A54:E54"/>
    <mergeCell ref="A1:F1"/>
    <mergeCell ref="N1:O2"/>
    <mergeCell ref="G1:G2"/>
    <mergeCell ref="H1:J2"/>
    <mergeCell ref="K1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8"/>
  <sheetViews>
    <sheetView zoomScaleNormal="100" workbookViewId="0">
      <selection activeCell="T25" sqref="T25"/>
    </sheetView>
  </sheetViews>
  <sheetFormatPr defaultColWidth="8.875" defaultRowHeight="14.3" x14ac:dyDescent="0.25"/>
  <cols>
    <col min="1" max="1" width="16.375" customWidth="1"/>
    <col min="2" max="2" width="3.75" customWidth="1"/>
    <col min="3" max="3" width="4.75" customWidth="1"/>
    <col min="4" max="4" width="16.375" customWidth="1"/>
    <col min="5" max="6" width="5.25" customWidth="1"/>
    <col min="7" max="7" width="15.75" customWidth="1"/>
    <col min="8" max="14" width="5.375" customWidth="1"/>
    <col min="15" max="15" width="5.75" customWidth="1"/>
    <col min="16" max="23" width="5.375" customWidth="1"/>
  </cols>
  <sheetData>
    <row r="1" spans="1:23" ht="14.95" customHeight="1" thickBot="1" x14ac:dyDescent="0.3">
      <c r="A1" s="61" t="s">
        <v>40</v>
      </c>
      <c r="B1" s="51"/>
      <c r="C1" s="51"/>
      <c r="D1" s="51"/>
      <c r="E1" s="51"/>
      <c r="F1" s="52"/>
      <c r="G1" s="176" t="s">
        <v>248</v>
      </c>
      <c r="H1" s="172" t="s">
        <v>23</v>
      </c>
      <c r="I1" s="178"/>
      <c r="J1" s="173"/>
      <c r="K1" s="172" t="s">
        <v>22</v>
      </c>
      <c r="L1" s="178"/>
      <c r="M1" s="173"/>
      <c r="N1" s="172" t="s">
        <v>37</v>
      </c>
      <c r="O1" s="173"/>
      <c r="P1" s="95"/>
      <c r="Q1" s="88"/>
      <c r="R1" s="3"/>
      <c r="S1" s="3"/>
      <c r="T1" s="3"/>
      <c r="W1" s="3"/>
    </row>
    <row r="2" spans="1:23" ht="14.95" customHeight="1" thickBot="1" x14ac:dyDescent="0.3">
      <c r="A2" s="71" t="s">
        <v>0</v>
      </c>
      <c r="B2" s="154" t="s">
        <v>47</v>
      </c>
      <c r="C2" s="72" t="s">
        <v>1</v>
      </c>
      <c r="D2" s="107" t="s">
        <v>2</v>
      </c>
      <c r="E2" s="163" t="s">
        <v>47</v>
      </c>
      <c r="F2" s="70" t="s">
        <v>1</v>
      </c>
      <c r="G2" s="177"/>
      <c r="H2" s="174"/>
      <c r="I2" s="179"/>
      <c r="J2" s="175"/>
      <c r="K2" s="174"/>
      <c r="L2" s="179"/>
      <c r="M2" s="175"/>
      <c r="N2" s="174"/>
      <c r="O2" s="175"/>
      <c r="P2" s="95"/>
      <c r="Q2" s="88"/>
      <c r="R2" s="3"/>
      <c r="S2" s="3"/>
      <c r="T2" s="3"/>
      <c r="U2" s="3"/>
      <c r="V2" s="3"/>
    </row>
    <row r="3" spans="1:23" ht="14.95" customHeight="1" thickBot="1" x14ac:dyDescent="0.3">
      <c r="A3" s="38" t="s">
        <v>93</v>
      </c>
      <c r="B3" s="155">
        <v>15</v>
      </c>
      <c r="C3" s="4">
        <f t="shared" ref="C3:C34" si="0">SUM(B3:B3)</f>
        <v>15</v>
      </c>
      <c r="D3" s="108" t="s">
        <v>93</v>
      </c>
      <c r="E3" s="164">
        <v>75</v>
      </c>
      <c r="F3" s="56">
        <f t="shared" ref="F3:F34" si="1">SUM(E3:E3)</f>
        <v>75</v>
      </c>
      <c r="G3" s="151" t="s">
        <v>16</v>
      </c>
      <c r="H3" s="2" t="s">
        <v>24</v>
      </c>
      <c r="I3" s="2" t="s">
        <v>7</v>
      </c>
      <c r="J3" s="2" t="s">
        <v>8</v>
      </c>
      <c r="K3" s="2" t="s">
        <v>24</v>
      </c>
      <c r="L3" s="2" t="s">
        <v>7</v>
      </c>
      <c r="M3" s="2" t="s">
        <v>8</v>
      </c>
      <c r="N3" s="2" t="s">
        <v>47</v>
      </c>
      <c r="O3" s="2" t="s">
        <v>25</v>
      </c>
      <c r="P3" s="66"/>
      <c r="Q3" s="67"/>
    </row>
    <row r="4" spans="1:23" ht="14.95" customHeight="1" thickBot="1" x14ac:dyDescent="0.3">
      <c r="A4" s="38" t="s">
        <v>94</v>
      </c>
      <c r="B4" s="155">
        <v>3</v>
      </c>
      <c r="C4" s="4">
        <f t="shared" si="0"/>
        <v>3</v>
      </c>
      <c r="D4" s="108" t="s">
        <v>94</v>
      </c>
      <c r="E4" s="164">
        <v>15</v>
      </c>
      <c r="F4" s="56">
        <f t="shared" si="1"/>
        <v>15</v>
      </c>
      <c r="G4" s="78" t="s">
        <v>96</v>
      </c>
      <c r="H4" s="36">
        <v>28</v>
      </c>
      <c r="I4" s="36">
        <v>33</v>
      </c>
      <c r="J4" s="37">
        <f t="shared" ref="J4:J6" si="2">SUM(H4/I4)*100</f>
        <v>84.848484848484844</v>
      </c>
      <c r="K4" s="62" t="s">
        <v>13</v>
      </c>
      <c r="L4" s="62" t="s">
        <v>13</v>
      </c>
      <c r="M4" s="63" t="s">
        <v>13</v>
      </c>
      <c r="N4" s="36">
        <v>5</v>
      </c>
      <c r="O4" s="36">
        <v>5</v>
      </c>
      <c r="P4" s="66"/>
      <c r="Q4" s="67"/>
      <c r="R4" s="3"/>
      <c r="S4" s="3"/>
      <c r="T4" s="3"/>
      <c r="U4" s="3"/>
      <c r="V4" s="3"/>
    </row>
    <row r="5" spans="1:23" ht="14.95" customHeight="1" thickBot="1" x14ac:dyDescent="0.3">
      <c r="A5" s="38" t="s">
        <v>95</v>
      </c>
      <c r="B5" s="155">
        <v>7</v>
      </c>
      <c r="C5" s="4">
        <f t="shared" si="0"/>
        <v>7</v>
      </c>
      <c r="D5" s="108" t="s">
        <v>95</v>
      </c>
      <c r="E5" s="164">
        <v>35</v>
      </c>
      <c r="F5" s="56">
        <f t="shared" si="1"/>
        <v>35</v>
      </c>
      <c r="G5" s="78" t="s">
        <v>97</v>
      </c>
      <c r="H5" s="36">
        <v>4</v>
      </c>
      <c r="I5" s="36">
        <v>8</v>
      </c>
      <c r="J5" s="37">
        <f t="shared" si="2"/>
        <v>50</v>
      </c>
      <c r="K5" s="62" t="s">
        <v>13</v>
      </c>
      <c r="L5" s="62" t="s">
        <v>13</v>
      </c>
      <c r="M5" s="63" t="s">
        <v>13</v>
      </c>
      <c r="N5" s="36">
        <v>1</v>
      </c>
      <c r="O5" s="36">
        <v>1</v>
      </c>
      <c r="P5" s="66"/>
      <c r="Q5" s="67"/>
      <c r="R5" s="3"/>
      <c r="S5" s="3"/>
      <c r="T5" s="3"/>
      <c r="U5" s="3"/>
      <c r="V5" s="3"/>
    </row>
    <row r="6" spans="1:23" ht="14.95" customHeight="1" thickBot="1" x14ac:dyDescent="0.3">
      <c r="A6" s="38" t="s">
        <v>96</v>
      </c>
      <c r="B6" s="155">
        <v>1</v>
      </c>
      <c r="C6" s="4">
        <f t="shared" si="0"/>
        <v>1</v>
      </c>
      <c r="D6" s="108" t="s">
        <v>96</v>
      </c>
      <c r="E6" s="164">
        <v>63</v>
      </c>
      <c r="F6" s="56">
        <f t="shared" si="1"/>
        <v>63</v>
      </c>
      <c r="G6" s="78" t="s">
        <v>114</v>
      </c>
      <c r="H6" s="36">
        <v>75</v>
      </c>
      <c r="I6" s="36">
        <v>106</v>
      </c>
      <c r="J6" s="37">
        <f t="shared" si="2"/>
        <v>70.754716981132077</v>
      </c>
      <c r="K6" s="62">
        <v>4</v>
      </c>
      <c r="L6" s="62">
        <v>4</v>
      </c>
      <c r="M6" s="63">
        <f t="shared" ref="M6" si="3">SUM(K6/L6)*100</f>
        <v>100</v>
      </c>
      <c r="N6" s="36">
        <v>6</v>
      </c>
      <c r="O6" s="36">
        <v>6</v>
      </c>
      <c r="P6" s="66"/>
      <c r="Q6" s="67"/>
      <c r="R6" s="3"/>
      <c r="S6" s="3"/>
      <c r="T6" s="3"/>
      <c r="U6" s="3"/>
      <c r="V6" s="3"/>
    </row>
    <row r="7" spans="1:23" ht="14.95" customHeight="1" thickBot="1" x14ac:dyDescent="0.3">
      <c r="A7" s="38" t="s">
        <v>97</v>
      </c>
      <c r="B7" s="155">
        <v>3</v>
      </c>
      <c r="C7" s="4">
        <f t="shared" si="0"/>
        <v>3</v>
      </c>
      <c r="D7" s="108" t="s">
        <v>97</v>
      </c>
      <c r="E7" s="164">
        <v>23</v>
      </c>
      <c r="F7" s="56">
        <f t="shared" si="1"/>
        <v>23</v>
      </c>
      <c r="G7" s="64" t="s">
        <v>136</v>
      </c>
      <c r="H7" s="62">
        <v>3</v>
      </c>
      <c r="I7" s="62">
        <v>4</v>
      </c>
      <c r="J7" s="63">
        <f t="shared" ref="J7" si="4">SUM(H7/I7)*100</f>
        <v>75</v>
      </c>
      <c r="K7" s="62" t="s">
        <v>13</v>
      </c>
      <c r="L7" s="62" t="s">
        <v>13</v>
      </c>
      <c r="M7" s="63" t="s">
        <v>13</v>
      </c>
      <c r="N7" s="62">
        <v>3</v>
      </c>
      <c r="O7" s="62">
        <v>3</v>
      </c>
      <c r="P7" s="66"/>
      <c r="Q7" s="67"/>
      <c r="R7" s="3"/>
      <c r="S7" s="3"/>
      <c r="T7" s="3"/>
      <c r="U7" s="3"/>
      <c r="V7" s="3"/>
    </row>
    <row r="8" spans="1:23" ht="14.95" customHeight="1" thickBot="1" x14ac:dyDescent="0.3">
      <c r="A8" s="38" t="s">
        <v>98</v>
      </c>
      <c r="B8" s="155">
        <v>4</v>
      </c>
      <c r="C8" s="4">
        <f t="shared" si="0"/>
        <v>4</v>
      </c>
      <c r="D8" s="108" t="s">
        <v>98</v>
      </c>
      <c r="E8" s="164">
        <v>20</v>
      </c>
      <c r="F8" s="56">
        <f t="shared" si="1"/>
        <v>20</v>
      </c>
      <c r="G8" s="34"/>
      <c r="O8" s="34"/>
      <c r="P8" s="67"/>
      <c r="Q8" s="67"/>
      <c r="R8" s="3"/>
      <c r="S8" s="3"/>
      <c r="T8" s="3"/>
      <c r="U8" s="3"/>
      <c r="V8" s="3"/>
    </row>
    <row r="9" spans="1:23" ht="14.95" customHeight="1" thickBot="1" x14ac:dyDescent="0.3">
      <c r="A9" s="38" t="s">
        <v>99</v>
      </c>
      <c r="B9" s="155">
        <v>0</v>
      </c>
      <c r="C9" s="4">
        <f t="shared" si="0"/>
        <v>0</v>
      </c>
      <c r="D9" s="108" t="s">
        <v>99</v>
      </c>
      <c r="E9" s="164">
        <v>0</v>
      </c>
      <c r="F9" s="56">
        <f t="shared" si="1"/>
        <v>0</v>
      </c>
      <c r="G9" s="65"/>
      <c r="I9" s="3"/>
      <c r="J9" s="3"/>
      <c r="K9" s="3"/>
      <c r="L9" s="3"/>
      <c r="M9" s="3"/>
      <c r="P9" s="67"/>
      <c r="Q9" s="67"/>
    </row>
    <row r="10" spans="1:23" ht="14.95" customHeight="1" thickBot="1" x14ac:dyDescent="0.3">
      <c r="A10" s="38" t="s">
        <v>100</v>
      </c>
      <c r="B10" s="155">
        <v>4</v>
      </c>
      <c r="C10" s="4">
        <f t="shared" si="0"/>
        <v>4</v>
      </c>
      <c r="D10" s="108" t="s">
        <v>100</v>
      </c>
      <c r="E10" s="164">
        <v>20</v>
      </c>
      <c r="F10" s="56">
        <f t="shared" si="1"/>
        <v>20</v>
      </c>
      <c r="I10" s="3"/>
      <c r="J10" s="3"/>
      <c r="K10" s="3"/>
      <c r="L10" s="3"/>
      <c r="M10" s="3"/>
      <c r="P10" s="67"/>
      <c r="Q10" s="67"/>
    </row>
    <row r="11" spans="1:23" ht="14.95" customHeight="1" thickBot="1" x14ac:dyDescent="0.3">
      <c r="A11" s="38" t="s">
        <v>101</v>
      </c>
      <c r="B11" s="155">
        <v>0</v>
      </c>
      <c r="C11" s="4">
        <f t="shared" si="0"/>
        <v>0</v>
      </c>
      <c r="D11" s="108" t="s">
        <v>101</v>
      </c>
      <c r="E11" s="164">
        <v>0</v>
      </c>
      <c r="F11" s="56">
        <f t="shared" si="1"/>
        <v>0</v>
      </c>
      <c r="I11" s="3"/>
      <c r="J11" s="3"/>
      <c r="K11" s="3"/>
      <c r="L11" s="3"/>
      <c r="M11" s="3"/>
    </row>
    <row r="12" spans="1:23" ht="14.95" customHeight="1" thickBot="1" x14ac:dyDescent="0.3">
      <c r="A12" s="38" t="s">
        <v>102</v>
      </c>
      <c r="B12" s="155">
        <v>0</v>
      </c>
      <c r="C12" s="4">
        <f t="shared" si="0"/>
        <v>0</v>
      </c>
      <c r="D12" s="108" t="s">
        <v>102</v>
      </c>
      <c r="E12" s="164">
        <v>0</v>
      </c>
      <c r="F12" s="56">
        <f t="shared" si="1"/>
        <v>0</v>
      </c>
      <c r="H12" s="60"/>
      <c r="I12" s="3"/>
      <c r="J12" s="3"/>
      <c r="K12" s="3"/>
      <c r="L12" s="3"/>
      <c r="M12" s="3"/>
    </row>
    <row r="13" spans="1:23" ht="14.95" customHeight="1" thickBot="1" x14ac:dyDescent="0.3">
      <c r="A13" s="38" t="s">
        <v>103</v>
      </c>
      <c r="B13" s="155">
        <v>0</v>
      </c>
      <c r="C13" s="4">
        <f t="shared" si="0"/>
        <v>0</v>
      </c>
      <c r="D13" s="108" t="s">
        <v>103</v>
      </c>
      <c r="E13" s="164">
        <v>0</v>
      </c>
      <c r="F13" s="56">
        <f t="shared" si="1"/>
        <v>0</v>
      </c>
    </row>
    <row r="14" spans="1:23" ht="14.95" customHeight="1" thickBot="1" x14ac:dyDescent="0.3">
      <c r="A14" s="38" t="s">
        <v>104</v>
      </c>
      <c r="B14" s="155">
        <v>0</v>
      </c>
      <c r="C14" s="4">
        <f t="shared" si="0"/>
        <v>0</v>
      </c>
      <c r="D14" s="108" t="s">
        <v>104</v>
      </c>
      <c r="E14" s="164">
        <v>0</v>
      </c>
      <c r="F14" s="56">
        <f t="shared" si="1"/>
        <v>0</v>
      </c>
      <c r="I14" s="3"/>
      <c r="J14" s="3"/>
    </row>
    <row r="15" spans="1:23" ht="14.95" customHeight="1" thickBot="1" x14ac:dyDescent="0.3">
      <c r="A15" s="38" t="s">
        <v>42</v>
      </c>
      <c r="B15" s="155">
        <v>0</v>
      </c>
      <c r="C15" s="4">
        <f t="shared" si="0"/>
        <v>0</v>
      </c>
      <c r="D15" s="108" t="s">
        <v>42</v>
      </c>
      <c r="E15" s="164">
        <v>0</v>
      </c>
      <c r="F15" s="56">
        <f t="shared" si="1"/>
        <v>0</v>
      </c>
    </row>
    <row r="16" spans="1:23" ht="14.95" customHeight="1" thickBot="1" x14ac:dyDescent="0.3">
      <c r="A16" s="38" t="s">
        <v>105</v>
      </c>
      <c r="B16" s="155">
        <v>1</v>
      </c>
      <c r="C16" s="4">
        <f t="shared" si="0"/>
        <v>1</v>
      </c>
      <c r="D16" s="108" t="s">
        <v>105</v>
      </c>
      <c r="E16" s="164">
        <v>5</v>
      </c>
      <c r="F16" s="56">
        <f t="shared" si="1"/>
        <v>5</v>
      </c>
      <c r="T16" t="s">
        <v>16</v>
      </c>
    </row>
    <row r="17" spans="1:13" ht="14.95" customHeight="1" thickBot="1" x14ac:dyDescent="0.3">
      <c r="A17" s="38" t="s">
        <v>106</v>
      </c>
      <c r="B17" s="155">
        <v>7</v>
      </c>
      <c r="C17" s="4">
        <f t="shared" si="0"/>
        <v>7</v>
      </c>
      <c r="D17" s="108" t="s">
        <v>106</v>
      </c>
      <c r="E17" s="164">
        <v>35</v>
      </c>
      <c r="F17" s="56">
        <f t="shared" si="1"/>
        <v>35</v>
      </c>
      <c r="L17" s="3"/>
      <c r="M17" s="3"/>
    </row>
    <row r="18" spans="1:13" ht="14.95" customHeight="1" thickBot="1" x14ac:dyDescent="0.3">
      <c r="A18" s="38" t="s">
        <v>107</v>
      </c>
      <c r="B18" s="155">
        <v>7</v>
      </c>
      <c r="C18" s="4">
        <f t="shared" si="0"/>
        <v>7</v>
      </c>
      <c r="D18" s="108" t="s">
        <v>107</v>
      </c>
      <c r="E18" s="164">
        <v>35</v>
      </c>
      <c r="F18" s="56">
        <f t="shared" si="1"/>
        <v>35</v>
      </c>
      <c r="I18" s="3"/>
      <c r="J18" s="3"/>
      <c r="K18" s="3"/>
    </row>
    <row r="19" spans="1:13" ht="14.95" customHeight="1" thickBot="1" x14ac:dyDescent="0.3">
      <c r="A19" s="38" t="s">
        <v>108</v>
      </c>
      <c r="B19" s="155">
        <v>0</v>
      </c>
      <c r="C19" s="4">
        <f t="shared" si="0"/>
        <v>0</v>
      </c>
      <c r="D19" s="108" t="s">
        <v>108</v>
      </c>
      <c r="E19" s="164">
        <v>0</v>
      </c>
      <c r="F19" s="56">
        <f t="shared" si="1"/>
        <v>0</v>
      </c>
      <c r="K19" s="3"/>
    </row>
    <row r="20" spans="1:13" ht="14.95" customHeight="1" thickBot="1" x14ac:dyDescent="0.3">
      <c r="A20" s="38" t="s">
        <v>109</v>
      </c>
      <c r="B20" s="155">
        <v>1</v>
      </c>
      <c r="C20" s="4">
        <f t="shared" si="0"/>
        <v>1</v>
      </c>
      <c r="D20" s="108" t="s">
        <v>109</v>
      </c>
      <c r="E20" s="164">
        <v>5</v>
      </c>
      <c r="F20" s="56">
        <f t="shared" si="1"/>
        <v>5</v>
      </c>
      <c r="I20" s="3"/>
      <c r="J20" s="3"/>
      <c r="L20" s="3"/>
      <c r="M20" s="3"/>
    </row>
    <row r="21" spans="1:13" ht="14.95" customHeight="1" thickBot="1" x14ac:dyDescent="0.3">
      <c r="A21" s="38" t="s">
        <v>110</v>
      </c>
      <c r="B21" s="155">
        <v>0</v>
      </c>
      <c r="C21" s="4">
        <f t="shared" si="0"/>
        <v>0</v>
      </c>
      <c r="D21" s="108" t="s">
        <v>110</v>
      </c>
      <c r="E21" s="164">
        <v>0</v>
      </c>
      <c r="F21" s="56">
        <f t="shared" si="1"/>
        <v>0</v>
      </c>
      <c r="I21" s="3"/>
      <c r="J21" s="3"/>
      <c r="K21" s="3"/>
      <c r="L21" s="3"/>
    </row>
    <row r="22" spans="1:13" ht="14.95" customHeight="1" thickBot="1" x14ac:dyDescent="0.3">
      <c r="A22" s="38" t="s">
        <v>111</v>
      </c>
      <c r="B22" s="155">
        <v>10</v>
      </c>
      <c r="C22" s="4">
        <f t="shared" si="0"/>
        <v>10</v>
      </c>
      <c r="D22" s="108" t="s">
        <v>111</v>
      </c>
      <c r="E22" s="164">
        <v>50</v>
      </c>
      <c r="F22" s="56">
        <f t="shared" si="1"/>
        <v>50</v>
      </c>
      <c r="I22" s="3"/>
      <c r="J22" s="3"/>
    </row>
    <row r="23" spans="1:13" ht="14.95" customHeight="1" thickBot="1" x14ac:dyDescent="0.3">
      <c r="A23" s="38" t="s">
        <v>112</v>
      </c>
      <c r="B23" s="155">
        <v>0</v>
      </c>
      <c r="C23" s="4">
        <f t="shared" si="0"/>
        <v>0</v>
      </c>
      <c r="D23" s="109" t="s">
        <v>112</v>
      </c>
      <c r="E23" s="164">
        <v>0</v>
      </c>
      <c r="F23" s="56">
        <f t="shared" si="1"/>
        <v>0</v>
      </c>
    </row>
    <row r="24" spans="1:13" ht="14.95" customHeight="1" thickBot="1" x14ac:dyDescent="0.3">
      <c r="A24" s="38" t="s">
        <v>113</v>
      </c>
      <c r="B24" s="155">
        <v>3</v>
      </c>
      <c r="C24" s="4">
        <f t="shared" si="0"/>
        <v>3</v>
      </c>
      <c r="D24" s="108" t="s">
        <v>113</v>
      </c>
      <c r="E24" s="164">
        <v>15</v>
      </c>
      <c r="F24" s="56">
        <f t="shared" si="1"/>
        <v>15</v>
      </c>
    </row>
    <row r="25" spans="1:13" ht="14.95" customHeight="1" thickBot="1" x14ac:dyDescent="0.3">
      <c r="A25" s="38" t="s">
        <v>114</v>
      </c>
      <c r="B25" s="155">
        <v>5</v>
      </c>
      <c r="C25" s="4">
        <f t="shared" si="0"/>
        <v>5</v>
      </c>
      <c r="D25" s="108" t="s">
        <v>114</v>
      </c>
      <c r="E25" s="164">
        <v>180</v>
      </c>
      <c r="F25" s="56">
        <f t="shared" si="1"/>
        <v>180</v>
      </c>
    </row>
    <row r="26" spans="1:13" ht="14.95" customHeight="1" thickBot="1" x14ac:dyDescent="0.3">
      <c r="A26" s="38" t="s">
        <v>115</v>
      </c>
      <c r="B26" s="155">
        <v>1</v>
      </c>
      <c r="C26" s="4">
        <f t="shared" si="0"/>
        <v>1</v>
      </c>
      <c r="D26" s="108" t="s">
        <v>115</v>
      </c>
      <c r="E26" s="164">
        <v>5</v>
      </c>
      <c r="F26" s="56">
        <f t="shared" si="1"/>
        <v>5</v>
      </c>
    </row>
    <row r="27" spans="1:13" ht="14.95" customHeight="1" thickBot="1" x14ac:dyDescent="0.3">
      <c r="A27" s="38" t="s">
        <v>116</v>
      </c>
      <c r="B27" s="155">
        <v>2</v>
      </c>
      <c r="C27" s="4">
        <f t="shared" si="0"/>
        <v>2</v>
      </c>
      <c r="D27" s="108" t="s">
        <v>116</v>
      </c>
      <c r="E27" s="164">
        <v>10</v>
      </c>
      <c r="F27" s="56">
        <f t="shared" si="1"/>
        <v>10</v>
      </c>
    </row>
    <row r="28" spans="1:13" ht="14.95" customHeight="1" thickBot="1" x14ac:dyDescent="0.3">
      <c r="A28" s="38" t="s">
        <v>117</v>
      </c>
      <c r="B28" s="155">
        <v>0</v>
      </c>
      <c r="C28" s="4">
        <f t="shared" si="0"/>
        <v>0</v>
      </c>
      <c r="D28" s="108" t="s">
        <v>117</v>
      </c>
      <c r="E28" s="164">
        <v>0</v>
      </c>
      <c r="F28" s="56">
        <f t="shared" si="1"/>
        <v>0</v>
      </c>
    </row>
    <row r="29" spans="1:13" ht="14.95" customHeight="1" thickBot="1" x14ac:dyDescent="0.3">
      <c r="A29" s="38" t="s">
        <v>118</v>
      </c>
      <c r="B29" s="155">
        <v>7</v>
      </c>
      <c r="C29" s="4">
        <f t="shared" si="0"/>
        <v>7</v>
      </c>
      <c r="D29" s="108" t="s">
        <v>118</v>
      </c>
      <c r="E29" s="164">
        <v>35</v>
      </c>
      <c r="F29" s="56">
        <f t="shared" si="1"/>
        <v>35</v>
      </c>
    </row>
    <row r="30" spans="1:13" ht="14.95" customHeight="1" thickBot="1" x14ac:dyDescent="0.3">
      <c r="A30" s="38" t="s">
        <v>119</v>
      </c>
      <c r="B30" s="155">
        <v>1</v>
      </c>
      <c r="C30" s="4">
        <f t="shared" si="0"/>
        <v>1</v>
      </c>
      <c r="D30" s="108" t="s">
        <v>119</v>
      </c>
      <c r="E30" s="164">
        <v>5</v>
      </c>
      <c r="F30" s="56">
        <f t="shared" si="1"/>
        <v>5</v>
      </c>
    </row>
    <row r="31" spans="1:13" ht="14.95" customHeight="1" thickBot="1" x14ac:dyDescent="0.3">
      <c r="A31" s="38" t="s">
        <v>120</v>
      </c>
      <c r="B31" s="155">
        <v>4</v>
      </c>
      <c r="C31" s="4">
        <f t="shared" si="0"/>
        <v>4</v>
      </c>
      <c r="D31" s="108" t="s">
        <v>120</v>
      </c>
      <c r="E31" s="164">
        <v>20</v>
      </c>
      <c r="F31" s="56">
        <f t="shared" si="1"/>
        <v>20</v>
      </c>
    </row>
    <row r="32" spans="1:13" ht="14.95" customHeight="1" thickBot="1" x14ac:dyDescent="0.3">
      <c r="A32" s="38" t="s">
        <v>121</v>
      </c>
      <c r="B32" s="155">
        <v>0</v>
      </c>
      <c r="C32" s="4">
        <f t="shared" si="0"/>
        <v>0</v>
      </c>
      <c r="D32" s="108" t="s">
        <v>121</v>
      </c>
      <c r="E32" s="164">
        <v>0</v>
      </c>
      <c r="F32" s="56">
        <f t="shared" si="1"/>
        <v>0</v>
      </c>
    </row>
    <row r="33" spans="1:22" ht="14.95" customHeight="1" thickBot="1" x14ac:dyDescent="0.3">
      <c r="A33" s="38" t="s">
        <v>122</v>
      </c>
      <c r="B33" s="155">
        <v>2</v>
      </c>
      <c r="C33" s="4">
        <f t="shared" si="0"/>
        <v>2</v>
      </c>
      <c r="D33" s="108" t="s">
        <v>122</v>
      </c>
      <c r="E33" s="164">
        <v>10</v>
      </c>
      <c r="F33" s="56">
        <f t="shared" si="1"/>
        <v>10</v>
      </c>
    </row>
    <row r="34" spans="1:22" ht="14.95" customHeight="1" thickBot="1" x14ac:dyDescent="0.3">
      <c r="A34" s="38" t="s">
        <v>4</v>
      </c>
      <c r="B34" s="155">
        <v>0</v>
      </c>
      <c r="C34" s="4">
        <f t="shared" si="0"/>
        <v>0</v>
      </c>
      <c r="D34" s="108" t="s">
        <v>4</v>
      </c>
      <c r="E34" s="164">
        <v>0</v>
      </c>
      <c r="F34" s="56">
        <f t="shared" si="1"/>
        <v>0</v>
      </c>
    </row>
    <row r="35" spans="1:22" ht="14.95" customHeight="1" thickBot="1" x14ac:dyDescent="0.3">
      <c r="A35" s="38" t="s">
        <v>123</v>
      </c>
      <c r="B35" s="155">
        <v>0</v>
      </c>
      <c r="C35" s="4">
        <f t="shared" ref="C35:C53" si="5">SUM(B35:B35)</f>
        <v>0</v>
      </c>
      <c r="D35" s="108" t="s">
        <v>123</v>
      </c>
      <c r="E35" s="164">
        <v>0</v>
      </c>
      <c r="F35" s="56">
        <f t="shared" ref="F35:F53" si="6">SUM(E35:E35)</f>
        <v>0</v>
      </c>
    </row>
    <row r="36" spans="1:22" ht="14.95" customHeight="1" thickBot="1" x14ac:dyDescent="0.3">
      <c r="A36" s="38" t="s">
        <v>124</v>
      </c>
      <c r="B36" s="155">
        <v>0</v>
      </c>
      <c r="C36" s="4">
        <f t="shared" si="5"/>
        <v>0</v>
      </c>
      <c r="D36" s="108" t="s">
        <v>124</v>
      </c>
      <c r="E36" s="164">
        <v>0</v>
      </c>
      <c r="F36" s="56">
        <f t="shared" si="6"/>
        <v>0</v>
      </c>
    </row>
    <row r="37" spans="1:22" ht="14.95" customHeight="1" thickBot="1" x14ac:dyDescent="0.3">
      <c r="A37" s="38" t="s">
        <v>125</v>
      </c>
      <c r="B37" s="155">
        <v>0</v>
      </c>
      <c r="C37" s="4">
        <f t="shared" si="5"/>
        <v>0</v>
      </c>
      <c r="D37" s="108" t="s">
        <v>125</v>
      </c>
      <c r="E37" s="164">
        <v>0</v>
      </c>
      <c r="F37" s="56">
        <f t="shared" si="6"/>
        <v>0</v>
      </c>
    </row>
    <row r="38" spans="1:22" ht="14.95" customHeight="1" thickBot="1" x14ac:dyDescent="0.3">
      <c r="A38" s="38" t="s">
        <v>126</v>
      </c>
      <c r="B38" s="155">
        <v>5</v>
      </c>
      <c r="C38" s="4">
        <f t="shared" si="5"/>
        <v>5</v>
      </c>
      <c r="D38" s="108" t="s">
        <v>126</v>
      </c>
      <c r="E38" s="164">
        <v>25</v>
      </c>
      <c r="F38" s="56">
        <f t="shared" si="6"/>
        <v>25</v>
      </c>
      <c r="G38" s="138"/>
    </row>
    <row r="39" spans="1:22" ht="14.95" customHeight="1" thickBot="1" x14ac:dyDescent="0.3">
      <c r="A39" s="38" t="s">
        <v>127</v>
      </c>
      <c r="B39" s="155">
        <v>16</v>
      </c>
      <c r="C39" s="4">
        <f t="shared" si="5"/>
        <v>16</v>
      </c>
      <c r="D39" s="108" t="s">
        <v>127</v>
      </c>
      <c r="E39" s="164">
        <v>80</v>
      </c>
      <c r="F39" s="56">
        <f t="shared" si="6"/>
        <v>80</v>
      </c>
    </row>
    <row r="40" spans="1:22" ht="14.95" customHeight="1" thickBot="1" x14ac:dyDescent="0.3">
      <c r="A40" s="38" t="s">
        <v>128</v>
      </c>
      <c r="B40" s="155">
        <v>0</v>
      </c>
      <c r="C40" s="4">
        <f t="shared" si="5"/>
        <v>0</v>
      </c>
      <c r="D40" s="108" t="s">
        <v>128</v>
      </c>
      <c r="E40" s="164">
        <v>0</v>
      </c>
      <c r="F40" s="56">
        <f t="shared" si="6"/>
        <v>0</v>
      </c>
    </row>
    <row r="41" spans="1:22" ht="14.95" customHeight="1" thickBot="1" x14ac:dyDescent="0.3">
      <c r="A41" s="38" t="s">
        <v>129</v>
      </c>
      <c r="B41" s="155">
        <v>0</v>
      </c>
      <c r="C41" s="4">
        <f t="shared" si="5"/>
        <v>0</v>
      </c>
      <c r="D41" s="108" t="s">
        <v>129</v>
      </c>
      <c r="E41" s="164">
        <v>0</v>
      </c>
      <c r="F41" s="56">
        <f t="shared" si="6"/>
        <v>0</v>
      </c>
    </row>
    <row r="42" spans="1:22" ht="14.95" customHeight="1" thickBot="1" x14ac:dyDescent="0.3">
      <c r="A42" s="38" t="s">
        <v>130</v>
      </c>
      <c r="B42" s="155">
        <v>3</v>
      </c>
      <c r="C42" s="4">
        <f t="shared" si="5"/>
        <v>3</v>
      </c>
      <c r="D42" s="108" t="s">
        <v>130</v>
      </c>
      <c r="E42" s="164">
        <v>15</v>
      </c>
      <c r="F42" s="56">
        <f t="shared" si="6"/>
        <v>15</v>
      </c>
      <c r="V42" t="s">
        <v>16</v>
      </c>
    </row>
    <row r="43" spans="1:22" ht="14.95" customHeight="1" thickBot="1" x14ac:dyDescent="0.3">
      <c r="A43" s="38" t="s">
        <v>131</v>
      </c>
      <c r="B43" s="155">
        <v>4</v>
      </c>
      <c r="C43" s="4">
        <f t="shared" si="5"/>
        <v>4</v>
      </c>
      <c r="D43" s="108" t="s">
        <v>131</v>
      </c>
      <c r="E43" s="164">
        <v>20</v>
      </c>
      <c r="F43" s="56">
        <f t="shared" si="6"/>
        <v>20</v>
      </c>
    </row>
    <row r="44" spans="1:22" ht="14.95" customHeight="1" thickBot="1" x14ac:dyDescent="0.3">
      <c r="A44" s="38" t="s">
        <v>132</v>
      </c>
      <c r="B44" s="155">
        <v>3</v>
      </c>
      <c r="C44" s="4">
        <f t="shared" si="5"/>
        <v>3</v>
      </c>
      <c r="D44" s="108" t="s">
        <v>132</v>
      </c>
      <c r="E44" s="164">
        <v>15</v>
      </c>
      <c r="F44" s="56">
        <f t="shared" si="6"/>
        <v>15</v>
      </c>
    </row>
    <row r="45" spans="1:22" ht="14.95" customHeight="1" thickBot="1" x14ac:dyDescent="0.3">
      <c r="A45" s="38" t="s">
        <v>133</v>
      </c>
      <c r="B45" s="155">
        <v>4</v>
      </c>
      <c r="C45" s="4">
        <f t="shared" si="5"/>
        <v>4</v>
      </c>
      <c r="D45" s="108" t="s">
        <v>133</v>
      </c>
      <c r="E45" s="164">
        <v>20</v>
      </c>
      <c r="F45" s="56">
        <f t="shared" si="6"/>
        <v>20</v>
      </c>
    </row>
    <row r="46" spans="1:22" ht="14.95" customHeight="1" thickBot="1" x14ac:dyDescent="0.3">
      <c r="A46" s="38" t="s">
        <v>134</v>
      </c>
      <c r="B46" s="155">
        <v>0</v>
      </c>
      <c r="C46" s="4">
        <f t="shared" si="5"/>
        <v>0</v>
      </c>
      <c r="D46" s="108" t="s">
        <v>134</v>
      </c>
      <c r="E46" s="164">
        <v>0</v>
      </c>
      <c r="F46" s="56">
        <f t="shared" si="6"/>
        <v>0</v>
      </c>
    </row>
    <row r="47" spans="1:22" ht="14.95" customHeight="1" thickBot="1" x14ac:dyDescent="0.3">
      <c r="A47" s="38" t="s">
        <v>15</v>
      </c>
      <c r="B47" s="155">
        <v>0</v>
      </c>
      <c r="C47" s="4">
        <f t="shared" si="5"/>
        <v>0</v>
      </c>
      <c r="D47" s="108" t="s">
        <v>15</v>
      </c>
      <c r="E47" s="164">
        <v>0</v>
      </c>
      <c r="F47" s="56">
        <f t="shared" si="6"/>
        <v>0</v>
      </c>
    </row>
    <row r="48" spans="1:22" ht="14.95" customHeight="1" thickBot="1" x14ac:dyDescent="0.3">
      <c r="A48" s="38" t="s">
        <v>135</v>
      </c>
      <c r="B48" s="155">
        <v>0</v>
      </c>
      <c r="C48" s="4">
        <f t="shared" si="5"/>
        <v>0</v>
      </c>
      <c r="D48" s="108" t="s">
        <v>135</v>
      </c>
      <c r="E48" s="164">
        <v>0</v>
      </c>
      <c r="F48" s="56">
        <f t="shared" si="6"/>
        <v>0</v>
      </c>
    </row>
    <row r="49" spans="1:6" ht="14.95" customHeight="1" thickBot="1" x14ac:dyDescent="0.3">
      <c r="A49" s="38" t="s">
        <v>136</v>
      </c>
      <c r="B49" s="155">
        <v>0</v>
      </c>
      <c r="C49" s="4">
        <f t="shared" si="5"/>
        <v>0</v>
      </c>
      <c r="D49" s="108" t="s">
        <v>136</v>
      </c>
      <c r="E49" s="164">
        <v>6</v>
      </c>
      <c r="F49" s="56">
        <f t="shared" si="6"/>
        <v>6</v>
      </c>
    </row>
    <row r="50" spans="1:6" ht="14.95" customHeight="1" thickBot="1" x14ac:dyDescent="0.3">
      <c r="A50" s="38" t="s">
        <v>137</v>
      </c>
      <c r="B50" s="155">
        <v>0</v>
      </c>
      <c r="C50" s="4">
        <f t="shared" si="5"/>
        <v>0</v>
      </c>
      <c r="D50" s="108" t="s">
        <v>137</v>
      </c>
      <c r="E50" s="164">
        <v>0</v>
      </c>
      <c r="F50" s="56">
        <f t="shared" si="6"/>
        <v>0</v>
      </c>
    </row>
    <row r="51" spans="1:6" ht="14.95" customHeight="1" thickBot="1" x14ac:dyDescent="0.3">
      <c r="A51" s="38" t="s">
        <v>138</v>
      </c>
      <c r="B51" s="155">
        <v>2</v>
      </c>
      <c r="C51" s="4">
        <f t="shared" si="5"/>
        <v>2</v>
      </c>
      <c r="D51" s="108" t="s">
        <v>138</v>
      </c>
      <c r="E51" s="164">
        <v>10</v>
      </c>
      <c r="F51" s="56">
        <f t="shared" si="6"/>
        <v>10</v>
      </c>
    </row>
    <row r="52" spans="1:6" ht="14.95" customHeight="1" thickBot="1" x14ac:dyDescent="0.3">
      <c r="A52" s="38" t="s">
        <v>139</v>
      </c>
      <c r="B52" s="155">
        <v>19</v>
      </c>
      <c r="C52" s="4">
        <f t="shared" si="5"/>
        <v>19</v>
      </c>
      <c r="D52" s="108" t="s">
        <v>139</v>
      </c>
      <c r="E52" s="164">
        <v>95</v>
      </c>
      <c r="F52" s="56">
        <f t="shared" si="6"/>
        <v>95</v>
      </c>
    </row>
    <row r="53" spans="1:6" ht="14.95" customHeight="1" thickBot="1" x14ac:dyDescent="0.3">
      <c r="A53" s="38" t="s">
        <v>3</v>
      </c>
      <c r="B53" s="155">
        <f>SUM(B3:B52)</f>
        <v>144</v>
      </c>
      <c r="C53" s="4">
        <f t="shared" si="5"/>
        <v>144</v>
      </c>
      <c r="D53" s="108" t="s">
        <v>3</v>
      </c>
      <c r="E53" s="164">
        <f>SUM(E3:E52)</f>
        <v>947</v>
      </c>
      <c r="F53" s="56">
        <f t="shared" si="6"/>
        <v>947</v>
      </c>
    </row>
    <row r="54" spans="1:6" ht="14.95" customHeight="1" x14ac:dyDescent="0.25">
      <c r="A54" s="167"/>
      <c r="B54" s="168"/>
      <c r="C54" s="168"/>
      <c r="D54" s="168"/>
      <c r="E54" s="168"/>
      <c r="F54" s="35"/>
    </row>
    <row r="55" spans="1:6" ht="14.95" thickBot="1" x14ac:dyDescent="0.3">
      <c r="A55" t="s">
        <v>9</v>
      </c>
      <c r="B55" s="79"/>
      <c r="D55" s="53"/>
      <c r="E55" s="80"/>
      <c r="F55" s="53"/>
    </row>
    <row r="56" spans="1:6" ht="14.95" customHeight="1" thickBot="1" x14ac:dyDescent="0.3">
      <c r="A56" s="71" t="s">
        <v>0</v>
      </c>
      <c r="B56" s="154" t="s">
        <v>47</v>
      </c>
      <c r="C56" s="72" t="s">
        <v>1</v>
      </c>
      <c r="D56" s="107" t="s">
        <v>2</v>
      </c>
      <c r="E56" s="163" t="s">
        <v>47</v>
      </c>
      <c r="F56" s="70" t="s">
        <v>1</v>
      </c>
    </row>
    <row r="57" spans="1:6" ht="14.95" thickBot="1" x14ac:dyDescent="0.3">
      <c r="A57" s="38" t="s">
        <v>139</v>
      </c>
      <c r="B57" s="155">
        <v>19</v>
      </c>
      <c r="C57" s="4">
        <f t="shared" ref="C57:C88" si="7">SUM(B57:B57)</f>
        <v>19</v>
      </c>
      <c r="D57" s="108" t="s">
        <v>114</v>
      </c>
      <c r="E57" s="164">
        <v>180</v>
      </c>
      <c r="F57" s="56">
        <f t="shared" ref="F57:F88" si="8">SUM(E57:E57)</f>
        <v>180</v>
      </c>
    </row>
    <row r="58" spans="1:6" ht="14.95" thickBot="1" x14ac:dyDescent="0.3">
      <c r="A58" s="38" t="s">
        <v>127</v>
      </c>
      <c r="B58" s="155">
        <v>16</v>
      </c>
      <c r="C58" s="4">
        <f t="shared" si="7"/>
        <v>16</v>
      </c>
      <c r="D58" s="108" t="s">
        <v>139</v>
      </c>
      <c r="E58" s="164">
        <v>95</v>
      </c>
      <c r="F58" s="56">
        <f t="shared" si="8"/>
        <v>95</v>
      </c>
    </row>
    <row r="59" spans="1:6" ht="14.95" thickBot="1" x14ac:dyDescent="0.3">
      <c r="A59" s="38" t="s">
        <v>93</v>
      </c>
      <c r="B59" s="155">
        <v>15</v>
      </c>
      <c r="C59" s="4">
        <f t="shared" si="7"/>
        <v>15</v>
      </c>
      <c r="D59" s="108" t="s">
        <v>127</v>
      </c>
      <c r="E59" s="164">
        <v>80</v>
      </c>
      <c r="F59" s="56">
        <f t="shared" si="8"/>
        <v>80</v>
      </c>
    </row>
    <row r="60" spans="1:6" ht="14.95" thickBot="1" x14ac:dyDescent="0.3">
      <c r="A60" s="38" t="s">
        <v>111</v>
      </c>
      <c r="B60" s="155">
        <v>10</v>
      </c>
      <c r="C60" s="4">
        <f t="shared" si="7"/>
        <v>10</v>
      </c>
      <c r="D60" s="108" t="s">
        <v>93</v>
      </c>
      <c r="E60" s="164">
        <v>75</v>
      </c>
      <c r="F60" s="56">
        <f t="shared" si="8"/>
        <v>75</v>
      </c>
    </row>
    <row r="61" spans="1:6" ht="14.95" thickBot="1" x14ac:dyDescent="0.3">
      <c r="A61" s="38" t="s">
        <v>95</v>
      </c>
      <c r="B61" s="155">
        <v>7</v>
      </c>
      <c r="C61" s="4">
        <f t="shared" si="7"/>
        <v>7</v>
      </c>
      <c r="D61" s="108" t="s">
        <v>96</v>
      </c>
      <c r="E61" s="164">
        <v>63</v>
      </c>
      <c r="F61" s="56">
        <f t="shared" si="8"/>
        <v>63</v>
      </c>
    </row>
    <row r="62" spans="1:6" ht="14.95" thickBot="1" x14ac:dyDescent="0.3">
      <c r="A62" s="38" t="s">
        <v>106</v>
      </c>
      <c r="B62" s="155">
        <v>7</v>
      </c>
      <c r="C62" s="4">
        <f t="shared" si="7"/>
        <v>7</v>
      </c>
      <c r="D62" s="108" t="s">
        <v>111</v>
      </c>
      <c r="E62" s="164">
        <v>50</v>
      </c>
      <c r="F62" s="56">
        <f t="shared" si="8"/>
        <v>50</v>
      </c>
    </row>
    <row r="63" spans="1:6" ht="14.95" thickBot="1" x14ac:dyDescent="0.3">
      <c r="A63" s="38" t="s">
        <v>107</v>
      </c>
      <c r="B63" s="155">
        <v>7</v>
      </c>
      <c r="C63" s="4">
        <f t="shared" si="7"/>
        <v>7</v>
      </c>
      <c r="D63" s="108" t="s">
        <v>95</v>
      </c>
      <c r="E63" s="164">
        <v>35</v>
      </c>
      <c r="F63" s="56">
        <f t="shared" si="8"/>
        <v>35</v>
      </c>
    </row>
    <row r="64" spans="1:6" ht="14.95" thickBot="1" x14ac:dyDescent="0.3">
      <c r="A64" s="38" t="s">
        <v>118</v>
      </c>
      <c r="B64" s="155">
        <v>7</v>
      </c>
      <c r="C64" s="4">
        <f t="shared" si="7"/>
        <v>7</v>
      </c>
      <c r="D64" s="108" t="s">
        <v>106</v>
      </c>
      <c r="E64" s="164">
        <v>35</v>
      </c>
      <c r="F64" s="56">
        <f t="shared" si="8"/>
        <v>35</v>
      </c>
    </row>
    <row r="65" spans="1:6" ht="14.95" thickBot="1" x14ac:dyDescent="0.3">
      <c r="A65" s="38" t="s">
        <v>114</v>
      </c>
      <c r="B65" s="155">
        <v>5</v>
      </c>
      <c r="C65" s="4">
        <f t="shared" si="7"/>
        <v>5</v>
      </c>
      <c r="D65" s="108" t="s">
        <v>107</v>
      </c>
      <c r="E65" s="164">
        <v>35</v>
      </c>
      <c r="F65" s="56">
        <f t="shared" si="8"/>
        <v>35</v>
      </c>
    </row>
    <row r="66" spans="1:6" ht="14.95" thickBot="1" x14ac:dyDescent="0.3">
      <c r="A66" s="38" t="s">
        <v>126</v>
      </c>
      <c r="B66" s="155">
        <v>5</v>
      </c>
      <c r="C66" s="4">
        <f t="shared" si="7"/>
        <v>5</v>
      </c>
      <c r="D66" s="108" t="s">
        <v>118</v>
      </c>
      <c r="E66" s="164">
        <v>35</v>
      </c>
      <c r="F66" s="56">
        <f t="shared" si="8"/>
        <v>35</v>
      </c>
    </row>
    <row r="67" spans="1:6" ht="14.95" thickBot="1" x14ac:dyDescent="0.3">
      <c r="A67" s="38" t="s">
        <v>98</v>
      </c>
      <c r="B67" s="155">
        <v>4</v>
      </c>
      <c r="C67" s="4">
        <f t="shared" si="7"/>
        <v>4</v>
      </c>
      <c r="D67" s="108" t="s">
        <v>126</v>
      </c>
      <c r="E67" s="164">
        <v>25</v>
      </c>
      <c r="F67" s="56">
        <f t="shared" si="8"/>
        <v>25</v>
      </c>
    </row>
    <row r="68" spans="1:6" ht="14.95" thickBot="1" x14ac:dyDescent="0.3">
      <c r="A68" s="38" t="s">
        <v>100</v>
      </c>
      <c r="B68" s="155">
        <v>4</v>
      </c>
      <c r="C68" s="4">
        <f t="shared" si="7"/>
        <v>4</v>
      </c>
      <c r="D68" s="108" t="s">
        <v>97</v>
      </c>
      <c r="E68" s="164">
        <v>23</v>
      </c>
      <c r="F68" s="56">
        <f t="shared" si="8"/>
        <v>23</v>
      </c>
    </row>
    <row r="69" spans="1:6" ht="14.95" thickBot="1" x14ac:dyDescent="0.3">
      <c r="A69" s="38" t="s">
        <v>120</v>
      </c>
      <c r="B69" s="155">
        <v>4</v>
      </c>
      <c r="C69" s="4">
        <f t="shared" si="7"/>
        <v>4</v>
      </c>
      <c r="D69" s="108" t="s">
        <v>98</v>
      </c>
      <c r="E69" s="164">
        <v>20</v>
      </c>
      <c r="F69" s="56">
        <f t="shared" si="8"/>
        <v>20</v>
      </c>
    </row>
    <row r="70" spans="1:6" ht="14.95" thickBot="1" x14ac:dyDescent="0.3">
      <c r="A70" s="38" t="s">
        <v>131</v>
      </c>
      <c r="B70" s="155">
        <v>4</v>
      </c>
      <c r="C70" s="4">
        <f t="shared" si="7"/>
        <v>4</v>
      </c>
      <c r="D70" s="108" t="s">
        <v>100</v>
      </c>
      <c r="E70" s="164">
        <v>20</v>
      </c>
      <c r="F70" s="56">
        <f t="shared" si="8"/>
        <v>20</v>
      </c>
    </row>
    <row r="71" spans="1:6" ht="14.95" thickBot="1" x14ac:dyDescent="0.3">
      <c r="A71" s="38" t="s">
        <v>133</v>
      </c>
      <c r="B71" s="155">
        <v>4</v>
      </c>
      <c r="C71" s="4">
        <f t="shared" si="7"/>
        <v>4</v>
      </c>
      <c r="D71" s="108" t="s">
        <v>120</v>
      </c>
      <c r="E71" s="164">
        <v>20</v>
      </c>
      <c r="F71" s="56">
        <f t="shared" si="8"/>
        <v>20</v>
      </c>
    </row>
    <row r="72" spans="1:6" ht="14.95" thickBot="1" x14ac:dyDescent="0.3">
      <c r="A72" s="38" t="s">
        <v>94</v>
      </c>
      <c r="B72" s="155">
        <v>3</v>
      </c>
      <c r="C72" s="4">
        <f t="shared" si="7"/>
        <v>3</v>
      </c>
      <c r="D72" s="108" t="s">
        <v>131</v>
      </c>
      <c r="E72" s="164">
        <v>20</v>
      </c>
      <c r="F72" s="56">
        <f t="shared" si="8"/>
        <v>20</v>
      </c>
    </row>
    <row r="73" spans="1:6" ht="14.95" thickBot="1" x14ac:dyDescent="0.3">
      <c r="A73" s="38" t="s">
        <v>97</v>
      </c>
      <c r="B73" s="155">
        <v>3</v>
      </c>
      <c r="C73" s="4">
        <f t="shared" si="7"/>
        <v>3</v>
      </c>
      <c r="D73" s="108" t="s">
        <v>133</v>
      </c>
      <c r="E73" s="164">
        <v>20</v>
      </c>
      <c r="F73" s="56">
        <f t="shared" si="8"/>
        <v>20</v>
      </c>
    </row>
    <row r="74" spans="1:6" ht="14.95" thickBot="1" x14ac:dyDescent="0.3">
      <c r="A74" s="38" t="s">
        <v>113</v>
      </c>
      <c r="B74" s="155">
        <v>3</v>
      </c>
      <c r="C74" s="4">
        <f t="shared" si="7"/>
        <v>3</v>
      </c>
      <c r="D74" s="108" t="s">
        <v>94</v>
      </c>
      <c r="E74" s="164">
        <v>15</v>
      </c>
      <c r="F74" s="56">
        <f t="shared" si="8"/>
        <v>15</v>
      </c>
    </row>
    <row r="75" spans="1:6" ht="14.95" thickBot="1" x14ac:dyDescent="0.3">
      <c r="A75" s="38" t="s">
        <v>130</v>
      </c>
      <c r="B75" s="155">
        <v>3</v>
      </c>
      <c r="C75" s="4">
        <f t="shared" si="7"/>
        <v>3</v>
      </c>
      <c r="D75" s="108" t="s">
        <v>113</v>
      </c>
      <c r="E75" s="164">
        <v>15</v>
      </c>
      <c r="F75" s="56">
        <f t="shared" si="8"/>
        <v>15</v>
      </c>
    </row>
    <row r="76" spans="1:6" ht="14.95" thickBot="1" x14ac:dyDescent="0.3">
      <c r="A76" s="38" t="s">
        <v>132</v>
      </c>
      <c r="B76" s="155">
        <v>3</v>
      </c>
      <c r="C76" s="4">
        <f t="shared" si="7"/>
        <v>3</v>
      </c>
      <c r="D76" s="108" t="s">
        <v>130</v>
      </c>
      <c r="E76" s="164">
        <v>15</v>
      </c>
      <c r="F76" s="56">
        <f t="shared" si="8"/>
        <v>15</v>
      </c>
    </row>
    <row r="77" spans="1:6" ht="14.95" thickBot="1" x14ac:dyDescent="0.3">
      <c r="A77" s="38" t="s">
        <v>116</v>
      </c>
      <c r="B77" s="155">
        <v>2</v>
      </c>
      <c r="C77" s="4">
        <f t="shared" si="7"/>
        <v>2</v>
      </c>
      <c r="D77" s="109" t="s">
        <v>132</v>
      </c>
      <c r="E77" s="164">
        <v>15</v>
      </c>
      <c r="F77" s="56">
        <f t="shared" si="8"/>
        <v>15</v>
      </c>
    </row>
    <row r="78" spans="1:6" ht="14.95" thickBot="1" x14ac:dyDescent="0.3">
      <c r="A78" s="38" t="s">
        <v>122</v>
      </c>
      <c r="B78" s="155">
        <v>2</v>
      </c>
      <c r="C78" s="4">
        <f t="shared" si="7"/>
        <v>2</v>
      </c>
      <c r="D78" s="108" t="s">
        <v>116</v>
      </c>
      <c r="E78" s="164">
        <v>10</v>
      </c>
      <c r="F78" s="56">
        <f t="shared" si="8"/>
        <v>10</v>
      </c>
    </row>
    <row r="79" spans="1:6" ht="14.95" thickBot="1" x14ac:dyDescent="0.3">
      <c r="A79" s="38" t="s">
        <v>138</v>
      </c>
      <c r="B79" s="155">
        <v>2</v>
      </c>
      <c r="C79" s="4">
        <f t="shared" si="7"/>
        <v>2</v>
      </c>
      <c r="D79" s="108" t="s">
        <v>122</v>
      </c>
      <c r="E79" s="164">
        <v>10</v>
      </c>
      <c r="F79" s="56">
        <f t="shared" si="8"/>
        <v>10</v>
      </c>
    </row>
    <row r="80" spans="1:6" ht="14.95" thickBot="1" x14ac:dyDescent="0.3">
      <c r="A80" s="38" t="s">
        <v>96</v>
      </c>
      <c r="B80" s="155">
        <v>1</v>
      </c>
      <c r="C80" s="4">
        <f t="shared" si="7"/>
        <v>1</v>
      </c>
      <c r="D80" s="108" t="s">
        <v>138</v>
      </c>
      <c r="E80" s="164">
        <v>10</v>
      </c>
      <c r="F80" s="56">
        <f t="shared" si="8"/>
        <v>10</v>
      </c>
    </row>
    <row r="81" spans="1:6" ht="14.95" thickBot="1" x14ac:dyDescent="0.3">
      <c r="A81" s="38" t="s">
        <v>105</v>
      </c>
      <c r="B81" s="155">
        <v>1</v>
      </c>
      <c r="C81" s="4">
        <f t="shared" si="7"/>
        <v>1</v>
      </c>
      <c r="D81" s="108" t="s">
        <v>136</v>
      </c>
      <c r="E81" s="164">
        <v>6</v>
      </c>
      <c r="F81" s="56">
        <f t="shared" si="8"/>
        <v>6</v>
      </c>
    </row>
    <row r="82" spans="1:6" ht="14.95" thickBot="1" x14ac:dyDescent="0.3">
      <c r="A82" s="38" t="s">
        <v>109</v>
      </c>
      <c r="B82" s="155">
        <v>1</v>
      </c>
      <c r="C82" s="4">
        <f t="shared" si="7"/>
        <v>1</v>
      </c>
      <c r="D82" s="108" t="s">
        <v>105</v>
      </c>
      <c r="E82" s="164">
        <v>5</v>
      </c>
      <c r="F82" s="56">
        <f t="shared" si="8"/>
        <v>5</v>
      </c>
    </row>
    <row r="83" spans="1:6" ht="14.95" thickBot="1" x14ac:dyDescent="0.3">
      <c r="A83" s="38" t="s">
        <v>115</v>
      </c>
      <c r="B83" s="155">
        <v>1</v>
      </c>
      <c r="C83" s="4">
        <f t="shared" si="7"/>
        <v>1</v>
      </c>
      <c r="D83" s="108" t="s">
        <v>109</v>
      </c>
      <c r="E83" s="164">
        <v>5</v>
      </c>
      <c r="F83" s="56">
        <f t="shared" si="8"/>
        <v>5</v>
      </c>
    </row>
    <row r="84" spans="1:6" ht="14.95" thickBot="1" x14ac:dyDescent="0.3">
      <c r="A84" s="38" t="s">
        <v>119</v>
      </c>
      <c r="B84" s="155">
        <v>1</v>
      </c>
      <c r="C84" s="4">
        <f t="shared" si="7"/>
        <v>1</v>
      </c>
      <c r="D84" s="108" t="s">
        <v>115</v>
      </c>
      <c r="E84" s="164">
        <v>5</v>
      </c>
      <c r="F84" s="56">
        <f t="shared" si="8"/>
        <v>5</v>
      </c>
    </row>
    <row r="85" spans="1:6" ht="14.95" thickBot="1" x14ac:dyDescent="0.3">
      <c r="A85" s="38" t="s">
        <v>99</v>
      </c>
      <c r="B85" s="155">
        <v>0</v>
      </c>
      <c r="C85" s="4">
        <f t="shared" si="7"/>
        <v>0</v>
      </c>
      <c r="D85" s="108" t="s">
        <v>119</v>
      </c>
      <c r="E85" s="164">
        <v>5</v>
      </c>
      <c r="F85" s="56">
        <f t="shared" si="8"/>
        <v>5</v>
      </c>
    </row>
    <row r="86" spans="1:6" ht="14.95" thickBot="1" x14ac:dyDescent="0.3">
      <c r="A86" s="38" t="s">
        <v>101</v>
      </c>
      <c r="B86" s="155">
        <v>0</v>
      </c>
      <c r="C86" s="4">
        <f t="shared" si="7"/>
        <v>0</v>
      </c>
      <c r="D86" s="108" t="s">
        <v>99</v>
      </c>
      <c r="E86" s="164">
        <v>0</v>
      </c>
      <c r="F86" s="56">
        <f t="shared" si="8"/>
        <v>0</v>
      </c>
    </row>
    <row r="87" spans="1:6" ht="14.95" thickBot="1" x14ac:dyDescent="0.3">
      <c r="A87" s="38" t="s">
        <v>102</v>
      </c>
      <c r="B87" s="155">
        <v>0</v>
      </c>
      <c r="C87" s="4">
        <f t="shared" si="7"/>
        <v>0</v>
      </c>
      <c r="D87" s="108" t="s">
        <v>101</v>
      </c>
      <c r="E87" s="164">
        <v>0</v>
      </c>
      <c r="F87" s="56">
        <f t="shared" si="8"/>
        <v>0</v>
      </c>
    </row>
    <row r="88" spans="1:6" ht="14.95" thickBot="1" x14ac:dyDescent="0.3">
      <c r="A88" s="38" t="s">
        <v>103</v>
      </c>
      <c r="B88" s="155">
        <v>0</v>
      </c>
      <c r="C88" s="4">
        <f t="shared" si="7"/>
        <v>0</v>
      </c>
      <c r="D88" s="108" t="s">
        <v>102</v>
      </c>
      <c r="E88" s="164">
        <v>0</v>
      </c>
      <c r="F88" s="56">
        <f t="shared" si="8"/>
        <v>0</v>
      </c>
    </row>
    <row r="89" spans="1:6" ht="14.95" thickBot="1" x14ac:dyDescent="0.3">
      <c r="A89" s="38" t="s">
        <v>104</v>
      </c>
      <c r="B89" s="155">
        <v>0</v>
      </c>
      <c r="C89" s="4">
        <f t="shared" ref="C89:C120" si="9">SUM(B89:B89)</f>
        <v>0</v>
      </c>
      <c r="D89" s="108" t="s">
        <v>103</v>
      </c>
      <c r="E89" s="164">
        <v>0</v>
      </c>
      <c r="F89" s="56">
        <f t="shared" ref="F89:F120" si="10">SUM(E89:E89)</f>
        <v>0</v>
      </c>
    </row>
    <row r="90" spans="1:6" ht="14.95" thickBot="1" x14ac:dyDescent="0.3">
      <c r="A90" s="38" t="s">
        <v>42</v>
      </c>
      <c r="B90" s="155">
        <v>0</v>
      </c>
      <c r="C90" s="4">
        <f t="shared" si="9"/>
        <v>0</v>
      </c>
      <c r="D90" s="108" t="s">
        <v>104</v>
      </c>
      <c r="E90" s="164">
        <v>0</v>
      </c>
      <c r="F90" s="56">
        <f t="shared" si="10"/>
        <v>0</v>
      </c>
    </row>
    <row r="91" spans="1:6" ht="14.95" thickBot="1" x14ac:dyDescent="0.3">
      <c r="A91" s="38" t="s">
        <v>108</v>
      </c>
      <c r="B91" s="155">
        <v>0</v>
      </c>
      <c r="C91" s="4">
        <f t="shared" si="9"/>
        <v>0</v>
      </c>
      <c r="D91" s="108" t="s">
        <v>42</v>
      </c>
      <c r="E91" s="164">
        <v>0</v>
      </c>
      <c r="F91" s="56">
        <f t="shared" si="10"/>
        <v>0</v>
      </c>
    </row>
    <row r="92" spans="1:6" ht="14.95" thickBot="1" x14ac:dyDescent="0.3">
      <c r="A92" s="38" t="s">
        <v>110</v>
      </c>
      <c r="B92" s="155">
        <v>0</v>
      </c>
      <c r="C92" s="4">
        <f t="shared" si="9"/>
        <v>0</v>
      </c>
      <c r="D92" s="108" t="s">
        <v>108</v>
      </c>
      <c r="E92" s="164">
        <v>0</v>
      </c>
      <c r="F92" s="56">
        <f t="shared" si="10"/>
        <v>0</v>
      </c>
    </row>
    <row r="93" spans="1:6" ht="14.95" thickBot="1" x14ac:dyDescent="0.3">
      <c r="A93" s="38" t="s">
        <v>112</v>
      </c>
      <c r="B93" s="155">
        <v>0</v>
      </c>
      <c r="C93" s="4">
        <f t="shared" si="9"/>
        <v>0</v>
      </c>
      <c r="D93" s="108" t="s">
        <v>110</v>
      </c>
      <c r="E93" s="164">
        <v>0</v>
      </c>
      <c r="F93" s="56">
        <f t="shared" si="10"/>
        <v>0</v>
      </c>
    </row>
    <row r="94" spans="1:6" ht="14.95" thickBot="1" x14ac:dyDescent="0.3">
      <c r="A94" s="38" t="s">
        <v>117</v>
      </c>
      <c r="B94" s="155">
        <v>0</v>
      </c>
      <c r="C94" s="4">
        <f t="shared" si="9"/>
        <v>0</v>
      </c>
      <c r="D94" s="108" t="s">
        <v>112</v>
      </c>
      <c r="E94" s="164">
        <v>0</v>
      </c>
      <c r="F94" s="56">
        <f t="shared" si="10"/>
        <v>0</v>
      </c>
    </row>
    <row r="95" spans="1:6" ht="14.95" thickBot="1" x14ac:dyDescent="0.3">
      <c r="A95" s="38" t="s">
        <v>121</v>
      </c>
      <c r="B95" s="155">
        <v>0</v>
      </c>
      <c r="C95" s="4">
        <f t="shared" si="9"/>
        <v>0</v>
      </c>
      <c r="D95" s="108" t="s">
        <v>117</v>
      </c>
      <c r="E95" s="164">
        <v>0</v>
      </c>
      <c r="F95" s="56">
        <f t="shared" si="10"/>
        <v>0</v>
      </c>
    </row>
    <row r="96" spans="1:6" ht="14.95" thickBot="1" x14ac:dyDescent="0.3">
      <c r="A96" s="38" t="s">
        <v>4</v>
      </c>
      <c r="B96" s="155">
        <v>0</v>
      </c>
      <c r="C96" s="4">
        <f t="shared" si="9"/>
        <v>0</v>
      </c>
      <c r="D96" s="108" t="s">
        <v>121</v>
      </c>
      <c r="E96" s="164">
        <v>0</v>
      </c>
      <c r="F96" s="56">
        <f t="shared" si="10"/>
        <v>0</v>
      </c>
    </row>
    <row r="97" spans="1:6" ht="14.95" thickBot="1" x14ac:dyDescent="0.3">
      <c r="A97" s="38" t="s">
        <v>123</v>
      </c>
      <c r="B97" s="155">
        <v>0</v>
      </c>
      <c r="C97" s="4">
        <f t="shared" si="9"/>
        <v>0</v>
      </c>
      <c r="D97" s="108" t="s">
        <v>4</v>
      </c>
      <c r="E97" s="164">
        <v>0</v>
      </c>
      <c r="F97" s="56">
        <f t="shared" si="10"/>
        <v>0</v>
      </c>
    </row>
    <row r="98" spans="1:6" ht="14.95" thickBot="1" x14ac:dyDescent="0.3">
      <c r="A98" s="38" t="s">
        <v>124</v>
      </c>
      <c r="B98" s="155">
        <v>0</v>
      </c>
      <c r="C98" s="4">
        <f t="shared" si="9"/>
        <v>0</v>
      </c>
      <c r="D98" s="108" t="s">
        <v>123</v>
      </c>
      <c r="E98" s="164">
        <v>0</v>
      </c>
      <c r="F98" s="56">
        <f t="shared" si="10"/>
        <v>0</v>
      </c>
    </row>
    <row r="99" spans="1:6" ht="14.95" thickBot="1" x14ac:dyDescent="0.3">
      <c r="A99" s="38" t="s">
        <v>125</v>
      </c>
      <c r="B99" s="155">
        <v>0</v>
      </c>
      <c r="C99" s="4">
        <f t="shared" si="9"/>
        <v>0</v>
      </c>
      <c r="D99" s="108" t="s">
        <v>124</v>
      </c>
      <c r="E99" s="164">
        <v>0</v>
      </c>
      <c r="F99" s="56">
        <f t="shared" si="10"/>
        <v>0</v>
      </c>
    </row>
    <row r="100" spans="1:6" ht="14.95" thickBot="1" x14ac:dyDescent="0.3">
      <c r="A100" s="38" t="s">
        <v>128</v>
      </c>
      <c r="B100" s="155">
        <v>0</v>
      </c>
      <c r="C100" s="4">
        <f t="shared" si="9"/>
        <v>0</v>
      </c>
      <c r="D100" s="108" t="s">
        <v>125</v>
      </c>
      <c r="E100" s="164">
        <v>0</v>
      </c>
      <c r="F100" s="56">
        <f t="shared" si="10"/>
        <v>0</v>
      </c>
    </row>
    <row r="101" spans="1:6" ht="14.95" thickBot="1" x14ac:dyDescent="0.3">
      <c r="A101" s="38" t="s">
        <v>129</v>
      </c>
      <c r="B101" s="155">
        <v>0</v>
      </c>
      <c r="C101" s="4">
        <f t="shared" si="9"/>
        <v>0</v>
      </c>
      <c r="D101" s="108" t="s">
        <v>128</v>
      </c>
      <c r="E101" s="164">
        <v>0</v>
      </c>
      <c r="F101" s="56">
        <f t="shared" si="10"/>
        <v>0</v>
      </c>
    </row>
    <row r="102" spans="1:6" ht="14.95" thickBot="1" x14ac:dyDescent="0.3">
      <c r="A102" s="38" t="s">
        <v>134</v>
      </c>
      <c r="B102" s="155">
        <v>0</v>
      </c>
      <c r="C102" s="4">
        <f t="shared" si="9"/>
        <v>0</v>
      </c>
      <c r="D102" s="108" t="s">
        <v>129</v>
      </c>
      <c r="E102" s="164">
        <v>0</v>
      </c>
      <c r="F102" s="56">
        <f t="shared" si="10"/>
        <v>0</v>
      </c>
    </row>
    <row r="103" spans="1:6" ht="14.95" thickBot="1" x14ac:dyDescent="0.3">
      <c r="A103" s="38" t="s">
        <v>15</v>
      </c>
      <c r="B103" s="155">
        <v>0</v>
      </c>
      <c r="C103" s="4">
        <f t="shared" si="9"/>
        <v>0</v>
      </c>
      <c r="D103" s="108" t="s">
        <v>134</v>
      </c>
      <c r="E103" s="164">
        <v>0</v>
      </c>
      <c r="F103" s="56">
        <f t="shared" si="10"/>
        <v>0</v>
      </c>
    </row>
    <row r="104" spans="1:6" ht="14.95" thickBot="1" x14ac:dyDescent="0.3">
      <c r="A104" s="38" t="s">
        <v>135</v>
      </c>
      <c r="B104" s="155">
        <v>0</v>
      </c>
      <c r="C104" s="4">
        <f t="shared" si="9"/>
        <v>0</v>
      </c>
      <c r="D104" s="108" t="s">
        <v>15</v>
      </c>
      <c r="E104" s="164">
        <v>0</v>
      </c>
      <c r="F104" s="56">
        <f t="shared" si="10"/>
        <v>0</v>
      </c>
    </row>
    <row r="105" spans="1:6" ht="14.95" thickBot="1" x14ac:dyDescent="0.3">
      <c r="A105" s="38" t="s">
        <v>136</v>
      </c>
      <c r="B105" s="155">
        <v>0</v>
      </c>
      <c r="C105" s="4">
        <f t="shared" si="9"/>
        <v>0</v>
      </c>
      <c r="D105" s="108" t="s">
        <v>135</v>
      </c>
      <c r="E105" s="164">
        <v>0</v>
      </c>
      <c r="F105" s="56">
        <f t="shared" si="10"/>
        <v>0</v>
      </c>
    </row>
    <row r="106" spans="1:6" ht="14.95" thickBot="1" x14ac:dyDescent="0.3">
      <c r="A106" s="38" t="s">
        <v>137</v>
      </c>
      <c r="B106" s="155">
        <v>0</v>
      </c>
      <c r="C106" s="4">
        <f t="shared" si="9"/>
        <v>0</v>
      </c>
      <c r="D106" s="108" t="s">
        <v>137</v>
      </c>
      <c r="E106" s="164">
        <v>0</v>
      </c>
      <c r="F106" s="56">
        <f t="shared" si="10"/>
        <v>0</v>
      </c>
    </row>
    <row r="107" spans="1:6" ht="14.95" thickBot="1" x14ac:dyDescent="0.3">
      <c r="A107" s="38" t="s">
        <v>3</v>
      </c>
      <c r="B107" s="155">
        <f>SUM(B57:B106)</f>
        <v>144</v>
      </c>
      <c r="C107" s="4">
        <f t="shared" ref="C107" si="11">SUM(B107:B107)</f>
        <v>144</v>
      </c>
      <c r="D107" s="108" t="s">
        <v>3</v>
      </c>
      <c r="E107" s="164">
        <f>SUM(E57:E106)</f>
        <v>947</v>
      </c>
      <c r="F107" s="56">
        <f t="shared" ref="F107" si="12">SUM(E107:E107)</f>
        <v>947</v>
      </c>
    </row>
    <row r="108" spans="1:6" x14ac:dyDescent="0.25">
      <c r="A108" s="165" t="s">
        <v>20</v>
      </c>
      <c r="B108" s="166"/>
      <c r="C108" s="166"/>
      <c r="D108" s="166"/>
      <c r="E108" s="166"/>
      <c r="F108" s="166"/>
    </row>
  </sheetData>
  <sortState xmlns:xlrd2="http://schemas.microsoft.com/office/spreadsheetml/2017/richdata2" ref="D57:F106">
    <sortCondition descending="1" ref="F57:F106"/>
  </sortState>
  <mergeCells count="6">
    <mergeCell ref="N1:O2"/>
    <mergeCell ref="A108:F108"/>
    <mergeCell ref="G1:G2"/>
    <mergeCell ref="H1:J2"/>
    <mergeCell ref="K1:M2"/>
    <mergeCell ref="A54:E5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36"/>
  <sheetViews>
    <sheetView topLeftCell="A120" zoomScaleNormal="100" workbookViewId="0">
      <selection activeCell="A136" sqref="A136:F136"/>
    </sheetView>
  </sheetViews>
  <sheetFormatPr defaultColWidth="8.875" defaultRowHeight="14.3" x14ac:dyDescent="0.25"/>
  <cols>
    <col min="1" max="1" width="16.375" customWidth="1"/>
    <col min="2" max="2" width="3.75" customWidth="1"/>
    <col min="3" max="3" width="4.75" customWidth="1"/>
    <col min="4" max="4" width="16.375" customWidth="1"/>
    <col min="5" max="6" width="5.25" customWidth="1"/>
    <col min="7" max="7" width="12.75" customWidth="1"/>
    <col min="8" max="14" width="5.375" customWidth="1"/>
    <col min="15" max="15" width="5.75" customWidth="1"/>
    <col min="16" max="21" width="5.375" customWidth="1"/>
  </cols>
  <sheetData>
    <row r="1" spans="1:28" ht="14.95" customHeight="1" thickBot="1" x14ac:dyDescent="0.3">
      <c r="A1" s="180" t="s">
        <v>197</v>
      </c>
      <c r="B1" s="181"/>
      <c r="C1" s="181"/>
      <c r="D1" s="181"/>
      <c r="E1" s="181"/>
      <c r="F1" s="182"/>
      <c r="G1" s="176" t="s">
        <v>248</v>
      </c>
      <c r="H1" s="172" t="s">
        <v>12</v>
      </c>
      <c r="I1" s="178"/>
      <c r="J1" s="173"/>
      <c r="K1" s="172" t="s">
        <v>22</v>
      </c>
      <c r="L1" s="178"/>
      <c r="M1" s="173"/>
      <c r="N1" s="172" t="s">
        <v>37</v>
      </c>
      <c r="O1" s="173"/>
      <c r="P1" s="95"/>
      <c r="Q1" s="88"/>
      <c r="R1" s="88"/>
      <c r="S1" s="88"/>
      <c r="T1" s="122"/>
      <c r="U1" s="122"/>
      <c r="W1" s="3"/>
      <c r="X1" s="3"/>
      <c r="Y1" s="3"/>
      <c r="AB1" s="3"/>
    </row>
    <row r="2" spans="1:28" ht="14.95" customHeight="1" thickBot="1" x14ac:dyDescent="0.3">
      <c r="A2" s="73" t="s">
        <v>0</v>
      </c>
      <c r="B2" s="162" t="s">
        <v>47</v>
      </c>
      <c r="C2" s="74" t="s">
        <v>1</v>
      </c>
      <c r="D2" s="75" t="s">
        <v>2</v>
      </c>
      <c r="E2" s="163" t="s">
        <v>47</v>
      </c>
      <c r="F2" s="70" t="s">
        <v>1</v>
      </c>
      <c r="G2" s="177"/>
      <c r="H2" s="174"/>
      <c r="I2" s="179"/>
      <c r="J2" s="175"/>
      <c r="K2" s="174"/>
      <c r="L2" s="179"/>
      <c r="M2" s="175"/>
      <c r="N2" s="174"/>
      <c r="O2" s="175"/>
      <c r="P2" s="95"/>
      <c r="Q2" s="88"/>
      <c r="R2" s="88"/>
      <c r="S2" s="122"/>
      <c r="T2" s="122"/>
      <c r="U2" s="122"/>
    </row>
    <row r="3" spans="1:28" ht="14.95" customHeight="1" thickBot="1" x14ac:dyDescent="0.3">
      <c r="A3" s="39" t="s">
        <v>140</v>
      </c>
      <c r="B3" s="161">
        <v>0</v>
      </c>
      <c r="C3" s="48">
        <f t="shared" ref="C3:C34" si="0">SUM(B3:B3)</f>
        <v>0</v>
      </c>
      <c r="D3" s="55" t="s">
        <v>140</v>
      </c>
      <c r="E3" s="164">
        <v>0</v>
      </c>
      <c r="F3" s="56">
        <f t="shared" ref="F3:F34" si="1">SUM(E3:E3)</f>
        <v>0</v>
      </c>
      <c r="G3" s="151" t="s">
        <v>16</v>
      </c>
      <c r="H3" s="2" t="s">
        <v>24</v>
      </c>
      <c r="I3" s="2" t="s">
        <v>7</v>
      </c>
      <c r="J3" s="2" t="s">
        <v>8</v>
      </c>
      <c r="K3" s="89" t="s">
        <v>24</v>
      </c>
      <c r="L3" s="2" t="s">
        <v>7</v>
      </c>
      <c r="M3" s="2" t="s">
        <v>8</v>
      </c>
      <c r="N3" s="2" t="s">
        <v>14</v>
      </c>
      <c r="O3" s="2" t="s">
        <v>25</v>
      </c>
      <c r="P3" s="66"/>
      <c r="Q3" s="67"/>
      <c r="R3" s="67"/>
      <c r="S3" s="67"/>
      <c r="T3" s="67"/>
      <c r="U3" s="67"/>
    </row>
    <row r="4" spans="1:28" ht="14.95" customHeight="1" thickBot="1" x14ac:dyDescent="0.3">
      <c r="A4" s="39" t="s">
        <v>141</v>
      </c>
      <c r="B4" s="161">
        <v>4</v>
      </c>
      <c r="C4" s="48">
        <f t="shared" si="0"/>
        <v>4</v>
      </c>
      <c r="D4" s="55" t="s">
        <v>141</v>
      </c>
      <c r="E4" s="164">
        <v>20</v>
      </c>
      <c r="F4" s="56">
        <f t="shared" si="1"/>
        <v>20</v>
      </c>
      <c r="G4" s="44" t="s">
        <v>145</v>
      </c>
      <c r="H4" s="11">
        <v>0</v>
      </c>
      <c r="I4" s="11">
        <v>6</v>
      </c>
      <c r="J4" s="84">
        <f t="shared" ref="J4:J5" si="2">(H4/I4)*100</f>
        <v>0</v>
      </c>
      <c r="K4" s="11" t="s">
        <v>13</v>
      </c>
      <c r="L4" s="11" t="s">
        <v>13</v>
      </c>
      <c r="M4" s="84" t="s">
        <v>13</v>
      </c>
      <c r="N4" s="11">
        <v>-6</v>
      </c>
      <c r="O4" s="11">
        <v>-6</v>
      </c>
      <c r="P4" s="66"/>
      <c r="Q4" s="67"/>
      <c r="R4" s="67"/>
      <c r="S4" s="67"/>
      <c r="T4" s="67"/>
      <c r="U4" s="67"/>
    </row>
    <row r="5" spans="1:28" ht="14.95" customHeight="1" thickBot="1" x14ac:dyDescent="0.3">
      <c r="A5" s="39" t="s">
        <v>142</v>
      </c>
      <c r="B5" s="161">
        <v>0</v>
      </c>
      <c r="C5" s="48">
        <f t="shared" si="0"/>
        <v>0</v>
      </c>
      <c r="D5" s="54" t="s">
        <v>142</v>
      </c>
      <c r="E5" s="164">
        <v>0</v>
      </c>
      <c r="F5" s="56">
        <f t="shared" si="1"/>
        <v>0</v>
      </c>
      <c r="G5" s="44" t="s">
        <v>38</v>
      </c>
      <c r="H5" s="11">
        <v>22</v>
      </c>
      <c r="I5" s="11">
        <v>42</v>
      </c>
      <c r="J5" s="84">
        <f t="shared" si="2"/>
        <v>52.380952380952387</v>
      </c>
      <c r="K5" s="11" t="s">
        <v>13</v>
      </c>
      <c r="L5" s="11" t="s">
        <v>13</v>
      </c>
      <c r="M5" s="84" t="s">
        <v>13</v>
      </c>
      <c r="N5" s="11">
        <v>2</v>
      </c>
      <c r="O5" s="11">
        <v>2</v>
      </c>
      <c r="P5" s="66"/>
      <c r="Q5" s="67"/>
      <c r="R5" s="67"/>
      <c r="S5" s="67"/>
      <c r="T5" s="67"/>
      <c r="U5" s="67"/>
    </row>
    <row r="6" spans="1:28" ht="14.95" customHeight="1" thickBot="1" x14ac:dyDescent="0.3">
      <c r="A6" s="39" t="s">
        <v>143</v>
      </c>
      <c r="B6" s="161">
        <v>10</v>
      </c>
      <c r="C6" s="48">
        <f t="shared" si="0"/>
        <v>10</v>
      </c>
      <c r="D6" s="54" t="s">
        <v>143</v>
      </c>
      <c r="E6" s="164">
        <v>50</v>
      </c>
      <c r="F6" s="56">
        <f t="shared" si="1"/>
        <v>50</v>
      </c>
      <c r="G6" s="44" t="s">
        <v>159</v>
      </c>
      <c r="H6" s="11">
        <v>8</v>
      </c>
      <c r="I6" s="11">
        <v>16</v>
      </c>
      <c r="J6" s="84">
        <f t="shared" ref="J6" si="3">(H6/I6)*100</f>
        <v>50</v>
      </c>
      <c r="K6" s="11" t="s">
        <v>13</v>
      </c>
      <c r="L6" s="11" t="s">
        <v>13</v>
      </c>
      <c r="M6" s="84" t="s">
        <v>13</v>
      </c>
      <c r="N6" s="11">
        <v>2</v>
      </c>
      <c r="O6" s="11">
        <v>2</v>
      </c>
      <c r="P6" s="66"/>
      <c r="Q6" s="67"/>
      <c r="R6" s="67"/>
      <c r="S6" s="67"/>
      <c r="T6" s="67"/>
      <c r="U6" s="67"/>
    </row>
    <row r="7" spans="1:28" ht="14.95" customHeight="1" thickBot="1" x14ac:dyDescent="0.3">
      <c r="A7" s="39" t="s">
        <v>144</v>
      </c>
      <c r="B7" s="161">
        <v>1</v>
      </c>
      <c r="C7" s="48">
        <f t="shared" si="0"/>
        <v>1</v>
      </c>
      <c r="D7" s="54" t="s">
        <v>144</v>
      </c>
      <c r="E7" s="164">
        <v>5</v>
      </c>
      <c r="F7" s="56">
        <f t="shared" si="1"/>
        <v>5</v>
      </c>
      <c r="G7" s="44" t="s">
        <v>189</v>
      </c>
      <c r="H7" s="11">
        <v>1</v>
      </c>
      <c r="I7" s="11">
        <v>2</v>
      </c>
      <c r="J7" s="21">
        <f t="shared" ref="J7" si="4">(H7/I7)*100</f>
        <v>50</v>
      </c>
      <c r="K7" s="11" t="s">
        <v>13</v>
      </c>
      <c r="L7" s="11" t="s">
        <v>13</v>
      </c>
      <c r="M7" s="84" t="s">
        <v>13</v>
      </c>
      <c r="N7" s="48">
        <v>-1</v>
      </c>
      <c r="O7" s="48">
        <v>-1</v>
      </c>
      <c r="P7" s="66"/>
      <c r="Q7" s="67"/>
      <c r="R7" s="67"/>
      <c r="S7" s="67"/>
      <c r="T7" s="67"/>
      <c r="U7" s="67"/>
    </row>
    <row r="8" spans="1:28" ht="14.95" customHeight="1" thickBot="1" x14ac:dyDescent="0.3">
      <c r="A8" s="39" t="s">
        <v>145</v>
      </c>
      <c r="B8" s="161">
        <v>9</v>
      </c>
      <c r="C8" s="48">
        <f t="shared" si="0"/>
        <v>9</v>
      </c>
      <c r="D8" s="54" t="s">
        <v>145</v>
      </c>
      <c r="E8" s="164">
        <v>45</v>
      </c>
      <c r="F8" s="56">
        <f t="shared" si="1"/>
        <v>45</v>
      </c>
      <c r="G8" s="44" t="s">
        <v>193</v>
      </c>
      <c r="H8" s="11">
        <v>39</v>
      </c>
      <c r="I8" s="11">
        <v>64</v>
      </c>
      <c r="J8" s="21">
        <f t="shared" ref="J8" si="5">(H8/I8)*100</f>
        <v>60.9375</v>
      </c>
      <c r="K8" s="11">
        <v>3</v>
      </c>
      <c r="L8" s="11">
        <v>3</v>
      </c>
      <c r="M8" s="84">
        <f t="shared" ref="M8" si="6">(K8/L8)*100</f>
        <v>100</v>
      </c>
      <c r="N8" s="11">
        <v>3</v>
      </c>
      <c r="O8" s="11">
        <v>3</v>
      </c>
      <c r="P8" s="66"/>
      <c r="Q8" s="67"/>
      <c r="R8" s="67"/>
      <c r="S8" s="67"/>
      <c r="T8" s="67"/>
      <c r="U8" s="67"/>
    </row>
    <row r="9" spans="1:28" ht="14.95" customHeight="1" thickBot="1" x14ac:dyDescent="0.3">
      <c r="A9" s="39" t="s">
        <v>146</v>
      </c>
      <c r="B9" s="161">
        <v>0</v>
      </c>
      <c r="C9" s="48">
        <f t="shared" si="0"/>
        <v>0</v>
      </c>
      <c r="D9" s="54" t="s">
        <v>146</v>
      </c>
      <c r="E9" s="164">
        <v>0</v>
      </c>
      <c r="F9" s="56">
        <f t="shared" si="1"/>
        <v>0</v>
      </c>
      <c r="G9" s="42"/>
      <c r="H9" s="34"/>
      <c r="O9" s="34"/>
      <c r="P9" s="67"/>
      <c r="Q9" s="67"/>
      <c r="R9" s="67"/>
      <c r="S9" s="67"/>
      <c r="T9" s="67"/>
      <c r="U9" s="67"/>
    </row>
    <row r="10" spans="1:28" ht="14.95" customHeight="1" thickBot="1" x14ac:dyDescent="0.3">
      <c r="A10" s="39" t="s">
        <v>147</v>
      </c>
      <c r="B10" s="161">
        <v>0</v>
      </c>
      <c r="C10" s="48">
        <f t="shared" si="0"/>
        <v>0</v>
      </c>
      <c r="D10" s="55" t="s">
        <v>147</v>
      </c>
      <c r="E10" s="164">
        <v>0</v>
      </c>
      <c r="F10" s="56">
        <f t="shared" si="1"/>
        <v>0</v>
      </c>
      <c r="P10" s="67"/>
      <c r="Q10" s="67"/>
      <c r="R10" s="67"/>
      <c r="S10" s="67"/>
      <c r="T10" s="67"/>
      <c r="U10" s="67"/>
    </row>
    <row r="11" spans="1:28" ht="14.95" customHeight="1" thickBot="1" x14ac:dyDescent="0.3">
      <c r="A11" s="39" t="s">
        <v>148</v>
      </c>
      <c r="B11" s="161">
        <v>0</v>
      </c>
      <c r="C11" s="48">
        <f t="shared" si="0"/>
        <v>0</v>
      </c>
      <c r="D11" s="55" t="s">
        <v>148</v>
      </c>
      <c r="E11" s="164">
        <v>0</v>
      </c>
      <c r="F11" s="56">
        <f t="shared" si="1"/>
        <v>0</v>
      </c>
    </row>
    <row r="12" spans="1:28" ht="14.95" customHeight="1" thickBot="1" x14ac:dyDescent="0.3">
      <c r="A12" s="39" t="s">
        <v>149</v>
      </c>
      <c r="B12" s="161">
        <v>0</v>
      </c>
      <c r="C12" s="48">
        <f t="shared" si="0"/>
        <v>0</v>
      </c>
      <c r="D12" s="55" t="s">
        <v>149</v>
      </c>
      <c r="E12" s="164">
        <v>0</v>
      </c>
      <c r="F12" s="56">
        <f t="shared" si="1"/>
        <v>0</v>
      </c>
    </row>
    <row r="13" spans="1:28" ht="14.95" customHeight="1" thickBot="1" x14ac:dyDescent="0.3">
      <c r="A13" s="39" t="s">
        <v>150</v>
      </c>
      <c r="B13" s="161">
        <v>0</v>
      </c>
      <c r="C13" s="48">
        <f t="shared" si="0"/>
        <v>0</v>
      </c>
      <c r="D13" s="55" t="s">
        <v>150</v>
      </c>
      <c r="E13" s="164">
        <v>0</v>
      </c>
      <c r="F13" s="56">
        <f t="shared" si="1"/>
        <v>0</v>
      </c>
    </row>
    <row r="14" spans="1:28" ht="14.95" customHeight="1" thickBot="1" x14ac:dyDescent="0.3">
      <c r="A14" s="39" t="s">
        <v>151</v>
      </c>
      <c r="B14" s="161">
        <v>0</v>
      </c>
      <c r="C14" s="48">
        <f t="shared" si="0"/>
        <v>0</v>
      </c>
      <c r="D14" s="55" t="s">
        <v>151</v>
      </c>
      <c r="E14" s="164">
        <v>0</v>
      </c>
      <c r="F14" s="56">
        <f t="shared" si="1"/>
        <v>0</v>
      </c>
    </row>
    <row r="15" spans="1:28" ht="14.95" customHeight="1" thickBot="1" x14ac:dyDescent="0.3">
      <c r="A15" s="39" t="s">
        <v>152</v>
      </c>
      <c r="B15" s="161">
        <v>0</v>
      </c>
      <c r="C15" s="48">
        <f t="shared" si="0"/>
        <v>0</v>
      </c>
      <c r="D15" s="55" t="s">
        <v>152</v>
      </c>
      <c r="E15" s="164">
        <v>0</v>
      </c>
      <c r="F15" s="56">
        <f t="shared" si="1"/>
        <v>0</v>
      </c>
    </row>
    <row r="16" spans="1:28" ht="14.95" customHeight="1" thickBot="1" x14ac:dyDescent="0.3">
      <c r="A16" s="39" t="s">
        <v>153</v>
      </c>
      <c r="B16" s="161">
        <v>3</v>
      </c>
      <c r="C16" s="48">
        <f t="shared" si="0"/>
        <v>3</v>
      </c>
      <c r="D16" s="55" t="s">
        <v>153</v>
      </c>
      <c r="E16" s="164">
        <v>15</v>
      </c>
      <c r="F16" s="56">
        <f t="shared" si="1"/>
        <v>15</v>
      </c>
    </row>
    <row r="17" spans="1:6" ht="14.95" customHeight="1" thickBot="1" x14ac:dyDescent="0.3">
      <c r="A17" s="39" t="s">
        <v>154</v>
      </c>
      <c r="B17" s="161">
        <v>0</v>
      </c>
      <c r="C17" s="48">
        <f t="shared" si="0"/>
        <v>0</v>
      </c>
      <c r="D17" s="55" t="s">
        <v>154</v>
      </c>
      <c r="E17" s="164">
        <v>0</v>
      </c>
      <c r="F17" s="56">
        <f t="shared" si="1"/>
        <v>0</v>
      </c>
    </row>
    <row r="18" spans="1:6" ht="14.95" customHeight="1" thickBot="1" x14ac:dyDescent="0.3">
      <c r="A18" s="39" t="s">
        <v>155</v>
      </c>
      <c r="B18" s="161">
        <v>0</v>
      </c>
      <c r="C18" s="48">
        <f t="shared" si="0"/>
        <v>0</v>
      </c>
      <c r="D18" s="55" t="s">
        <v>155</v>
      </c>
      <c r="E18" s="164">
        <v>0</v>
      </c>
      <c r="F18" s="56">
        <f t="shared" si="1"/>
        <v>0</v>
      </c>
    </row>
    <row r="19" spans="1:6" ht="14.95" customHeight="1" thickBot="1" x14ac:dyDescent="0.3">
      <c r="A19" s="39" t="s">
        <v>156</v>
      </c>
      <c r="B19" s="161">
        <v>2</v>
      </c>
      <c r="C19" s="48">
        <f t="shared" si="0"/>
        <v>2</v>
      </c>
      <c r="D19" s="55" t="s">
        <v>156</v>
      </c>
      <c r="E19" s="164">
        <v>10</v>
      </c>
      <c r="F19" s="56">
        <f t="shared" si="1"/>
        <v>10</v>
      </c>
    </row>
    <row r="20" spans="1:6" ht="14.95" customHeight="1" thickBot="1" x14ac:dyDescent="0.3">
      <c r="A20" s="39" t="s">
        <v>38</v>
      </c>
      <c r="B20" s="161">
        <v>0</v>
      </c>
      <c r="C20" s="48">
        <f t="shared" si="0"/>
        <v>0</v>
      </c>
      <c r="D20" s="55" t="s">
        <v>38</v>
      </c>
      <c r="E20" s="164">
        <v>44</v>
      </c>
      <c r="F20" s="56">
        <f t="shared" si="1"/>
        <v>44</v>
      </c>
    </row>
    <row r="21" spans="1:6" ht="14.95" customHeight="1" thickBot="1" x14ac:dyDescent="0.3">
      <c r="A21" s="39" t="s">
        <v>157</v>
      </c>
      <c r="B21" s="161">
        <v>1</v>
      </c>
      <c r="C21" s="48">
        <f t="shared" si="0"/>
        <v>1</v>
      </c>
      <c r="D21" s="55" t="s">
        <v>157</v>
      </c>
      <c r="E21" s="164">
        <v>5</v>
      </c>
      <c r="F21" s="56">
        <f t="shared" si="1"/>
        <v>5</v>
      </c>
    </row>
    <row r="22" spans="1:6" ht="14.95" customHeight="1" thickBot="1" x14ac:dyDescent="0.3">
      <c r="A22" s="39" t="s">
        <v>158</v>
      </c>
      <c r="B22" s="161">
        <v>0</v>
      </c>
      <c r="C22" s="48">
        <f t="shared" si="0"/>
        <v>0</v>
      </c>
      <c r="D22" s="55" t="s">
        <v>158</v>
      </c>
      <c r="E22" s="164">
        <v>0</v>
      </c>
      <c r="F22" s="56">
        <f t="shared" si="1"/>
        <v>0</v>
      </c>
    </row>
    <row r="23" spans="1:6" ht="14.95" customHeight="1" thickBot="1" x14ac:dyDescent="0.3">
      <c r="A23" s="39" t="s">
        <v>159</v>
      </c>
      <c r="B23" s="161">
        <v>4</v>
      </c>
      <c r="C23" s="48">
        <f t="shared" si="0"/>
        <v>4</v>
      </c>
      <c r="D23" s="55" t="s">
        <v>159</v>
      </c>
      <c r="E23" s="164">
        <v>36</v>
      </c>
      <c r="F23" s="56">
        <f t="shared" si="1"/>
        <v>36</v>
      </c>
    </row>
    <row r="24" spans="1:6" ht="14.95" customHeight="1" thickBot="1" x14ac:dyDescent="0.3">
      <c r="A24" s="39" t="s">
        <v>160</v>
      </c>
      <c r="B24" s="161">
        <v>1</v>
      </c>
      <c r="C24" s="48">
        <f t="shared" si="0"/>
        <v>1</v>
      </c>
      <c r="D24" s="55" t="s">
        <v>160</v>
      </c>
      <c r="E24" s="164">
        <v>5</v>
      </c>
      <c r="F24" s="56">
        <f t="shared" si="1"/>
        <v>5</v>
      </c>
    </row>
    <row r="25" spans="1:6" ht="14.95" customHeight="1" thickBot="1" x14ac:dyDescent="0.3">
      <c r="A25" s="39" t="s">
        <v>161</v>
      </c>
      <c r="B25" s="161">
        <v>1</v>
      </c>
      <c r="C25" s="48">
        <f t="shared" si="0"/>
        <v>1</v>
      </c>
      <c r="D25" s="55" t="s">
        <v>161</v>
      </c>
      <c r="E25" s="164">
        <v>5</v>
      </c>
      <c r="F25" s="56">
        <f t="shared" si="1"/>
        <v>5</v>
      </c>
    </row>
    <row r="26" spans="1:6" ht="14.95" customHeight="1" thickBot="1" x14ac:dyDescent="0.3">
      <c r="A26" s="39" t="s">
        <v>162</v>
      </c>
      <c r="B26" s="161">
        <v>1</v>
      </c>
      <c r="C26" s="48">
        <f t="shared" si="0"/>
        <v>1</v>
      </c>
      <c r="D26" s="55" t="s">
        <v>162</v>
      </c>
      <c r="E26" s="164">
        <v>5</v>
      </c>
      <c r="F26" s="56">
        <f t="shared" si="1"/>
        <v>5</v>
      </c>
    </row>
    <row r="27" spans="1:6" ht="14.95" customHeight="1" thickBot="1" x14ac:dyDescent="0.3">
      <c r="A27" s="39" t="s">
        <v>163</v>
      </c>
      <c r="B27" s="161">
        <v>0</v>
      </c>
      <c r="C27" s="48">
        <f t="shared" si="0"/>
        <v>0</v>
      </c>
      <c r="D27" s="55" t="s">
        <v>163</v>
      </c>
      <c r="E27" s="164">
        <v>0</v>
      </c>
      <c r="F27" s="56">
        <f t="shared" si="1"/>
        <v>0</v>
      </c>
    </row>
    <row r="28" spans="1:6" ht="14.95" customHeight="1" thickBot="1" x14ac:dyDescent="0.3">
      <c r="A28" s="39" t="s">
        <v>164</v>
      </c>
      <c r="B28" s="161">
        <v>0</v>
      </c>
      <c r="C28" s="48">
        <f t="shared" si="0"/>
        <v>0</v>
      </c>
      <c r="D28" s="55" t="s">
        <v>164</v>
      </c>
      <c r="E28" s="164">
        <v>0</v>
      </c>
      <c r="F28" s="56">
        <f t="shared" si="1"/>
        <v>0</v>
      </c>
    </row>
    <row r="29" spans="1:6" ht="14.95" customHeight="1" thickBot="1" x14ac:dyDescent="0.3">
      <c r="A29" s="39" t="s">
        <v>165</v>
      </c>
      <c r="B29" s="161">
        <v>7</v>
      </c>
      <c r="C29" s="48">
        <f t="shared" si="0"/>
        <v>7</v>
      </c>
      <c r="D29" s="55" t="s">
        <v>165</v>
      </c>
      <c r="E29" s="164">
        <v>35</v>
      </c>
      <c r="F29" s="56">
        <f t="shared" si="1"/>
        <v>35</v>
      </c>
    </row>
    <row r="30" spans="1:6" ht="14.95" customHeight="1" thickBot="1" x14ac:dyDescent="0.3">
      <c r="A30" s="39" t="s">
        <v>166</v>
      </c>
      <c r="B30" s="161">
        <v>0</v>
      </c>
      <c r="C30" s="48">
        <f t="shared" si="0"/>
        <v>0</v>
      </c>
      <c r="D30" s="55" t="s">
        <v>166</v>
      </c>
      <c r="E30" s="164">
        <v>0</v>
      </c>
      <c r="F30" s="56">
        <f t="shared" si="1"/>
        <v>0</v>
      </c>
    </row>
    <row r="31" spans="1:6" ht="14.95" customHeight="1" thickBot="1" x14ac:dyDescent="0.3">
      <c r="A31" s="39" t="s">
        <v>167</v>
      </c>
      <c r="B31" s="161">
        <v>1</v>
      </c>
      <c r="C31" s="48">
        <f t="shared" si="0"/>
        <v>1</v>
      </c>
      <c r="D31" s="55" t="s">
        <v>167</v>
      </c>
      <c r="E31" s="164">
        <v>5</v>
      </c>
      <c r="F31" s="56">
        <f t="shared" si="1"/>
        <v>5</v>
      </c>
    </row>
    <row r="32" spans="1:6" ht="14.95" customHeight="1" thickBot="1" x14ac:dyDescent="0.3">
      <c r="A32" s="39" t="s">
        <v>170</v>
      </c>
      <c r="B32" s="161">
        <v>0</v>
      </c>
      <c r="C32" s="48">
        <f t="shared" si="0"/>
        <v>0</v>
      </c>
      <c r="D32" s="55" t="s">
        <v>170</v>
      </c>
      <c r="E32" s="164">
        <v>0</v>
      </c>
      <c r="F32" s="56">
        <f t="shared" si="1"/>
        <v>0</v>
      </c>
    </row>
    <row r="33" spans="1:6" ht="14.95" customHeight="1" thickBot="1" x14ac:dyDescent="0.3">
      <c r="A33" s="39" t="s">
        <v>168</v>
      </c>
      <c r="B33" s="161">
        <v>3</v>
      </c>
      <c r="C33" s="48">
        <f t="shared" si="0"/>
        <v>3</v>
      </c>
      <c r="D33" s="55" t="s">
        <v>168</v>
      </c>
      <c r="E33" s="164">
        <v>15</v>
      </c>
      <c r="F33" s="56">
        <f t="shared" si="1"/>
        <v>15</v>
      </c>
    </row>
    <row r="34" spans="1:6" ht="14.95" customHeight="1" thickBot="1" x14ac:dyDescent="0.3">
      <c r="A34" s="39" t="s">
        <v>169</v>
      </c>
      <c r="B34" s="161">
        <v>10</v>
      </c>
      <c r="C34" s="48">
        <f t="shared" si="0"/>
        <v>10</v>
      </c>
      <c r="D34" s="55" t="s">
        <v>169</v>
      </c>
      <c r="E34" s="164">
        <v>50</v>
      </c>
      <c r="F34" s="56">
        <f t="shared" si="1"/>
        <v>50</v>
      </c>
    </row>
    <row r="35" spans="1:6" ht="14.95" customHeight="1" thickBot="1" x14ac:dyDescent="0.3">
      <c r="A35" s="39" t="s">
        <v>171</v>
      </c>
      <c r="B35" s="161">
        <v>5</v>
      </c>
      <c r="C35" s="48">
        <f t="shared" ref="C35:C54" si="7">SUM(B35:B35)</f>
        <v>5</v>
      </c>
      <c r="D35" s="55" t="s">
        <v>171</v>
      </c>
      <c r="E35" s="164">
        <v>25</v>
      </c>
      <c r="F35" s="56">
        <f t="shared" ref="F35:F54" si="8">SUM(E35:E35)</f>
        <v>25</v>
      </c>
    </row>
    <row r="36" spans="1:6" ht="14.95" customHeight="1" thickBot="1" x14ac:dyDescent="0.3">
      <c r="A36" s="39" t="s">
        <v>172</v>
      </c>
      <c r="B36" s="161">
        <v>0</v>
      </c>
      <c r="C36" s="48">
        <f t="shared" si="7"/>
        <v>0</v>
      </c>
      <c r="D36" s="55" t="s">
        <v>172</v>
      </c>
      <c r="E36" s="164">
        <v>0</v>
      </c>
      <c r="F36" s="56">
        <f t="shared" si="8"/>
        <v>0</v>
      </c>
    </row>
    <row r="37" spans="1:6" ht="14.95" customHeight="1" thickBot="1" x14ac:dyDescent="0.3">
      <c r="A37" s="39" t="s">
        <v>173</v>
      </c>
      <c r="B37" s="161">
        <v>0</v>
      </c>
      <c r="C37" s="48">
        <f t="shared" si="7"/>
        <v>0</v>
      </c>
      <c r="D37" s="55" t="s">
        <v>173</v>
      </c>
      <c r="E37" s="164">
        <v>0</v>
      </c>
      <c r="F37" s="56">
        <f t="shared" si="8"/>
        <v>0</v>
      </c>
    </row>
    <row r="38" spans="1:6" ht="14.95" customHeight="1" thickBot="1" x14ac:dyDescent="0.3">
      <c r="A38" s="39" t="s">
        <v>174</v>
      </c>
      <c r="B38" s="161">
        <v>0</v>
      </c>
      <c r="C38" s="48">
        <f t="shared" si="7"/>
        <v>0</v>
      </c>
      <c r="D38" s="55" t="s">
        <v>174</v>
      </c>
      <c r="E38" s="164">
        <v>0</v>
      </c>
      <c r="F38" s="56">
        <f t="shared" si="8"/>
        <v>0</v>
      </c>
    </row>
    <row r="39" spans="1:6" ht="14.95" customHeight="1" thickBot="1" x14ac:dyDescent="0.3">
      <c r="A39" s="39" t="s">
        <v>175</v>
      </c>
      <c r="B39" s="161">
        <v>5</v>
      </c>
      <c r="C39" s="48">
        <f t="shared" si="7"/>
        <v>5</v>
      </c>
      <c r="D39" s="55" t="s">
        <v>175</v>
      </c>
      <c r="E39" s="164">
        <v>25</v>
      </c>
      <c r="F39" s="56">
        <f t="shared" si="8"/>
        <v>25</v>
      </c>
    </row>
    <row r="40" spans="1:6" ht="14.95" customHeight="1" thickBot="1" x14ac:dyDescent="0.3">
      <c r="A40" s="39" t="s">
        <v>176</v>
      </c>
      <c r="B40" s="161">
        <v>0</v>
      </c>
      <c r="C40" s="48">
        <f t="shared" si="7"/>
        <v>0</v>
      </c>
      <c r="D40" s="55" t="s">
        <v>176</v>
      </c>
      <c r="E40" s="164">
        <v>0</v>
      </c>
      <c r="F40" s="56">
        <f t="shared" si="8"/>
        <v>0</v>
      </c>
    </row>
    <row r="41" spans="1:6" ht="14.95" customHeight="1" thickBot="1" x14ac:dyDescent="0.3">
      <c r="A41" s="39" t="s">
        <v>177</v>
      </c>
      <c r="B41" s="161">
        <v>1</v>
      </c>
      <c r="C41" s="48">
        <f t="shared" si="7"/>
        <v>1</v>
      </c>
      <c r="D41" s="55" t="s">
        <v>177</v>
      </c>
      <c r="E41" s="164">
        <v>5</v>
      </c>
      <c r="F41" s="56">
        <f t="shared" si="8"/>
        <v>5</v>
      </c>
    </row>
    <row r="42" spans="1:6" ht="14.95" customHeight="1" thickBot="1" x14ac:dyDescent="0.3">
      <c r="A42" s="39" t="s">
        <v>178</v>
      </c>
      <c r="B42" s="161">
        <v>11</v>
      </c>
      <c r="C42" s="48">
        <f t="shared" si="7"/>
        <v>11</v>
      </c>
      <c r="D42" s="55" t="s">
        <v>178</v>
      </c>
      <c r="E42" s="164">
        <v>55</v>
      </c>
      <c r="F42" s="56">
        <f t="shared" si="8"/>
        <v>55</v>
      </c>
    </row>
    <row r="43" spans="1:6" ht="14.95" customHeight="1" thickBot="1" x14ac:dyDescent="0.3">
      <c r="A43" s="39" t="s">
        <v>179</v>
      </c>
      <c r="B43" s="161">
        <v>0</v>
      </c>
      <c r="C43" s="48">
        <f t="shared" si="7"/>
        <v>0</v>
      </c>
      <c r="D43" s="55" t="s">
        <v>179</v>
      </c>
      <c r="E43" s="164">
        <v>0</v>
      </c>
      <c r="F43" s="56">
        <f t="shared" si="8"/>
        <v>0</v>
      </c>
    </row>
    <row r="44" spans="1:6" ht="14.95" customHeight="1" thickBot="1" x14ac:dyDescent="0.3">
      <c r="A44" s="39" t="s">
        <v>180</v>
      </c>
      <c r="B44" s="161">
        <v>2</v>
      </c>
      <c r="C44" s="48">
        <f t="shared" si="7"/>
        <v>2</v>
      </c>
      <c r="D44" s="55" t="s">
        <v>180</v>
      </c>
      <c r="E44" s="164">
        <v>10</v>
      </c>
      <c r="F44" s="56">
        <f t="shared" si="8"/>
        <v>10</v>
      </c>
    </row>
    <row r="45" spans="1:6" ht="14.95" thickBot="1" x14ac:dyDescent="0.3">
      <c r="A45" s="39" t="s">
        <v>181</v>
      </c>
      <c r="B45" s="161">
        <v>0</v>
      </c>
      <c r="C45" s="48">
        <f t="shared" si="7"/>
        <v>0</v>
      </c>
      <c r="D45" s="55" t="s">
        <v>181</v>
      </c>
      <c r="E45" s="164">
        <v>0</v>
      </c>
      <c r="F45" s="56">
        <f t="shared" si="8"/>
        <v>0</v>
      </c>
    </row>
    <row r="46" spans="1:6" ht="14.95" thickBot="1" x14ac:dyDescent="0.3">
      <c r="A46" s="39" t="s">
        <v>182</v>
      </c>
      <c r="B46" s="161">
        <v>2</v>
      </c>
      <c r="C46" s="48">
        <f t="shared" si="7"/>
        <v>2</v>
      </c>
      <c r="D46" s="55" t="s">
        <v>182</v>
      </c>
      <c r="E46" s="164">
        <v>10</v>
      </c>
      <c r="F46" s="56">
        <f t="shared" si="8"/>
        <v>10</v>
      </c>
    </row>
    <row r="47" spans="1:6" ht="14.95" customHeight="1" thickBot="1" x14ac:dyDescent="0.3">
      <c r="A47" s="39" t="s">
        <v>183</v>
      </c>
      <c r="B47" s="161">
        <v>0</v>
      </c>
      <c r="C47" s="48">
        <f t="shared" si="7"/>
        <v>0</v>
      </c>
      <c r="D47" s="55" t="s">
        <v>183</v>
      </c>
      <c r="E47" s="164">
        <v>0</v>
      </c>
      <c r="F47" s="56">
        <f t="shared" si="8"/>
        <v>0</v>
      </c>
    </row>
    <row r="48" spans="1:6" ht="14.95" customHeight="1" thickBot="1" x14ac:dyDescent="0.3">
      <c r="A48" s="39" t="s">
        <v>184</v>
      </c>
      <c r="B48" s="161">
        <v>0</v>
      </c>
      <c r="C48" s="48">
        <f t="shared" si="7"/>
        <v>0</v>
      </c>
      <c r="D48" s="55" t="s">
        <v>184</v>
      </c>
      <c r="E48" s="164">
        <v>0</v>
      </c>
      <c r="F48" s="56">
        <f t="shared" si="8"/>
        <v>0</v>
      </c>
    </row>
    <row r="49" spans="1:6" ht="14.95" customHeight="1" thickBot="1" x14ac:dyDescent="0.3">
      <c r="A49" s="39" t="s">
        <v>185</v>
      </c>
      <c r="B49" s="161">
        <v>4</v>
      </c>
      <c r="C49" s="48">
        <f t="shared" si="7"/>
        <v>4</v>
      </c>
      <c r="D49" s="55" t="s">
        <v>185</v>
      </c>
      <c r="E49" s="164">
        <v>20</v>
      </c>
      <c r="F49" s="56">
        <f t="shared" si="8"/>
        <v>20</v>
      </c>
    </row>
    <row r="50" spans="1:6" ht="14.95" customHeight="1" thickBot="1" x14ac:dyDescent="0.3">
      <c r="A50" s="39" t="s">
        <v>4</v>
      </c>
      <c r="B50" s="161">
        <v>3</v>
      </c>
      <c r="C50" s="48">
        <f t="shared" si="7"/>
        <v>3</v>
      </c>
      <c r="D50" s="55" t="s">
        <v>4</v>
      </c>
      <c r="E50" s="164">
        <v>21</v>
      </c>
      <c r="F50" s="56">
        <f t="shared" si="8"/>
        <v>21</v>
      </c>
    </row>
    <row r="51" spans="1:6" ht="14.95" customHeight="1" thickBot="1" x14ac:dyDescent="0.3">
      <c r="A51" s="39" t="s">
        <v>186</v>
      </c>
      <c r="B51" s="161">
        <v>0</v>
      </c>
      <c r="C51" s="48">
        <f t="shared" si="7"/>
        <v>0</v>
      </c>
      <c r="D51" s="55" t="s">
        <v>186</v>
      </c>
      <c r="E51" s="164">
        <v>0</v>
      </c>
      <c r="F51" s="56">
        <f t="shared" si="8"/>
        <v>0</v>
      </c>
    </row>
    <row r="52" spans="1:6" ht="14.95" thickBot="1" x14ac:dyDescent="0.3">
      <c r="A52" s="39" t="s">
        <v>187</v>
      </c>
      <c r="B52" s="161">
        <v>0</v>
      </c>
      <c r="C52" s="48">
        <f t="shared" si="7"/>
        <v>0</v>
      </c>
      <c r="D52" s="55" t="s">
        <v>187</v>
      </c>
      <c r="E52" s="164">
        <v>0</v>
      </c>
      <c r="F52" s="56">
        <f t="shared" si="8"/>
        <v>0</v>
      </c>
    </row>
    <row r="53" spans="1:6" ht="14.95" thickBot="1" x14ac:dyDescent="0.3">
      <c r="A53" s="39" t="s">
        <v>78</v>
      </c>
      <c r="B53" s="161">
        <v>7</v>
      </c>
      <c r="C53" s="48">
        <f t="shared" si="7"/>
        <v>7</v>
      </c>
      <c r="D53" s="55" t="s">
        <v>78</v>
      </c>
      <c r="E53" s="164">
        <v>35</v>
      </c>
      <c r="F53" s="56">
        <f t="shared" si="8"/>
        <v>35</v>
      </c>
    </row>
    <row r="54" spans="1:6" ht="14.95" thickBot="1" x14ac:dyDescent="0.3">
      <c r="A54" s="39" t="s">
        <v>188</v>
      </c>
      <c r="B54" s="161">
        <v>0</v>
      </c>
      <c r="C54" s="48">
        <f t="shared" si="7"/>
        <v>0</v>
      </c>
      <c r="D54" s="55" t="s">
        <v>188</v>
      </c>
      <c r="E54" s="164">
        <v>0</v>
      </c>
      <c r="F54" s="56">
        <f t="shared" si="8"/>
        <v>0</v>
      </c>
    </row>
    <row r="55" spans="1:6" ht="14.95" thickBot="1" x14ac:dyDescent="0.3">
      <c r="A55" s="39" t="s">
        <v>126</v>
      </c>
      <c r="B55" s="161">
        <v>0</v>
      </c>
      <c r="C55" s="48">
        <f t="shared" ref="C55:C65" si="9">SUM(B55:B55)</f>
        <v>0</v>
      </c>
      <c r="D55" s="55" t="s">
        <v>126</v>
      </c>
      <c r="E55" s="164">
        <v>0</v>
      </c>
      <c r="F55" s="56">
        <f t="shared" ref="F55:F65" si="10">SUM(E55:E55)</f>
        <v>0</v>
      </c>
    </row>
    <row r="56" spans="1:6" ht="14.95" thickBot="1" x14ac:dyDescent="0.3">
      <c r="A56" s="39" t="s">
        <v>189</v>
      </c>
      <c r="B56" s="161">
        <v>15</v>
      </c>
      <c r="C56" s="48">
        <f t="shared" si="9"/>
        <v>15</v>
      </c>
      <c r="D56" s="55" t="s">
        <v>189</v>
      </c>
      <c r="E56" s="164">
        <v>77</v>
      </c>
      <c r="F56" s="56">
        <f t="shared" si="10"/>
        <v>77</v>
      </c>
    </row>
    <row r="57" spans="1:6" ht="14.95" thickBot="1" x14ac:dyDescent="0.3">
      <c r="A57" s="39" t="s">
        <v>190</v>
      </c>
      <c r="B57" s="161">
        <v>0</v>
      </c>
      <c r="C57" s="48">
        <f t="shared" si="9"/>
        <v>0</v>
      </c>
      <c r="D57" s="55" t="s">
        <v>190</v>
      </c>
      <c r="E57" s="164">
        <v>0</v>
      </c>
      <c r="F57" s="56">
        <f t="shared" si="10"/>
        <v>0</v>
      </c>
    </row>
    <row r="58" spans="1:6" ht="14.95" thickBot="1" x14ac:dyDescent="0.3">
      <c r="A58" s="39" t="s">
        <v>191</v>
      </c>
      <c r="B58" s="161">
        <v>0</v>
      </c>
      <c r="C58" s="48">
        <f t="shared" si="9"/>
        <v>0</v>
      </c>
      <c r="D58" s="55" t="s">
        <v>191</v>
      </c>
      <c r="E58" s="164">
        <v>0</v>
      </c>
      <c r="F58" s="56">
        <f t="shared" si="10"/>
        <v>0</v>
      </c>
    </row>
    <row r="59" spans="1:6" ht="14.95" thickBot="1" x14ac:dyDescent="0.3">
      <c r="A59" s="39" t="s">
        <v>192</v>
      </c>
      <c r="B59" s="161">
        <v>0</v>
      </c>
      <c r="C59" s="48">
        <f t="shared" si="9"/>
        <v>0</v>
      </c>
      <c r="D59" s="55" t="s">
        <v>192</v>
      </c>
      <c r="E59" s="164">
        <v>0</v>
      </c>
      <c r="F59" s="56">
        <f t="shared" si="10"/>
        <v>0</v>
      </c>
    </row>
    <row r="60" spans="1:6" ht="14.95" thickBot="1" x14ac:dyDescent="0.3">
      <c r="A60" s="39" t="s">
        <v>193</v>
      </c>
      <c r="B60" s="161">
        <v>6</v>
      </c>
      <c r="C60" s="48">
        <f t="shared" si="9"/>
        <v>6</v>
      </c>
      <c r="D60" s="55" t="s">
        <v>193</v>
      </c>
      <c r="E60" s="164">
        <v>111</v>
      </c>
      <c r="F60" s="56">
        <f t="shared" si="10"/>
        <v>111</v>
      </c>
    </row>
    <row r="61" spans="1:6" ht="14.95" thickBot="1" x14ac:dyDescent="0.3">
      <c r="A61" s="39" t="s">
        <v>83</v>
      </c>
      <c r="B61" s="161">
        <v>0</v>
      </c>
      <c r="C61" s="48">
        <f t="shared" si="9"/>
        <v>0</v>
      </c>
      <c r="D61" s="55" t="s">
        <v>83</v>
      </c>
      <c r="E61" s="164">
        <v>0</v>
      </c>
      <c r="F61" s="56">
        <f t="shared" si="10"/>
        <v>0</v>
      </c>
    </row>
    <row r="62" spans="1:6" ht="14.95" thickBot="1" x14ac:dyDescent="0.3">
      <c r="A62" s="39" t="s">
        <v>194</v>
      </c>
      <c r="B62" s="161">
        <v>1</v>
      </c>
      <c r="C62" s="48">
        <f t="shared" si="9"/>
        <v>1</v>
      </c>
      <c r="D62" s="55" t="s">
        <v>194</v>
      </c>
      <c r="E62" s="164">
        <v>5</v>
      </c>
      <c r="F62" s="56">
        <f t="shared" si="10"/>
        <v>5</v>
      </c>
    </row>
    <row r="63" spans="1:6" ht="14.95" thickBot="1" x14ac:dyDescent="0.3">
      <c r="A63" s="39" t="s">
        <v>195</v>
      </c>
      <c r="B63" s="161">
        <v>5</v>
      </c>
      <c r="C63" s="48">
        <f t="shared" si="9"/>
        <v>5</v>
      </c>
      <c r="D63" s="55" t="s">
        <v>195</v>
      </c>
      <c r="E63" s="164">
        <v>25</v>
      </c>
      <c r="F63" s="56">
        <f t="shared" si="10"/>
        <v>25</v>
      </c>
    </row>
    <row r="64" spans="1:6" ht="14.95" thickBot="1" x14ac:dyDescent="0.3">
      <c r="A64" s="39" t="s">
        <v>196</v>
      </c>
      <c r="B64" s="161">
        <v>5</v>
      </c>
      <c r="C64" s="48">
        <f t="shared" si="9"/>
        <v>5</v>
      </c>
      <c r="D64" s="55" t="s">
        <v>196</v>
      </c>
      <c r="E64" s="164">
        <v>25</v>
      </c>
      <c r="F64" s="56">
        <f t="shared" si="10"/>
        <v>25</v>
      </c>
    </row>
    <row r="65" spans="1:6" ht="14.95" thickBot="1" x14ac:dyDescent="0.3">
      <c r="A65" s="39" t="s">
        <v>15</v>
      </c>
      <c r="B65" s="161">
        <v>0</v>
      </c>
      <c r="C65" s="48">
        <f t="shared" si="9"/>
        <v>0</v>
      </c>
      <c r="D65" s="55" t="s">
        <v>15</v>
      </c>
      <c r="E65" s="164">
        <v>0</v>
      </c>
      <c r="F65" s="56">
        <f t="shared" si="10"/>
        <v>0</v>
      </c>
    </row>
    <row r="66" spans="1:6" ht="14.95" customHeight="1" thickBot="1" x14ac:dyDescent="0.3">
      <c r="A66" s="39" t="s">
        <v>5</v>
      </c>
      <c r="B66" s="161">
        <v>0</v>
      </c>
      <c r="C66" s="48">
        <f>SUM(B66:B66)</f>
        <v>0</v>
      </c>
      <c r="D66" s="55" t="s">
        <v>5</v>
      </c>
      <c r="E66" s="164">
        <v>0</v>
      </c>
      <c r="F66" s="56">
        <f>SUM(E66:E66)</f>
        <v>0</v>
      </c>
    </row>
    <row r="67" spans="1:6" ht="14.8" customHeight="1" thickBot="1" x14ac:dyDescent="0.3">
      <c r="A67" s="39" t="s">
        <v>3</v>
      </c>
      <c r="B67" s="161">
        <f>SUM(B3:B66)</f>
        <v>130</v>
      </c>
      <c r="C67" s="48">
        <f>SUM(B67:B67)</f>
        <v>130</v>
      </c>
      <c r="D67" s="55" t="s">
        <v>3</v>
      </c>
      <c r="E67" s="164">
        <f>SUM(E3:E66)</f>
        <v>799</v>
      </c>
      <c r="F67" s="56">
        <f>SUM(E67:E67)</f>
        <v>799</v>
      </c>
    </row>
    <row r="68" spans="1:6" ht="14.8" customHeight="1" x14ac:dyDescent="0.25">
      <c r="A68" s="167"/>
      <c r="B68" s="168"/>
      <c r="C68" s="168"/>
      <c r="D68" s="168"/>
      <c r="E68" s="168"/>
      <c r="F68" s="33"/>
    </row>
    <row r="69" spans="1:6" ht="14.95" customHeight="1" thickBot="1" x14ac:dyDescent="0.3">
      <c r="A69" t="s">
        <v>10</v>
      </c>
      <c r="B69" s="79"/>
      <c r="C69" s="41"/>
      <c r="D69" s="29"/>
      <c r="E69" s="80"/>
      <c r="F69" s="123"/>
    </row>
    <row r="70" spans="1:6" ht="14.95" customHeight="1" thickBot="1" x14ac:dyDescent="0.3">
      <c r="A70" s="73" t="s">
        <v>0</v>
      </c>
      <c r="B70" s="162" t="s">
        <v>47</v>
      </c>
      <c r="C70" s="74" t="s">
        <v>1</v>
      </c>
      <c r="D70" s="75" t="s">
        <v>2</v>
      </c>
      <c r="E70" s="163" t="s">
        <v>47</v>
      </c>
      <c r="F70" s="70" t="s">
        <v>1</v>
      </c>
    </row>
    <row r="71" spans="1:6" ht="14.95" thickBot="1" x14ac:dyDescent="0.3">
      <c r="A71" s="39" t="s">
        <v>189</v>
      </c>
      <c r="B71" s="161">
        <v>15</v>
      </c>
      <c r="C71" s="48">
        <f t="shared" ref="C71:C102" si="11">SUM(B71:B71)</f>
        <v>15</v>
      </c>
      <c r="D71" s="55" t="s">
        <v>193</v>
      </c>
      <c r="E71" s="164">
        <v>111</v>
      </c>
      <c r="F71" s="56">
        <f t="shared" ref="F71:F102" si="12">SUM(E71:E71)</f>
        <v>111</v>
      </c>
    </row>
    <row r="72" spans="1:6" ht="14.95" thickBot="1" x14ac:dyDescent="0.3">
      <c r="A72" s="39" t="s">
        <v>178</v>
      </c>
      <c r="B72" s="161">
        <v>11</v>
      </c>
      <c r="C72" s="48">
        <f t="shared" si="11"/>
        <v>11</v>
      </c>
      <c r="D72" s="55" t="s">
        <v>189</v>
      </c>
      <c r="E72" s="164">
        <v>77</v>
      </c>
      <c r="F72" s="56">
        <f t="shared" si="12"/>
        <v>77</v>
      </c>
    </row>
    <row r="73" spans="1:6" ht="14.95" thickBot="1" x14ac:dyDescent="0.3">
      <c r="A73" s="39" t="s">
        <v>143</v>
      </c>
      <c r="B73" s="161">
        <v>10</v>
      </c>
      <c r="C73" s="48">
        <f t="shared" si="11"/>
        <v>10</v>
      </c>
      <c r="D73" s="54" t="s">
        <v>178</v>
      </c>
      <c r="E73" s="164">
        <v>55</v>
      </c>
      <c r="F73" s="56">
        <f t="shared" si="12"/>
        <v>55</v>
      </c>
    </row>
    <row r="74" spans="1:6" ht="14.95" thickBot="1" x14ac:dyDescent="0.3">
      <c r="A74" s="39" t="s">
        <v>169</v>
      </c>
      <c r="B74" s="161">
        <v>10</v>
      </c>
      <c r="C74" s="48">
        <f t="shared" si="11"/>
        <v>10</v>
      </c>
      <c r="D74" s="54" t="s">
        <v>143</v>
      </c>
      <c r="E74" s="164">
        <v>50</v>
      </c>
      <c r="F74" s="56">
        <f t="shared" si="12"/>
        <v>50</v>
      </c>
    </row>
    <row r="75" spans="1:6" ht="14.95" thickBot="1" x14ac:dyDescent="0.3">
      <c r="A75" s="39" t="s">
        <v>145</v>
      </c>
      <c r="B75" s="161">
        <v>9</v>
      </c>
      <c r="C75" s="48">
        <f t="shared" si="11"/>
        <v>9</v>
      </c>
      <c r="D75" s="54" t="s">
        <v>169</v>
      </c>
      <c r="E75" s="164">
        <v>50</v>
      </c>
      <c r="F75" s="56">
        <f t="shared" si="12"/>
        <v>50</v>
      </c>
    </row>
    <row r="76" spans="1:6" ht="14.95" thickBot="1" x14ac:dyDescent="0.3">
      <c r="A76" s="39" t="s">
        <v>165</v>
      </c>
      <c r="B76" s="161">
        <v>7</v>
      </c>
      <c r="C76" s="48">
        <f t="shared" si="11"/>
        <v>7</v>
      </c>
      <c r="D76" s="54" t="s">
        <v>145</v>
      </c>
      <c r="E76" s="164">
        <v>45</v>
      </c>
      <c r="F76" s="56">
        <f t="shared" si="12"/>
        <v>45</v>
      </c>
    </row>
    <row r="77" spans="1:6" ht="14.95" thickBot="1" x14ac:dyDescent="0.3">
      <c r="A77" s="39" t="s">
        <v>78</v>
      </c>
      <c r="B77" s="161">
        <v>7</v>
      </c>
      <c r="C77" s="48">
        <f t="shared" si="11"/>
        <v>7</v>
      </c>
      <c r="D77" s="54" t="s">
        <v>38</v>
      </c>
      <c r="E77" s="164">
        <v>44</v>
      </c>
      <c r="F77" s="56">
        <f t="shared" si="12"/>
        <v>44</v>
      </c>
    </row>
    <row r="78" spans="1:6" ht="14.95" thickBot="1" x14ac:dyDescent="0.3">
      <c r="A78" s="39" t="s">
        <v>193</v>
      </c>
      <c r="B78" s="161">
        <v>6</v>
      </c>
      <c r="C78" s="48">
        <f t="shared" si="11"/>
        <v>6</v>
      </c>
      <c r="D78" s="55" t="s">
        <v>159</v>
      </c>
      <c r="E78" s="164">
        <v>36</v>
      </c>
      <c r="F78" s="56">
        <f t="shared" si="12"/>
        <v>36</v>
      </c>
    </row>
    <row r="79" spans="1:6" ht="14.95" thickBot="1" x14ac:dyDescent="0.3">
      <c r="A79" s="39" t="s">
        <v>171</v>
      </c>
      <c r="B79" s="161">
        <v>5</v>
      </c>
      <c r="C79" s="48">
        <f t="shared" si="11"/>
        <v>5</v>
      </c>
      <c r="D79" s="55" t="s">
        <v>165</v>
      </c>
      <c r="E79" s="164">
        <v>35</v>
      </c>
      <c r="F79" s="56">
        <f t="shared" si="12"/>
        <v>35</v>
      </c>
    </row>
    <row r="80" spans="1:6" ht="14.95" thickBot="1" x14ac:dyDescent="0.3">
      <c r="A80" s="39" t="s">
        <v>175</v>
      </c>
      <c r="B80" s="161">
        <v>5</v>
      </c>
      <c r="C80" s="48">
        <f t="shared" si="11"/>
        <v>5</v>
      </c>
      <c r="D80" s="55" t="s">
        <v>78</v>
      </c>
      <c r="E80" s="164">
        <v>35</v>
      </c>
      <c r="F80" s="56">
        <f t="shared" si="12"/>
        <v>35</v>
      </c>
    </row>
    <row r="81" spans="1:6" ht="14.95" thickBot="1" x14ac:dyDescent="0.3">
      <c r="A81" s="39" t="s">
        <v>195</v>
      </c>
      <c r="B81" s="161">
        <v>5</v>
      </c>
      <c r="C81" s="48">
        <f t="shared" si="11"/>
        <v>5</v>
      </c>
      <c r="D81" s="55" t="s">
        <v>171</v>
      </c>
      <c r="E81" s="164">
        <v>25</v>
      </c>
      <c r="F81" s="56">
        <f t="shared" si="12"/>
        <v>25</v>
      </c>
    </row>
    <row r="82" spans="1:6" ht="14.95" thickBot="1" x14ac:dyDescent="0.3">
      <c r="A82" s="39" t="s">
        <v>196</v>
      </c>
      <c r="B82" s="161">
        <v>5</v>
      </c>
      <c r="C82" s="48">
        <f t="shared" si="11"/>
        <v>5</v>
      </c>
      <c r="D82" s="55" t="s">
        <v>175</v>
      </c>
      <c r="E82" s="164">
        <v>25</v>
      </c>
      <c r="F82" s="56">
        <f t="shared" si="12"/>
        <v>25</v>
      </c>
    </row>
    <row r="83" spans="1:6" ht="14.95" thickBot="1" x14ac:dyDescent="0.3">
      <c r="A83" s="39" t="s">
        <v>141</v>
      </c>
      <c r="B83" s="161">
        <v>4</v>
      </c>
      <c r="C83" s="48">
        <f t="shared" si="11"/>
        <v>4</v>
      </c>
      <c r="D83" s="55" t="s">
        <v>195</v>
      </c>
      <c r="E83" s="164">
        <v>25</v>
      </c>
      <c r="F83" s="56">
        <f t="shared" si="12"/>
        <v>25</v>
      </c>
    </row>
    <row r="84" spans="1:6" ht="14.95" thickBot="1" x14ac:dyDescent="0.3">
      <c r="A84" s="39" t="s">
        <v>159</v>
      </c>
      <c r="B84" s="161">
        <v>4</v>
      </c>
      <c r="C84" s="48">
        <f t="shared" si="11"/>
        <v>4</v>
      </c>
      <c r="D84" s="55" t="s">
        <v>196</v>
      </c>
      <c r="E84" s="164">
        <v>25</v>
      </c>
      <c r="F84" s="56">
        <f t="shared" si="12"/>
        <v>25</v>
      </c>
    </row>
    <row r="85" spans="1:6" ht="14.95" thickBot="1" x14ac:dyDescent="0.3">
      <c r="A85" s="39" t="s">
        <v>185</v>
      </c>
      <c r="B85" s="161">
        <v>4</v>
      </c>
      <c r="C85" s="48">
        <f t="shared" si="11"/>
        <v>4</v>
      </c>
      <c r="D85" s="55" t="s">
        <v>4</v>
      </c>
      <c r="E85" s="164">
        <v>21</v>
      </c>
      <c r="F85" s="56">
        <f t="shared" si="12"/>
        <v>21</v>
      </c>
    </row>
    <row r="86" spans="1:6" ht="14.95" thickBot="1" x14ac:dyDescent="0.3">
      <c r="A86" s="39" t="s">
        <v>153</v>
      </c>
      <c r="B86" s="161">
        <v>3</v>
      </c>
      <c r="C86" s="48">
        <f t="shared" si="11"/>
        <v>3</v>
      </c>
      <c r="D86" s="55" t="s">
        <v>141</v>
      </c>
      <c r="E86" s="164">
        <v>20</v>
      </c>
      <c r="F86" s="56">
        <f t="shared" si="12"/>
        <v>20</v>
      </c>
    </row>
    <row r="87" spans="1:6" ht="14.95" thickBot="1" x14ac:dyDescent="0.3">
      <c r="A87" s="39" t="s">
        <v>168</v>
      </c>
      <c r="B87" s="161">
        <v>3</v>
      </c>
      <c r="C87" s="48">
        <f t="shared" si="11"/>
        <v>3</v>
      </c>
      <c r="D87" s="55" t="s">
        <v>185</v>
      </c>
      <c r="E87" s="164">
        <v>20</v>
      </c>
      <c r="F87" s="56">
        <f t="shared" si="12"/>
        <v>20</v>
      </c>
    </row>
    <row r="88" spans="1:6" ht="14.95" thickBot="1" x14ac:dyDescent="0.3">
      <c r="A88" s="39" t="s">
        <v>4</v>
      </c>
      <c r="B88" s="161">
        <v>3</v>
      </c>
      <c r="C88" s="48">
        <f t="shared" si="11"/>
        <v>3</v>
      </c>
      <c r="D88" s="55" t="s">
        <v>153</v>
      </c>
      <c r="E88" s="164">
        <v>15</v>
      </c>
      <c r="F88" s="56">
        <f t="shared" si="12"/>
        <v>15</v>
      </c>
    </row>
    <row r="89" spans="1:6" ht="14.95" thickBot="1" x14ac:dyDescent="0.3">
      <c r="A89" s="39" t="s">
        <v>156</v>
      </c>
      <c r="B89" s="161">
        <v>2</v>
      </c>
      <c r="C89" s="48">
        <f t="shared" si="11"/>
        <v>2</v>
      </c>
      <c r="D89" s="55" t="s">
        <v>168</v>
      </c>
      <c r="E89" s="164">
        <v>15</v>
      </c>
      <c r="F89" s="56">
        <f t="shared" si="12"/>
        <v>15</v>
      </c>
    </row>
    <row r="90" spans="1:6" ht="14.95" thickBot="1" x14ac:dyDescent="0.3">
      <c r="A90" s="39" t="s">
        <v>180</v>
      </c>
      <c r="B90" s="161">
        <v>2</v>
      </c>
      <c r="C90" s="48">
        <f t="shared" si="11"/>
        <v>2</v>
      </c>
      <c r="D90" s="55" t="s">
        <v>156</v>
      </c>
      <c r="E90" s="164">
        <v>10</v>
      </c>
      <c r="F90" s="56">
        <f t="shared" si="12"/>
        <v>10</v>
      </c>
    </row>
    <row r="91" spans="1:6" ht="14.95" thickBot="1" x14ac:dyDescent="0.3">
      <c r="A91" s="39" t="s">
        <v>182</v>
      </c>
      <c r="B91" s="161">
        <v>2</v>
      </c>
      <c r="C91" s="48">
        <f t="shared" si="11"/>
        <v>2</v>
      </c>
      <c r="D91" s="55" t="s">
        <v>180</v>
      </c>
      <c r="E91" s="164">
        <v>10</v>
      </c>
      <c r="F91" s="56">
        <f t="shared" si="12"/>
        <v>10</v>
      </c>
    </row>
    <row r="92" spans="1:6" ht="14.95" thickBot="1" x14ac:dyDescent="0.3">
      <c r="A92" s="39" t="s">
        <v>144</v>
      </c>
      <c r="B92" s="161">
        <v>1</v>
      </c>
      <c r="C92" s="48">
        <f t="shared" si="11"/>
        <v>1</v>
      </c>
      <c r="D92" s="55" t="s">
        <v>182</v>
      </c>
      <c r="E92" s="164">
        <v>10</v>
      </c>
      <c r="F92" s="56">
        <f t="shared" si="12"/>
        <v>10</v>
      </c>
    </row>
    <row r="93" spans="1:6" ht="14.95" thickBot="1" x14ac:dyDescent="0.3">
      <c r="A93" s="39" t="s">
        <v>157</v>
      </c>
      <c r="B93" s="161">
        <v>1</v>
      </c>
      <c r="C93" s="48">
        <f t="shared" si="11"/>
        <v>1</v>
      </c>
      <c r="D93" s="55" t="s">
        <v>144</v>
      </c>
      <c r="E93" s="164">
        <v>5</v>
      </c>
      <c r="F93" s="56">
        <f t="shared" si="12"/>
        <v>5</v>
      </c>
    </row>
    <row r="94" spans="1:6" ht="14.95" thickBot="1" x14ac:dyDescent="0.3">
      <c r="A94" s="39" t="s">
        <v>160</v>
      </c>
      <c r="B94" s="161">
        <v>1</v>
      </c>
      <c r="C94" s="48">
        <f t="shared" si="11"/>
        <v>1</v>
      </c>
      <c r="D94" s="55" t="s">
        <v>157</v>
      </c>
      <c r="E94" s="164">
        <v>5</v>
      </c>
      <c r="F94" s="56">
        <f t="shared" si="12"/>
        <v>5</v>
      </c>
    </row>
    <row r="95" spans="1:6" ht="14.95" thickBot="1" x14ac:dyDescent="0.3">
      <c r="A95" s="39" t="s">
        <v>161</v>
      </c>
      <c r="B95" s="161">
        <v>1</v>
      </c>
      <c r="C95" s="48">
        <f t="shared" si="11"/>
        <v>1</v>
      </c>
      <c r="D95" s="55" t="s">
        <v>160</v>
      </c>
      <c r="E95" s="164">
        <v>5</v>
      </c>
      <c r="F95" s="56">
        <f t="shared" si="12"/>
        <v>5</v>
      </c>
    </row>
    <row r="96" spans="1:6" ht="14.95" thickBot="1" x14ac:dyDescent="0.3">
      <c r="A96" s="39" t="s">
        <v>162</v>
      </c>
      <c r="B96" s="161">
        <v>1</v>
      </c>
      <c r="C96" s="48">
        <f t="shared" si="11"/>
        <v>1</v>
      </c>
      <c r="D96" s="55" t="s">
        <v>161</v>
      </c>
      <c r="E96" s="164">
        <v>5</v>
      </c>
      <c r="F96" s="56">
        <f t="shared" si="12"/>
        <v>5</v>
      </c>
    </row>
    <row r="97" spans="1:6" ht="14.95" thickBot="1" x14ac:dyDescent="0.3">
      <c r="A97" s="39" t="s">
        <v>167</v>
      </c>
      <c r="B97" s="161">
        <v>1</v>
      </c>
      <c r="C97" s="48">
        <f t="shared" si="11"/>
        <v>1</v>
      </c>
      <c r="D97" s="55" t="s">
        <v>162</v>
      </c>
      <c r="E97" s="164">
        <v>5</v>
      </c>
      <c r="F97" s="56">
        <f t="shared" si="12"/>
        <v>5</v>
      </c>
    </row>
    <row r="98" spans="1:6" ht="14.95" thickBot="1" x14ac:dyDescent="0.3">
      <c r="A98" s="39" t="s">
        <v>177</v>
      </c>
      <c r="B98" s="161">
        <v>1</v>
      </c>
      <c r="C98" s="48">
        <f t="shared" si="11"/>
        <v>1</v>
      </c>
      <c r="D98" s="55" t="s">
        <v>167</v>
      </c>
      <c r="E98" s="164">
        <v>5</v>
      </c>
      <c r="F98" s="56">
        <f t="shared" si="12"/>
        <v>5</v>
      </c>
    </row>
    <row r="99" spans="1:6" ht="14.95" thickBot="1" x14ac:dyDescent="0.3">
      <c r="A99" s="39" t="s">
        <v>194</v>
      </c>
      <c r="B99" s="161">
        <v>1</v>
      </c>
      <c r="C99" s="48">
        <f t="shared" si="11"/>
        <v>1</v>
      </c>
      <c r="D99" s="55" t="s">
        <v>177</v>
      </c>
      <c r="E99" s="164">
        <v>5</v>
      </c>
      <c r="F99" s="56">
        <f t="shared" si="12"/>
        <v>5</v>
      </c>
    </row>
    <row r="100" spans="1:6" ht="14.95" thickBot="1" x14ac:dyDescent="0.3">
      <c r="A100" s="39" t="s">
        <v>140</v>
      </c>
      <c r="B100" s="161">
        <v>0</v>
      </c>
      <c r="C100" s="48">
        <f t="shared" si="11"/>
        <v>0</v>
      </c>
      <c r="D100" s="55" t="s">
        <v>194</v>
      </c>
      <c r="E100" s="164">
        <v>5</v>
      </c>
      <c r="F100" s="56">
        <f t="shared" si="12"/>
        <v>5</v>
      </c>
    </row>
    <row r="101" spans="1:6" ht="14.95" thickBot="1" x14ac:dyDescent="0.3">
      <c r="A101" s="39" t="s">
        <v>142</v>
      </c>
      <c r="B101" s="161">
        <v>0</v>
      </c>
      <c r="C101" s="48">
        <f t="shared" si="11"/>
        <v>0</v>
      </c>
      <c r="D101" s="55" t="s">
        <v>140</v>
      </c>
      <c r="E101" s="164">
        <v>0</v>
      </c>
      <c r="F101" s="56">
        <f t="shared" si="12"/>
        <v>0</v>
      </c>
    </row>
    <row r="102" spans="1:6" ht="14.95" thickBot="1" x14ac:dyDescent="0.3">
      <c r="A102" s="39" t="s">
        <v>146</v>
      </c>
      <c r="B102" s="161">
        <v>0</v>
      </c>
      <c r="C102" s="48">
        <f t="shared" si="11"/>
        <v>0</v>
      </c>
      <c r="D102" s="55" t="s">
        <v>142</v>
      </c>
      <c r="E102" s="164">
        <v>0</v>
      </c>
      <c r="F102" s="56">
        <f t="shared" si="12"/>
        <v>0</v>
      </c>
    </row>
    <row r="103" spans="1:6" ht="14.95" thickBot="1" x14ac:dyDescent="0.3">
      <c r="A103" s="39" t="s">
        <v>147</v>
      </c>
      <c r="B103" s="161">
        <v>0</v>
      </c>
      <c r="C103" s="48">
        <f t="shared" ref="C103:C134" si="13">SUM(B103:B103)</f>
        <v>0</v>
      </c>
      <c r="D103" s="55" t="s">
        <v>146</v>
      </c>
      <c r="E103" s="164">
        <v>0</v>
      </c>
      <c r="F103" s="56">
        <f t="shared" ref="F103:F134" si="14">SUM(E103:E103)</f>
        <v>0</v>
      </c>
    </row>
    <row r="104" spans="1:6" ht="14.95" thickBot="1" x14ac:dyDescent="0.3">
      <c r="A104" s="39" t="s">
        <v>148</v>
      </c>
      <c r="B104" s="161">
        <v>0</v>
      </c>
      <c r="C104" s="48">
        <f t="shared" si="13"/>
        <v>0</v>
      </c>
      <c r="D104" s="55" t="s">
        <v>147</v>
      </c>
      <c r="E104" s="164">
        <v>0</v>
      </c>
      <c r="F104" s="56">
        <f t="shared" si="14"/>
        <v>0</v>
      </c>
    </row>
    <row r="105" spans="1:6" ht="14.95" thickBot="1" x14ac:dyDescent="0.3">
      <c r="A105" s="39" t="s">
        <v>149</v>
      </c>
      <c r="B105" s="161">
        <v>0</v>
      </c>
      <c r="C105" s="48">
        <f t="shared" si="13"/>
        <v>0</v>
      </c>
      <c r="D105" s="55" t="s">
        <v>148</v>
      </c>
      <c r="E105" s="164">
        <v>0</v>
      </c>
      <c r="F105" s="56">
        <f t="shared" si="14"/>
        <v>0</v>
      </c>
    </row>
    <row r="106" spans="1:6" ht="14.95" thickBot="1" x14ac:dyDescent="0.3">
      <c r="A106" s="39" t="s">
        <v>150</v>
      </c>
      <c r="B106" s="161">
        <v>0</v>
      </c>
      <c r="C106" s="48">
        <f t="shared" si="13"/>
        <v>0</v>
      </c>
      <c r="D106" s="55" t="s">
        <v>149</v>
      </c>
      <c r="E106" s="164">
        <v>0</v>
      </c>
      <c r="F106" s="56">
        <f t="shared" si="14"/>
        <v>0</v>
      </c>
    </row>
    <row r="107" spans="1:6" ht="14.95" thickBot="1" x14ac:dyDescent="0.3">
      <c r="A107" s="39" t="s">
        <v>151</v>
      </c>
      <c r="B107" s="161">
        <v>0</v>
      </c>
      <c r="C107" s="48">
        <f t="shared" si="13"/>
        <v>0</v>
      </c>
      <c r="D107" s="55" t="s">
        <v>150</v>
      </c>
      <c r="E107" s="164">
        <v>0</v>
      </c>
      <c r="F107" s="56">
        <f t="shared" si="14"/>
        <v>0</v>
      </c>
    </row>
    <row r="108" spans="1:6" ht="14.95" thickBot="1" x14ac:dyDescent="0.3">
      <c r="A108" s="39" t="s">
        <v>152</v>
      </c>
      <c r="B108" s="161">
        <v>0</v>
      </c>
      <c r="C108" s="48">
        <f t="shared" si="13"/>
        <v>0</v>
      </c>
      <c r="D108" s="55" t="s">
        <v>151</v>
      </c>
      <c r="E108" s="164">
        <v>0</v>
      </c>
      <c r="F108" s="56">
        <f t="shared" si="14"/>
        <v>0</v>
      </c>
    </row>
    <row r="109" spans="1:6" ht="14.95" thickBot="1" x14ac:dyDescent="0.3">
      <c r="A109" s="39" t="s">
        <v>154</v>
      </c>
      <c r="B109" s="161">
        <v>0</v>
      </c>
      <c r="C109" s="48">
        <f t="shared" si="13"/>
        <v>0</v>
      </c>
      <c r="D109" s="55" t="s">
        <v>152</v>
      </c>
      <c r="E109" s="164">
        <v>0</v>
      </c>
      <c r="F109" s="56">
        <f t="shared" si="14"/>
        <v>0</v>
      </c>
    </row>
    <row r="110" spans="1:6" ht="14.95" thickBot="1" x14ac:dyDescent="0.3">
      <c r="A110" s="39" t="s">
        <v>155</v>
      </c>
      <c r="B110" s="161">
        <v>0</v>
      </c>
      <c r="C110" s="48">
        <f t="shared" si="13"/>
        <v>0</v>
      </c>
      <c r="D110" s="55" t="s">
        <v>154</v>
      </c>
      <c r="E110" s="164">
        <v>0</v>
      </c>
      <c r="F110" s="56">
        <f t="shared" si="14"/>
        <v>0</v>
      </c>
    </row>
    <row r="111" spans="1:6" ht="14.95" thickBot="1" x14ac:dyDescent="0.3">
      <c r="A111" s="39" t="s">
        <v>38</v>
      </c>
      <c r="B111" s="161">
        <v>0</v>
      </c>
      <c r="C111" s="48">
        <f t="shared" si="13"/>
        <v>0</v>
      </c>
      <c r="D111" s="55" t="s">
        <v>155</v>
      </c>
      <c r="E111" s="164">
        <v>0</v>
      </c>
      <c r="F111" s="56">
        <f t="shared" si="14"/>
        <v>0</v>
      </c>
    </row>
    <row r="112" spans="1:6" ht="14.95" thickBot="1" x14ac:dyDescent="0.3">
      <c r="A112" s="39" t="s">
        <v>158</v>
      </c>
      <c r="B112" s="161">
        <v>0</v>
      </c>
      <c r="C112" s="48">
        <f t="shared" si="13"/>
        <v>0</v>
      </c>
      <c r="D112" s="55" t="s">
        <v>158</v>
      </c>
      <c r="E112" s="164">
        <v>0</v>
      </c>
      <c r="F112" s="56">
        <f t="shared" si="14"/>
        <v>0</v>
      </c>
    </row>
    <row r="113" spans="1:6" ht="14.95" thickBot="1" x14ac:dyDescent="0.3">
      <c r="A113" s="39" t="s">
        <v>163</v>
      </c>
      <c r="B113" s="161">
        <v>0</v>
      </c>
      <c r="C113" s="48">
        <f t="shared" si="13"/>
        <v>0</v>
      </c>
      <c r="D113" s="55" t="s">
        <v>163</v>
      </c>
      <c r="E113" s="164">
        <v>0</v>
      </c>
      <c r="F113" s="56">
        <f t="shared" si="14"/>
        <v>0</v>
      </c>
    </row>
    <row r="114" spans="1:6" ht="14.95" thickBot="1" x14ac:dyDescent="0.3">
      <c r="A114" s="39" t="s">
        <v>164</v>
      </c>
      <c r="B114" s="161">
        <v>0</v>
      </c>
      <c r="C114" s="48">
        <f t="shared" si="13"/>
        <v>0</v>
      </c>
      <c r="D114" s="55" t="s">
        <v>164</v>
      </c>
      <c r="E114" s="164">
        <v>0</v>
      </c>
      <c r="F114" s="56">
        <f t="shared" si="14"/>
        <v>0</v>
      </c>
    </row>
    <row r="115" spans="1:6" ht="14.95" thickBot="1" x14ac:dyDescent="0.3">
      <c r="A115" s="39" t="s">
        <v>166</v>
      </c>
      <c r="B115" s="161">
        <v>0</v>
      </c>
      <c r="C115" s="48">
        <f t="shared" si="13"/>
        <v>0</v>
      </c>
      <c r="D115" s="55" t="s">
        <v>166</v>
      </c>
      <c r="E115" s="164">
        <v>0</v>
      </c>
      <c r="F115" s="56">
        <f t="shared" si="14"/>
        <v>0</v>
      </c>
    </row>
    <row r="116" spans="1:6" ht="14.95" thickBot="1" x14ac:dyDescent="0.3">
      <c r="A116" s="39" t="s">
        <v>170</v>
      </c>
      <c r="B116" s="161">
        <v>0</v>
      </c>
      <c r="C116" s="48">
        <f t="shared" si="13"/>
        <v>0</v>
      </c>
      <c r="D116" s="55" t="s">
        <v>170</v>
      </c>
      <c r="E116" s="164">
        <v>0</v>
      </c>
      <c r="F116" s="56">
        <f t="shared" si="14"/>
        <v>0</v>
      </c>
    </row>
    <row r="117" spans="1:6" ht="14.95" thickBot="1" x14ac:dyDescent="0.3">
      <c r="A117" s="39" t="s">
        <v>172</v>
      </c>
      <c r="B117" s="161">
        <v>0</v>
      </c>
      <c r="C117" s="48">
        <f t="shared" si="13"/>
        <v>0</v>
      </c>
      <c r="D117" s="55" t="s">
        <v>172</v>
      </c>
      <c r="E117" s="164">
        <v>0</v>
      </c>
      <c r="F117" s="56">
        <f t="shared" si="14"/>
        <v>0</v>
      </c>
    </row>
    <row r="118" spans="1:6" ht="14.95" thickBot="1" x14ac:dyDescent="0.3">
      <c r="A118" s="39" t="s">
        <v>173</v>
      </c>
      <c r="B118" s="161">
        <v>0</v>
      </c>
      <c r="C118" s="48">
        <f t="shared" si="13"/>
        <v>0</v>
      </c>
      <c r="D118" s="55" t="s">
        <v>173</v>
      </c>
      <c r="E118" s="164">
        <v>0</v>
      </c>
      <c r="F118" s="56">
        <f t="shared" si="14"/>
        <v>0</v>
      </c>
    </row>
    <row r="119" spans="1:6" ht="14.95" thickBot="1" x14ac:dyDescent="0.3">
      <c r="A119" s="39" t="s">
        <v>174</v>
      </c>
      <c r="B119" s="161">
        <v>0</v>
      </c>
      <c r="C119" s="48">
        <f t="shared" si="13"/>
        <v>0</v>
      </c>
      <c r="D119" s="55" t="s">
        <v>174</v>
      </c>
      <c r="E119" s="164">
        <v>0</v>
      </c>
      <c r="F119" s="56">
        <f t="shared" si="14"/>
        <v>0</v>
      </c>
    </row>
    <row r="120" spans="1:6" ht="14.95" thickBot="1" x14ac:dyDescent="0.3">
      <c r="A120" s="39" t="s">
        <v>176</v>
      </c>
      <c r="B120" s="161">
        <v>0</v>
      </c>
      <c r="C120" s="48">
        <f t="shared" si="13"/>
        <v>0</v>
      </c>
      <c r="D120" s="55" t="s">
        <v>176</v>
      </c>
      <c r="E120" s="164">
        <v>0</v>
      </c>
      <c r="F120" s="56">
        <f t="shared" si="14"/>
        <v>0</v>
      </c>
    </row>
    <row r="121" spans="1:6" ht="14.95" thickBot="1" x14ac:dyDescent="0.3">
      <c r="A121" s="39" t="s">
        <v>179</v>
      </c>
      <c r="B121" s="161">
        <v>0</v>
      </c>
      <c r="C121" s="48">
        <f t="shared" si="13"/>
        <v>0</v>
      </c>
      <c r="D121" s="55" t="s">
        <v>179</v>
      </c>
      <c r="E121" s="164">
        <v>0</v>
      </c>
      <c r="F121" s="56">
        <f t="shared" si="14"/>
        <v>0</v>
      </c>
    </row>
    <row r="122" spans="1:6" ht="14.95" thickBot="1" x14ac:dyDescent="0.3">
      <c r="A122" s="39" t="s">
        <v>181</v>
      </c>
      <c r="B122" s="161">
        <v>0</v>
      </c>
      <c r="C122" s="48">
        <f t="shared" si="13"/>
        <v>0</v>
      </c>
      <c r="D122" s="55" t="s">
        <v>181</v>
      </c>
      <c r="E122" s="164">
        <v>0</v>
      </c>
      <c r="F122" s="56">
        <f t="shared" si="14"/>
        <v>0</v>
      </c>
    </row>
    <row r="123" spans="1:6" ht="14.95" thickBot="1" x14ac:dyDescent="0.3">
      <c r="A123" s="39" t="s">
        <v>183</v>
      </c>
      <c r="B123" s="161">
        <v>0</v>
      </c>
      <c r="C123" s="48">
        <f t="shared" si="13"/>
        <v>0</v>
      </c>
      <c r="D123" s="55" t="s">
        <v>183</v>
      </c>
      <c r="E123" s="164">
        <v>0</v>
      </c>
      <c r="F123" s="56">
        <f t="shared" si="14"/>
        <v>0</v>
      </c>
    </row>
    <row r="124" spans="1:6" ht="14.95" thickBot="1" x14ac:dyDescent="0.3">
      <c r="A124" s="39" t="s">
        <v>184</v>
      </c>
      <c r="B124" s="161">
        <v>0</v>
      </c>
      <c r="C124" s="48">
        <f t="shared" si="13"/>
        <v>0</v>
      </c>
      <c r="D124" s="55" t="s">
        <v>184</v>
      </c>
      <c r="E124" s="164">
        <v>0</v>
      </c>
      <c r="F124" s="56">
        <f t="shared" si="14"/>
        <v>0</v>
      </c>
    </row>
    <row r="125" spans="1:6" ht="14.95" thickBot="1" x14ac:dyDescent="0.3">
      <c r="A125" s="39" t="s">
        <v>186</v>
      </c>
      <c r="B125" s="161">
        <v>0</v>
      </c>
      <c r="C125" s="48">
        <f t="shared" si="13"/>
        <v>0</v>
      </c>
      <c r="D125" s="55" t="s">
        <v>186</v>
      </c>
      <c r="E125" s="164">
        <v>0</v>
      </c>
      <c r="F125" s="56">
        <f t="shared" si="14"/>
        <v>0</v>
      </c>
    </row>
    <row r="126" spans="1:6" ht="14.95" thickBot="1" x14ac:dyDescent="0.3">
      <c r="A126" s="39" t="s">
        <v>187</v>
      </c>
      <c r="B126" s="161">
        <v>0</v>
      </c>
      <c r="C126" s="48">
        <f t="shared" si="13"/>
        <v>0</v>
      </c>
      <c r="D126" s="55" t="s">
        <v>187</v>
      </c>
      <c r="E126" s="164">
        <v>0</v>
      </c>
      <c r="F126" s="56">
        <f t="shared" si="14"/>
        <v>0</v>
      </c>
    </row>
    <row r="127" spans="1:6" ht="14.95" thickBot="1" x14ac:dyDescent="0.3">
      <c r="A127" s="39" t="s">
        <v>188</v>
      </c>
      <c r="B127" s="161">
        <v>0</v>
      </c>
      <c r="C127" s="48">
        <f t="shared" si="13"/>
        <v>0</v>
      </c>
      <c r="D127" s="55" t="s">
        <v>188</v>
      </c>
      <c r="E127" s="164">
        <v>0</v>
      </c>
      <c r="F127" s="56">
        <f t="shared" si="14"/>
        <v>0</v>
      </c>
    </row>
    <row r="128" spans="1:6" ht="14.95" thickBot="1" x14ac:dyDescent="0.3">
      <c r="A128" s="39" t="s">
        <v>126</v>
      </c>
      <c r="B128" s="161">
        <v>0</v>
      </c>
      <c r="C128" s="48">
        <f t="shared" si="13"/>
        <v>0</v>
      </c>
      <c r="D128" s="55" t="s">
        <v>126</v>
      </c>
      <c r="E128" s="164">
        <v>0</v>
      </c>
      <c r="F128" s="56">
        <f t="shared" si="14"/>
        <v>0</v>
      </c>
    </row>
    <row r="129" spans="1:6" ht="14.95" thickBot="1" x14ac:dyDescent="0.3">
      <c r="A129" s="39" t="s">
        <v>190</v>
      </c>
      <c r="B129" s="161">
        <v>0</v>
      </c>
      <c r="C129" s="48">
        <f t="shared" si="13"/>
        <v>0</v>
      </c>
      <c r="D129" s="55" t="s">
        <v>190</v>
      </c>
      <c r="E129" s="164">
        <v>0</v>
      </c>
      <c r="F129" s="56">
        <f t="shared" si="14"/>
        <v>0</v>
      </c>
    </row>
    <row r="130" spans="1:6" ht="14.95" thickBot="1" x14ac:dyDescent="0.3">
      <c r="A130" s="39" t="s">
        <v>191</v>
      </c>
      <c r="B130" s="161">
        <v>0</v>
      </c>
      <c r="C130" s="48">
        <f t="shared" si="13"/>
        <v>0</v>
      </c>
      <c r="D130" s="55" t="s">
        <v>191</v>
      </c>
      <c r="E130" s="164">
        <v>0</v>
      </c>
      <c r="F130" s="56">
        <f t="shared" si="14"/>
        <v>0</v>
      </c>
    </row>
    <row r="131" spans="1:6" ht="14.95" thickBot="1" x14ac:dyDescent="0.3">
      <c r="A131" s="39" t="s">
        <v>192</v>
      </c>
      <c r="B131" s="161">
        <v>0</v>
      </c>
      <c r="C131" s="48">
        <f t="shared" si="13"/>
        <v>0</v>
      </c>
      <c r="D131" s="55" t="s">
        <v>192</v>
      </c>
      <c r="E131" s="164">
        <v>0</v>
      </c>
      <c r="F131" s="56">
        <f t="shared" si="14"/>
        <v>0</v>
      </c>
    </row>
    <row r="132" spans="1:6" ht="14.95" thickBot="1" x14ac:dyDescent="0.3">
      <c r="A132" s="39" t="s">
        <v>83</v>
      </c>
      <c r="B132" s="161">
        <v>0</v>
      </c>
      <c r="C132" s="48">
        <f t="shared" si="13"/>
        <v>0</v>
      </c>
      <c r="D132" s="55" t="s">
        <v>83</v>
      </c>
      <c r="E132" s="164">
        <v>0</v>
      </c>
      <c r="F132" s="56">
        <f t="shared" si="14"/>
        <v>0</v>
      </c>
    </row>
    <row r="133" spans="1:6" ht="14.95" thickBot="1" x14ac:dyDescent="0.3">
      <c r="A133" s="39" t="s">
        <v>15</v>
      </c>
      <c r="B133" s="161">
        <v>0</v>
      </c>
      <c r="C133" s="48">
        <f t="shared" si="13"/>
        <v>0</v>
      </c>
      <c r="D133" s="55" t="s">
        <v>15</v>
      </c>
      <c r="E133" s="164">
        <v>0</v>
      </c>
      <c r="F133" s="56">
        <f t="shared" si="14"/>
        <v>0</v>
      </c>
    </row>
    <row r="134" spans="1:6" ht="14.95" thickBot="1" x14ac:dyDescent="0.3">
      <c r="A134" s="39" t="s">
        <v>5</v>
      </c>
      <c r="B134" s="161">
        <v>0</v>
      </c>
      <c r="C134" s="48">
        <f t="shared" si="13"/>
        <v>0</v>
      </c>
      <c r="D134" s="55" t="s">
        <v>5</v>
      </c>
      <c r="E134" s="164">
        <v>0</v>
      </c>
      <c r="F134" s="56">
        <f t="shared" si="14"/>
        <v>0</v>
      </c>
    </row>
    <row r="135" spans="1:6" ht="14.95" thickBot="1" x14ac:dyDescent="0.3">
      <c r="A135" s="39" t="s">
        <v>3</v>
      </c>
      <c r="B135" s="161">
        <f>SUM(B71:B134)</f>
        <v>130</v>
      </c>
      <c r="C135" s="48">
        <f t="shared" ref="C135:C166" si="15">SUM(B135:B135)</f>
        <v>130</v>
      </c>
      <c r="D135" s="55" t="s">
        <v>3</v>
      </c>
      <c r="E135" s="164">
        <f>SUM(E71:E134)</f>
        <v>799</v>
      </c>
      <c r="F135" s="56">
        <f t="shared" ref="F135:F166" si="16">SUM(E135:E135)</f>
        <v>799</v>
      </c>
    </row>
    <row r="136" spans="1:6" x14ac:dyDescent="0.25">
      <c r="A136" s="165" t="s">
        <v>20</v>
      </c>
      <c r="B136" s="166"/>
      <c r="C136" s="166"/>
      <c r="D136" s="166"/>
      <c r="E136" s="166"/>
      <c r="F136" s="166"/>
    </row>
  </sheetData>
  <sortState xmlns:xlrd2="http://schemas.microsoft.com/office/spreadsheetml/2017/richdata2" ref="D71:F134">
    <sortCondition descending="1" ref="F71:F134"/>
  </sortState>
  <mergeCells count="7">
    <mergeCell ref="N1:O2"/>
    <mergeCell ref="A136:F136"/>
    <mergeCell ref="A1:F1"/>
    <mergeCell ref="G1:G2"/>
    <mergeCell ref="H1:J2"/>
    <mergeCell ref="K1:M2"/>
    <mergeCell ref="A68:E6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5C7C2-4005-444F-B382-6EF41C7FD372}">
  <dimension ref="A1:O112"/>
  <sheetViews>
    <sheetView workbookViewId="0">
      <selection activeCell="O11" sqref="O11"/>
    </sheetView>
  </sheetViews>
  <sheetFormatPr defaultRowHeight="14.3" x14ac:dyDescent="0.25"/>
  <cols>
    <col min="1" max="1" width="16.375" customWidth="1"/>
    <col min="2" max="3" width="3.75" customWidth="1"/>
    <col min="4" max="4" width="16.375" customWidth="1"/>
    <col min="5" max="6" width="3.75" customWidth="1"/>
    <col min="7" max="7" width="16.375" customWidth="1"/>
    <col min="8" max="15" width="5.625" customWidth="1"/>
  </cols>
  <sheetData>
    <row r="1" spans="1:15" ht="14.95" customHeight="1" thickBot="1" x14ac:dyDescent="0.3">
      <c r="A1" s="192" t="s">
        <v>273</v>
      </c>
      <c r="B1" s="193"/>
      <c r="C1" s="193"/>
      <c r="D1" s="193"/>
      <c r="E1" s="193"/>
      <c r="F1" s="194"/>
      <c r="G1" s="176" t="s">
        <v>248</v>
      </c>
      <c r="H1" s="172" t="s">
        <v>12</v>
      </c>
      <c r="I1" s="178"/>
      <c r="J1" s="173"/>
      <c r="K1" s="172" t="s">
        <v>22</v>
      </c>
      <c r="L1" s="178"/>
      <c r="M1" s="173"/>
      <c r="N1" s="172" t="s">
        <v>37</v>
      </c>
      <c r="O1" s="173"/>
    </row>
    <row r="2" spans="1:15" ht="14.95" customHeight="1" thickBot="1" x14ac:dyDescent="0.3">
      <c r="A2" s="198" t="s">
        <v>0</v>
      </c>
      <c r="B2" s="200" t="s">
        <v>47</v>
      </c>
      <c r="C2" s="202" t="s">
        <v>1</v>
      </c>
      <c r="D2" s="17" t="s">
        <v>2</v>
      </c>
      <c r="E2" s="153" t="s">
        <v>47</v>
      </c>
      <c r="F2" s="203" t="s">
        <v>1</v>
      </c>
      <c r="G2" s="177"/>
      <c r="H2" s="174"/>
      <c r="I2" s="179"/>
      <c r="J2" s="175"/>
      <c r="K2" s="174"/>
      <c r="L2" s="179"/>
      <c r="M2" s="175"/>
      <c r="N2" s="174"/>
      <c r="O2" s="175"/>
    </row>
    <row r="3" spans="1:15" ht="14.95" customHeight="1" thickBot="1" x14ac:dyDescent="0.3">
      <c r="A3" s="195" t="s">
        <v>286</v>
      </c>
      <c r="B3" s="201">
        <v>1</v>
      </c>
      <c r="C3" s="196">
        <f t="shared" ref="C3:C54" si="0">SUM(B3:B3)</f>
        <v>1</v>
      </c>
      <c r="D3" s="1" t="s">
        <v>286</v>
      </c>
      <c r="E3" s="156">
        <v>5</v>
      </c>
      <c r="F3" s="204">
        <f t="shared" ref="F3:F54" si="1">SUM(E3:E3)</f>
        <v>5</v>
      </c>
      <c r="G3" s="152" t="s">
        <v>16</v>
      </c>
      <c r="H3" s="2" t="s">
        <v>24</v>
      </c>
      <c r="I3" s="2" t="s">
        <v>7</v>
      </c>
      <c r="J3" s="2" t="s">
        <v>8</v>
      </c>
      <c r="K3" s="2" t="s">
        <v>24</v>
      </c>
      <c r="L3" s="2" t="s">
        <v>7</v>
      </c>
      <c r="M3" s="2" t="s">
        <v>8</v>
      </c>
      <c r="N3" s="2" t="s">
        <v>47</v>
      </c>
      <c r="O3" s="2" t="s">
        <v>25</v>
      </c>
    </row>
    <row r="4" spans="1:15" ht="14.95" customHeight="1" thickBot="1" x14ac:dyDescent="0.3">
      <c r="A4" s="195" t="s">
        <v>266</v>
      </c>
      <c r="B4" s="201">
        <v>6</v>
      </c>
      <c r="C4" s="196">
        <f t="shared" si="0"/>
        <v>6</v>
      </c>
      <c r="D4" s="1" t="s">
        <v>266</v>
      </c>
      <c r="E4" s="156">
        <v>30</v>
      </c>
      <c r="F4" s="204">
        <f t="shared" si="1"/>
        <v>30</v>
      </c>
      <c r="G4" s="195" t="s">
        <v>292</v>
      </c>
      <c r="H4" s="196">
        <v>1</v>
      </c>
      <c r="I4" s="196">
        <v>3</v>
      </c>
      <c r="J4" s="197">
        <f>SUM(H4/I4)*100</f>
        <v>33.333333333333329</v>
      </c>
      <c r="K4" s="196" t="s">
        <v>13</v>
      </c>
      <c r="L4" s="196" t="s">
        <v>13</v>
      </c>
      <c r="M4" s="197" t="s">
        <v>13</v>
      </c>
      <c r="N4" s="196">
        <v>1</v>
      </c>
      <c r="O4" s="196">
        <v>1</v>
      </c>
    </row>
    <row r="5" spans="1:15" ht="14.95" customHeight="1" thickBot="1" x14ac:dyDescent="0.3">
      <c r="A5" s="195" t="s">
        <v>307</v>
      </c>
      <c r="B5" s="201">
        <v>0</v>
      </c>
      <c r="C5" s="196">
        <f t="shared" si="0"/>
        <v>0</v>
      </c>
      <c r="D5" s="1" t="s">
        <v>307</v>
      </c>
      <c r="E5" s="156">
        <v>0</v>
      </c>
      <c r="F5" s="204">
        <f t="shared" si="1"/>
        <v>0</v>
      </c>
      <c r="G5" s="195" t="s">
        <v>260</v>
      </c>
      <c r="H5" s="196">
        <v>26</v>
      </c>
      <c r="I5" s="196">
        <v>42</v>
      </c>
      <c r="J5" s="197">
        <f>SUM(H5/I5)*100</f>
        <v>61.904761904761905</v>
      </c>
      <c r="K5" s="196" t="s">
        <v>13</v>
      </c>
      <c r="L5" s="196" t="s">
        <v>13</v>
      </c>
      <c r="M5" s="197" t="s">
        <v>13</v>
      </c>
      <c r="N5" s="196">
        <v>-1</v>
      </c>
      <c r="O5" s="196">
        <v>-1</v>
      </c>
    </row>
    <row r="6" spans="1:15" ht="14.95" customHeight="1" thickBot="1" x14ac:dyDescent="0.3">
      <c r="A6" s="195" t="s">
        <v>275</v>
      </c>
      <c r="B6" s="201">
        <v>5</v>
      </c>
      <c r="C6" s="196">
        <f t="shared" si="0"/>
        <v>5</v>
      </c>
      <c r="D6" s="1" t="s">
        <v>275</v>
      </c>
      <c r="E6" s="156">
        <v>25</v>
      </c>
      <c r="F6" s="204">
        <f t="shared" si="1"/>
        <v>25</v>
      </c>
      <c r="G6" s="195" t="s">
        <v>280</v>
      </c>
      <c r="H6" s="196">
        <v>9</v>
      </c>
      <c r="I6" s="196">
        <v>12</v>
      </c>
      <c r="J6" s="197">
        <f>SUM(H6/I6)*100</f>
        <v>75</v>
      </c>
      <c r="K6" s="196">
        <v>2</v>
      </c>
      <c r="L6" s="196">
        <v>6</v>
      </c>
      <c r="M6" s="197">
        <f>SUM(K6/L6)*100</f>
        <v>33.333333333333329</v>
      </c>
      <c r="N6" s="196">
        <v>1</v>
      </c>
      <c r="O6" s="196">
        <v>1</v>
      </c>
    </row>
    <row r="7" spans="1:15" ht="14.95" customHeight="1" thickBot="1" x14ac:dyDescent="0.3">
      <c r="A7" s="195" t="s">
        <v>312</v>
      </c>
      <c r="B7" s="201">
        <v>0</v>
      </c>
      <c r="C7" s="196">
        <f t="shared" si="0"/>
        <v>0</v>
      </c>
      <c r="D7" s="1" t="s">
        <v>312</v>
      </c>
      <c r="E7" s="156">
        <v>0</v>
      </c>
      <c r="F7" s="204">
        <f t="shared" si="1"/>
        <v>0</v>
      </c>
      <c r="G7" s="195" t="s">
        <v>293</v>
      </c>
      <c r="H7" s="196">
        <v>5</v>
      </c>
      <c r="I7" s="196">
        <v>10</v>
      </c>
      <c r="J7" s="197">
        <f>SUM(H7/I7)*100</f>
        <v>50</v>
      </c>
      <c r="K7" s="196" t="s">
        <v>13</v>
      </c>
      <c r="L7" s="196" t="s">
        <v>13</v>
      </c>
      <c r="M7" s="197" t="s">
        <v>13</v>
      </c>
      <c r="N7" s="196">
        <v>1</v>
      </c>
      <c r="O7" s="196">
        <v>1</v>
      </c>
    </row>
    <row r="8" spans="1:15" ht="14.95" customHeight="1" thickBot="1" x14ac:dyDescent="0.3">
      <c r="A8" s="195" t="s">
        <v>311</v>
      </c>
      <c r="B8" s="201">
        <v>0</v>
      </c>
      <c r="C8" s="196">
        <f t="shared" si="0"/>
        <v>0</v>
      </c>
      <c r="D8" s="1" t="s">
        <v>311</v>
      </c>
      <c r="E8" s="156">
        <v>0</v>
      </c>
      <c r="F8" s="204">
        <f t="shared" si="1"/>
        <v>0</v>
      </c>
      <c r="G8" s="198" t="s">
        <v>87</v>
      </c>
      <c r="H8" s="196">
        <v>1</v>
      </c>
      <c r="I8" s="196">
        <v>1</v>
      </c>
      <c r="J8" s="197">
        <f>SUM(H8/I8)*100</f>
        <v>100</v>
      </c>
      <c r="K8" s="196" t="s">
        <v>13</v>
      </c>
      <c r="L8" s="196" t="s">
        <v>13</v>
      </c>
      <c r="M8" s="197" t="s">
        <v>13</v>
      </c>
      <c r="N8" s="199">
        <v>1</v>
      </c>
      <c r="O8" s="199">
        <v>1</v>
      </c>
    </row>
    <row r="9" spans="1:15" ht="14.95" customHeight="1" thickBot="1" x14ac:dyDescent="0.3">
      <c r="A9" s="195" t="s">
        <v>292</v>
      </c>
      <c r="B9" s="201">
        <v>0</v>
      </c>
      <c r="C9" s="196">
        <f t="shared" si="0"/>
        <v>0</v>
      </c>
      <c r="D9" s="1" t="s">
        <v>292</v>
      </c>
      <c r="E9" s="156">
        <v>2</v>
      </c>
      <c r="F9" s="204">
        <f t="shared" si="1"/>
        <v>2</v>
      </c>
      <c r="G9" s="139"/>
      <c r="H9" s="140"/>
      <c r="I9" s="45"/>
      <c r="J9" s="45"/>
      <c r="K9" s="140"/>
      <c r="L9" s="45"/>
      <c r="M9" s="46"/>
      <c r="N9" s="47"/>
      <c r="O9" s="31"/>
    </row>
    <row r="10" spans="1:15" ht="14.95" customHeight="1" thickBot="1" x14ac:dyDescent="0.3">
      <c r="A10" s="195" t="s">
        <v>268</v>
      </c>
      <c r="B10" s="201">
        <v>6</v>
      </c>
      <c r="C10" s="196">
        <f t="shared" si="0"/>
        <v>6</v>
      </c>
      <c r="D10" s="1" t="s">
        <v>268</v>
      </c>
      <c r="E10" s="156">
        <v>30</v>
      </c>
      <c r="F10" s="204">
        <f t="shared" si="1"/>
        <v>30</v>
      </c>
      <c r="G10" s="65"/>
    </row>
    <row r="11" spans="1:15" ht="14.95" customHeight="1" thickBot="1" x14ac:dyDescent="0.3">
      <c r="A11" s="195" t="s">
        <v>260</v>
      </c>
      <c r="B11" s="201">
        <v>0</v>
      </c>
      <c r="C11" s="196">
        <f t="shared" si="0"/>
        <v>0</v>
      </c>
      <c r="D11" s="1" t="s">
        <v>260</v>
      </c>
      <c r="E11" s="156">
        <v>54</v>
      </c>
      <c r="F11" s="204">
        <f t="shared" si="1"/>
        <v>54</v>
      </c>
    </row>
    <row r="12" spans="1:15" ht="14.95" customHeight="1" thickBot="1" x14ac:dyDescent="0.3">
      <c r="A12" s="195" t="s">
        <v>279</v>
      </c>
      <c r="B12" s="201">
        <v>2</v>
      </c>
      <c r="C12" s="196">
        <f t="shared" si="0"/>
        <v>2</v>
      </c>
      <c r="D12" s="1" t="s">
        <v>279</v>
      </c>
      <c r="E12" s="156">
        <v>10</v>
      </c>
      <c r="F12" s="204">
        <f t="shared" si="1"/>
        <v>10</v>
      </c>
    </row>
    <row r="13" spans="1:15" ht="14.95" customHeight="1" thickBot="1" x14ac:dyDescent="0.3">
      <c r="A13" s="195" t="s">
        <v>276</v>
      </c>
      <c r="B13" s="201">
        <v>4</v>
      </c>
      <c r="C13" s="196">
        <f t="shared" si="0"/>
        <v>4</v>
      </c>
      <c r="D13" s="1" t="s">
        <v>276</v>
      </c>
      <c r="E13" s="156">
        <v>20</v>
      </c>
      <c r="F13" s="204">
        <f t="shared" si="1"/>
        <v>20</v>
      </c>
    </row>
    <row r="14" spans="1:15" ht="14.95" customHeight="1" thickBot="1" x14ac:dyDescent="0.3">
      <c r="A14" s="195" t="s">
        <v>285</v>
      </c>
      <c r="B14" s="201">
        <v>1</v>
      </c>
      <c r="C14" s="196">
        <f t="shared" si="0"/>
        <v>1</v>
      </c>
      <c r="D14" s="1" t="s">
        <v>285</v>
      </c>
      <c r="E14" s="156">
        <v>5</v>
      </c>
      <c r="F14" s="204">
        <f t="shared" si="1"/>
        <v>5</v>
      </c>
    </row>
    <row r="15" spans="1:15" ht="14.95" customHeight="1" thickBot="1" x14ac:dyDescent="0.3">
      <c r="A15" s="195" t="s">
        <v>305</v>
      </c>
      <c r="B15" s="201">
        <v>0</v>
      </c>
      <c r="C15" s="196">
        <f t="shared" si="0"/>
        <v>0</v>
      </c>
      <c r="D15" s="1" t="s">
        <v>305</v>
      </c>
      <c r="E15" s="156">
        <v>0</v>
      </c>
      <c r="F15" s="204">
        <f t="shared" si="1"/>
        <v>0</v>
      </c>
    </row>
    <row r="16" spans="1:15" ht="14.95" customHeight="1" thickBot="1" x14ac:dyDescent="0.3">
      <c r="A16" s="195" t="s">
        <v>294</v>
      </c>
      <c r="B16" s="201">
        <v>0</v>
      </c>
      <c r="C16" s="196">
        <f t="shared" si="0"/>
        <v>0</v>
      </c>
      <c r="D16" s="1" t="s">
        <v>294</v>
      </c>
      <c r="E16" s="156">
        <v>0</v>
      </c>
      <c r="F16" s="204">
        <f t="shared" si="1"/>
        <v>0</v>
      </c>
    </row>
    <row r="17" spans="1:6" ht="14.95" customHeight="1" thickBot="1" x14ac:dyDescent="0.3">
      <c r="A17" s="195" t="s">
        <v>288</v>
      </c>
      <c r="B17" s="201">
        <v>1</v>
      </c>
      <c r="C17" s="196">
        <f t="shared" si="0"/>
        <v>1</v>
      </c>
      <c r="D17" s="1" t="s">
        <v>288</v>
      </c>
      <c r="E17" s="156">
        <v>5</v>
      </c>
      <c r="F17" s="204">
        <f t="shared" si="1"/>
        <v>5</v>
      </c>
    </row>
    <row r="18" spans="1:6" ht="14.95" customHeight="1" thickBot="1" x14ac:dyDescent="0.3">
      <c r="A18" s="195" t="s">
        <v>290</v>
      </c>
      <c r="B18" s="201">
        <v>1</v>
      </c>
      <c r="C18" s="196">
        <f t="shared" si="0"/>
        <v>1</v>
      </c>
      <c r="D18" s="1" t="s">
        <v>290</v>
      </c>
      <c r="E18" s="156">
        <v>5</v>
      </c>
      <c r="F18" s="204">
        <f t="shared" si="1"/>
        <v>5</v>
      </c>
    </row>
    <row r="19" spans="1:6" ht="14.95" customHeight="1" thickBot="1" x14ac:dyDescent="0.3">
      <c r="A19" s="195" t="s">
        <v>300</v>
      </c>
      <c r="B19" s="201">
        <v>0</v>
      </c>
      <c r="C19" s="196">
        <f t="shared" si="0"/>
        <v>0</v>
      </c>
      <c r="D19" s="1" t="s">
        <v>300</v>
      </c>
      <c r="E19" s="156">
        <v>0</v>
      </c>
      <c r="F19" s="204">
        <f t="shared" si="1"/>
        <v>0</v>
      </c>
    </row>
    <row r="20" spans="1:6" ht="14.95" customHeight="1" thickBot="1" x14ac:dyDescent="0.3">
      <c r="A20" s="195" t="s">
        <v>280</v>
      </c>
      <c r="B20" s="201">
        <v>4</v>
      </c>
      <c r="C20" s="196">
        <f t="shared" si="0"/>
        <v>4</v>
      </c>
      <c r="D20" s="1" t="s">
        <v>280</v>
      </c>
      <c r="E20" s="156">
        <v>38</v>
      </c>
      <c r="F20" s="204">
        <f t="shared" si="1"/>
        <v>38</v>
      </c>
    </row>
    <row r="21" spans="1:6" ht="14.95" customHeight="1" thickBot="1" x14ac:dyDescent="0.3">
      <c r="A21" s="195" t="s">
        <v>281</v>
      </c>
      <c r="B21" s="201">
        <v>2</v>
      </c>
      <c r="C21" s="196">
        <f t="shared" si="0"/>
        <v>2</v>
      </c>
      <c r="D21" s="1" t="s">
        <v>281</v>
      </c>
      <c r="E21" s="156">
        <v>10</v>
      </c>
      <c r="F21" s="204">
        <f t="shared" si="1"/>
        <v>10</v>
      </c>
    </row>
    <row r="22" spans="1:6" ht="14.95" customHeight="1" thickBot="1" x14ac:dyDescent="0.3">
      <c r="A22" s="195" t="s">
        <v>313</v>
      </c>
      <c r="B22" s="201">
        <v>0</v>
      </c>
      <c r="C22" s="196">
        <f t="shared" si="0"/>
        <v>0</v>
      </c>
      <c r="D22" s="1" t="s">
        <v>313</v>
      </c>
      <c r="E22" s="156">
        <v>0</v>
      </c>
      <c r="F22" s="204">
        <f t="shared" si="1"/>
        <v>0</v>
      </c>
    </row>
    <row r="23" spans="1:6" ht="14.95" customHeight="1" thickBot="1" x14ac:dyDescent="0.3">
      <c r="A23" s="195" t="s">
        <v>301</v>
      </c>
      <c r="B23" s="201">
        <v>0</v>
      </c>
      <c r="C23" s="196">
        <f t="shared" si="0"/>
        <v>0</v>
      </c>
      <c r="D23" s="1" t="s">
        <v>301</v>
      </c>
      <c r="E23" s="156">
        <v>0</v>
      </c>
      <c r="F23" s="204">
        <f t="shared" si="1"/>
        <v>0</v>
      </c>
    </row>
    <row r="24" spans="1:6" ht="14.95" customHeight="1" thickBot="1" x14ac:dyDescent="0.3">
      <c r="A24" s="195" t="s">
        <v>302</v>
      </c>
      <c r="B24" s="201">
        <v>0</v>
      </c>
      <c r="C24" s="196">
        <f t="shared" si="0"/>
        <v>0</v>
      </c>
      <c r="D24" s="1" t="s">
        <v>302</v>
      </c>
      <c r="E24" s="156">
        <v>0</v>
      </c>
      <c r="F24" s="204">
        <f t="shared" si="1"/>
        <v>0</v>
      </c>
    </row>
    <row r="25" spans="1:6" ht="14.95" customHeight="1" thickBot="1" x14ac:dyDescent="0.3">
      <c r="A25" s="195" t="s">
        <v>308</v>
      </c>
      <c r="B25" s="201">
        <v>0</v>
      </c>
      <c r="C25" s="196">
        <f t="shared" si="0"/>
        <v>0</v>
      </c>
      <c r="D25" s="1" t="s">
        <v>308</v>
      </c>
      <c r="E25" s="156">
        <v>0</v>
      </c>
      <c r="F25" s="204">
        <f t="shared" si="1"/>
        <v>0</v>
      </c>
    </row>
    <row r="26" spans="1:6" ht="14.95" customHeight="1" thickBot="1" x14ac:dyDescent="0.3">
      <c r="A26" s="195" t="s">
        <v>277</v>
      </c>
      <c r="B26" s="201">
        <v>3</v>
      </c>
      <c r="C26" s="196">
        <f t="shared" si="0"/>
        <v>3</v>
      </c>
      <c r="D26" s="1" t="s">
        <v>277</v>
      </c>
      <c r="E26" s="156">
        <v>15</v>
      </c>
      <c r="F26" s="204">
        <f t="shared" si="1"/>
        <v>15</v>
      </c>
    </row>
    <row r="27" spans="1:6" ht="14.95" customHeight="1" thickBot="1" x14ac:dyDescent="0.3">
      <c r="A27" s="195" t="s">
        <v>293</v>
      </c>
      <c r="B27" s="201">
        <v>0</v>
      </c>
      <c r="C27" s="196">
        <f t="shared" si="0"/>
        <v>0</v>
      </c>
      <c r="D27" s="1" t="s">
        <v>293</v>
      </c>
      <c r="E27" s="156">
        <v>12</v>
      </c>
      <c r="F27" s="204">
        <f t="shared" si="1"/>
        <v>12</v>
      </c>
    </row>
    <row r="28" spans="1:6" ht="14.95" customHeight="1" thickBot="1" x14ac:dyDescent="0.3">
      <c r="A28" s="195" t="s">
        <v>17</v>
      </c>
      <c r="B28" s="201">
        <v>0</v>
      </c>
      <c r="C28" s="196">
        <f t="shared" si="0"/>
        <v>0</v>
      </c>
      <c r="D28" s="1" t="s">
        <v>17</v>
      </c>
      <c r="E28" s="156">
        <v>0</v>
      </c>
      <c r="F28" s="204">
        <f t="shared" si="1"/>
        <v>0</v>
      </c>
    </row>
    <row r="29" spans="1:6" ht="14.95" customHeight="1" thickBot="1" x14ac:dyDescent="0.3">
      <c r="A29" s="195" t="s">
        <v>303</v>
      </c>
      <c r="B29" s="201">
        <v>0</v>
      </c>
      <c r="C29" s="196">
        <f t="shared" si="0"/>
        <v>0</v>
      </c>
      <c r="D29" s="1" t="s">
        <v>303</v>
      </c>
      <c r="E29" s="156">
        <v>0</v>
      </c>
      <c r="F29" s="204">
        <f t="shared" si="1"/>
        <v>0</v>
      </c>
    </row>
    <row r="30" spans="1:6" ht="14.95" customHeight="1" thickBot="1" x14ac:dyDescent="0.3">
      <c r="A30" s="195" t="s">
        <v>291</v>
      </c>
      <c r="B30" s="201">
        <v>1</v>
      </c>
      <c r="C30" s="196">
        <f t="shared" si="0"/>
        <v>1</v>
      </c>
      <c r="D30" s="1" t="s">
        <v>291</v>
      </c>
      <c r="E30" s="156">
        <v>5</v>
      </c>
      <c r="F30" s="204">
        <f t="shared" si="1"/>
        <v>5</v>
      </c>
    </row>
    <row r="31" spans="1:6" ht="14.95" customHeight="1" thickBot="1" x14ac:dyDescent="0.3">
      <c r="A31" s="195" t="s">
        <v>43</v>
      </c>
      <c r="B31" s="201">
        <v>0</v>
      </c>
      <c r="C31" s="196">
        <f t="shared" si="0"/>
        <v>0</v>
      </c>
      <c r="D31" s="1" t="s">
        <v>43</v>
      </c>
      <c r="E31" s="156">
        <v>0</v>
      </c>
      <c r="F31" s="204">
        <f t="shared" si="1"/>
        <v>0</v>
      </c>
    </row>
    <row r="32" spans="1:6" ht="14.95" customHeight="1" thickBot="1" x14ac:dyDescent="0.3">
      <c r="A32" s="195" t="s">
        <v>304</v>
      </c>
      <c r="B32" s="201">
        <v>0</v>
      </c>
      <c r="C32" s="196">
        <f t="shared" si="0"/>
        <v>0</v>
      </c>
      <c r="D32" s="1" t="s">
        <v>304</v>
      </c>
      <c r="E32" s="156">
        <v>0</v>
      </c>
      <c r="F32" s="204">
        <f t="shared" si="1"/>
        <v>0</v>
      </c>
    </row>
    <row r="33" spans="1:7" ht="14.95" customHeight="1" thickBot="1" x14ac:dyDescent="0.3">
      <c r="A33" s="195" t="s">
        <v>296</v>
      </c>
      <c r="B33" s="201">
        <v>0</v>
      </c>
      <c r="C33" s="196">
        <f t="shared" si="0"/>
        <v>0</v>
      </c>
      <c r="D33" s="1" t="s">
        <v>296</v>
      </c>
      <c r="E33" s="156">
        <v>0</v>
      </c>
      <c r="F33" s="204">
        <f t="shared" si="1"/>
        <v>0</v>
      </c>
    </row>
    <row r="34" spans="1:7" ht="14.95" customHeight="1" thickBot="1" x14ac:dyDescent="0.3">
      <c r="A34" s="195" t="s">
        <v>4</v>
      </c>
      <c r="B34" s="201">
        <v>0</v>
      </c>
      <c r="C34" s="196">
        <f t="shared" si="0"/>
        <v>0</v>
      </c>
      <c r="D34" s="1" t="s">
        <v>4</v>
      </c>
      <c r="E34" s="156">
        <v>0</v>
      </c>
      <c r="F34" s="204">
        <f t="shared" si="1"/>
        <v>0</v>
      </c>
    </row>
    <row r="35" spans="1:7" ht="14.95" customHeight="1" thickBot="1" x14ac:dyDescent="0.3">
      <c r="A35" s="195" t="s">
        <v>289</v>
      </c>
      <c r="B35" s="201">
        <v>1</v>
      </c>
      <c r="C35" s="196">
        <f t="shared" si="0"/>
        <v>1</v>
      </c>
      <c r="D35" s="1" t="s">
        <v>289</v>
      </c>
      <c r="E35" s="156">
        <v>5</v>
      </c>
      <c r="F35" s="204">
        <f t="shared" si="1"/>
        <v>5</v>
      </c>
    </row>
    <row r="36" spans="1:7" ht="14.95" customHeight="1" thickBot="1" x14ac:dyDescent="0.3">
      <c r="A36" s="195" t="s">
        <v>309</v>
      </c>
      <c r="B36" s="201">
        <v>5</v>
      </c>
      <c r="C36" s="196">
        <f t="shared" si="0"/>
        <v>5</v>
      </c>
      <c r="D36" s="1" t="s">
        <v>309</v>
      </c>
      <c r="E36" s="156">
        <v>25</v>
      </c>
      <c r="F36" s="204">
        <f t="shared" si="1"/>
        <v>25</v>
      </c>
    </row>
    <row r="37" spans="1:7" ht="14.95" customHeight="1" thickBot="1" x14ac:dyDescent="0.3">
      <c r="A37" s="195" t="s">
        <v>310</v>
      </c>
      <c r="B37" s="201">
        <v>0</v>
      </c>
      <c r="C37" s="196">
        <f t="shared" si="0"/>
        <v>0</v>
      </c>
      <c r="D37" s="1" t="s">
        <v>310</v>
      </c>
      <c r="E37" s="156">
        <v>0</v>
      </c>
      <c r="F37" s="204">
        <f t="shared" si="1"/>
        <v>0</v>
      </c>
      <c r="G37" s="94"/>
    </row>
    <row r="38" spans="1:7" ht="14.95" customHeight="1" thickBot="1" x14ac:dyDescent="0.3">
      <c r="A38" s="195" t="s">
        <v>284</v>
      </c>
      <c r="B38" s="201">
        <v>1</v>
      </c>
      <c r="C38" s="196">
        <f t="shared" si="0"/>
        <v>1</v>
      </c>
      <c r="D38" s="1" t="s">
        <v>284</v>
      </c>
      <c r="E38" s="156">
        <v>5</v>
      </c>
      <c r="F38" s="204">
        <f t="shared" si="1"/>
        <v>5</v>
      </c>
    </row>
    <row r="39" spans="1:7" ht="14.95" customHeight="1" thickBot="1" x14ac:dyDescent="0.3">
      <c r="A39" s="195" t="s">
        <v>314</v>
      </c>
      <c r="B39" s="201">
        <v>0</v>
      </c>
      <c r="C39" s="196">
        <f t="shared" si="0"/>
        <v>0</v>
      </c>
      <c r="D39" s="1" t="s">
        <v>314</v>
      </c>
      <c r="E39" s="156">
        <v>0</v>
      </c>
      <c r="F39" s="204">
        <f t="shared" si="1"/>
        <v>0</v>
      </c>
    </row>
    <row r="40" spans="1:7" ht="14.95" customHeight="1" thickBot="1" x14ac:dyDescent="0.3">
      <c r="A40" s="195" t="s">
        <v>297</v>
      </c>
      <c r="B40" s="201">
        <v>0</v>
      </c>
      <c r="C40" s="196">
        <f t="shared" si="0"/>
        <v>0</v>
      </c>
      <c r="D40" s="1" t="s">
        <v>297</v>
      </c>
      <c r="E40" s="156">
        <v>0</v>
      </c>
      <c r="F40" s="204">
        <f t="shared" si="1"/>
        <v>0</v>
      </c>
    </row>
    <row r="41" spans="1:7" ht="14.95" customHeight="1" thickBot="1" x14ac:dyDescent="0.3">
      <c r="A41" s="195" t="s">
        <v>306</v>
      </c>
      <c r="B41" s="201">
        <v>0</v>
      </c>
      <c r="C41" s="196">
        <f t="shared" si="0"/>
        <v>0</v>
      </c>
      <c r="D41" s="1" t="s">
        <v>306</v>
      </c>
      <c r="E41" s="156">
        <v>0</v>
      </c>
      <c r="F41" s="204">
        <f t="shared" si="1"/>
        <v>0</v>
      </c>
    </row>
    <row r="42" spans="1:7" ht="14.95" customHeight="1" thickBot="1" x14ac:dyDescent="0.3">
      <c r="A42" s="195" t="s">
        <v>298</v>
      </c>
      <c r="B42" s="201">
        <v>0</v>
      </c>
      <c r="C42" s="196">
        <f t="shared" si="0"/>
        <v>0</v>
      </c>
      <c r="D42" s="1" t="s">
        <v>298</v>
      </c>
      <c r="E42" s="156">
        <v>0</v>
      </c>
      <c r="F42" s="204">
        <f t="shared" si="1"/>
        <v>0</v>
      </c>
    </row>
    <row r="43" spans="1:7" ht="14.95" customHeight="1" thickBot="1" x14ac:dyDescent="0.3">
      <c r="A43" s="195" t="s">
        <v>287</v>
      </c>
      <c r="B43" s="201">
        <v>1</v>
      </c>
      <c r="C43" s="196">
        <f t="shared" si="0"/>
        <v>1</v>
      </c>
      <c r="D43" s="1" t="s">
        <v>287</v>
      </c>
      <c r="E43" s="156">
        <v>5</v>
      </c>
      <c r="F43" s="204">
        <f t="shared" si="1"/>
        <v>5</v>
      </c>
    </row>
    <row r="44" spans="1:7" ht="14.95" customHeight="1" thickBot="1" x14ac:dyDescent="0.3">
      <c r="A44" s="195" t="s">
        <v>267</v>
      </c>
      <c r="B44" s="201">
        <v>6</v>
      </c>
      <c r="C44" s="196">
        <f t="shared" si="0"/>
        <v>6</v>
      </c>
      <c r="D44" s="1" t="s">
        <v>267</v>
      </c>
      <c r="E44" s="156">
        <v>30</v>
      </c>
      <c r="F44" s="204">
        <f t="shared" si="1"/>
        <v>30</v>
      </c>
    </row>
    <row r="45" spans="1:7" ht="14.95" customHeight="1" thickBot="1" x14ac:dyDescent="0.3">
      <c r="A45" s="195" t="s">
        <v>315</v>
      </c>
      <c r="B45" s="201">
        <v>0</v>
      </c>
      <c r="C45" s="196">
        <f t="shared" si="0"/>
        <v>0</v>
      </c>
      <c r="D45" s="1" t="s">
        <v>315</v>
      </c>
      <c r="E45" s="156">
        <v>0</v>
      </c>
      <c r="F45" s="204">
        <f t="shared" si="1"/>
        <v>0</v>
      </c>
    </row>
    <row r="46" spans="1:7" ht="14.95" customHeight="1" thickBot="1" x14ac:dyDescent="0.3">
      <c r="A46" s="195" t="s">
        <v>278</v>
      </c>
      <c r="B46" s="201">
        <v>2</v>
      </c>
      <c r="C46" s="196">
        <f t="shared" si="0"/>
        <v>2</v>
      </c>
      <c r="D46" s="1" t="s">
        <v>278</v>
      </c>
      <c r="E46" s="156">
        <v>10</v>
      </c>
      <c r="F46" s="204">
        <f t="shared" si="1"/>
        <v>10</v>
      </c>
    </row>
    <row r="47" spans="1:7" ht="14.95" customHeight="1" thickBot="1" x14ac:dyDescent="0.3">
      <c r="A47" s="195" t="s">
        <v>295</v>
      </c>
      <c r="B47" s="201">
        <v>0</v>
      </c>
      <c r="C47" s="196">
        <f t="shared" si="0"/>
        <v>0</v>
      </c>
      <c r="D47" s="1" t="s">
        <v>295</v>
      </c>
      <c r="E47" s="156">
        <v>0</v>
      </c>
      <c r="F47" s="204">
        <f t="shared" si="1"/>
        <v>0</v>
      </c>
    </row>
    <row r="48" spans="1:7" ht="14.95" customHeight="1" thickBot="1" x14ac:dyDescent="0.3">
      <c r="A48" s="195" t="s">
        <v>274</v>
      </c>
      <c r="B48" s="201">
        <v>5</v>
      </c>
      <c r="C48" s="196">
        <f t="shared" si="0"/>
        <v>5</v>
      </c>
      <c r="D48" s="1" t="s">
        <v>274</v>
      </c>
      <c r="E48" s="156">
        <v>25</v>
      </c>
      <c r="F48" s="204">
        <f t="shared" si="1"/>
        <v>25</v>
      </c>
    </row>
    <row r="49" spans="1:6" ht="14.95" customHeight="1" thickBot="1" x14ac:dyDescent="0.3">
      <c r="A49" s="195" t="s">
        <v>282</v>
      </c>
      <c r="B49" s="201">
        <v>1</v>
      </c>
      <c r="C49" s="196">
        <f t="shared" si="0"/>
        <v>1</v>
      </c>
      <c r="D49" s="1" t="s">
        <v>282</v>
      </c>
      <c r="E49" s="156">
        <v>5</v>
      </c>
      <c r="F49" s="204">
        <f t="shared" si="1"/>
        <v>5</v>
      </c>
    </row>
    <row r="50" spans="1:6" ht="14.95" customHeight="1" thickBot="1" x14ac:dyDescent="0.3">
      <c r="A50" s="195" t="s">
        <v>87</v>
      </c>
      <c r="B50" s="201">
        <v>0</v>
      </c>
      <c r="C50" s="196">
        <f t="shared" si="0"/>
        <v>0</v>
      </c>
      <c r="D50" s="1" t="s">
        <v>87</v>
      </c>
      <c r="E50" s="156">
        <v>3</v>
      </c>
      <c r="F50" s="204">
        <f t="shared" si="1"/>
        <v>3</v>
      </c>
    </row>
    <row r="51" spans="1:6" ht="14.95" customHeight="1" thickBot="1" x14ac:dyDescent="0.3">
      <c r="A51" s="195" t="s">
        <v>316</v>
      </c>
      <c r="B51" s="201">
        <v>0</v>
      </c>
      <c r="C51" s="196">
        <f t="shared" si="0"/>
        <v>0</v>
      </c>
      <c r="D51" s="1" t="s">
        <v>316</v>
      </c>
      <c r="E51" s="156">
        <v>0</v>
      </c>
      <c r="F51" s="204">
        <f t="shared" si="1"/>
        <v>0</v>
      </c>
    </row>
    <row r="52" spans="1:6" ht="14.95" customHeight="1" thickBot="1" x14ac:dyDescent="0.3">
      <c r="A52" s="195" t="s">
        <v>317</v>
      </c>
      <c r="B52" s="201">
        <v>0</v>
      </c>
      <c r="C52" s="196">
        <f t="shared" si="0"/>
        <v>0</v>
      </c>
      <c r="D52" s="1" t="s">
        <v>317</v>
      </c>
      <c r="E52" s="156">
        <v>0</v>
      </c>
      <c r="F52" s="204">
        <f t="shared" si="1"/>
        <v>0</v>
      </c>
    </row>
    <row r="53" spans="1:6" ht="14.95" customHeight="1" thickBot="1" x14ac:dyDescent="0.3">
      <c r="A53" s="195" t="s">
        <v>299</v>
      </c>
      <c r="B53" s="201">
        <v>0</v>
      </c>
      <c r="C53" s="196">
        <f t="shared" si="0"/>
        <v>0</v>
      </c>
      <c r="D53" s="1" t="s">
        <v>299</v>
      </c>
      <c r="E53" s="156">
        <v>0</v>
      </c>
      <c r="F53" s="204">
        <f t="shared" si="1"/>
        <v>0</v>
      </c>
    </row>
    <row r="54" spans="1:6" ht="14.95" customHeight="1" thickBot="1" x14ac:dyDescent="0.3">
      <c r="A54" s="195" t="s">
        <v>283</v>
      </c>
      <c r="B54" s="201">
        <v>1</v>
      </c>
      <c r="C54" s="196">
        <f t="shared" si="0"/>
        <v>1</v>
      </c>
      <c r="D54" s="1" t="s">
        <v>283</v>
      </c>
      <c r="E54" s="156">
        <v>5</v>
      </c>
      <c r="F54" s="204">
        <f t="shared" si="1"/>
        <v>5</v>
      </c>
    </row>
    <row r="55" spans="1:6" ht="14.95" customHeight="1" thickBot="1" x14ac:dyDescent="0.3">
      <c r="A55" s="195" t="s">
        <v>3</v>
      </c>
      <c r="B55" s="201">
        <f>SUM(B3:B54)</f>
        <v>60</v>
      </c>
      <c r="C55" s="196">
        <f t="shared" ref="C55" si="2">SUM(B55:B55)</f>
        <v>60</v>
      </c>
      <c r="D55" s="1" t="s">
        <v>3</v>
      </c>
      <c r="E55" s="156">
        <f>SUM(E3:E54)</f>
        <v>389</v>
      </c>
      <c r="F55" s="204">
        <f t="shared" ref="F55" si="3">SUM(E55:E55)</f>
        <v>389</v>
      </c>
    </row>
    <row r="56" spans="1:6" ht="14.95" customHeight="1" x14ac:dyDescent="0.25">
      <c r="A56" s="97"/>
      <c r="B56" s="98"/>
      <c r="C56" s="45"/>
      <c r="D56" s="97"/>
      <c r="E56" s="99"/>
      <c r="F56" s="45"/>
    </row>
    <row r="57" spans="1:6" ht="14.95" customHeight="1" thickBot="1" x14ac:dyDescent="0.3">
      <c r="A57" s="100" t="s">
        <v>9</v>
      </c>
      <c r="B57" s="98"/>
      <c r="C57" s="45"/>
      <c r="D57" s="97"/>
      <c r="E57" s="99"/>
      <c r="F57" s="45"/>
    </row>
    <row r="58" spans="1:6" ht="14.95" customHeight="1" thickBot="1" x14ac:dyDescent="0.3">
      <c r="A58" s="198" t="s">
        <v>0</v>
      </c>
      <c r="B58" s="200" t="s">
        <v>47</v>
      </c>
      <c r="C58" s="202" t="s">
        <v>1</v>
      </c>
      <c r="D58" s="17" t="s">
        <v>2</v>
      </c>
      <c r="E58" s="153" t="s">
        <v>47</v>
      </c>
      <c r="F58" s="203" t="s">
        <v>1</v>
      </c>
    </row>
    <row r="59" spans="1:6" ht="14.95" thickBot="1" x14ac:dyDescent="0.3">
      <c r="A59" s="195" t="s">
        <v>266</v>
      </c>
      <c r="B59" s="201">
        <v>6</v>
      </c>
      <c r="C59" s="196">
        <f>SUM(B59:B59)</f>
        <v>6</v>
      </c>
      <c r="D59" s="1" t="s">
        <v>260</v>
      </c>
      <c r="E59" s="156">
        <v>54</v>
      </c>
      <c r="F59" s="204">
        <f>SUM(E59:E59)</f>
        <v>54</v>
      </c>
    </row>
    <row r="60" spans="1:6" ht="14.95" thickBot="1" x14ac:dyDescent="0.3">
      <c r="A60" s="195" t="s">
        <v>268</v>
      </c>
      <c r="B60" s="201">
        <v>6</v>
      </c>
      <c r="C60" s="196">
        <f>SUM(B60:B60)</f>
        <v>6</v>
      </c>
      <c r="D60" s="1" t="s">
        <v>280</v>
      </c>
      <c r="E60" s="156">
        <v>38</v>
      </c>
      <c r="F60" s="204">
        <f>SUM(E60:E60)</f>
        <v>38</v>
      </c>
    </row>
    <row r="61" spans="1:6" ht="14.95" thickBot="1" x14ac:dyDescent="0.3">
      <c r="A61" s="195" t="s">
        <v>267</v>
      </c>
      <c r="B61" s="201">
        <v>6</v>
      </c>
      <c r="C61" s="196">
        <f>SUM(B61:B61)</f>
        <v>6</v>
      </c>
      <c r="D61" s="1" t="s">
        <v>266</v>
      </c>
      <c r="E61" s="156">
        <v>30</v>
      </c>
      <c r="F61" s="204">
        <f>SUM(E61:E61)</f>
        <v>30</v>
      </c>
    </row>
    <row r="62" spans="1:6" ht="14.95" thickBot="1" x14ac:dyDescent="0.3">
      <c r="A62" s="195" t="s">
        <v>275</v>
      </c>
      <c r="B62" s="201">
        <v>5</v>
      </c>
      <c r="C62" s="196">
        <f>SUM(B62:B62)</f>
        <v>5</v>
      </c>
      <c r="D62" s="1" t="s">
        <v>268</v>
      </c>
      <c r="E62" s="156">
        <v>30</v>
      </c>
      <c r="F62" s="204">
        <f>SUM(E62:E62)</f>
        <v>30</v>
      </c>
    </row>
    <row r="63" spans="1:6" ht="14.95" thickBot="1" x14ac:dyDescent="0.3">
      <c r="A63" s="195" t="s">
        <v>309</v>
      </c>
      <c r="B63" s="201">
        <v>5</v>
      </c>
      <c r="C63" s="196">
        <f>SUM(B63:B63)</f>
        <v>5</v>
      </c>
      <c r="D63" s="1" t="s">
        <v>267</v>
      </c>
      <c r="E63" s="156">
        <v>30</v>
      </c>
      <c r="F63" s="204">
        <f>SUM(E63:E63)</f>
        <v>30</v>
      </c>
    </row>
    <row r="64" spans="1:6" ht="14.95" thickBot="1" x14ac:dyDescent="0.3">
      <c r="A64" s="195" t="s">
        <v>274</v>
      </c>
      <c r="B64" s="201">
        <v>5</v>
      </c>
      <c r="C64" s="196">
        <f>SUM(B64:B64)</f>
        <v>5</v>
      </c>
      <c r="D64" s="1" t="s">
        <v>275</v>
      </c>
      <c r="E64" s="156">
        <v>25</v>
      </c>
      <c r="F64" s="204">
        <f>SUM(E64:E64)</f>
        <v>25</v>
      </c>
    </row>
    <row r="65" spans="1:6" ht="14.95" thickBot="1" x14ac:dyDescent="0.3">
      <c r="A65" s="195" t="s">
        <v>276</v>
      </c>
      <c r="B65" s="201">
        <v>4</v>
      </c>
      <c r="C65" s="196">
        <f>SUM(B65:B65)</f>
        <v>4</v>
      </c>
      <c r="D65" s="1" t="s">
        <v>309</v>
      </c>
      <c r="E65" s="156">
        <v>25</v>
      </c>
      <c r="F65" s="204">
        <f>SUM(E65:E65)</f>
        <v>25</v>
      </c>
    </row>
    <row r="66" spans="1:6" ht="14.95" thickBot="1" x14ac:dyDescent="0.3">
      <c r="A66" s="195" t="s">
        <v>280</v>
      </c>
      <c r="B66" s="201">
        <v>4</v>
      </c>
      <c r="C66" s="196">
        <f>SUM(B66:B66)</f>
        <v>4</v>
      </c>
      <c r="D66" s="1" t="s">
        <v>274</v>
      </c>
      <c r="E66" s="156">
        <v>25</v>
      </c>
      <c r="F66" s="204">
        <f>SUM(E66:E66)</f>
        <v>25</v>
      </c>
    </row>
    <row r="67" spans="1:6" ht="14.95" thickBot="1" x14ac:dyDescent="0.3">
      <c r="A67" s="195" t="s">
        <v>277</v>
      </c>
      <c r="B67" s="201">
        <v>3</v>
      </c>
      <c r="C67" s="196">
        <f>SUM(B67:B67)</f>
        <v>3</v>
      </c>
      <c r="D67" s="1" t="s">
        <v>276</v>
      </c>
      <c r="E67" s="156">
        <v>20</v>
      </c>
      <c r="F67" s="204">
        <f>SUM(E67:E67)</f>
        <v>20</v>
      </c>
    </row>
    <row r="68" spans="1:6" ht="14.95" thickBot="1" x14ac:dyDescent="0.3">
      <c r="A68" s="195" t="s">
        <v>279</v>
      </c>
      <c r="B68" s="201">
        <v>2</v>
      </c>
      <c r="C68" s="196">
        <f>SUM(B68:B68)</f>
        <v>2</v>
      </c>
      <c r="D68" s="1" t="s">
        <v>277</v>
      </c>
      <c r="E68" s="156">
        <v>15</v>
      </c>
      <c r="F68" s="204">
        <f>SUM(E68:E68)</f>
        <v>15</v>
      </c>
    </row>
    <row r="69" spans="1:6" ht="14.95" thickBot="1" x14ac:dyDescent="0.3">
      <c r="A69" s="195" t="s">
        <v>281</v>
      </c>
      <c r="B69" s="201">
        <v>2</v>
      </c>
      <c r="C69" s="196">
        <f>SUM(B69:B69)</f>
        <v>2</v>
      </c>
      <c r="D69" s="1" t="s">
        <v>293</v>
      </c>
      <c r="E69" s="156">
        <v>12</v>
      </c>
      <c r="F69" s="204">
        <f>SUM(E69:E69)</f>
        <v>12</v>
      </c>
    </row>
    <row r="70" spans="1:6" ht="14.95" thickBot="1" x14ac:dyDescent="0.3">
      <c r="A70" s="195" t="s">
        <v>278</v>
      </c>
      <c r="B70" s="201">
        <v>2</v>
      </c>
      <c r="C70" s="196">
        <f>SUM(B70:B70)</f>
        <v>2</v>
      </c>
      <c r="D70" s="1" t="s">
        <v>279</v>
      </c>
      <c r="E70" s="156">
        <v>10</v>
      </c>
      <c r="F70" s="204">
        <f>SUM(E70:E70)</f>
        <v>10</v>
      </c>
    </row>
    <row r="71" spans="1:6" ht="14.95" thickBot="1" x14ac:dyDescent="0.3">
      <c r="A71" s="195" t="s">
        <v>286</v>
      </c>
      <c r="B71" s="201">
        <v>1</v>
      </c>
      <c r="C71" s="196">
        <f>SUM(B71:B71)</f>
        <v>1</v>
      </c>
      <c r="D71" s="1" t="s">
        <v>281</v>
      </c>
      <c r="E71" s="156">
        <v>10</v>
      </c>
      <c r="F71" s="204">
        <f>SUM(E71:E71)</f>
        <v>10</v>
      </c>
    </row>
    <row r="72" spans="1:6" ht="14.95" thickBot="1" x14ac:dyDescent="0.3">
      <c r="A72" s="195" t="s">
        <v>285</v>
      </c>
      <c r="B72" s="201">
        <v>1</v>
      </c>
      <c r="C72" s="196">
        <f>SUM(B72:B72)</f>
        <v>1</v>
      </c>
      <c r="D72" s="1" t="s">
        <v>278</v>
      </c>
      <c r="E72" s="156">
        <v>10</v>
      </c>
      <c r="F72" s="204">
        <f>SUM(E72:E72)</f>
        <v>10</v>
      </c>
    </row>
    <row r="73" spans="1:6" ht="14.95" thickBot="1" x14ac:dyDescent="0.3">
      <c r="A73" s="195" t="s">
        <v>288</v>
      </c>
      <c r="B73" s="201">
        <v>1</v>
      </c>
      <c r="C73" s="196">
        <f>SUM(B73:B73)</f>
        <v>1</v>
      </c>
      <c r="D73" s="1" t="s">
        <v>286</v>
      </c>
      <c r="E73" s="156">
        <v>5</v>
      </c>
      <c r="F73" s="204">
        <f>SUM(E73:E73)</f>
        <v>5</v>
      </c>
    </row>
    <row r="74" spans="1:6" ht="14.95" thickBot="1" x14ac:dyDescent="0.3">
      <c r="A74" s="195" t="s">
        <v>290</v>
      </c>
      <c r="B74" s="201">
        <v>1</v>
      </c>
      <c r="C74" s="196">
        <f>SUM(B74:B74)</f>
        <v>1</v>
      </c>
      <c r="D74" s="1" t="s">
        <v>285</v>
      </c>
      <c r="E74" s="156">
        <v>5</v>
      </c>
      <c r="F74" s="204">
        <f>SUM(E74:E74)</f>
        <v>5</v>
      </c>
    </row>
    <row r="75" spans="1:6" ht="14.95" thickBot="1" x14ac:dyDescent="0.3">
      <c r="A75" s="195" t="s">
        <v>291</v>
      </c>
      <c r="B75" s="201">
        <v>1</v>
      </c>
      <c r="C75" s="196">
        <f>SUM(B75:B75)</f>
        <v>1</v>
      </c>
      <c r="D75" s="1" t="s">
        <v>288</v>
      </c>
      <c r="E75" s="156">
        <v>5</v>
      </c>
      <c r="F75" s="204">
        <f>SUM(E75:E75)</f>
        <v>5</v>
      </c>
    </row>
    <row r="76" spans="1:6" ht="14.95" thickBot="1" x14ac:dyDescent="0.3">
      <c r="A76" s="195" t="s">
        <v>289</v>
      </c>
      <c r="B76" s="201">
        <v>1</v>
      </c>
      <c r="C76" s="196">
        <f>SUM(B76:B76)</f>
        <v>1</v>
      </c>
      <c r="D76" s="1" t="s">
        <v>290</v>
      </c>
      <c r="E76" s="156">
        <v>5</v>
      </c>
      <c r="F76" s="204">
        <f>SUM(E76:E76)</f>
        <v>5</v>
      </c>
    </row>
    <row r="77" spans="1:6" ht="14.95" thickBot="1" x14ac:dyDescent="0.3">
      <c r="A77" s="195" t="s">
        <v>284</v>
      </c>
      <c r="B77" s="201">
        <v>1</v>
      </c>
      <c r="C77" s="196">
        <f>SUM(B77:B77)</f>
        <v>1</v>
      </c>
      <c r="D77" s="1" t="s">
        <v>291</v>
      </c>
      <c r="E77" s="156">
        <v>5</v>
      </c>
      <c r="F77" s="204">
        <f>SUM(E77:E77)</f>
        <v>5</v>
      </c>
    </row>
    <row r="78" spans="1:6" ht="14.95" thickBot="1" x14ac:dyDescent="0.3">
      <c r="A78" s="195" t="s">
        <v>287</v>
      </c>
      <c r="B78" s="201">
        <v>1</v>
      </c>
      <c r="C78" s="196">
        <f>SUM(B78:B78)</f>
        <v>1</v>
      </c>
      <c r="D78" s="1" t="s">
        <v>289</v>
      </c>
      <c r="E78" s="156">
        <v>5</v>
      </c>
      <c r="F78" s="204">
        <f>SUM(E78:E78)</f>
        <v>5</v>
      </c>
    </row>
    <row r="79" spans="1:6" ht="14.95" thickBot="1" x14ac:dyDescent="0.3">
      <c r="A79" s="195" t="s">
        <v>282</v>
      </c>
      <c r="B79" s="201">
        <v>1</v>
      </c>
      <c r="C79" s="196">
        <f>SUM(B79:B79)</f>
        <v>1</v>
      </c>
      <c r="D79" s="1" t="s">
        <v>284</v>
      </c>
      <c r="E79" s="156">
        <v>5</v>
      </c>
      <c r="F79" s="204">
        <f>SUM(E79:E79)</f>
        <v>5</v>
      </c>
    </row>
    <row r="80" spans="1:6" ht="14.95" thickBot="1" x14ac:dyDescent="0.3">
      <c r="A80" s="195" t="s">
        <v>283</v>
      </c>
      <c r="B80" s="201">
        <v>1</v>
      </c>
      <c r="C80" s="196">
        <f>SUM(B80:B80)</f>
        <v>1</v>
      </c>
      <c r="D80" s="1" t="s">
        <v>287</v>
      </c>
      <c r="E80" s="156">
        <v>5</v>
      </c>
      <c r="F80" s="204">
        <f>SUM(E80:E80)</f>
        <v>5</v>
      </c>
    </row>
    <row r="81" spans="1:6" ht="14.95" thickBot="1" x14ac:dyDescent="0.3">
      <c r="A81" s="195" t="s">
        <v>307</v>
      </c>
      <c r="B81" s="201">
        <v>0</v>
      </c>
      <c r="C81" s="196">
        <f>SUM(B81:B81)</f>
        <v>0</v>
      </c>
      <c r="D81" s="1" t="s">
        <v>282</v>
      </c>
      <c r="E81" s="156">
        <v>5</v>
      </c>
      <c r="F81" s="204">
        <f>SUM(E81:E81)</f>
        <v>5</v>
      </c>
    </row>
    <row r="82" spans="1:6" ht="14.95" thickBot="1" x14ac:dyDescent="0.3">
      <c r="A82" s="195" t="s">
        <v>312</v>
      </c>
      <c r="B82" s="201">
        <v>0</v>
      </c>
      <c r="C82" s="196">
        <f>SUM(B82:B82)</f>
        <v>0</v>
      </c>
      <c r="D82" s="1" t="s">
        <v>283</v>
      </c>
      <c r="E82" s="156">
        <v>5</v>
      </c>
      <c r="F82" s="204">
        <f>SUM(E82:E82)</f>
        <v>5</v>
      </c>
    </row>
    <row r="83" spans="1:6" ht="14.95" thickBot="1" x14ac:dyDescent="0.3">
      <c r="A83" s="195" t="s">
        <v>311</v>
      </c>
      <c r="B83" s="201">
        <v>0</v>
      </c>
      <c r="C83" s="196">
        <f>SUM(B83:B83)</f>
        <v>0</v>
      </c>
      <c r="D83" s="1" t="s">
        <v>87</v>
      </c>
      <c r="E83" s="156">
        <v>3</v>
      </c>
      <c r="F83" s="204">
        <f>SUM(E83:E83)</f>
        <v>3</v>
      </c>
    </row>
    <row r="84" spans="1:6" ht="14.95" thickBot="1" x14ac:dyDescent="0.3">
      <c r="A84" s="195" t="s">
        <v>292</v>
      </c>
      <c r="B84" s="201">
        <v>0</v>
      </c>
      <c r="C84" s="196">
        <f>SUM(B84:B84)</f>
        <v>0</v>
      </c>
      <c r="D84" s="1" t="s">
        <v>292</v>
      </c>
      <c r="E84" s="156">
        <v>2</v>
      </c>
      <c r="F84" s="204">
        <f>SUM(E84:E84)</f>
        <v>2</v>
      </c>
    </row>
    <row r="85" spans="1:6" ht="14.95" thickBot="1" x14ac:dyDescent="0.3">
      <c r="A85" s="195" t="s">
        <v>260</v>
      </c>
      <c r="B85" s="201">
        <v>0</v>
      </c>
      <c r="C85" s="196">
        <f>SUM(B85:B85)</f>
        <v>0</v>
      </c>
      <c r="D85" s="1" t="s">
        <v>307</v>
      </c>
      <c r="E85" s="156">
        <v>0</v>
      </c>
      <c r="F85" s="204">
        <f>SUM(E85:E85)</f>
        <v>0</v>
      </c>
    </row>
    <row r="86" spans="1:6" ht="14.95" thickBot="1" x14ac:dyDescent="0.3">
      <c r="A86" s="195" t="s">
        <v>305</v>
      </c>
      <c r="B86" s="201">
        <v>0</v>
      </c>
      <c r="C86" s="196">
        <f>SUM(B86:B86)</f>
        <v>0</v>
      </c>
      <c r="D86" s="1" t="s">
        <v>312</v>
      </c>
      <c r="E86" s="156">
        <v>0</v>
      </c>
      <c r="F86" s="204">
        <f>SUM(E86:E86)</f>
        <v>0</v>
      </c>
    </row>
    <row r="87" spans="1:6" ht="14.95" thickBot="1" x14ac:dyDescent="0.3">
      <c r="A87" s="195" t="s">
        <v>294</v>
      </c>
      <c r="B87" s="201">
        <v>0</v>
      </c>
      <c r="C87" s="196">
        <f>SUM(B87:B87)</f>
        <v>0</v>
      </c>
      <c r="D87" s="1" t="s">
        <v>311</v>
      </c>
      <c r="E87" s="156">
        <v>0</v>
      </c>
      <c r="F87" s="204">
        <f>SUM(E87:E87)</f>
        <v>0</v>
      </c>
    </row>
    <row r="88" spans="1:6" ht="14.95" thickBot="1" x14ac:dyDescent="0.3">
      <c r="A88" s="195" t="s">
        <v>300</v>
      </c>
      <c r="B88" s="201">
        <v>0</v>
      </c>
      <c r="C88" s="196">
        <f>SUM(B88:B88)</f>
        <v>0</v>
      </c>
      <c r="D88" s="1" t="s">
        <v>305</v>
      </c>
      <c r="E88" s="156">
        <v>0</v>
      </c>
      <c r="F88" s="204">
        <f>SUM(E88:E88)</f>
        <v>0</v>
      </c>
    </row>
    <row r="89" spans="1:6" ht="14.95" thickBot="1" x14ac:dyDescent="0.3">
      <c r="A89" s="195" t="s">
        <v>313</v>
      </c>
      <c r="B89" s="201">
        <v>0</v>
      </c>
      <c r="C89" s="196">
        <f>SUM(B89:B89)</f>
        <v>0</v>
      </c>
      <c r="D89" s="1" t="s">
        <v>294</v>
      </c>
      <c r="E89" s="156">
        <v>0</v>
      </c>
      <c r="F89" s="204">
        <f>SUM(E89:E89)</f>
        <v>0</v>
      </c>
    </row>
    <row r="90" spans="1:6" ht="14.95" thickBot="1" x14ac:dyDescent="0.3">
      <c r="A90" s="195" t="s">
        <v>301</v>
      </c>
      <c r="B90" s="201">
        <v>0</v>
      </c>
      <c r="C90" s="196">
        <f>SUM(B90:B90)</f>
        <v>0</v>
      </c>
      <c r="D90" s="1" t="s">
        <v>300</v>
      </c>
      <c r="E90" s="156">
        <v>0</v>
      </c>
      <c r="F90" s="204">
        <f>SUM(E90:E90)</f>
        <v>0</v>
      </c>
    </row>
    <row r="91" spans="1:6" ht="14.95" thickBot="1" x14ac:dyDescent="0.3">
      <c r="A91" s="195" t="s">
        <v>302</v>
      </c>
      <c r="B91" s="201">
        <v>0</v>
      </c>
      <c r="C91" s="196">
        <f>SUM(B91:B91)</f>
        <v>0</v>
      </c>
      <c r="D91" s="1" t="s">
        <v>313</v>
      </c>
      <c r="E91" s="156">
        <v>0</v>
      </c>
      <c r="F91" s="204">
        <f>SUM(E91:E91)</f>
        <v>0</v>
      </c>
    </row>
    <row r="92" spans="1:6" ht="14.95" thickBot="1" x14ac:dyDescent="0.3">
      <c r="A92" s="195" t="s">
        <v>308</v>
      </c>
      <c r="B92" s="201">
        <v>0</v>
      </c>
      <c r="C92" s="196">
        <f>SUM(B92:B92)</f>
        <v>0</v>
      </c>
      <c r="D92" s="1" t="s">
        <v>301</v>
      </c>
      <c r="E92" s="156">
        <v>0</v>
      </c>
      <c r="F92" s="204">
        <f>SUM(E92:E92)</f>
        <v>0</v>
      </c>
    </row>
    <row r="93" spans="1:6" ht="14.95" thickBot="1" x14ac:dyDescent="0.3">
      <c r="A93" s="195" t="s">
        <v>293</v>
      </c>
      <c r="B93" s="201">
        <v>0</v>
      </c>
      <c r="C93" s="196">
        <f>SUM(B93:B93)</f>
        <v>0</v>
      </c>
      <c r="D93" s="1" t="s">
        <v>302</v>
      </c>
      <c r="E93" s="156">
        <v>0</v>
      </c>
      <c r="F93" s="204">
        <f>SUM(E93:E93)</f>
        <v>0</v>
      </c>
    </row>
    <row r="94" spans="1:6" ht="14.95" thickBot="1" x14ac:dyDescent="0.3">
      <c r="A94" s="195" t="s">
        <v>17</v>
      </c>
      <c r="B94" s="201">
        <v>0</v>
      </c>
      <c r="C94" s="196">
        <f>SUM(B94:B94)</f>
        <v>0</v>
      </c>
      <c r="D94" s="1" t="s">
        <v>308</v>
      </c>
      <c r="E94" s="156">
        <v>0</v>
      </c>
      <c r="F94" s="204">
        <f>SUM(E94:E94)</f>
        <v>0</v>
      </c>
    </row>
    <row r="95" spans="1:6" ht="14.95" thickBot="1" x14ac:dyDescent="0.3">
      <c r="A95" s="195" t="s">
        <v>303</v>
      </c>
      <c r="B95" s="201">
        <v>0</v>
      </c>
      <c r="C95" s="196">
        <f>SUM(B95:B95)</f>
        <v>0</v>
      </c>
      <c r="D95" s="1" t="s">
        <v>17</v>
      </c>
      <c r="E95" s="156">
        <v>0</v>
      </c>
      <c r="F95" s="204">
        <f>SUM(E95:E95)</f>
        <v>0</v>
      </c>
    </row>
    <row r="96" spans="1:6" ht="14.95" thickBot="1" x14ac:dyDescent="0.3">
      <c r="A96" s="195" t="s">
        <v>43</v>
      </c>
      <c r="B96" s="201">
        <v>0</v>
      </c>
      <c r="C96" s="196">
        <f>SUM(B96:B96)</f>
        <v>0</v>
      </c>
      <c r="D96" s="1" t="s">
        <v>303</v>
      </c>
      <c r="E96" s="156">
        <v>0</v>
      </c>
      <c r="F96" s="204">
        <f>SUM(E96:E96)</f>
        <v>0</v>
      </c>
    </row>
    <row r="97" spans="1:6" ht="14.95" thickBot="1" x14ac:dyDescent="0.3">
      <c r="A97" s="195" t="s">
        <v>304</v>
      </c>
      <c r="B97" s="201">
        <v>0</v>
      </c>
      <c r="C97" s="196">
        <f>SUM(B97:B97)</f>
        <v>0</v>
      </c>
      <c r="D97" s="1" t="s">
        <v>43</v>
      </c>
      <c r="E97" s="156">
        <v>0</v>
      </c>
      <c r="F97" s="204">
        <f>SUM(E97:E97)</f>
        <v>0</v>
      </c>
    </row>
    <row r="98" spans="1:6" ht="14.95" thickBot="1" x14ac:dyDescent="0.3">
      <c r="A98" s="195" t="s">
        <v>296</v>
      </c>
      <c r="B98" s="201">
        <v>0</v>
      </c>
      <c r="C98" s="196">
        <f>SUM(B98:B98)</f>
        <v>0</v>
      </c>
      <c r="D98" s="1" t="s">
        <v>304</v>
      </c>
      <c r="E98" s="156">
        <v>0</v>
      </c>
      <c r="F98" s="204">
        <f>SUM(E98:E98)</f>
        <v>0</v>
      </c>
    </row>
    <row r="99" spans="1:6" ht="14.95" thickBot="1" x14ac:dyDescent="0.3">
      <c r="A99" s="195" t="s">
        <v>4</v>
      </c>
      <c r="B99" s="201">
        <v>0</v>
      </c>
      <c r="C99" s="196">
        <f>SUM(B99:B99)</f>
        <v>0</v>
      </c>
      <c r="D99" s="1" t="s">
        <v>296</v>
      </c>
      <c r="E99" s="156">
        <v>0</v>
      </c>
      <c r="F99" s="204">
        <f>SUM(E99:E99)</f>
        <v>0</v>
      </c>
    </row>
    <row r="100" spans="1:6" ht="14.95" thickBot="1" x14ac:dyDescent="0.3">
      <c r="A100" s="195" t="s">
        <v>310</v>
      </c>
      <c r="B100" s="201">
        <v>0</v>
      </c>
      <c r="C100" s="196">
        <f>SUM(B100:B100)</f>
        <v>0</v>
      </c>
      <c r="D100" s="1" t="s">
        <v>4</v>
      </c>
      <c r="E100" s="156">
        <v>0</v>
      </c>
      <c r="F100" s="204">
        <f>SUM(E100:E100)</f>
        <v>0</v>
      </c>
    </row>
    <row r="101" spans="1:6" ht="14.95" thickBot="1" x14ac:dyDescent="0.3">
      <c r="A101" s="195" t="s">
        <v>314</v>
      </c>
      <c r="B101" s="201">
        <v>0</v>
      </c>
      <c r="C101" s="196">
        <f>SUM(B101:B101)</f>
        <v>0</v>
      </c>
      <c r="D101" s="1" t="s">
        <v>310</v>
      </c>
      <c r="E101" s="156">
        <v>0</v>
      </c>
      <c r="F101" s="204">
        <f>SUM(E101:E101)</f>
        <v>0</v>
      </c>
    </row>
    <row r="102" spans="1:6" ht="14.95" thickBot="1" x14ac:dyDescent="0.3">
      <c r="A102" s="195" t="s">
        <v>297</v>
      </c>
      <c r="B102" s="201">
        <v>0</v>
      </c>
      <c r="C102" s="196">
        <f>SUM(B102:B102)</f>
        <v>0</v>
      </c>
      <c r="D102" s="1" t="s">
        <v>314</v>
      </c>
      <c r="E102" s="156">
        <v>0</v>
      </c>
      <c r="F102" s="204">
        <f>SUM(E102:E102)</f>
        <v>0</v>
      </c>
    </row>
    <row r="103" spans="1:6" ht="14.95" thickBot="1" x14ac:dyDescent="0.3">
      <c r="A103" s="195" t="s">
        <v>306</v>
      </c>
      <c r="B103" s="201">
        <v>0</v>
      </c>
      <c r="C103" s="196">
        <f>SUM(B103:B103)</f>
        <v>0</v>
      </c>
      <c r="D103" s="1" t="s">
        <v>297</v>
      </c>
      <c r="E103" s="156">
        <v>0</v>
      </c>
      <c r="F103" s="204">
        <f>SUM(E103:E103)</f>
        <v>0</v>
      </c>
    </row>
    <row r="104" spans="1:6" ht="14.95" thickBot="1" x14ac:dyDescent="0.3">
      <c r="A104" s="195" t="s">
        <v>298</v>
      </c>
      <c r="B104" s="201">
        <v>0</v>
      </c>
      <c r="C104" s="196">
        <f>SUM(B104:B104)</f>
        <v>0</v>
      </c>
      <c r="D104" s="1" t="s">
        <v>306</v>
      </c>
      <c r="E104" s="156">
        <v>0</v>
      </c>
      <c r="F104" s="204">
        <f>SUM(E104:E104)</f>
        <v>0</v>
      </c>
    </row>
    <row r="105" spans="1:6" ht="14.95" thickBot="1" x14ac:dyDescent="0.3">
      <c r="A105" s="195" t="s">
        <v>315</v>
      </c>
      <c r="B105" s="201">
        <v>0</v>
      </c>
      <c r="C105" s="196">
        <f>SUM(B105:B105)</f>
        <v>0</v>
      </c>
      <c r="D105" s="1" t="s">
        <v>298</v>
      </c>
      <c r="E105" s="156">
        <v>0</v>
      </c>
      <c r="F105" s="204">
        <f>SUM(E105:E105)</f>
        <v>0</v>
      </c>
    </row>
    <row r="106" spans="1:6" ht="14.95" thickBot="1" x14ac:dyDescent="0.3">
      <c r="A106" s="195" t="s">
        <v>295</v>
      </c>
      <c r="B106" s="201">
        <v>0</v>
      </c>
      <c r="C106" s="196">
        <f>SUM(B106:B106)</f>
        <v>0</v>
      </c>
      <c r="D106" s="1" t="s">
        <v>315</v>
      </c>
      <c r="E106" s="156">
        <v>0</v>
      </c>
      <c r="F106" s="204">
        <f>SUM(E106:E106)</f>
        <v>0</v>
      </c>
    </row>
    <row r="107" spans="1:6" ht="14.95" thickBot="1" x14ac:dyDescent="0.3">
      <c r="A107" s="195" t="s">
        <v>87</v>
      </c>
      <c r="B107" s="201">
        <v>0</v>
      </c>
      <c r="C107" s="196">
        <f>SUM(B107:B107)</f>
        <v>0</v>
      </c>
      <c r="D107" s="1" t="s">
        <v>295</v>
      </c>
      <c r="E107" s="156">
        <v>0</v>
      </c>
      <c r="F107" s="204">
        <f>SUM(E107:E107)</f>
        <v>0</v>
      </c>
    </row>
    <row r="108" spans="1:6" ht="14.95" thickBot="1" x14ac:dyDescent="0.3">
      <c r="A108" s="195" t="s">
        <v>316</v>
      </c>
      <c r="B108" s="201">
        <v>0</v>
      </c>
      <c r="C108" s="196">
        <f>SUM(B108:B108)</f>
        <v>0</v>
      </c>
      <c r="D108" s="1" t="s">
        <v>316</v>
      </c>
      <c r="E108" s="156">
        <v>0</v>
      </c>
      <c r="F108" s="204">
        <f>SUM(E108:E108)</f>
        <v>0</v>
      </c>
    </row>
    <row r="109" spans="1:6" ht="14.95" thickBot="1" x14ac:dyDescent="0.3">
      <c r="A109" s="195" t="s">
        <v>317</v>
      </c>
      <c r="B109" s="201">
        <v>0</v>
      </c>
      <c r="C109" s="196">
        <f>SUM(B109:B109)</f>
        <v>0</v>
      </c>
      <c r="D109" s="1" t="s">
        <v>317</v>
      </c>
      <c r="E109" s="156">
        <v>0</v>
      </c>
      <c r="F109" s="204">
        <f>SUM(E109:E109)</f>
        <v>0</v>
      </c>
    </row>
    <row r="110" spans="1:6" ht="14.95" thickBot="1" x14ac:dyDescent="0.3">
      <c r="A110" s="195" t="s">
        <v>299</v>
      </c>
      <c r="B110" s="201">
        <v>0</v>
      </c>
      <c r="C110" s="196">
        <f>SUM(B110:B110)</f>
        <v>0</v>
      </c>
      <c r="D110" s="1" t="s">
        <v>299</v>
      </c>
      <c r="E110" s="156">
        <v>0</v>
      </c>
      <c r="F110" s="204">
        <f>SUM(E110:E110)</f>
        <v>0</v>
      </c>
    </row>
    <row r="111" spans="1:6" ht="14.95" thickBot="1" x14ac:dyDescent="0.3">
      <c r="A111" s="195" t="s">
        <v>3</v>
      </c>
      <c r="B111" s="201">
        <f>SUM(B59:B110)</f>
        <v>60</v>
      </c>
      <c r="C111" s="196">
        <f t="shared" ref="C111" si="4">SUM(B111:B111)</f>
        <v>60</v>
      </c>
      <c r="D111" s="1" t="s">
        <v>3</v>
      </c>
      <c r="E111" s="156">
        <f>SUM(E59:E110)</f>
        <v>389</v>
      </c>
      <c r="F111" s="204">
        <f t="shared" ref="F111" si="5">SUM(E111:E111)</f>
        <v>389</v>
      </c>
    </row>
    <row r="112" spans="1:6" x14ac:dyDescent="0.25">
      <c r="A112" s="165" t="s">
        <v>20</v>
      </c>
      <c r="B112" s="166"/>
      <c r="C112" s="166"/>
      <c r="D112" s="166"/>
      <c r="E112" s="166"/>
      <c r="F112" s="166"/>
    </row>
  </sheetData>
  <sortState xmlns:xlrd2="http://schemas.microsoft.com/office/spreadsheetml/2017/richdata2" ref="D59:F110">
    <sortCondition descending="1" ref="F59:F110"/>
  </sortState>
  <mergeCells count="6">
    <mergeCell ref="A1:F1"/>
    <mergeCell ref="G1:G2"/>
    <mergeCell ref="H1:J2"/>
    <mergeCell ref="K1:M2"/>
    <mergeCell ref="N1:O2"/>
    <mergeCell ref="A112:F1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D8030-C84B-454F-B894-8046D17AFCDD}">
  <dimension ref="A1:R116"/>
  <sheetViews>
    <sheetView topLeftCell="A41" workbookViewId="0">
      <selection sqref="A1:O59"/>
    </sheetView>
  </sheetViews>
  <sheetFormatPr defaultRowHeight="14.3" x14ac:dyDescent="0.25"/>
  <cols>
    <col min="1" max="1" width="15.75" customWidth="1"/>
    <col min="2" max="2" width="3.75" customWidth="1"/>
    <col min="3" max="3" width="4.75" customWidth="1"/>
    <col min="4" max="4" width="15.75" customWidth="1"/>
    <col min="5" max="6" width="5.25" customWidth="1"/>
    <col min="7" max="7" width="15.75" customWidth="1"/>
    <col min="8" max="24" width="5.75" customWidth="1"/>
  </cols>
  <sheetData>
    <row r="1" spans="1:18" ht="17" thickBot="1" x14ac:dyDescent="0.3">
      <c r="A1" s="183" t="s">
        <v>41</v>
      </c>
      <c r="B1" s="184"/>
      <c r="C1" s="184"/>
      <c r="D1" s="184"/>
      <c r="E1" s="184"/>
      <c r="F1" s="185"/>
      <c r="G1" s="176" t="s">
        <v>248</v>
      </c>
      <c r="H1" s="172" t="s">
        <v>12</v>
      </c>
      <c r="I1" s="178"/>
      <c r="J1" s="173"/>
      <c r="K1" s="172" t="s">
        <v>22</v>
      </c>
      <c r="L1" s="178"/>
      <c r="M1" s="173"/>
      <c r="N1" s="172" t="s">
        <v>37</v>
      </c>
      <c r="O1" s="173"/>
      <c r="P1" s="88"/>
      <c r="Q1" s="67"/>
      <c r="R1" s="67"/>
    </row>
    <row r="2" spans="1:18" ht="14.95" customHeight="1" thickBot="1" x14ac:dyDescent="0.3">
      <c r="A2" s="110" t="s">
        <v>0</v>
      </c>
      <c r="B2" s="154" t="s">
        <v>47</v>
      </c>
      <c r="C2" s="112" t="s">
        <v>1</v>
      </c>
      <c r="D2" s="102" t="s">
        <v>2</v>
      </c>
      <c r="E2" s="153" t="s">
        <v>47</v>
      </c>
      <c r="F2" s="101" t="s">
        <v>1</v>
      </c>
      <c r="G2" s="177"/>
      <c r="H2" s="174"/>
      <c r="I2" s="179"/>
      <c r="J2" s="175"/>
      <c r="K2" s="174"/>
      <c r="L2" s="179"/>
      <c r="M2" s="175"/>
      <c r="N2" s="174"/>
      <c r="O2" s="175"/>
      <c r="P2" s="67"/>
      <c r="Q2" s="67"/>
      <c r="R2" s="67"/>
    </row>
    <row r="3" spans="1:18" ht="14.95" customHeight="1" thickBot="1" x14ac:dyDescent="0.3">
      <c r="A3" s="111" t="s">
        <v>215</v>
      </c>
      <c r="B3" s="155">
        <v>2</v>
      </c>
      <c r="C3" s="113">
        <f t="shared" ref="C3:C34" si="0">SUM(B3:B3)</f>
        <v>2</v>
      </c>
      <c r="D3" s="103" t="s">
        <v>215</v>
      </c>
      <c r="E3" s="156">
        <v>59</v>
      </c>
      <c r="F3" s="104">
        <f t="shared" ref="F3:F29" si="1">SUM(E3:E3)</f>
        <v>59</v>
      </c>
      <c r="G3" s="152" t="s">
        <v>16</v>
      </c>
      <c r="H3" s="2" t="s">
        <v>24</v>
      </c>
      <c r="I3" s="2" t="s">
        <v>7</v>
      </c>
      <c r="J3" s="2" t="s">
        <v>8</v>
      </c>
      <c r="K3" s="2" t="s">
        <v>24</v>
      </c>
      <c r="L3" s="2" t="s">
        <v>7</v>
      </c>
      <c r="M3" s="2" t="s">
        <v>8</v>
      </c>
      <c r="N3" s="2" t="s">
        <v>47</v>
      </c>
      <c r="O3" s="2" t="s">
        <v>25</v>
      </c>
      <c r="P3" s="67"/>
      <c r="Q3" s="67"/>
      <c r="R3" s="67"/>
    </row>
    <row r="4" spans="1:18" ht="14.95" customHeight="1" thickBot="1" x14ac:dyDescent="0.3">
      <c r="A4" s="111" t="s">
        <v>216</v>
      </c>
      <c r="B4" s="155">
        <v>4</v>
      </c>
      <c r="C4" s="113">
        <f t="shared" si="0"/>
        <v>4</v>
      </c>
      <c r="D4" s="103" t="s">
        <v>216</v>
      </c>
      <c r="E4" s="156">
        <v>20</v>
      </c>
      <c r="F4" s="104">
        <f t="shared" si="1"/>
        <v>20</v>
      </c>
      <c r="G4" s="111" t="s">
        <v>215</v>
      </c>
      <c r="H4" s="113">
        <v>24</v>
      </c>
      <c r="I4" s="113">
        <v>38</v>
      </c>
      <c r="J4" s="114">
        <f>SUM(H4/I4)*100</f>
        <v>63.157894736842103</v>
      </c>
      <c r="K4" s="113">
        <v>3</v>
      </c>
      <c r="L4" s="113">
        <v>3</v>
      </c>
      <c r="M4" s="114">
        <f>SUM(K4/L4)*100</f>
        <v>100</v>
      </c>
      <c r="N4" s="113">
        <v>3</v>
      </c>
      <c r="O4" s="113">
        <v>3</v>
      </c>
      <c r="P4" s="67"/>
      <c r="Q4" s="67"/>
      <c r="R4" s="67"/>
    </row>
    <row r="5" spans="1:18" ht="14.95" customHeight="1" thickBot="1" x14ac:dyDescent="0.3">
      <c r="A5" s="111" t="s">
        <v>236</v>
      </c>
      <c r="B5" s="155">
        <v>0</v>
      </c>
      <c r="C5" s="113">
        <f t="shared" si="0"/>
        <v>0</v>
      </c>
      <c r="D5" s="103" t="s">
        <v>236</v>
      </c>
      <c r="E5" s="156">
        <v>0</v>
      </c>
      <c r="F5" s="104">
        <f t="shared" si="1"/>
        <v>0</v>
      </c>
      <c r="G5" s="111" t="s">
        <v>245</v>
      </c>
      <c r="H5" s="113">
        <v>35</v>
      </c>
      <c r="I5" s="113">
        <v>57</v>
      </c>
      <c r="J5" s="114">
        <f>SUM(H5/I5)*100</f>
        <v>61.403508771929829</v>
      </c>
      <c r="K5" s="113" t="s">
        <v>13</v>
      </c>
      <c r="L5" s="113" t="s">
        <v>13</v>
      </c>
      <c r="M5" s="114" t="s">
        <v>13</v>
      </c>
      <c r="N5" s="113">
        <v>1</v>
      </c>
      <c r="O5" s="113">
        <v>1</v>
      </c>
      <c r="P5" s="67"/>
      <c r="Q5" s="67"/>
      <c r="R5" s="67"/>
    </row>
    <row r="6" spans="1:18" ht="14.95" customHeight="1" thickBot="1" x14ac:dyDescent="0.3">
      <c r="A6" s="111" t="s">
        <v>228</v>
      </c>
      <c r="B6" s="155">
        <v>0</v>
      </c>
      <c r="C6" s="113">
        <f t="shared" si="0"/>
        <v>0</v>
      </c>
      <c r="D6" s="103" t="s">
        <v>228</v>
      </c>
      <c r="E6" s="156">
        <v>0</v>
      </c>
      <c r="F6" s="104">
        <f t="shared" si="1"/>
        <v>0</v>
      </c>
      <c r="G6" s="111" t="s">
        <v>237</v>
      </c>
      <c r="H6" s="113">
        <v>0</v>
      </c>
      <c r="I6" s="113">
        <v>1</v>
      </c>
      <c r="J6" s="114">
        <f>SUM(H6/I6)*100</f>
        <v>0</v>
      </c>
      <c r="K6" s="113" t="s">
        <v>13</v>
      </c>
      <c r="L6" s="113" t="s">
        <v>13</v>
      </c>
      <c r="M6" s="114" t="s">
        <v>13</v>
      </c>
      <c r="N6" s="113">
        <v>-1</v>
      </c>
      <c r="O6" s="113">
        <v>-1</v>
      </c>
      <c r="P6" s="67"/>
      <c r="Q6" s="67"/>
      <c r="R6" s="67"/>
    </row>
    <row r="7" spans="1:18" ht="14.95" customHeight="1" thickBot="1" x14ac:dyDescent="0.3">
      <c r="A7" s="111" t="s">
        <v>213</v>
      </c>
      <c r="B7" s="155">
        <v>2</v>
      </c>
      <c r="C7" s="113">
        <f t="shared" si="0"/>
        <v>2</v>
      </c>
      <c r="D7" s="103" t="s">
        <v>213</v>
      </c>
      <c r="E7" s="156">
        <v>10</v>
      </c>
      <c r="F7" s="104">
        <f t="shared" si="1"/>
        <v>10</v>
      </c>
      <c r="G7" s="111" t="s">
        <v>5</v>
      </c>
      <c r="H7" s="113">
        <v>21</v>
      </c>
      <c r="I7" s="113">
        <v>35</v>
      </c>
      <c r="J7" s="114">
        <f>SUM(H7/I7)*100</f>
        <v>60</v>
      </c>
      <c r="K7" s="113" t="s">
        <v>13</v>
      </c>
      <c r="L7" s="113" t="s">
        <v>13</v>
      </c>
      <c r="M7" s="114" t="s">
        <v>13</v>
      </c>
      <c r="N7" s="113">
        <v>2</v>
      </c>
      <c r="O7" s="113">
        <v>2</v>
      </c>
      <c r="P7" s="67"/>
      <c r="Q7" s="67"/>
      <c r="R7" s="67"/>
    </row>
    <row r="8" spans="1:18" ht="14.95" customHeight="1" thickBot="1" x14ac:dyDescent="0.3">
      <c r="A8" s="111" t="s">
        <v>210</v>
      </c>
      <c r="B8" s="155">
        <v>0</v>
      </c>
      <c r="C8" s="113">
        <f t="shared" si="0"/>
        <v>0</v>
      </c>
      <c r="D8" s="103" t="s">
        <v>210</v>
      </c>
      <c r="E8" s="156">
        <v>0</v>
      </c>
      <c r="F8" s="104">
        <f t="shared" si="1"/>
        <v>0</v>
      </c>
      <c r="G8" s="110" t="s">
        <v>209</v>
      </c>
      <c r="H8" s="113">
        <v>1</v>
      </c>
      <c r="I8" s="113">
        <v>2</v>
      </c>
      <c r="J8" s="114">
        <f>SUM(H8/I8)*100</f>
        <v>50</v>
      </c>
      <c r="K8" s="113" t="s">
        <v>13</v>
      </c>
      <c r="L8" s="113" t="s">
        <v>13</v>
      </c>
      <c r="M8" s="114" t="s">
        <v>13</v>
      </c>
      <c r="N8" s="115">
        <v>-1</v>
      </c>
      <c r="O8" s="115">
        <v>-1</v>
      </c>
      <c r="P8" s="67"/>
      <c r="Q8" s="67"/>
      <c r="R8" s="67"/>
    </row>
    <row r="9" spans="1:18" ht="14.95" customHeight="1" thickBot="1" x14ac:dyDescent="0.3">
      <c r="A9" s="111" t="s">
        <v>218</v>
      </c>
      <c r="B9" s="155">
        <v>15</v>
      </c>
      <c r="C9" s="113">
        <f t="shared" si="0"/>
        <v>15</v>
      </c>
      <c r="D9" s="103" t="s">
        <v>218</v>
      </c>
      <c r="E9" s="156">
        <v>75</v>
      </c>
      <c r="F9" s="104">
        <f t="shared" si="1"/>
        <v>75</v>
      </c>
      <c r="G9" s="139"/>
      <c r="H9" s="140"/>
      <c r="I9" s="45"/>
      <c r="J9" s="45"/>
      <c r="K9" s="140"/>
      <c r="L9" s="45"/>
      <c r="M9" s="46"/>
      <c r="N9" s="47"/>
      <c r="O9" s="31"/>
      <c r="P9" s="67"/>
      <c r="Q9" s="67"/>
      <c r="R9" s="67"/>
    </row>
    <row r="10" spans="1:18" ht="14.95" customHeight="1" thickBot="1" x14ac:dyDescent="0.3">
      <c r="A10" s="111" t="s">
        <v>231</v>
      </c>
      <c r="B10" s="155">
        <v>13</v>
      </c>
      <c r="C10" s="113">
        <f t="shared" si="0"/>
        <v>13</v>
      </c>
      <c r="D10" s="103" t="s">
        <v>231</v>
      </c>
      <c r="E10" s="156">
        <v>65</v>
      </c>
      <c r="F10" s="104">
        <f t="shared" si="1"/>
        <v>65</v>
      </c>
      <c r="G10" s="65"/>
      <c r="P10" s="67"/>
      <c r="Q10" s="67"/>
      <c r="R10" s="67"/>
    </row>
    <row r="11" spans="1:18" ht="14.95" customHeight="1" thickBot="1" x14ac:dyDescent="0.3">
      <c r="A11" s="111" t="s">
        <v>229</v>
      </c>
      <c r="B11" s="155">
        <v>0</v>
      </c>
      <c r="C11" s="113">
        <f t="shared" si="0"/>
        <v>0</v>
      </c>
      <c r="D11" s="103" t="s">
        <v>229</v>
      </c>
      <c r="E11" s="156">
        <v>0</v>
      </c>
      <c r="F11" s="104">
        <f t="shared" si="1"/>
        <v>0</v>
      </c>
      <c r="P11" s="67"/>
      <c r="Q11" s="67"/>
      <c r="R11" s="67"/>
    </row>
    <row r="12" spans="1:18" ht="14.95" customHeight="1" thickBot="1" x14ac:dyDescent="0.3">
      <c r="A12" s="111" t="s">
        <v>214</v>
      </c>
      <c r="B12" s="155">
        <v>0</v>
      </c>
      <c r="C12" s="113">
        <f t="shared" si="0"/>
        <v>0</v>
      </c>
      <c r="D12" s="103" t="s">
        <v>214</v>
      </c>
      <c r="E12" s="156">
        <v>0</v>
      </c>
      <c r="F12" s="104">
        <f t="shared" si="1"/>
        <v>0</v>
      </c>
      <c r="P12" s="31"/>
      <c r="Q12" s="31"/>
      <c r="R12" s="31"/>
    </row>
    <row r="13" spans="1:18" ht="14.95" customHeight="1" thickBot="1" x14ac:dyDescent="0.3">
      <c r="A13" s="111" t="s">
        <v>226</v>
      </c>
      <c r="B13" s="155">
        <v>8</v>
      </c>
      <c r="C13" s="113">
        <f t="shared" si="0"/>
        <v>8</v>
      </c>
      <c r="D13" s="103" t="s">
        <v>226</v>
      </c>
      <c r="E13" s="156">
        <v>40</v>
      </c>
      <c r="F13" s="104">
        <f t="shared" si="1"/>
        <v>40</v>
      </c>
    </row>
    <row r="14" spans="1:18" ht="14.95" customHeight="1" thickBot="1" x14ac:dyDescent="0.3">
      <c r="A14" s="111" t="s">
        <v>18</v>
      </c>
      <c r="B14" s="155">
        <v>0</v>
      </c>
      <c r="C14" s="113">
        <f t="shared" si="0"/>
        <v>0</v>
      </c>
      <c r="D14" s="103" t="s">
        <v>18</v>
      </c>
      <c r="E14" s="156">
        <v>0</v>
      </c>
      <c r="F14" s="104">
        <f t="shared" si="1"/>
        <v>0</v>
      </c>
    </row>
    <row r="15" spans="1:18" ht="14.95" customHeight="1" thickBot="1" x14ac:dyDescent="0.3">
      <c r="A15" s="111" t="s">
        <v>235</v>
      </c>
      <c r="B15" s="155">
        <v>13</v>
      </c>
      <c r="C15" s="113">
        <f t="shared" si="0"/>
        <v>13</v>
      </c>
      <c r="D15" s="103" t="s">
        <v>235</v>
      </c>
      <c r="E15" s="156">
        <v>65</v>
      </c>
      <c r="F15" s="104">
        <f t="shared" si="1"/>
        <v>65</v>
      </c>
    </row>
    <row r="16" spans="1:18" ht="14.95" customHeight="1" thickBot="1" x14ac:dyDescent="0.3">
      <c r="A16" s="111" t="s">
        <v>222</v>
      </c>
      <c r="B16" s="155">
        <v>5</v>
      </c>
      <c r="C16" s="113">
        <f t="shared" si="0"/>
        <v>5</v>
      </c>
      <c r="D16" s="103" t="s">
        <v>222</v>
      </c>
      <c r="E16" s="156">
        <v>25</v>
      </c>
      <c r="F16" s="104">
        <f t="shared" si="1"/>
        <v>25</v>
      </c>
    </row>
    <row r="17" spans="1:6" ht="14.95" customHeight="1" thickBot="1" x14ac:dyDescent="0.3">
      <c r="A17" s="111" t="s">
        <v>200</v>
      </c>
      <c r="B17" s="155">
        <v>0</v>
      </c>
      <c r="C17" s="113">
        <f t="shared" si="0"/>
        <v>0</v>
      </c>
      <c r="D17" s="103" t="s">
        <v>200</v>
      </c>
      <c r="E17" s="156">
        <v>0</v>
      </c>
      <c r="F17" s="104">
        <f t="shared" si="1"/>
        <v>0</v>
      </c>
    </row>
    <row r="18" spans="1:6" ht="14.95" customHeight="1" thickBot="1" x14ac:dyDescent="0.3">
      <c r="A18" s="111" t="s">
        <v>199</v>
      </c>
      <c r="B18" s="155">
        <v>4</v>
      </c>
      <c r="C18" s="113">
        <f t="shared" si="0"/>
        <v>4</v>
      </c>
      <c r="D18" s="103" t="s">
        <v>199</v>
      </c>
      <c r="E18" s="156">
        <v>20</v>
      </c>
      <c r="F18" s="104">
        <f t="shared" si="1"/>
        <v>20</v>
      </c>
    </row>
    <row r="19" spans="1:6" ht="14.95" customHeight="1" thickBot="1" x14ac:dyDescent="0.3">
      <c r="A19" s="111" t="s">
        <v>198</v>
      </c>
      <c r="B19" s="155">
        <v>0</v>
      </c>
      <c r="C19" s="113">
        <f t="shared" si="0"/>
        <v>0</v>
      </c>
      <c r="D19" s="103" t="s">
        <v>198</v>
      </c>
      <c r="E19" s="156">
        <v>0</v>
      </c>
      <c r="F19" s="104">
        <f t="shared" si="1"/>
        <v>0</v>
      </c>
    </row>
    <row r="20" spans="1:6" ht="14.95" customHeight="1" thickBot="1" x14ac:dyDescent="0.3">
      <c r="A20" s="111" t="s">
        <v>212</v>
      </c>
      <c r="B20" s="155">
        <v>3</v>
      </c>
      <c r="C20" s="113">
        <f t="shared" si="0"/>
        <v>3</v>
      </c>
      <c r="D20" s="103" t="s">
        <v>212</v>
      </c>
      <c r="E20" s="156">
        <v>15</v>
      </c>
      <c r="F20" s="104">
        <f t="shared" si="1"/>
        <v>15</v>
      </c>
    </row>
    <row r="21" spans="1:6" ht="14.95" customHeight="1" thickBot="1" x14ac:dyDescent="0.3">
      <c r="A21" s="111" t="s">
        <v>221</v>
      </c>
      <c r="B21" s="155">
        <v>0</v>
      </c>
      <c r="C21" s="113">
        <f t="shared" si="0"/>
        <v>0</v>
      </c>
      <c r="D21" s="103" t="s">
        <v>221</v>
      </c>
      <c r="E21" s="156">
        <v>0</v>
      </c>
      <c r="F21" s="104">
        <f t="shared" si="1"/>
        <v>0</v>
      </c>
    </row>
    <row r="22" spans="1:6" ht="14.95" customHeight="1" thickBot="1" x14ac:dyDescent="0.3">
      <c r="A22" s="111" t="s">
        <v>233</v>
      </c>
      <c r="B22" s="155">
        <v>0</v>
      </c>
      <c r="C22" s="113">
        <f t="shared" si="0"/>
        <v>0</v>
      </c>
      <c r="D22" s="103" t="s">
        <v>233</v>
      </c>
      <c r="E22" s="156">
        <v>0</v>
      </c>
      <c r="F22" s="104">
        <f t="shared" si="1"/>
        <v>0</v>
      </c>
    </row>
    <row r="23" spans="1:6" ht="14.95" customHeight="1" thickBot="1" x14ac:dyDescent="0.3">
      <c r="A23" s="111" t="s">
        <v>223</v>
      </c>
      <c r="B23" s="155">
        <v>0</v>
      </c>
      <c r="C23" s="113">
        <f t="shared" si="0"/>
        <v>0</v>
      </c>
      <c r="D23" s="103" t="s">
        <v>223</v>
      </c>
      <c r="E23" s="156">
        <v>0</v>
      </c>
      <c r="F23" s="104">
        <f t="shared" si="1"/>
        <v>0</v>
      </c>
    </row>
    <row r="24" spans="1:6" ht="14.95" customHeight="1" thickBot="1" x14ac:dyDescent="0.3">
      <c r="A24" s="111" t="s">
        <v>205</v>
      </c>
      <c r="B24" s="155">
        <v>0</v>
      </c>
      <c r="C24" s="113">
        <f t="shared" si="0"/>
        <v>0</v>
      </c>
      <c r="D24" s="103" t="s">
        <v>205</v>
      </c>
      <c r="E24" s="156">
        <v>0</v>
      </c>
      <c r="F24" s="104">
        <f t="shared" si="1"/>
        <v>0</v>
      </c>
    </row>
    <row r="25" spans="1:6" ht="14.95" customHeight="1" thickBot="1" x14ac:dyDescent="0.3">
      <c r="A25" s="111" t="s">
        <v>244</v>
      </c>
      <c r="B25" s="155">
        <v>0</v>
      </c>
      <c r="C25" s="113">
        <f t="shared" si="0"/>
        <v>0</v>
      </c>
      <c r="D25" s="103" t="s">
        <v>244</v>
      </c>
      <c r="E25" s="156">
        <v>0</v>
      </c>
      <c r="F25" s="104">
        <f t="shared" si="1"/>
        <v>0</v>
      </c>
    </row>
    <row r="26" spans="1:6" ht="14.95" customHeight="1" thickBot="1" x14ac:dyDescent="0.3">
      <c r="A26" s="111" t="s">
        <v>201</v>
      </c>
      <c r="B26" s="155">
        <v>0</v>
      </c>
      <c r="C26" s="113">
        <f t="shared" si="0"/>
        <v>0</v>
      </c>
      <c r="D26" s="103" t="s">
        <v>201</v>
      </c>
      <c r="E26" s="156">
        <v>0</v>
      </c>
      <c r="F26" s="104">
        <f t="shared" si="1"/>
        <v>0</v>
      </c>
    </row>
    <row r="27" spans="1:6" ht="14.95" customHeight="1" thickBot="1" x14ac:dyDescent="0.3">
      <c r="A27" s="111" t="s">
        <v>234</v>
      </c>
      <c r="B27" s="155">
        <v>0</v>
      </c>
      <c r="C27" s="113">
        <f t="shared" si="0"/>
        <v>0</v>
      </c>
      <c r="D27" s="103" t="s">
        <v>234</v>
      </c>
      <c r="E27" s="156">
        <v>0</v>
      </c>
      <c r="F27" s="104">
        <f t="shared" si="1"/>
        <v>0</v>
      </c>
    </row>
    <row r="28" spans="1:6" ht="14.95" customHeight="1" thickBot="1" x14ac:dyDescent="0.3">
      <c r="A28" s="111" t="s">
        <v>207</v>
      </c>
      <c r="B28" s="155">
        <v>12</v>
      </c>
      <c r="C28" s="113">
        <f t="shared" si="0"/>
        <v>12</v>
      </c>
      <c r="D28" s="103" t="s">
        <v>207</v>
      </c>
      <c r="E28" s="156">
        <v>60</v>
      </c>
      <c r="F28" s="104">
        <f t="shared" si="1"/>
        <v>60</v>
      </c>
    </row>
    <row r="29" spans="1:6" ht="14.95" customHeight="1" thickBot="1" x14ac:dyDescent="0.3">
      <c r="A29" s="111" t="s">
        <v>239</v>
      </c>
      <c r="B29" s="155">
        <v>1</v>
      </c>
      <c r="C29" s="113">
        <f t="shared" si="0"/>
        <v>1</v>
      </c>
      <c r="D29" s="103" t="s">
        <v>239</v>
      </c>
      <c r="E29" s="156">
        <v>5</v>
      </c>
      <c r="F29" s="104">
        <f t="shared" si="1"/>
        <v>5</v>
      </c>
    </row>
    <row r="30" spans="1:6" ht="14.95" customHeight="1" thickBot="1" x14ac:dyDescent="0.3">
      <c r="A30" s="111" t="s">
        <v>242</v>
      </c>
      <c r="B30" s="155">
        <v>3</v>
      </c>
      <c r="C30" s="113">
        <f t="shared" si="0"/>
        <v>3</v>
      </c>
      <c r="D30" s="103" t="s">
        <v>242</v>
      </c>
      <c r="E30" s="156">
        <v>15</v>
      </c>
      <c r="F30" s="104">
        <f t="shared" ref="F30:F31" si="2">SUM(E30:E30)</f>
        <v>15</v>
      </c>
    </row>
    <row r="31" spans="1:6" ht="14.95" customHeight="1" thickBot="1" x14ac:dyDescent="0.3">
      <c r="A31" s="111" t="s">
        <v>245</v>
      </c>
      <c r="B31" s="155">
        <v>1</v>
      </c>
      <c r="C31" s="113">
        <f t="shared" si="0"/>
        <v>1</v>
      </c>
      <c r="D31" s="103" t="s">
        <v>245</v>
      </c>
      <c r="E31" s="156">
        <v>75</v>
      </c>
      <c r="F31" s="104">
        <f t="shared" si="2"/>
        <v>75</v>
      </c>
    </row>
    <row r="32" spans="1:6" ht="14.95" customHeight="1" thickBot="1" x14ac:dyDescent="0.3">
      <c r="A32" s="111" t="s">
        <v>224</v>
      </c>
      <c r="B32" s="155">
        <v>1</v>
      </c>
      <c r="C32" s="113">
        <f t="shared" si="0"/>
        <v>1</v>
      </c>
      <c r="D32" s="103" t="s">
        <v>224</v>
      </c>
      <c r="E32" s="156">
        <v>5</v>
      </c>
      <c r="F32" s="104">
        <f t="shared" ref="F32:F45" si="3">SUM(E32:E32)</f>
        <v>5</v>
      </c>
    </row>
    <row r="33" spans="1:7" ht="14.95" customHeight="1" thickBot="1" x14ac:dyDescent="0.3">
      <c r="A33" s="111" t="s">
        <v>203</v>
      </c>
      <c r="B33" s="155">
        <v>0</v>
      </c>
      <c r="C33" s="113">
        <f t="shared" si="0"/>
        <v>0</v>
      </c>
      <c r="D33" s="103" t="s">
        <v>203</v>
      </c>
      <c r="E33" s="156">
        <v>0</v>
      </c>
      <c r="F33" s="104">
        <f t="shared" si="3"/>
        <v>0</v>
      </c>
    </row>
    <row r="34" spans="1:7" ht="14.95" customHeight="1" thickBot="1" x14ac:dyDescent="0.3">
      <c r="A34" s="111" t="s">
        <v>107</v>
      </c>
      <c r="B34" s="155">
        <v>0</v>
      </c>
      <c r="C34" s="113">
        <f t="shared" si="0"/>
        <v>0</v>
      </c>
      <c r="D34" s="103" t="s">
        <v>107</v>
      </c>
      <c r="E34" s="156">
        <v>0</v>
      </c>
      <c r="F34" s="104">
        <f t="shared" si="3"/>
        <v>0</v>
      </c>
    </row>
    <row r="35" spans="1:7" ht="14.95" customHeight="1" thickBot="1" x14ac:dyDescent="0.3">
      <c r="A35" s="111" t="s">
        <v>238</v>
      </c>
      <c r="B35" s="155">
        <v>5</v>
      </c>
      <c r="C35" s="113">
        <f t="shared" ref="C35:C57" si="4">SUM(B35:B35)</f>
        <v>5</v>
      </c>
      <c r="D35" s="103" t="s">
        <v>238</v>
      </c>
      <c r="E35" s="156">
        <v>25</v>
      </c>
      <c r="F35" s="104">
        <f t="shared" si="3"/>
        <v>25</v>
      </c>
    </row>
    <row r="36" spans="1:7" ht="14.95" customHeight="1" thickBot="1" x14ac:dyDescent="0.3">
      <c r="A36" s="111" t="s">
        <v>206</v>
      </c>
      <c r="B36" s="155">
        <v>0</v>
      </c>
      <c r="C36" s="113">
        <f t="shared" si="4"/>
        <v>0</v>
      </c>
      <c r="D36" s="103" t="s">
        <v>206</v>
      </c>
      <c r="E36" s="156">
        <v>0</v>
      </c>
      <c r="F36" s="104">
        <f t="shared" si="3"/>
        <v>0</v>
      </c>
    </row>
    <row r="37" spans="1:7" ht="14.95" customHeight="1" thickBot="1" x14ac:dyDescent="0.3">
      <c r="A37" s="111" t="s">
        <v>217</v>
      </c>
      <c r="B37" s="155">
        <v>0</v>
      </c>
      <c r="C37" s="113">
        <f t="shared" si="4"/>
        <v>0</v>
      </c>
      <c r="D37" s="103" t="s">
        <v>217</v>
      </c>
      <c r="E37" s="156">
        <v>0</v>
      </c>
      <c r="F37" s="104">
        <f t="shared" si="3"/>
        <v>0</v>
      </c>
      <c r="G37" s="94"/>
    </row>
    <row r="38" spans="1:7" ht="14.95" customHeight="1" thickBot="1" x14ac:dyDescent="0.3">
      <c r="A38" s="111" t="s">
        <v>211</v>
      </c>
      <c r="B38" s="155">
        <v>0</v>
      </c>
      <c r="C38" s="113">
        <f t="shared" si="4"/>
        <v>0</v>
      </c>
      <c r="D38" s="103" t="s">
        <v>211</v>
      </c>
      <c r="E38" s="156">
        <v>0</v>
      </c>
      <c r="F38" s="104">
        <f t="shared" si="3"/>
        <v>0</v>
      </c>
    </row>
    <row r="39" spans="1:7" ht="14.95" customHeight="1" thickBot="1" x14ac:dyDescent="0.3">
      <c r="A39" s="111" t="s">
        <v>237</v>
      </c>
      <c r="B39" s="155">
        <v>4</v>
      </c>
      <c r="C39" s="113">
        <f t="shared" si="4"/>
        <v>4</v>
      </c>
      <c r="D39" s="103" t="s">
        <v>237</v>
      </c>
      <c r="E39" s="156">
        <v>23</v>
      </c>
      <c r="F39" s="104">
        <f t="shared" si="3"/>
        <v>23</v>
      </c>
    </row>
    <row r="40" spans="1:7" ht="14.95" customHeight="1" thickBot="1" x14ac:dyDescent="0.3">
      <c r="A40" s="111" t="s">
        <v>227</v>
      </c>
      <c r="B40" s="155">
        <v>4</v>
      </c>
      <c r="C40" s="113">
        <f t="shared" si="4"/>
        <v>4</v>
      </c>
      <c r="D40" s="103" t="s">
        <v>227</v>
      </c>
      <c r="E40" s="156">
        <v>20</v>
      </c>
      <c r="F40" s="104">
        <f t="shared" si="3"/>
        <v>20</v>
      </c>
    </row>
    <row r="41" spans="1:7" ht="14.95" customHeight="1" thickBot="1" x14ac:dyDescent="0.3">
      <c r="A41" s="111" t="s">
        <v>204</v>
      </c>
      <c r="B41" s="155">
        <v>0</v>
      </c>
      <c r="C41" s="113">
        <f t="shared" si="4"/>
        <v>0</v>
      </c>
      <c r="D41" s="103" t="s">
        <v>204</v>
      </c>
      <c r="E41" s="156">
        <v>0</v>
      </c>
      <c r="F41" s="104">
        <f t="shared" si="3"/>
        <v>0</v>
      </c>
    </row>
    <row r="42" spans="1:7" ht="14.95" customHeight="1" thickBot="1" x14ac:dyDescent="0.3">
      <c r="A42" s="111" t="s">
        <v>232</v>
      </c>
      <c r="B42" s="155">
        <v>0</v>
      </c>
      <c r="C42" s="113">
        <f t="shared" si="4"/>
        <v>0</v>
      </c>
      <c r="D42" s="103" t="s">
        <v>232</v>
      </c>
      <c r="E42" s="156">
        <v>0</v>
      </c>
      <c r="F42" s="104">
        <f t="shared" si="3"/>
        <v>0</v>
      </c>
    </row>
    <row r="43" spans="1:7" ht="14.95" customHeight="1" thickBot="1" x14ac:dyDescent="0.3">
      <c r="A43" s="111" t="s">
        <v>43</v>
      </c>
      <c r="B43" s="155">
        <v>4</v>
      </c>
      <c r="C43" s="113">
        <f t="shared" si="4"/>
        <v>4</v>
      </c>
      <c r="D43" s="103" t="s">
        <v>43</v>
      </c>
      <c r="E43" s="156">
        <v>20</v>
      </c>
      <c r="F43" s="104">
        <f t="shared" si="3"/>
        <v>20</v>
      </c>
    </row>
    <row r="44" spans="1:7" ht="14.95" customHeight="1" thickBot="1" x14ac:dyDescent="0.3">
      <c r="A44" s="111" t="s">
        <v>225</v>
      </c>
      <c r="B44" s="155">
        <v>0</v>
      </c>
      <c r="C44" s="113">
        <f t="shared" si="4"/>
        <v>0</v>
      </c>
      <c r="D44" s="103" t="s">
        <v>225</v>
      </c>
      <c r="E44" s="156">
        <v>0</v>
      </c>
      <c r="F44" s="104">
        <f t="shared" si="3"/>
        <v>0</v>
      </c>
    </row>
    <row r="45" spans="1:7" ht="14.95" customHeight="1" thickBot="1" x14ac:dyDescent="0.3">
      <c r="A45" s="111" t="s">
        <v>230</v>
      </c>
      <c r="B45" s="155">
        <v>12</v>
      </c>
      <c r="C45" s="113">
        <f t="shared" si="4"/>
        <v>12</v>
      </c>
      <c r="D45" s="103" t="s">
        <v>230</v>
      </c>
      <c r="E45" s="156">
        <v>60</v>
      </c>
      <c r="F45" s="104">
        <f t="shared" si="3"/>
        <v>60</v>
      </c>
    </row>
    <row r="46" spans="1:7" ht="14.95" customHeight="1" thickBot="1" x14ac:dyDescent="0.3">
      <c r="A46" s="111" t="s">
        <v>4</v>
      </c>
      <c r="B46" s="155">
        <v>0</v>
      </c>
      <c r="C46" s="113">
        <f t="shared" si="4"/>
        <v>0</v>
      </c>
      <c r="D46" s="103" t="s">
        <v>4</v>
      </c>
      <c r="E46" s="156">
        <v>0</v>
      </c>
      <c r="F46" s="104">
        <f t="shared" ref="F46:F49" si="5">SUM(E46:E46)</f>
        <v>0</v>
      </c>
    </row>
    <row r="47" spans="1:7" ht="14.95" customHeight="1" thickBot="1" x14ac:dyDescent="0.3">
      <c r="A47" s="111" t="s">
        <v>219</v>
      </c>
      <c r="B47" s="155">
        <v>9</v>
      </c>
      <c r="C47" s="113">
        <f t="shared" si="4"/>
        <v>9</v>
      </c>
      <c r="D47" s="103" t="s">
        <v>219</v>
      </c>
      <c r="E47" s="156">
        <v>45</v>
      </c>
      <c r="F47" s="104">
        <f t="shared" si="5"/>
        <v>45</v>
      </c>
    </row>
    <row r="48" spans="1:7" ht="14.95" customHeight="1" thickBot="1" x14ac:dyDescent="0.3">
      <c r="A48" s="111" t="s">
        <v>208</v>
      </c>
      <c r="B48" s="155">
        <v>0</v>
      </c>
      <c r="C48" s="113">
        <f t="shared" si="4"/>
        <v>0</v>
      </c>
      <c r="D48" s="103" t="s">
        <v>208</v>
      </c>
      <c r="E48" s="156">
        <v>0</v>
      </c>
      <c r="F48" s="104">
        <f t="shared" si="5"/>
        <v>0</v>
      </c>
    </row>
    <row r="49" spans="1:6" ht="14.95" customHeight="1" thickBot="1" x14ac:dyDescent="0.3">
      <c r="A49" s="111" t="s">
        <v>243</v>
      </c>
      <c r="B49" s="155">
        <v>0</v>
      </c>
      <c r="C49" s="113">
        <f t="shared" si="4"/>
        <v>0</v>
      </c>
      <c r="D49" s="103" t="s">
        <v>243</v>
      </c>
      <c r="E49" s="156">
        <v>0</v>
      </c>
      <c r="F49" s="104">
        <f t="shared" si="5"/>
        <v>0</v>
      </c>
    </row>
    <row r="50" spans="1:6" ht="14.95" customHeight="1" thickBot="1" x14ac:dyDescent="0.3">
      <c r="A50" s="111" t="s">
        <v>240</v>
      </c>
      <c r="B50" s="155">
        <v>0</v>
      </c>
      <c r="C50" s="113">
        <f t="shared" si="4"/>
        <v>0</v>
      </c>
      <c r="D50" s="103" t="s">
        <v>240</v>
      </c>
      <c r="E50" s="156">
        <v>0</v>
      </c>
      <c r="F50" s="104">
        <f t="shared" ref="F50:F57" si="6">SUM(E50:E50)</f>
        <v>0</v>
      </c>
    </row>
    <row r="51" spans="1:6" ht="14.95" customHeight="1" thickBot="1" x14ac:dyDescent="0.3">
      <c r="A51" s="111" t="s">
        <v>241</v>
      </c>
      <c r="B51" s="155">
        <v>0</v>
      </c>
      <c r="C51" s="113">
        <f t="shared" si="4"/>
        <v>0</v>
      </c>
      <c r="D51" s="103" t="s">
        <v>241</v>
      </c>
      <c r="E51" s="156">
        <v>0</v>
      </c>
      <c r="F51" s="104">
        <f t="shared" si="6"/>
        <v>0</v>
      </c>
    </row>
    <row r="52" spans="1:6" ht="14.95" thickBot="1" x14ac:dyDescent="0.3">
      <c r="A52" s="111" t="s">
        <v>220</v>
      </c>
      <c r="B52" s="155">
        <v>0</v>
      </c>
      <c r="C52" s="113">
        <f t="shared" si="4"/>
        <v>0</v>
      </c>
      <c r="D52" s="103" t="s">
        <v>220</v>
      </c>
      <c r="E52" s="156">
        <v>0</v>
      </c>
      <c r="F52" s="104">
        <f t="shared" si="6"/>
        <v>0</v>
      </c>
    </row>
    <row r="53" spans="1:6" ht="14.95" thickBot="1" x14ac:dyDescent="0.3">
      <c r="A53" s="111" t="s">
        <v>249</v>
      </c>
      <c r="B53" s="155">
        <v>1</v>
      </c>
      <c r="C53" s="113">
        <f t="shared" si="4"/>
        <v>1</v>
      </c>
      <c r="D53" s="103" t="s">
        <v>249</v>
      </c>
      <c r="E53" s="156">
        <v>5</v>
      </c>
      <c r="F53" s="104">
        <f t="shared" si="6"/>
        <v>5</v>
      </c>
    </row>
    <row r="54" spans="1:6" ht="14.95" thickBot="1" x14ac:dyDescent="0.3">
      <c r="A54" s="111" t="s">
        <v>202</v>
      </c>
      <c r="B54" s="155">
        <v>1</v>
      </c>
      <c r="C54" s="113">
        <f t="shared" si="4"/>
        <v>1</v>
      </c>
      <c r="D54" s="103" t="s">
        <v>202</v>
      </c>
      <c r="E54" s="156">
        <v>5</v>
      </c>
      <c r="F54" s="104">
        <f t="shared" si="6"/>
        <v>5</v>
      </c>
    </row>
    <row r="55" spans="1:6" ht="14.95" customHeight="1" thickBot="1" x14ac:dyDescent="0.3">
      <c r="A55" s="111" t="s">
        <v>5</v>
      </c>
      <c r="B55" s="155">
        <v>0</v>
      </c>
      <c r="C55" s="113">
        <f t="shared" si="4"/>
        <v>0</v>
      </c>
      <c r="D55" s="103" t="s">
        <v>5</v>
      </c>
      <c r="E55" s="156">
        <v>44</v>
      </c>
      <c r="F55" s="104">
        <f t="shared" si="6"/>
        <v>44</v>
      </c>
    </row>
    <row r="56" spans="1:6" ht="14.95" thickBot="1" x14ac:dyDescent="0.3">
      <c r="A56" s="111" t="s">
        <v>209</v>
      </c>
      <c r="B56" s="155">
        <v>2</v>
      </c>
      <c r="C56" s="113">
        <f t="shared" si="4"/>
        <v>2</v>
      </c>
      <c r="D56" s="103" t="s">
        <v>209</v>
      </c>
      <c r="E56" s="156">
        <v>12</v>
      </c>
      <c r="F56" s="104">
        <f t="shared" si="6"/>
        <v>12</v>
      </c>
    </row>
    <row r="57" spans="1:6" ht="14.95" thickBot="1" x14ac:dyDescent="0.3">
      <c r="A57" s="111" t="s">
        <v>3</v>
      </c>
      <c r="B57" s="155">
        <f>SUM(B3:B56)</f>
        <v>129</v>
      </c>
      <c r="C57" s="113">
        <f t="shared" si="4"/>
        <v>129</v>
      </c>
      <c r="D57" s="103" t="s">
        <v>3</v>
      </c>
      <c r="E57" s="156">
        <f>SUM(E3:E56)</f>
        <v>813</v>
      </c>
      <c r="F57" s="104">
        <f t="shared" si="6"/>
        <v>813</v>
      </c>
    </row>
    <row r="58" spans="1:6" ht="14.3" customHeight="1" x14ac:dyDescent="0.25">
      <c r="A58" s="97"/>
      <c r="B58" s="98"/>
      <c r="C58" s="45"/>
      <c r="D58" s="97"/>
      <c r="E58" s="99"/>
      <c r="F58" s="45"/>
    </row>
    <row r="59" spans="1:6" ht="14.95" thickBot="1" x14ac:dyDescent="0.3">
      <c r="A59" s="100" t="s">
        <v>9</v>
      </c>
      <c r="B59" s="98"/>
      <c r="C59" s="45"/>
      <c r="D59" s="97"/>
      <c r="E59" s="99"/>
      <c r="F59" s="45"/>
    </row>
    <row r="60" spans="1:6" ht="14.95" customHeight="1" thickBot="1" x14ac:dyDescent="0.3">
      <c r="A60" s="110" t="s">
        <v>0</v>
      </c>
      <c r="B60" s="154" t="s">
        <v>47</v>
      </c>
      <c r="C60" s="112" t="s">
        <v>1</v>
      </c>
      <c r="D60" s="102" t="s">
        <v>2</v>
      </c>
      <c r="E60" s="153" t="s">
        <v>47</v>
      </c>
      <c r="F60" s="101" t="s">
        <v>1</v>
      </c>
    </row>
    <row r="61" spans="1:6" ht="14.95" thickBot="1" x14ac:dyDescent="0.3">
      <c r="A61" s="111" t="s">
        <v>218</v>
      </c>
      <c r="B61" s="155">
        <v>15</v>
      </c>
      <c r="C61" s="113">
        <f t="shared" ref="C61:C92" si="7">SUM(B61:B61)</f>
        <v>15</v>
      </c>
      <c r="D61" s="103" t="s">
        <v>218</v>
      </c>
      <c r="E61" s="156">
        <v>75</v>
      </c>
      <c r="F61" s="104">
        <f t="shared" ref="F61:F92" si="8">SUM(E61:E61)</f>
        <v>75</v>
      </c>
    </row>
    <row r="62" spans="1:6" ht="14.95" thickBot="1" x14ac:dyDescent="0.3">
      <c r="A62" s="111" t="s">
        <v>231</v>
      </c>
      <c r="B62" s="155">
        <v>13</v>
      </c>
      <c r="C62" s="113">
        <f t="shared" si="7"/>
        <v>13</v>
      </c>
      <c r="D62" s="103" t="s">
        <v>245</v>
      </c>
      <c r="E62" s="156">
        <v>75</v>
      </c>
      <c r="F62" s="104">
        <f t="shared" si="8"/>
        <v>75</v>
      </c>
    </row>
    <row r="63" spans="1:6" ht="14.95" thickBot="1" x14ac:dyDescent="0.3">
      <c r="A63" s="111" t="s">
        <v>235</v>
      </c>
      <c r="B63" s="155">
        <v>13</v>
      </c>
      <c r="C63" s="113">
        <f t="shared" si="7"/>
        <v>13</v>
      </c>
      <c r="D63" s="103" t="s">
        <v>231</v>
      </c>
      <c r="E63" s="156">
        <v>65</v>
      </c>
      <c r="F63" s="104">
        <f t="shared" si="8"/>
        <v>65</v>
      </c>
    </row>
    <row r="64" spans="1:6" ht="14.95" thickBot="1" x14ac:dyDescent="0.3">
      <c r="A64" s="111" t="s">
        <v>207</v>
      </c>
      <c r="B64" s="155">
        <v>12</v>
      </c>
      <c r="C64" s="113">
        <f t="shared" si="7"/>
        <v>12</v>
      </c>
      <c r="D64" s="103" t="s">
        <v>235</v>
      </c>
      <c r="E64" s="156">
        <v>65</v>
      </c>
      <c r="F64" s="104">
        <f t="shared" si="8"/>
        <v>65</v>
      </c>
    </row>
    <row r="65" spans="1:6" ht="14.95" thickBot="1" x14ac:dyDescent="0.3">
      <c r="A65" s="111" t="s">
        <v>230</v>
      </c>
      <c r="B65" s="155">
        <v>12</v>
      </c>
      <c r="C65" s="113">
        <f t="shared" si="7"/>
        <v>12</v>
      </c>
      <c r="D65" s="103" t="s">
        <v>207</v>
      </c>
      <c r="E65" s="156">
        <v>60</v>
      </c>
      <c r="F65" s="104">
        <f t="shared" si="8"/>
        <v>60</v>
      </c>
    </row>
    <row r="66" spans="1:6" ht="14.95" thickBot="1" x14ac:dyDescent="0.3">
      <c r="A66" s="111" t="s">
        <v>219</v>
      </c>
      <c r="B66" s="155">
        <v>9</v>
      </c>
      <c r="C66" s="113">
        <f t="shared" si="7"/>
        <v>9</v>
      </c>
      <c r="D66" s="103" t="s">
        <v>230</v>
      </c>
      <c r="E66" s="156">
        <v>60</v>
      </c>
      <c r="F66" s="104">
        <f t="shared" si="8"/>
        <v>60</v>
      </c>
    </row>
    <row r="67" spans="1:6" ht="14.95" thickBot="1" x14ac:dyDescent="0.3">
      <c r="A67" s="111" t="s">
        <v>226</v>
      </c>
      <c r="B67" s="155">
        <v>8</v>
      </c>
      <c r="C67" s="113">
        <f t="shared" si="7"/>
        <v>8</v>
      </c>
      <c r="D67" s="103" t="s">
        <v>215</v>
      </c>
      <c r="E67" s="156">
        <v>59</v>
      </c>
      <c r="F67" s="104">
        <f t="shared" si="8"/>
        <v>59</v>
      </c>
    </row>
    <row r="68" spans="1:6" ht="14.95" thickBot="1" x14ac:dyDescent="0.3">
      <c r="A68" s="111" t="s">
        <v>222</v>
      </c>
      <c r="B68" s="155">
        <v>5</v>
      </c>
      <c r="C68" s="113">
        <f t="shared" si="7"/>
        <v>5</v>
      </c>
      <c r="D68" s="103" t="s">
        <v>219</v>
      </c>
      <c r="E68" s="156">
        <v>45</v>
      </c>
      <c r="F68" s="104">
        <f t="shared" si="8"/>
        <v>45</v>
      </c>
    </row>
    <row r="69" spans="1:6" ht="14.95" thickBot="1" x14ac:dyDescent="0.3">
      <c r="A69" s="111" t="s">
        <v>238</v>
      </c>
      <c r="B69" s="155">
        <v>5</v>
      </c>
      <c r="C69" s="113">
        <f t="shared" si="7"/>
        <v>5</v>
      </c>
      <c r="D69" s="103" t="s">
        <v>5</v>
      </c>
      <c r="E69" s="156">
        <v>44</v>
      </c>
      <c r="F69" s="104">
        <f t="shared" si="8"/>
        <v>44</v>
      </c>
    </row>
    <row r="70" spans="1:6" ht="14.95" thickBot="1" x14ac:dyDescent="0.3">
      <c r="A70" s="111" t="s">
        <v>216</v>
      </c>
      <c r="B70" s="155">
        <v>4</v>
      </c>
      <c r="C70" s="113">
        <f t="shared" si="7"/>
        <v>4</v>
      </c>
      <c r="D70" s="103" t="s">
        <v>226</v>
      </c>
      <c r="E70" s="156">
        <v>40</v>
      </c>
      <c r="F70" s="104">
        <f t="shared" si="8"/>
        <v>40</v>
      </c>
    </row>
    <row r="71" spans="1:6" ht="14.95" thickBot="1" x14ac:dyDescent="0.3">
      <c r="A71" s="111" t="s">
        <v>199</v>
      </c>
      <c r="B71" s="155">
        <v>4</v>
      </c>
      <c r="C71" s="113">
        <f t="shared" si="7"/>
        <v>4</v>
      </c>
      <c r="D71" s="103" t="s">
        <v>222</v>
      </c>
      <c r="E71" s="156">
        <v>25</v>
      </c>
      <c r="F71" s="104">
        <f t="shared" si="8"/>
        <v>25</v>
      </c>
    </row>
    <row r="72" spans="1:6" ht="14.95" thickBot="1" x14ac:dyDescent="0.3">
      <c r="A72" s="111" t="s">
        <v>237</v>
      </c>
      <c r="B72" s="155">
        <v>4</v>
      </c>
      <c r="C72" s="113">
        <f t="shared" si="7"/>
        <v>4</v>
      </c>
      <c r="D72" s="103" t="s">
        <v>238</v>
      </c>
      <c r="E72" s="156">
        <v>25</v>
      </c>
      <c r="F72" s="104">
        <f t="shared" si="8"/>
        <v>25</v>
      </c>
    </row>
    <row r="73" spans="1:6" ht="14.95" thickBot="1" x14ac:dyDescent="0.3">
      <c r="A73" s="111" t="s">
        <v>227</v>
      </c>
      <c r="B73" s="155">
        <v>4</v>
      </c>
      <c r="C73" s="113">
        <f t="shared" si="7"/>
        <v>4</v>
      </c>
      <c r="D73" s="103" t="s">
        <v>237</v>
      </c>
      <c r="E73" s="156">
        <v>23</v>
      </c>
      <c r="F73" s="104">
        <f t="shared" si="8"/>
        <v>23</v>
      </c>
    </row>
    <row r="74" spans="1:6" ht="14.95" thickBot="1" x14ac:dyDescent="0.3">
      <c r="A74" s="111" t="s">
        <v>43</v>
      </c>
      <c r="B74" s="155">
        <v>4</v>
      </c>
      <c r="C74" s="113">
        <f t="shared" si="7"/>
        <v>4</v>
      </c>
      <c r="D74" s="103" t="s">
        <v>216</v>
      </c>
      <c r="E74" s="156">
        <v>20</v>
      </c>
      <c r="F74" s="104">
        <f t="shared" si="8"/>
        <v>20</v>
      </c>
    </row>
    <row r="75" spans="1:6" ht="14.95" thickBot="1" x14ac:dyDescent="0.3">
      <c r="A75" s="111" t="s">
        <v>212</v>
      </c>
      <c r="B75" s="155">
        <v>3</v>
      </c>
      <c r="C75" s="113">
        <f t="shared" si="7"/>
        <v>3</v>
      </c>
      <c r="D75" s="103" t="s">
        <v>199</v>
      </c>
      <c r="E75" s="156">
        <v>20</v>
      </c>
      <c r="F75" s="104">
        <f t="shared" si="8"/>
        <v>20</v>
      </c>
    </row>
    <row r="76" spans="1:6" ht="14.95" thickBot="1" x14ac:dyDescent="0.3">
      <c r="A76" s="111" t="s">
        <v>242</v>
      </c>
      <c r="B76" s="155">
        <v>3</v>
      </c>
      <c r="C76" s="113">
        <f t="shared" si="7"/>
        <v>3</v>
      </c>
      <c r="D76" s="103" t="s">
        <v>227</v>
      </c>
      <c r="E76" s="156">
        <v>20</v>
      </c>
      <c r="F76" s="104">
        <f t="shared" si="8"/>
        <v>20</v>
      </c>
    </row>
    <row r="77" spans="1:6" ht="14.95" thickBot="1" x14ac:dyDescent="0.3">
      <c r="A77" s="111" t="s">
        <v>215</v>
      </c>
      <c r="B77" s="155">
        <v>2</v>
      </c>
      <c r="C77" s="113">
        <f t="shared" si="7"/>
        <v>2</v>
      </c>
      <c r="D77" s="103" t="s">
        <v>43</v>
      </c>
      <c r="E77" s="156">
        <v>20</v>
      </c>
      <c r="F77" s="104">
        <f t="shared" si="8"/>
        <v>20</v>
      </c>
    </row>
    <row r="78" spans="1:6" ht="14.95" thickBot="1" x14ac:dyDescent="0.3">
      <c r="A78" s="111" t="s">
        <v>213</v>
      </c>
      <c r="B78" s="155">
        <v>2</v>
      </c>
      <c r="C78" s="113">
        <f t="shared" si="7"/>
        <v>2</v>
      </c>
      <c r="D78" s="103" t="s">
        <v>212</v>
      </c>
      <c r="E78" s="156">
        <v>15</v>
      </c>
      <c r="F78" s="104">
        <f t="shared" si="8"/>
        <v>15</v>
      </c>
    </row>
    <row r="79" spans="1:6" ht="14.95" thickBot="1" x14ac:dyDescent="0.3">
      <c r="A79" s="111" t="s">
        <v>209</v>
      </c>
      <c r="B79" s="155">
        <v>2</v>
      </c>
      <c r="C79" s="113">
        <f t="shared" si="7"/>
        <v>2</v>
      </c>
      <c r="D79" s="103" t="s">
        <v>242</v>
      </c>
      <c r="E79" s="156">
        <v>15</v>
      </c>
      <c r="F79" s="104">
        <f t="shared" si="8"/>
        <v>15</v>
      </c>
    </row>
    <row r="80" spans="1:6" ht="14.95" thickBot="1" x14ac:dyDescent="0.3">
      <c r="A80" s="111" t="s">
        <v>239</v>
      </c>
      <c r="B80" s="155">
        <v>1</v>
      </c>
      <c r="C80" s="113">
        <f t="shared" si="7"/>
        <v>1</v>
      </c>
      <c r="D80" s="103" t="s">
        <v>209</v>
      </c>
      <c r="E80" s="156">
        <v>12</v>
      </c>
      <c r="F80" s="104">
        <f t="shared" si="8"/>
        <v>12</v>
      </c>
    </row>
    <row r="81" spans="1:6" ht="14.95" thickBot="1" x14ac:dyDescent="0.3">
      <c r="A81" s="111" t="s">
        <v>245</v>
      </c>
      <c r="B81" s="155">
        <v>1</v>
      </c>
      <c r="C81" s="113">
        <f t="shared" si="7"/>
        <v>1</v>
      </c>
      <c r="D81" s="103" t="s">
        <v>213</v>
      </c>
      <c r="E81" s="156">
        <v>10</v>
      </c>
      <c r="F81" s="104">
        <f t="shared" si="8"/>
        <v>10</v>
      </c>
    </row>
    <row r="82" spans="1:6" ht="14.95" thickBot="1" x14ac:dyDescent="0.3">
      <c r="A82" s="111" t="s">
        <v>224</v>
      </c>
      <c r="B82" s="155">
        <v>1</v>
      </c>
      <c r="C82" s="113">
        <f t="shared" si="7"/>
        <v>1</v>
      </c>
      <c r="D82" s="103" t="s">
        <v>239</v>
      </c>
      <c r="E82" s="156">
        <v>5</v>
      </c>
      <c r="F82" s="104">
        <f t="shared" si="8"/>
        <v>5</v>
      </c>
    </row>
    <row r="83" spans="1:6" ht="14.95" thickBot="1" x14ac:dyDescent="0.3">
      <c r="A83" s="111" t="s">
        <v>249</v>
      </c>
      <c r="B83" s="155">
        <v>1</v>
      </c>
      <c r="C83" s="113">
        <f t="shared" si="7"/>
        <v>1</v>
      </c>
      <c r="D83" s="103" t="s">
        <v>224</v>
      </c>
      <c r="E83" s="156">
        <v>5</v>
      </c>
      <c r="F83" s="104">
        <f t="shared" si="8"/>
        <v>5</v>
      </c>
    </row>
    <row r="84" spans="1:6" ht="14.95" thickBot="1" x14ac:dyDescent="0.3">
      <c r="A84" s="111" t="s">
        <v>202</v>
      </c>
      <c r="B84" s="155">
        <v>1</v>
      </c>
      <c r="C84" s="113">
        <f t="shared" si="7"/>
        <v>1</v>
      </c>
      <c r="D84" s="103" t="s">
        <v>249</v>
      </c>
      <c r="E84" s="156">
        <v>5</v>
      </c>
      <c r="F84" s="104">
        <f t="shared" si="8"/>
        <v>5</v>
      </c>
    </row>
    <row r="85" spans="1:6" ht="14.95" thickBot="1" x14ac:dyDescent="0.3">
      <c r="A85" s="111" t="s">
        <v>236</v>
      </c>
      <c r="B85" s="155">
        <v>0</v>
      </c>
      <c r="C85" s="113">
        <f t="shared" si="7"/>
        <v>0</v>
      </c>
      <c r="D85" s="103" t="s">
        <v>202</v>
      </c>
      <c r="E85" s="156">
        <v>5</v>
      </c>
      <c r="F85" s="104">
        <f t="shared" si="8"/>
        <v>5</v>
      </c>
    </row>
    <row r="86" spans="1:6" ht="14.95" thickBot="1" x14ac:dyDescent="0.3">
      <c r="A86" s="111" t="s">
        <v>228</v>
      </c>
      <c r="B86" s="155">
        <v>0</v>
      </c>
      <c r="C86" s="113">
        <f t="shared" si="7"/>
        <v>0</v>
      </c>
      <c r="D86" s="103" t="s">
        <v>236</v>
      </c>
      <c r="E86" s="156">
        <v>0</v>
      </c>
      <c r="F86" s="104">
        <f t="shared" si="8"/>
        <v>0</v>
      </c>
    </row>
    <row r="87" spans="1:6" ht="14.95" thickBot="1" x14ac:dyDescent="0.3">
      <c r="A87" s="111" t="s">
        <v>210</v>
      </c>
      <c r="B87" s="155">
        <v>0</v>
      </c>
      <c r="C87" s="113">
        <f t="shared" si="7"/>
        <v>0</v>
      </c>
      <c r="D87" s="103" t="s">
        <v>228</v>
      </c>
      <c r="E87" s="156">
        <v>0</v>
      </c>
      <c r="F87" s="104">
        <f t="shared" si="8"/>
        <v>0</v>
      </c>
    </row>
    <row r="88" spans="1:6" ht="14.95" thickBot="1" x14ac:dyDescent="0.3">
      <c r="A88" s="111" t="s">
        <v>229</v>
      </c>
      <c r="B88" s="155">
        <v>0</v>
      </c>
      <c r="C88" s="113">
        <f t="shared" si="7"/>
        <v>0</v>
      </c>
      <c r="D88" s="103" t="s">
        <v>210</v>
      </c>
      <c r="E88" s="156">
        <v>0</v>
      </c>
      <c r="F88" s="104">
        <f t="shared" si="8"/>
        <v>0</v>
      </c>
    </row>
    <row r="89" spans="1:6" ht="14.95" thickBot="1" x14ac:dyDescent="0.3">
      <c r="A89" s="111" t="s">
        <v>214</v>
      </c>
      <c r="B89" s="155">
        <v>0</v>
      </c>
      <c r="C89" s="113">
        <f t="shared" si="7"/>
        <v>0</v>
      </c>
      <c r="D89" s="103" t="s">
        <v>229</v>
      </c>
      <c r="E89" s="156">
        <v>0</v>
      </c>
      <c r="F89" s="104">
        <f t="shared" si="8"/>
        <v>0</v>
      </c>
    </row>
    <row r="90" spans="1:6" ht="14.95" thickBot="1" x14ac:dyDescent="0.3">
      <c r="A90" s="111" t="s">
        <v>18</v>
      </c>
      <c r="B90" s="155">
        <v>0</v>
      </c>
      <c r="C90" s="113">
        <f t="shared" si="7"/>
        <v>0</v>
      </c>
      <c r="D90" s="103" t="s">
        <v>214</v>
      </c>
      <c r="E90" s="156">
        <v>0</v>
      </c>
      <c r="F90" s="104">
        <f t="shared" si="8"/>
        <v>0</v>
      </c>
    </row>
    <row r="91" spans="1:6" ht="14.95" thickBot="1" x14ac:dyDescent="0.3">
      <c r="A91" s="111" t="s">
        <v>200</v>
      </c>
      <c r="B91" s="155">
        <v>0</v>
      </c>
      <c r="C91" s="113">
        <f t="shared" si="7"/>
        <v>0</v>
      </c>
      <c r="D91" s="103" t="s">
        <v>18</v>
      </c>
      <c r="E91" s="156">
        <v>0</v>
      </c>
      <c r="F91" s="104">
        <f t="shared" si="8"/>
        <v>0</v>
      </c>
    </row>
    <row r="92" spans="1:6" ht="14.95" thickBot="1" x14ac:dyDescent="0.3">
      <c r="A92" s="111" t="s">
        <v>198</v>
      </c>
      <c r="B92" s="155">
        <v>0</v>
      </c>
      <c r="C92" s="113">
        <f t="shared" si="7"/>
        <v>0</v>
      </c>
      <c r="D92" s="103" t="s">
        <v>200</v>
      </c>
      <c r="E92" s="156">
        <v>0</v>
      </c>
      <c r="F92" s="104">
        <f t="shared" si="8"/>
        <v>0</v>
      </c>
    </row>
    <row r="93" spans="1:6" ht="14.95" thickBot="1" x14ac:dyDescent="0.3">
      <c r="A93" s="111" t="s">
        <v>221</v>
      </c>
      <c r="B93" s="155">
        <v>0</v>
      </c>
      <c r="C93" s="113">
        <f t="shared" ref="C93:C114" si="9">SUM(B93:B93)</f>
        <v>0</v>
      </c>
      <c r="D93" s="103" t="s">
        <v>198</v>
      </c>
      <c r="E93" s="156">
        <v>0</v>
      </c>
      <c r="F93" s="104">
        <f t="shared" ref="F93:F114" si="10">SUM(E93:E93)</f>
        <v>0</v>
      </c>
    </row>
    <row r="94" spans="1:6" ht="14.95" thickBot="1" x14ac:dyDescent="0.3">
      <c r="A94" s="111" t="s">
        <v>233</v>
      </c>
      <c r="B94" s="155">
        <v>0</v>
      </c>
      <c r="C94" s="113">
        <f t="shared" si="9"/>
        <v>0</v>
      </c>
      <c r="D94" s="103" t="s">
        <v>221</v>
      </c>
      <c r="E94" s="156">
        <v>0</v>
      </c>
      <c r="F94" s="104">
        <f t="shared" si="10"/>
        <v>0</v>
      </c>
    </row>
    <row r="95" spans="1:6" ht="14.95" thickBot="1" x14ac:dyDescent="0.3">
      <c r="A95" s="111" t="s">
        <v>223</v>
      </c>
      <c r="B95" s="155">
        <v>0</v>
      </c>
      <c r="C95" s="113">
        <f t="shared" si="9"/>
        <v>0</v>
      </c>
      <c r="D95" s="103" t="s">
        <v>233</v>
      </c>
      <c r="E95" s="156">
        <v>0</v>
      </c>
      <c r="F95" s="104">
        <f t="shared" si="10"/>
        <v>0</v>
      </c>
    </row>
    <row r="96" spans="1:6" ht="14.95" thickBot="1" x14ac:dyDescent="0.3">
      <c r="A96" s="111" t="s">
        <v>205</v>
      </c>
      <c r="B96" s="155">
        <v>0</v>
      </c>
      <c r="C96" s="113">
        <f t="shared" si="9"/>
        <v>0</v>
      </c>
      <c r="D96" s="103" t="s">
        <v>223</v>
      </c>
      <c r="E96" s="156">
        <v>0</v>
      </c>
      <c r="F96" s="104">
        <f t="shared" si="10"/>
        <v>0</v>
      </c>
    </row>
    <row r="97" spans="1:6" ht="14.95" thickBot="1" x14ac:dyDescent="0.3">
      <c r="A97" s="111" t="s">
        <v>244</v>
      </c>
      <c r="B97" s="155">
        <v>0</v>
      </c>
      <c r="C97" s="113">
        <f t="shared" si="9"/>
        <v>0</v>
      </c>
      <c r="D97" s="103" t="s">
        <v>205</v>
      </c>
      <c r="E97" s="156">
        <v>0</v>
      </c>
      <c r="F97" s="104">
        <f t="shared" si="10"/>
        <v>0</v>
      </c>
    </row>
    <row r="98" spans="1:6" ht="14.95" thickBot="1" x14ac:dyDescent="0.3">
      <c r="A98" s="111" t="s">
        <v>201</v>
      </c>
      <c r="B98" s="155">
        <v>0</v>
      </c>
      <c r="C98" s="113">
        <f t="shared" si="9"/>
        <v>0</v>
      </c>
      <c r="D98" s="103" t="s">
        <v>244</v>
      </c>
      <c r="E98" s="156">
        <v>0</v>
      </c>
      <c r="F98" s="104">
        <f t="shared" si="10"/>
        <v>0</v>
      </c>
    </row>
    <row r="99" spans="1:6" ht="14.95" thickBot="1" x14ac:dyDescent="0.3">
      <c r="A99" s="111" t="s">
        <v>234</v>
      </c>
      <c r="B99" s="155">
        <v>0</v>
      </c>
      <c r="C99" s="113">
        <f t="shared" si="9"/>
        <v>0</v>
      </c>
      <c r="D99" s="103" t="s">
        <v>201</v>
      </c>
      <c r="E99" s="156">
        <v>0</v>
      </c>
      <c r="F99" s="104">
        <f t="shared" si="10"/>
        <v>0</v>
      </c>
    </row>
    <row r="100" spans="1:6" ht="14.95" thickBot="1" x14ac:dyDescent="0.3">
      <c r="A100" s="111" t="s">
        <v>203</v>
      </c>
      <c r="B100" s="155">
        <v>0</v>
      </c>
      <c r="C100" s="113">
        <f t="shared" si="9"/>
        <v>0</v>
      </c>
      <c r="D100" s="103" t="s">
        <v>234</v>
      </c>
      <c r="E100" s="156">
        <v>0</v>
      </c>
      <c r="F100" s="104">
        <f t="shared" si="10"/>
        <v>0</v>
      </c>
    </row>
    <row r="101" spans="1:6" ht="14.95" thickBot="1" x14ac:dyDescent="0.3">
      <c r="A101" s="111" t="s">
        <v>107</v>
      </c>
      <c r="B101" s="155">
        <v>0</v>
      </c>
      <c r="C101" s="113">
        <f t="shared" si="9"/>
        <v>0</v>
      </c>
      <c r="D101" s="103" t="s">
        <v>203</v>
      </c>
      <c r="E101" s="156">
        <v>0</v>
      </c>
      <c r="F101" s="104">
        <f t="shared" si="10"/>
        <v>0</v>
      </c>
    </row>
    <row r="102" spans="1:6" ht="14.95" thickBot="1" x14ac:dyDescent="0.3">
      <c r="A102" s="111" t="s">
        <v>206</v>
      </c>
      <c r="B102" s="155">
        <v>0</v>
      </c>
      <c r="C102" s="113">
        <f t="shared" si="9"/>
        <v>0</v>
      </c>
      <c r="D102" s="103" t="s">
        <v>107</v>
      </c>
      <c r="E102" s="156">
        <v>0</v>
      </c>
      <c r="F102" s="104">
        <f t="shared" si="10"/>
        <v>0</v>
      </c>
    </row>
    <row r="103" spans="1:6" ht="14.95" thickBot="1" x14ac:dyDescent="0.3">
      <c r="A103" s="111" t="s">
        <v>217</v>
      </c>
      <c r="B103" s="155">
        <v>0</v>
      </c>
      <c r="C103" s="113">
        <f t="shared" si="9"/>
        <v>0</v>
      </c>
      <c r="D103" s="103" t="s">
        <v>206</v>
      </c>
      <c r="E103" s="156">
        <v>0</v>
      </c>
      <c r="F103" s="104">
        <f t="shared" si="10"/>
        <v>0</v>
      </c>
    </row>
    <row r="104" spans="1:6" ht="14.95" thickBot="1" x14ac:dyDescent="0.3">
      <c r="A104" s="111" t="s">
        <v>211</v>
      </c>
      <c r="B104" s="155">
        <v>0</v>
      </c>
      <c r="C104" s="113">
        <f t="shared" si="9"/>
        <v>0</v>
      </c>
      <c r="D104" s="103" t="s">
        <v>217</v>
      </c>
      <c r="E104" s="156">
        <v>0</v>
      </c>
      <c r="F104" s="104">
        <f t="shared" si="10"/>
        <v>0</v>
      </c>
    </row>
    <row r="105" spans="1:6" ht="14.95" thickBot="1" x14ac:dyDescent="0.3">
      <c r="A105" s="111" t="s">
        <v>204</v>
      </c>
      <c r="B105" s="155">
        <v>0</v>
      </c>
      <c r="C105" s="113">
        <f t="shared" si="9"/>
        <v>0</v>
      </c>
      <c r="D105" s="103" t="s">
        <v>211</v>
      </c>
      <c r="E105" s="156">
        <v>0</v>
      </c>
      <c r="F105" s="104">
        <f t="shared" si="10"/>
        <v>0</v>
      </c>
    </row>
    <row r="106" spans="1:6" ht="14.95" thickBot="1" x14ac:dyDescent="0.3">
      <c r="A106" s="111" t="s">
        <v>232</v>
      </c>
      <c r="B106" s="155">
        <v>0</v>
      </c>
      <c r="C106" s="113">
        <f t="shared" si="9"/>
        <v>0</v>
      </c>
      <c r="D106" s="103" t="s">
        <v>204</v>
      </c>
      <c r="E106" s="156">
        <v>0</v>
      </c>
      <c r="F106" s="104">
        <f t="shared" si="10"/>
        <v>0</v>
      </c>
    </row>
    <row r="107" spans="1:6" ht="14.95" thickBot="1" x14ac:dyDescent="0.3">
      <c r="A107" s="111" t="s">
        <v>225</v>
      </c>
      <c r="B107" s="155">
        <v>0</v>
      </c>
      <c r="C107" s="113">
        <f t="shared" si="9"/>
        <v>0</v>
      </c>
      <c r="D107" s="103" t="s">
        <v>232</v>
      </c>
      <c r="E107" s="156">
        <v>0</v>
      </c>
      <c r="F107" s="104">
        <f t="shared" si="10"/>
        <v>0</v>
      </c>
    </row>
    <row r="108" spans="1:6" ht="14.95" thickBot="1" x14ac:dyDescent="0.3">
      <c r="A108" s="111" t="s">
        <v>4</v>
      </c>
      <c r="B108" s="155">
        <v>0</v>
      </c>
      <c r="C108" s="113">
        <f t="shared" si="9"/>
        <v>0</v>
      </c>
      <c r="D108" s="103" t="s">
        <v>225</v>
      </c>
      <c r="E108" s="156">
        <v>0</v>
      </c>
      <c r="F108" s="104">
        <f t="shared" si="10"/>
        <v>0</v>
      </c>
    </row>
    <row r="109" spans="1:6" ht="14.95" thickBot="1" x14ac:dyDescent="0.3">
      <c r="A109" s="111" t="s">
        <v>208</v>
      </c>
      <c r="B109" s="155">
        <v>0</v>
      </c>
      <c r="C109" s="113">
        <f t="shared" si="9"/>
        <v>0</v>
      </c>
      <c r="D109" s="103" t="s">
        <v>4</v>
      </c>
      <c r="E109" s="156">
        <v>0</v>
      </c>
      <c r="F109" s="104">
        <f t="shared" si="10"/>
        <v>0</v>
      </c>
    </row>
    <row r="110" spans="1:6" ht="14.95" thickBot="1" x14ac:dyDescent="0.3">
      <c r="A110" s="111" t="s">
        <v>243</v>
      </c>
      <c r="B110" s="155">
        <v>0</v>
      </c>
      <c r="C110" s="113">
        <f t="shared" si="9"/>
        <v>0</v>
      </c>
      <c r="D110" s="103" t="s">
        <v>208</v>
      </c>
      <c r="E110" s="156">
        <v>0</v>
      </c>
      <c r="F110" s="104">
        <f t="shared" si="10"/>
        <v>0</v>
      </c>
    </row>
    <row r="111" spans="1:6" ht="14.95" thickBot="1" x14ac:dyDescent="0.3">
      <c r="A111" s="111" t="s">
        <v>240</v>
      </c>
      <c r="B111" s="155">
        <v>0</v>
      </c>
      <c r="C111" s="113">
        <f t="shared" si="9"/>
        <v>0</v>
      </c>
      <c r="D111" s="103" t="s">
        <v>243</v>
      </c>
      <c r="E111" s="156">
        <v>0</v>
      </c>
      <c r="F111" s="104">
        <f t="shared" si="10"/>
        <v>0</v>
      </c>
    </row>
    <row r="112" spans="1:6" ht="14.95" thickBot="1" x14ac:dyDescent="0.3">
      <c r="A112" s="111" t="s">
        <v>241</v>
      </c>
      <c r="B112" s="155">
        <v>0</v>
      </c>
      <c r="C112" s="113">
        <f t="shared" si="9"/>
        <v>0</v>
      </c>
      <c r="D112" s="103" t="s">
        <v>240</v>
      </c>
      <c r="E112" s="156">
        <v>0</v>
      </c>
      <c r="F112" s="104">
        <f t="shared" si="10"/>
        <v>0</v>
      </c>
    </row>
    <row r="113" spans="1:6" ht="14.95" thickBot="1" x14ac:dyDescent="0.3">
      <c r="A113" s="111" t="s">
        <v>220</v>
      </c>
      <c r="B113" s="155">
        <v>0</v>
      </c>
      <c r="C113" s="113">
        <f t="shared" si="9"/>
        <v>0</v>
      </c>
      <c r="D113" s="103" t="s">
        <v>241</v>
      </c>
      <c r="E113" s="156">
        <v>0</v>
      </c>
      <c r="F113" s="104">
        <f t="shared" si="10"/>
        <v>0</v>
      </c>
    </row>
    <row r="114" spans="1:6" ht="14.95" thickBot="1" x14ac:dyDescent="0.3">
      <c r="A114" s="111" t="s">
        <v>5</v>
      </c>
      <c r="B114" s="155">
        <v>0</v>
      </c>
      <c r="C114" s="113">
        <f t="shared" si="9"/>
        <v>0</v>
      </c>
      <c r="D114" s="103" t="s">
        <v>220</v>
      </c>
      <c r="E114" s="156">
        <v>0</v>
      </c>
      <c r="F114" s="104">
        <f t="shared" si="10"/>
        <v>0</v>
      </c>
    </row>
    <row r="115" spans="1:6" ht="14.95" thickBot="1" x14ac:dyDescent="0.3">
      <c r="A115" s="111" t="s">
        <v>3</v>
      </c>
      <c r="B115" s="155">
        <f>SUM(B61:B114)</f>
        <v>129</v>
      </c>
      <c r="C115" s="113">
        <f t="shared" ref="C115" si="11">SUM(B115:B115)</f>
        <v>129</v>
      </c>
      <c r="D115" s="103" t="s">
        <v>3</v>
      </c>
      <c r="E115" s="156">
        <f>SUM(E61:E114)</f>
        <v>813</v>
      </c>
      <c r="F115" s="104">
        <f t="shared" ref="F115" si="12">SUM(E115:E115)</f>
        <v>813</v>
      </c>
    </row>
    <row r="116" spans="1:6" x14ac:dyDescent="0.25">
      <c r="A116" s="165" t="s">
        <v>20</v>
      </c>
      <c r="B116" s="166"/>
      <c r="C116" s="166"/>
      <c r="D116" s="166"/>
      <c r="E116" s="166"/>
      <c r="F116" s="166"/>
    </row>
  </sheetData>
  <sortState xmlns:xlrd2="http://schemas.microsoft.com/office/spreadsheetml/2017/richdata2" ref="D61:F114">
    <sortCondition descending="1" ref="F61:F114"/>
  </sortState>
  <mergeCells count="6">
    <mergeCell ref="A116:F116"/>
    <mergeCell ref="N1:O2"/>
    <mergeCell ref="A1:F1"/>
    <mergeCell ref="G1:G2"/>
    <mergeCell ref="H1:J2"/>
    <mergeCell ref="K1:M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661"/>
  <sheetViews>
    <sheetView tabSelected="1" workbookViewId="0">
      <selection activeCell="G2" sqref="G2:K20"/>
    </sheetView>
  </sheetViews>
  <sheetFormatPr defaultColWidth="8.875" defaultRowHeight="14.3" x14ac:dyDescent="0.25"/>
  <cols>
    <col min="1" max="1" width="21.375" bestFit="1" customWidth="1"/>
    <col min="2" max="2" width="7" bestFit="1" customWidth="1"/>
    <col min="3" max="3" width="5.75" customWidth="1"/>
    <col min="4" max="4" width="21.375" bestFit="1" customWidth="1"/>
    <col min="5" max="5" width="7.25" bestFit="1" customWidth="1"/>
    <col min="6" max="6" width="5.75" customWidth="1"/>
    <col min="7" max="7" width="17.75" customWidth="1"/>
    <col min="8" max="8" width="7.25" bestFit="1" customWidth="1"/>
    <col min="9" max="9" width="5.75" customWidth="1"/>
    <col min="10" max="10" width="5.25" customWidth="1"/>
    <col min="11" max="11" width="5.75" customWidth="1"/>
    <col min="12" max="12" width="16.75" customWidth="1"/>
    <col min="13" max="13" width="7" bestFit="1" customWidth="1"/>
    <col min="14" max="14" width="3.75" customWidth="1"/>
    <col min="15" max="15" width="14.375" customWidth="1"/>
    <col min="16" max="16" width="5.375" bestFit="1" customWidth="1"/>
    <col min="17" max="17" width="4.875" customWidth="1"/>
  </cols>
  <sheetData>
    <row r="1" spans="1:23" ht="14.95" customHeight="1" thickBot="1" x14ac:dyDescent="0.3">
      <c r="A1" s="27" t="s">
        <v>19</v>
      </c>
      <c r="B1" s="76"/>
      <c r="C1" s="9"/>
      <c r="D1" s="22" t="s">
        <v>6</v>
      </c>
      <c r="E1" s="22"/>
      <c r="F1" s="20"/>
      <c r="G1" s="68" t="s">
        <v>21</v>
      </c>
      <c r="H1" s="77"/>
      <c r="I1" s="23" t="s">
        <v>24</v>
      </c>
      <c r="J1" s="23" t="s">
        <v>7</v>
      </c>
      <c r="K1" s="24" t="s">
        <v>8</v>
      </c>
      <c r="L1" s="187" t="s">
        <v>36</v>
      </c>
      <c r="M1" s="187"/>
      <c r="N1" s="188"/>
      <c r="O1" s="186" t="s">
        <v>45</v>
      </c>
      <c r="P1" s="187"/>
      <c r="Q1" s="188"/>
    </row>
    <row r="2" spans="1:23" ht="14.95" customHeight="1" thickBot="1" x14ac:dyDescent="0.3">
      <c r="A2" s="49" t="s">
        <v>58</v>
      </c>
      <c r="B2" s="49" t="s">
        <v>32</v>
      </c>
      <c r="C2" s="7">
        <f>Caponbritries</f>
        <v>23</v>
      </c>
      <c r="D2" s="1" t="s">
        <v>114</v>
      </c>
      <c r="E2" s="1" t="s">
        <v>30</v>
      </c>
      <c r="F2" s="14">
        <v>180</v>
      </c>
      <c r="G2" s="25" t="s">
        <v>96</v>
      </c>
      <c r="H2" s="25" t="s">
        <v>30</v>
      </c>
      <c r="I2" s="92">
        <v>28</v>
      </c>
      <c r="J2" s="92">
        <v>33</v>
      </c>
      <c r="K2" s="26">
        <f>SUM(I2/J2)*100</f>
        <v>84.848484848484844</v>
      </c>
      <c r="L2" s="49" t="s">
        <v>58</v>
      </c>
      <c r="M2" s="49" t="s">
        <v>32</v>
      </c>
      <c r="N2" s="7">
        <v>21</v>
      </c>
      <c r="O2" s="1" t="s">
        <v>114</v>
      </c>
      <c r="P2" s="1" t="s">
        <v>30</v>
      </c>
      <c r="Q2" s="16">
        <v>164</v>
      </c>
    </row>
    <row r="3" spans="1:23" ht="14.95" customHeight="1" thickBot="1" x14ac:dyDescent="0.3">
      <c r="A3" s="49" t="s">
        <v>139</v>
      </c>
      <c r="B3" s="49" t="s">
        <v>30</v>
      </c>
      <c r="C3" s="7">
        <f>Wyattexetries</f>
        <v>19</v>
      </c>
      <c r="D3" s="1" t="s">
        <v>58</v>
      </c>
      <c r="E3" s="1" t="s">
        <v>32</v>
      </c>
      <c r="F3" s="15">
        <f>Caponbripts</f>
        <v>115</v>
      </c>
      <c r="G3" s="25" t="s">
        <v>114</v>
      </c>
      <c r="H3" s="25" t="s">
        <v>30</v>
      </c>
      <c r="I3" s="92">
        <v>75</v>
      </c>
      <c r="J3" s="92">
        <v>106</v>
      </c>
      <c r="K3" s="26">
        <f>SUM(I3/J3)*100</f>
        <v>70.754716981132077</v>
      </c>
      <c r="L3" s="49" t="s">
        <v>139</v>
      </c>
      <c r="M3" s="49" t="s">
        <v>30</v>
      </c>
      <c r="N3" s="7">
        <v>18</v>
      </c>
      <c r="O3" s="1" t="s">
        <v>58</v>
      </c>
      <c r="P3" s="1" t="s">
        <v>32</v>
      </c>
      <c r="Q3" s="15">
        <v>105</v>
      </c>
      <c r="T3" s="3"/>
      <c r="U3" s="3"/>
      <c r="V3" s="3"/>
      <c r="W3" s="3"/>
    </row>
    <row r="4" spans="1:23" ht="14.95" customHeight="1" thickBot="1" x14ac:dyDescent="0.3">
      <c r="A4" s="49" t="s">
        <v>127</v>
      </c>
      <c r="B4" s="49" t="s">
        <v>30</v>
      </c>
      <c r="C4" s="7">
        <f>Sioexetries</f>
        <v>16</v>
      </c>
      <c r="D4" s="1" t="s">
        <v>193</v>
      </c>
      <c r="E4" s="1" t="s">
        <v>26</v>
      </c>
      <c r="F4" s="15">
        <v>111</v>
      </c>
      <c r="G4" s="25" t="s">
        <v>262</v>
      </c>
      <c r="H4" s="25" t="s">
        <v>28</v>
      </c>
      <c r="I4" s="92">
        <v>11</v>
      </c>
      <c r="J4" s="92">
        <v>16</v>
      </c>
      <c r="K4" s="26">
        <f>SUM(I4/J4)*100</f>
        <v>68.75</v>
      </c>
      <c r="L4" s="49" t="s">
        <v>93</v>
      </c>
      <c r="M4" s="49" t="s">
        <v>30</v>
      </c>
      <c r="N4" s="7">
        <v>15</v>
      </c>
      <c r="O4" s="1" t="s">
        <v>193</v>
      </c>
      <c r="P4" s="1" t="s">
        <v>26</v>
      </c>
      <c r="Q4" s="15">
        <v>98</v>
      </c>
      <c r="S4" s="3"/>
    </row>
    <row r="5" spans="1:23" ht="14.95" customHeight="1" thickBot="1" x14ac:dyDescent="0.3">
      <c r="A5" s="49" t="s">
        <v>93</v>
      </c>
      <c r="B5" s="49" t="s">
        <v>30</v>
      </c>
      <c r="C5" s="7">
        <f>Armanddontries</f>
        <v>15</v>
      </c>
      <c r="D5" s="1" t="s">
        <v>257</v>
      </c>
      <c r="E5" s="1" t="s">
        <v>29</v>
      </c>
      <c r="F5" s="15">
        <v>97</v>
      </c>
      <c r="G5" s="25" t="s">
        <v>259</v>
      </c>
      <c r="H5" s="25" t="s">
        <v>29</v>
      </c>
      <c r="I5" s="92">
        <v>30</v>
      </c>
      <c r="J5" s="92">
        <v>45</v>
      </c>
      <c r="K5" s="26">
        <f>SUM(I5/J5)*100</f>
        <v>66.666666666666657</v>
      </c>
      <c r="L5" s="49" t="s">
        <v>127</v>
      </c>
      <c r="M5" s="49" t="s">
        <v>30</v>
      </c>
      <c r="N5" s="7">
        <v>15</v>
      </c>
      <c r="O5" s="1" t="s">
        <v>257</v>
      </c>
      <c r="P5" s="1" t="s">
        <v>29</v>
      </c>
      <c r="Q5" s="15">
        <v>97</v>
      </c>
      <c r="S5" s="3"/>
    </row>
    <row r="6" spans="1:23" ht="14.95" customHeight="1" thickBot="1" x14ac:dyDescent="0.3">
      <c r="A6" s="49" t="s">
        <v>189</v>
      </c>
      <c r="B6" s="49" t="s">
        <v>26</v>
      </c>
      <c r="C6" s="7">
        <f>Rugmanglotries</f>
        <v>15</v>
      </c>
      <c r="D6" s="1" t="s">
        <v>139</v>
      </c>
      <c r="E6" s="1" t="s">
        <v>30</v>
      </c>
      <c r="F6" s="15">
        <f>Wyattexepts</f>
        <v>95</v>
      </c>
      <c r="G6" s="25" t="s">
        <v>80</v>
      </c>
      <c r="H6" s="25" t="s">
        <v>32</v>
      </c>
      <c r="I6" s="92">
        <f>atkinslirgls</f>
        <v>35</v>
      </c>
      <c r="J6" s="93">
        <f>atkinsliratt</f>
        <v>55</v>
      </c>
      <c r="K6" s="26">
        <f>SUM(I6/J6)*100</f>
        <v>63.636363636363633</v>
      </c>
      <c r="L6" s="49" t="s">
        <v>189</v>
      </c>
      <c r="M6" s="49" t="s">
        <v>26</v>
      </c>
      <c r="N6" s="7">
        <v>15</v>
      </c>
      <c r="O6" s="1" t="s">
        <v>80</v>
      </c>
      <c r="P6" s="1" t="s">
        <v>32</v>
      </c>
      <c r="Q6" s="15">
        <v>90</v>
      </c>
      <c r="S6" s="3"/>
    </row>
    <row r="7" spans="1:23" ht="14.95" customHeight="1" thickBot="1" x14ac:dyDescent="0.3">
      <c r="A7" s="49" t="s">
        <v>218</v>
      </c>
      <c r="B7" s="49" t="s">
        <v>39</v>
      </c>
      <c r="C7" s="7">
        <f>Dalysartriescorrect</f>
        <v>15</v>
      </c>
      <c r="D7" s="13" t="s">
        <v>80</v>
      </c>
      <c r="E7" s="13" t="s">
        <v>32</v>
      </c>
      <c r="F7" s="15">
        <f>MacGintybripts</f>
        <v>90</v>
      </c>
      <c r="G7" s="28" t="s">
        <v>215</v>
      </c>
      <c r="H7" s="144" t="s">
        <v>39</v>
      </c>
      <c r="I7" s="147">
        <f>dehaassargls</f>
        <v>24</v>
      </c>
      <c r="J7" s="147">
        <f>dehaassaratt</f>
        <v>38</v>
      </c>
      <c r="K7" s="150">
        <f>SUM(I7/J7)*100</f>
        <v>63.157894736842103</v>
      </c>
      <c r="L7" s="49" t="s">
        <v>218</v>
      </c>
      <c r="M7" s="49" t="s">
        <v>39</v>
      </c>
      <c r="N7" s="7">
        <v>14</v>
      </c>
      <c r="O7" s="13" t="s">
        <v>139</v>
      </c>
      <c r="P7" s="13" t="s">
        <v>30</v>
      </c>
      <c r="Q7" s="15">
        <v>90</v>
      </c>
      <c r="S7" s="3"/>
    </row>
    <row r="8" spans="1:23" ht="14.95" customHeight="1" thickBot="1" x14ac:dyDescent="0.3">
      <c r="A8" s="49" t="s">
        <v>250</v>
      </c>
      <c r="B8" s="49" t="s">
        <v>29</v>
      </c>
      <c r="C8" s="7">
        <v>14</v>
      </c>
      <c r="D8" s="1" t="s">
        <v>127</v>
      </c>
      <c r="E8" s="1" t="s">
        <v>30</v>
      </c>
      <c r="F8" s="15">
        <f>Sioexepts</f>
        <v>80</v>
      </c>
      <c r="G8" s="143" t="s">
        <v>270</v>
      </c>
      <c r="H8" s="25" t="s">
        <v>31</v>
      </c>
      <c r="I8" s="146">
        <v>10</v>
      </c>
      <c r="J8" s="148">
        <v>16</v>
      </c>
      <c r="K8" s="149">
        <f>SUM(I8/J8)*100</f>
        <v>62.5</v>
      </c>
      <c r="L8" s="8" t="s">
        <v>250</v>
      </c>
      <c r="M8" s="8" t="s">
        <v>29</v>
      </c>
      <c r="N8" s="7">
        <v>14</v>
      </c>
      <c r="O8" s="1" t="s">
        <v>189</v>
      </c>
      <c r="P8" s="1" t="s">
        <v>26</v>
      </c>
      <c r="Q8" s="15">
        <v>77</v>
      </c>
      <c r="S8" s="3"/>
    </row>
    <row r="9" spans="1:23" ht="14.95" customHeight="1" thickBot="1" x14ac:dyDescent="0.3">
      <c r="A9" s="49" t="s">
        <v>231</v>
      </c>
      <c r="B9" s="49" t="s">
        <v>39</v>
      </c>
      <c r="C9" s="7">
        <f>Dansartries</f>
        <v>13</v>
      </c>
      <c r="D9" s="1" t="s">
        <v>189</v>
      </c>
      <c r="E9" s="1" t="s">
        <v>26</v>
      </c>
      <c r="F9" s="15">
        <f>Rugmanglopts</f>
        <v>77</v>
      </c>
      <c r="G9" s="145" t="s">
        <v>261</v>
      </c>
      <c r="H9" s="25" t="s">
        <v>27</v>
      </c>
      <c r="I9" s="148">
        <v>23</v>
      </c>
      <c r="J9" s="148">
        <v>37</v>
      </c>
      <c r="K9" s="149">
        <f>SUM(I9/J9)*100</f>
        <v>62.162162162162161</v>
      </c>
      <c r="L9" s="8" t="s">
        <v>231</v>
      </c>
      <c r="M9" s="49" t="s">
        <v>39</v>
      </c>
      <c r="N9" s="7">
        <v>13</v>
      </c>
      <c r="O9" s="13" t="s">
        <v>93</v>
      </c>
      <c r="P9" s="13" t="s">
        <v>30</v>
      </c>
      <c r="Q9" s="14">
        <v>75</v>
      </c>
      <c r="S9" s="3"/>
    </row>
    <row r="10" spans="1:23" ht="14.95" customHeight="1" thickBot="1" x14ac:dyDescent="0.3">
      <c r="A10" s="49" t="s">
        <v>235</v>
      </c>
      <c r="B10" s="49" t="s">
        <v>39</v>
      </c>
      <c r="C10" s="7">
        <f>farrellsartriescorrect</f>
        <v>13</v>
      </c>
      <c r="D10" s="1" t="s">
        <v>93</v>
      </c>
      <c r="E10" s="1" t="s">
        <v>30</v>
      </c>
      <c r="F10" s="15">
        <f>Armanddonpts</f>
        <v>75</v>
      </c>
      <c r="G10" s="143" t="s">
        <v>85</v>
      </c>
      <c r="H10" s="25" t="s">
        <v>32</v>
      </c>
      <c r="I10" s="146">
        <f>wilsteadbrigls</f>
        <v>18</v>
      </c>
      <c r="J10" s="148">
        <f>wilsteadbriatt</f>
        <v>29</v>
      </c>
      <c r="K10" s="149">
        <f>SUM(I10/J10)*100</f>
        <v>62.068965517241381</v>
      </c>
      <c r="L10" s="49" t="s">
        <v>235</v>
      </c>
      <c r="M10" s="49" t="s">
        <v>39</v>
      </c>
      <c r="N10" s="5">
        <v>13</v>
      </c>
      <c r="O10" s="1" t="s">
        <v>127</v>
      </c>
      <c r="P10" s="1" t="s">
        <v>30</v>
      </c>
      <c r="Q10" s="15">
        <v>75</v>
      </c>
      <c r="S10" s="3"/>
    </row>
    <row r="11" spans="1:23" ht="14.95" customHeight="1" thickBot="1" x14ac:dyDescent="0.3">
      <c r="A11" s="49" t="s">
        <v>251</v>
      </c>
      <c r="B11" s="49" t="s">
        <v>252</v>
      </c>
      <c r="C11" s="7">
        <v>13</v>
      </c>
      <c r="D11" s="1" t="s">
        <v>245</v>
      </c>
      <c r="E11" s="1" t="s">
        <v>39</v>
      </c>
      <c r="F11" s="15">
        <f>harrisonsarpts</f>
        <v>75</v>
      </c>
      <c r="G11" s="25" t="s">
        <v>260</v>
      </c>
      <c r="H11" s="25" t="s">
        <v>28</v>
      </c>
      <c r="I11" s="92">
        <v>26</v>
      </c>
      <c r="J11" s="92">
        <v>42</v>
      </c>
      <c r="K11" s="26">
        <f>SUM(I11/J11)*100</f>
        <v>61.904761904761905</v>
      </c>
      <c r="L11" s="8" t="s">
        <v>251</v>
      </c>
      <c r="M11" s="8" t="s">
        <v>252</v>
      </c>
      <c r="N11" s="7">
        <v>13</v>
      </c>
      <c r="O11" s="1" t="s">
        <v>245</v>
      </c>
      <c r="P11" s="1" t="s">
        <v>39</v>
      </c>
      <c r="Q11" s="15">
        <v>75</v>
      </c>
      <c r="S11" s="3"/>
    </row>
    <row r="12" spans="1:23" ht="14.95" customHeight="1" thickBot="1" x14ac:dyDescent="0.3">
      <c r="A12" s="49" t="s">
        <v>207</v>
      </c>
      <c r="B12" s="49" t="s">
        <v>39</v>
      </c>
      <c r="C12" s="7">
        <f>Lewissartriescorrect</f>
        <v>12</v>
      </c>
      <c r="D12" s="1" t="s">
        <v>218</v>
      </c>
      <c r="E12" s="1" t="s">
        <v>39</v>
      </c>
      <c r="F12" s="15">
        <f>Dalysarptscorrect</f>
        <v>75</v>
      </c>
      <c r="G12" s="28" t="s">
        <v>245</v>
      </c>
      <c r="H12" s="144" t="s">
        <v>39</v>
      </c>
      <c r="I12" s="147">
        <f>farrellsarglscorrect</f>
        <v>35</v>
      </c>
      <c r="J12" s="147">
        <f>farrellsarattcorrect</f>
        <v>57</v>
      </c>
      <c r="K12" s="150">
        <f>SUM(I12/J12)*100</f>
        <v>61.403508771929829</v>
      </c>
      <c r="L12" s="49" t="s">
        <v>207</v>
      </c>
      <c r="M12" s="49" t="s">
        <v>39</v>
      </c>
      <c r="N12" s="7">
        <v>12</v>
      </c>
      <c r="O12" s="189" t="s">
        <v>35</v>
      </c>
      <c r="P12" s="190"/>
      <c r="Q12" s="190"/>
      <c r="S12" s="3"/>
    </row>
    <row r="13" spans="1:23" ht="14.95" customHeight="1" thickBot="1" x14ac:dyDescent="0.3">
      <c r="A13" s="49" t="s">
        <v>230</v>
      </c>
      <c r="B13" s="49" t="s">
        <v>39</v>
      </c>
      <c r="C13" s="7">
        <f>Taylorsartriescorrect</f>
        <v>12</v>
      </c>
      <c r="D13" s="1" t="s">
        <v>258</v>
      </c>
      <c r="E13" s="1" t="s">
        <v>252</v>
      </c>
      <c r="F13" s="15">
        <v>71</v>
      </c>
      <c r="G13" s="25" t="s">
        <v>193</v>
      </c>
      <c r="H13" s="25" t="s">
        <v>26</v>
      </c>
      <c r="I13" s="92">
        <v>39</v>
      </c>
      <c r="J13" s="92">
        <v>64</v>
      </c>
      <c r="K13" s="26">
        <f>SUM(I13/J13)*100</f>
        <v>60.9375</v>
      </c>
      <c r="L13" s="49" t="s">
        <v>230</v>
      </c>
      <c r="M13" s="49" t="s">
        <v>39</v>
      </c>
      <c r="N13" s="5">
        <v>12</v>
      </c>
      <c r="O13" s="106"/>
      <c r="S13" s="3"/>
    </row>
    <row r="14" spans="1:23" ht="14.95" customHeight="1" thickBot="1" x14ac:dyDescent="0.3">
      <c r="A14" s="49" t="s">
        <v>77</v>
      </c>
      <c r="B14" s="49" t="s">
        <v>27</v>
      </c>
      <c r="C14" s="7">
        <v>11</v>
      </c>
      <c r="D14" s="1" t="s">
        <v>250</v>
      </c>
      <c r="E14" s="1" t="s">
        <v>29</v>
      </c>
      <c r="F14" s="15">
        <v>70</v>
      </c>
      <c r="G14" s="28" t="s">
        <v>257</v>
      </c>
      <c r="H14" s="25" t="s">
        <v>29</v>
      </c>
      <c r="I14" s="92">
        <v>32</v>
      </c>
      <c r="J14" s="92">
        <v>53</v>
      </c>
      <c r="K14" s="26">
        <f>SUM(I14/J14)*100</f>
        <v>60.377358490566039</v>
      </c>
      <c r="L14" s="49" t="s">
        <v>77</v>
      </c>
      <c r="M14" s="49" t="s">
        <v>27</v>
      </c>
      <c r="N14" s="7">
        <v>11</v>
      </c>
      <c r="S14" s="3"/>
    </row>
    <row r="15" spans="1:23" ht="14.95" customHeight="1" thickBot="1" x14ac:dyDescent="0.3">
      <c r="A15" s="49" t="s">
        <v>178</v>
      </c>
      <c r="B15" s="49" t="s">
        <v>26</v>
      </c>
      <c r="C15" s="7">
        <v>11</v>
      </c>
      <c r="D15" s="1" t="s">
        <v>259</v>
      </c>
      <c r="E15" s="1" t="s">
        <v>29</v>
      </c>
      <c r="F15" s="15">
        <v>70</v>
      </c>
      <c r="G15" s="28" t="s">
        <v>5</v>
      </c>
      <c r="H15" s="144" t="s">
        <v>39</v>
      </c>
      <c r="I15" s="147">
        <f>vunipolasarglscorrect</f>
        <v>21</v>
      </c>
      <c r="J15" s="147">
        <f>vunipolasarattcorrect</f>
        <v>35</v>
      </c>
      <c r="K15" s="150">
        <f>SUM(I15/J15)*100</f>
        <v>60</v>
      </c>
      <c r="L15" s="8" t="s">
        <v>111</v>
      </c>
      <c r="M15" s="8" t="s">
        <v>30</v>
      </c>
      <c r="N15" s="7">
        <v>10</v>
      </c>
      <c r="S15" s="3"/>
    </row>
    <row r="16" spans="1:23" ht="14.95" customHeight="1" thickBot="1" x14ac:dyDescent="0.3">
      <c r="A16" s="49" t="s">
        <v>111</v>
      </c>
      <c r="B16" s="49" t="s">
        <v>30</v>
      </c>
      <c r="C16" s="7">
        <f>Jenkins_Iexetries</f>
        <v>10</v>
      </c>
      <c r="D16" s="1" t="s">
        <v>251</v>
      </c>
      <c r="E16" s="1" t="s">
        <v>252</v>
      </c>
      <c r="F16" s="15">
        <v>65</v>
      </c>
      <c r="G16" s="25" t="s">
        <v>269</v>
      </c>
      <c r="H16" s="25" t="s">
        <v>27</v>
      </c>
      <c r="I16" s="92">
        <v>11</v>
      </c>
      <c r="J16" s="92">
        <v>19</v>
      </c>
      <c r="K16" s="26">
        <f>SUM(I16/J16)*100</f>
        <v>57.894736842105267</v>
      </c>
      <c r="L16" s="49" t="s">
        <v>253</v>
      </c>
      <c r="M16" s="49" t="s">
        <v>252</v>
      </c>
      <c r="N16" s="7">
        <v>10</v>
      </c>
    </row>
    <row r="17" spans="1:22" ht="14.95" customHeight="1" thickBot="1" x14ac:dyDescent="0.3">
      <c r="A17" s="49" t="s">
        <v>253</v>
      </c>
      <c r="B17" s="49" t="s">
        <v>252</v>
      </c>
      <c r="C17" s="7">
        <v>10</v>
      </c>
      <c r="D17" s="1" t="s">
        <v>231</v>
      </c>
      <c r="E17" s="1" t="s">
        <v>39</v>
      </c>
      <c r="F17" s="15">
        <f>Dansarpts</f>
        <v>65</v>
      </c>
      <c r="G17" s="25" t="s">
        <v>258</v>
      </c>
      <c r="H17" s="25" t="s">
        <v>252</v>
      </c>
      <c r="I17" s="92">
        <v>35</v>
      </c>
      <c r="J17" s="93">
        <v>64</v>
      </c>
      <c r="K17" s="26">
        <f>SUM(I17/J17)*100</f>
        <v>54.6875</v>
      </c>
      <c r="L17" s="49" t="s">
        <v>145</v>
      </c>
      <c r="M17" s="49" t="s">
        <v>26</v>
      </c>
      <c r="N17" s="7">
        <v>9</v>
      </c>
    </row>
    <row r="18" spans="1:22" ht="14.95" customHeight="1" thickBot="1" x14ac:dyDescent="0.3">
      <c r="A18" s="49" t="s">
        <v>143</v>
      </c>
      <c r="B18" s="49" t="s">
        <v>26</v>
      </c>
      <c r="C18" s="7">
        <v>10</v>
      </c>
      <c r="D18" s="1" t="s">
        <v>235</v>
      </c>
      <c r="E18" s="1" t="s">
        <v>39</v>
      </c>
      <c r="F18" s="15">
        <f>Farrellsarptscorrect</f>
        <v>65</v>
      </c>
      <c r="G18" s="25" t="s">
        <v>38</v>
      </c>
      <c r="H18" s="25" t="s">
        <v>26</v>
      </c>
      <c r="I18" s="92">
        <f>chapmanglogls</f>
        <v>22</v>
      </c>
      <c r="J18" s="92">
        <f>chapmangloatt</f>
        <v>42</v>
      </c>
      <c r="K18" s="26">
        <f>SUM(I18/J18)*100</f>
        <v>52.380952380952387</v>
      </c>
      <c r="L18" s="49" t="s">
        <v>178</v>
      </c>
      <c r="M18" s="49" t="s">
        <v>26</v>
      </c>
      <c r="N18" s="7">
        <v>9</v>
      </c>
    </row>
    <row r="19" spans="1:22" ht="14.95" customHeight="1" thickBot="1" x14ac:dyDescent="0.3">
      <c r="A19" s="49" t="s">
        <v>169</v>
      </c>
      <c r="B19" s="49" t="s">
        <v>26</v>
      </c>
      <c r="C19" s="7">
        <v>10</v>
      </c>
      <c r="D19" s="1" t="s">
        <v>96</v>
      </c>
      <c r="E19" s="1" t="s">
        <v>30</v>
      </c>
      <c r="F19" s="15">
        <v>63</v>
      </c>
      <c r="G19" s="25" t="s">
        <v>159</v>
      </c>
      <c r="H19" s="25" t="s">
        <v>26</v>
      </c>
      <c r="I19" s="92">
        <f>evanslglogoals</f>
        <v>8</v>
      </c>
      <c r="J19" s="92">
        <f>evanslgloatt</f>
        <v>16</v>
      </c>
      <c r="K19" s="26">
        <f>SUM(I19/J19)*100</f>
        <v>50</v>
      </c>
      <c r="L19" s="49" t="s">
        <v>219</v>
      </c>
      <c r="M19" s="49" t="s">
        <v>39</v>
      </c>
      <c r="N19" s="7">
        <v>9</v>
      </c>
    </row>
    <row r="20" spans="1:22" ht="14.95" customHeight="1" thickBot="1" x14ac:dyDescent="0.3">
      <c r="A20" s="49" t="s">
        <v>145</v>
      </c>
      <c r="B20" s="49" t="s">
        <v>26</v>
      </c>
      <c r="C20" s="7">
        <f>Bartlettglotries</f>
        <v>9</v>
      </c>
      <c r="D20" s="1" t="s">
        <v>207</v>
      </c>
      <c r="E20" s="1" t="s">
        <v>39</v>
      </c>
      <c r="F20" s="15">
        <f>Lewissarptscorrect</f>
        <v>60</v>
      </c>
      <c r="G20" s="25" t="s">
        <v>271</v>
      </c>
      <c r="H20" s="25" t="s">
        <v>272</v>
      </c>
      <c r="I20" s="92">
        <v>5</v>
      </c>
      <c r="J20" s="92">
        <v>16</v>
      </c>
      <c r="K20" s="26">
        <f>SUM(I20/J20)*100</f>
        <v>31.25</v>
      </c>
      <c r="L20" s="49" t="s">
        <v>143</v>
      </c>
      <c r="M20" s="49" t="s">
        <v>26</v>
      </c>
      <c r="N20" s="7">
        <v>8</v>
      </c>
    </row>
    <row r="21" spans="1:22" ht="14.95" customHeight="1" thickBot="1" x14ac:dyDescent="0.3">
      <c r="A21" s="49" t="s">
        <v>219</v>
      </c>
      <c r="B21" s="49" t="s">
        <v>39</v>
      </c>
      <c r="C21" s="7">
        <f>Tompkinssartriescorrect</f>
        <v>9</v>
      </c>
      <c r="D21" s="1" t="s">
        <v>230</v>
      </c>
      <c r="E21" s="1" t="s">
        <v>39</v>
      </c>
      <c r="F21" s="15">
        <f>Taylorsarptscorrect</f>
        <v>60</v>
      </c>
      <c r="G21" s="69" t="s">
        <v>44</v>
      </c>
      <c r="L21" s="49" t="s">
        <v>169</v>
      </c>
      <c r="M21" s="49" t="s">
        <v>26</v>
      </c>
      <c r="N21" s="7">
        <v>8</v>
      </c>
      <c r="V21" t="s">
        <v>16</v>
      </c>
    </row>
    <row r="22" spans="1:22" ht="14.95" customHeight="1" thickBot="1" x14ac:dyDescent="0.3">
      <c r="A22" s="49" t="s">
        <v>226</v>
      </c>
      <c r="B22" s="49" t="s">
        <v>39</v>
      </c>
      <c r="C22" s="7">
        <f>Earlsartriescorrect</f>
        <v>8</v>
      </c>
      <c r="D22" s="1" t="s">
        <v>215</v>
      </c>
      <c r="E22" s="1" t="s">
        <v>39</v>
      </c>
      <c r="F22" s="15">
        <f>Adams_Halesarptscorrect</f>
        <v>59</v>
      </c>
      <c r="L22" s="6" t="s">
        <v>226</v>
      </c>
      <c r="M22" s="134" t="s">
        <v>39</v>
      </c>
      <c r="N22" s="134">
        <v>8</v>
      </c>
    </row>
    <row r="23" spans="1:22" ht="14.95" customHeight="1" thickBot="1" x14ac:dyDescent="0.3">
      <c r="A23" s="49" t="s">
        <v>254</v>
      </c>
      <c r="B23" s="49" t="s">
        <v>27</v>
      </c>
      <c r="C23" s="7">
        <v>8</v>
      </c>
      <c r="D23" s="1" t="s">
        <v>178</v>
      </c>
      <c r="E23" s="1" t="s">
        <v>26</v>
      </c>
      <c r="F23" s="15">
        <v>55</v>
      </c>
      <c r="L23" s="134" t="s">
        <v>254</v>
      </c>
      <c r="M23" s="133" t="s">
        <v>27</v>
      </c>
      <c r="N23" s="134">
        <v>8</v>
      </c>
    </row>
    <row r="24" spans="1:22" ht="14.95" customHeight="1" thickBot="1" x14ac:dyDescent="0.3">
      <c r="A24" s="49" t="s">
        <v>49</v>
      </c>
      <c r="B24" s="135" t="s">
        <v>32</v>
      </c>
      <c r="C24" s="7">
        <f>Armstrongjakebritries</f>
        <v>7</v>
      </c>
      <c r="D24" s="1" t="s">
        <v>77</v>
      </c>
      <c r="E24" s="1" t="s">
        <v>27</v>
      </c>
      <c r="F24" s="15">
        <v>55</v>
      </c>
      <c r="L24" s="191" t="s">
        <v>35</v>
      </c>
      <c r="M24" s="190"/>
      <c r="N24" s="190"/>
    </row>
    <row r="25" spans="1:22" ht="14.95" customHeight="1" thickBot="1" x14ac:dyDescent="0.3">
      <c r="A25" s="49" t="s">
        <v>255</v>
      </c>
      <c r="B25" s="135" t="s">
        <v>29</v>
      </c>
      <c r="C25" s="7">
        <v>7</v>
      </c>
      <c r="D25" s="1" t="s">
        <v>260</v>
      </c>
      <c r="E25" s="1" t="s">
        <v>28</v>
      </c>
      <c r="F25" s="15">
        <v>54</v>
      </c>
    </row>
    <row r="26" spans="1:22" ht="14.95" customHeight="1" thickBot="1" x14ac:dyDescent="0.3">
      <c r="A26" s="49" t="s">
        <v>71</v>
      </c>
      <c r="B26" s="49" t="s">
        <v>32</v>
      </c>
      <c r="C26" s="43">
        <f>Jeffriesbritriescorrect</f>
        <v>7</v>
      </c>
      <c r="D26" s="1" t="s">
        <v>111</v>
      </c>
      <c r="E26" s="1" t="s">
        <v>30</v>
      </c>
      <c r="F26" s="16">
        <f>Jenkins_Iexepts</f>
        <v>50</v>
      </c>
    </row>
    <row r="27" spans="1:22" ht="14.95" customHeight="1" thickBot="1" x14ac:dyDescent="0.3">
      <c r="A27" s="49" t="s">
        <v>87</v>
      </c>
      <c r="B27" s="49" t="s">
        <v>32</v>
      </c>
      <c r="C27" s="7">
        <f>Salomonbritries</f>
        <v>7</v>
      </c>
      <c r="D27" s="1" t="s">
        <v>143</v>
      </c>
      <c r="E27" s="1" t="s">
        <v>26</v>
      </c>
      <c r="F27" s="15">
        <v>50</v>
      </c>
    </row>
    <row r="28" spans="1:22" ht="14.95" customHeight="1" thickBot="1" x14ac:dyDescent="0.3">
      <c r="A28" s="49" t="s">
        <v>95</v>
      </c>
      <c r="B28" s="49" t="s">
        <v>30</v>
      </c>
      <c r="C28" s="7">
        <f>Capstickexetries</f>
        <v>7</v>
      </c>
      <c r="D28" s="1" t="s">
        <v>169</v>
      </c>
      <c r="E28" s="1" t="s">
        <v>26</v>
      </c>
      <c r="F28" s="15">
        <v>50</v>
      </c>
    </row>
    <row r="29" spans="1:22" ht="14.95" customHeight="1" thickBot="1" x14ac:dyDescent="0.3">
      <c r="A29" s="49" t="s">
        <v>256</v>
      </c>
      <c r="B29" s="49" t="s">
        <v>27</v>
      </c>
      <c r="C29" s="7">
        <v>7</v>
      </c>
      <c r="D29" s="1" t="s">
        <v>253</v>
      </c>
      <c r="E29" s="1" t="s">
        <v>252</v>
      </c>
      <c r="F29" s="16">
        <v>50</v>
      </c>
    </row>
    <row r="30" spans="1:22" ht="14.95" customHeight="1" thickBot="1" x14ac:dyDescent="0.3">
      <c r="A30" s="49" t="s">
        <v>107</v>
      </c>
      <c r="B30" s="49" t="s">
        <v>30</v>
      </c>
      <c r="C30" s="7">
        <f>Hoggexetries</f>
        <v>7</v>
      </c>
      <c r="D30" s="1" t="s">
        <v>85</v>
      </c>
      <c r="E30" s="1" t="s">
        <v>32</v>
      </c>
      <c r="F30" s="15">
        <f>Powellbripts</f>
        <v>47</v>
      </c>
    </row>
    <row r="31" spans="1:22" ht="14.95" customHeight="1" thickBot="1" x14ac:dyDescent="0.3">
      <c r="A31" s="49" t="s">
        <v>118</v>
      </c>
      <c r="B31" s="49" t="s">
        <v>30</v>
      </c>
      <c r="C31" s="7">
        <f>mummtries</f>
        <v>7</v>
      </c>
      <c r="D31" s="1" t="s">
        <v>261</v>
      </c>
      <c r="E31" s="1" t="s">
        <v>27</v>
      </c>
      <c r="F31" s="16">
        <v>47</v>
      </c>
    </row>
    <row r="32" spans="1:22" ht="14.95" customHeight="1" thickBot="1" x14ac:dyDescent="0.3">
      <c r="A32" s="49" t="s">
        <v>165</v>
      </c>
      <c r="B32" s="49" t="s">
        <v>26</v>
      </c>
      <c r="C32" s="7">
        <f>McGuiganglotries</f>
        <v>7</v>
      </c>
      <c r="D32" s="1" t="s">
        <v>145</v>
      </c>
      <c r="E32" s="1" t="s">
        <v>26</v>
      </c>
      <c r="F32" s="15">
        <f>Bartlettglopts</f>
        <v>45</v>
      </c>
    </row>
    <row r="33" spans="1:15" ht="14.95" customHeight="1" thickBot="1" x14ac:dyDescent="0.3">
      <c r="A33" s="49" t="s">
        <v>78</v>
      </c>
      <c r="B33" s="49" t="s">
        <v>26</v>
      </c>
      <c r="C33" s="43">
        <f>Vellacottglotries</f>
        <v>7</v>
      </c>
      <c r="D33" s="1" t="s">
        <v>219</v>
      </c>
      <c r="E33" s="1" t="s">
        <v>39</v>
      </c>
      <c r="F33" s="15">
        <f>Tompkinssarptscorrect2</f>
        <v>45</v>
      </c>
    </row>
    <row r="34" spans="1:15" ht="14.95" customHeight="1" thickBot="1" x14ac:dyDescent="0.3">
      <c r="A34" s="49" t="s">
        <v>106</v>
      </c>
      <c r="B34" s="49" t="s">
        <v>30</v>
      </c>
      <c r="C34" s="7">
        <v>7</v>
      </c>
      <c r="D34" s="1" t="s">
        <v>38</v>
      </c>
      <c r="E34" s="1" t="s">
        <v>26</v>
      </c>
      <c r="F34" s="15">
        <f>Ford_Robinsonglopts</f>
        <v>44</v>
      </c>
    </row>
    <row r="35" spans="1:15" ht="14.95" customHeight="1" thickBot="1" x14ac:dyDescent="0.3">
      <c r="A35" s="49" t="s">
        <v>257</v>
      </c>
      <c r="B35" s="49" t="s">
        <v>29</v>
      </c>
      <c r="C35" s="43">
        <v>6</v>
      </c>
      <c r="D35" s="1" t="s">
        <v>5</v>
      </c>
      <c r="E35" s="1" t="s">
        <v>39</v>
      </c>
      <c r="F35" s="15">
        <f>Woolstencroftsarptscorrect</f>
        <v>44</v>
      </c>
    </row>
    <row r="36" spans="1:15" ht="14.95" customHeight="1" thickBot="1" x14ac:dyDescent="0.3">
      <c r="A36" s="49" t="s">
        <v>193</v>
      </c>
      <c r="B36" s="49" t="s">
        <v>26</v>
      </c>
      <c r="C36" s="7">
        <f>Singglotries</f>
        <v>6</v>
      </c>
      <c r="D36" s="1" t="s">
        <v>50</v>
      </c>
      <c r="E36" s="1" t="s">
        <v>32</v>
      </c>
      <c r="F36" s="15">
        <f>Ascherlbripts</f>
        <v>43</v>
      </c>
    </row>
    <row r="37" spans="1:15" ht="14.95" customHeight="1" thickBot="1" x14ac:dyDescent="0.3">
      <c r="A37" s="49" t="s">
        <v>263</v>
      </c>
      <c r="B37" s="49" t="s">
        <v>29</v>
      </c>
      <c r="C37" s="43">
        <v>6</v>
      </c>
      <c r="D37" s="1" t="s">
        <v>226</v>
      </c>
      <c r="E37" s="1" t="s">
        <v>39</v>
      </c>
      <c r="F37" s="15">
        <f>Earlsarptscorrect</f>
        <v>40</v>
      </c>
      <c r="L37" s="40" t="s">
        <v>16</v>
      </c>
    </row>
    <row r="38" spans="1:15" ht="14.95" customHeight="1" thickBot="1" x14ac:dyDescent="0.3">
      <c r="A38" s="49" t="s">
        <v>264</v>
      </c>
      <c r="B38" s="49" t="s">
        <v>252</v>
      </c>
      <c r="C38" s="43">
        <v>6</v>
      </c>
      <c r="D38" s="1" t="s">
        <v>254</v>
      </c>
      <c r="E38" s="1" t="s">
        <v>27</v>
      </c>
      <c r="F38" s="15">
        <v>40</v>
      </c>
    </row>
    <row r="39" spans="1:15" ht="14.95" customHeight="1" thickBot="1" x14ac:dyDescent="0.3">
      <c r="A39" s="49" t="s">
        <v>265</v>
      </c>
      <c r="B39" s="49" t="s">
        <v>252</v>
      </c>
      <c r="C39" s="43">
        <v>6</v>
      </c>
      <c r="D39" s="1" t="s">
        <v>262</v>
      </c>
      <c r="E39" s="1" t="s">
        <v>28</v>
      </c>
      <c r="F39" s="15">
        <v>38</v>
      </c>
    </row>
    <row r="40" spans="1:15" ht="14.95" customHeight="1" thickBot="1" x14ac:dyDescent="0.3">
      <c r="A40" s="49" t="s">
        <v>266</v>
      </c>
      <c r="B40" s="49" t="s">
        <v>28</v>
      </c>
      <c r="C40" s="43">
        <v>6</v>
      </c>
      <c r="D40" s="1" t="s">
        <v>159</v>
      </c>
      <c r="E40" s="1" t="s">
        <v>26</v>
      </c>
      <c r="F40" s="15">
        <f>Hudsonglopts</f>
        <v>36</v>
      </c>
      <c r="O40" s="40" t="s">
        <v>16</v>
      </c>
    </row>
    <row r="41" spans="1:15" ht="14.95" customHeight="1" thickBot="1" x14ac:dyDescent="0.3">
      <c r="A41" s="49" t="s">
        <v>267</v>
      </c>
      <c r="B41" s="49" t="s">
        <v>28</v>
      </c>
      <c r="C41" s="43">
        <v>6</v>
      </c>
      <c r="D41" s="1" t="s">
        <v>49</v>
      </c>
      <c r="E41" s="1" t="s">
        <v>32</v>
      </c>
      <c r="F41" s="15">
        <f>Armstrongjakebripts</f>
        <v>35</v>
      </c>
    </row>
    <row r="42" spans="1:15" ht="14.95" customHeight="1" thickBot="1" x14ac:dyDescent="0.3">
      <c r="A42" s="49" t="s">
        <v>268</v>
      </c>
      <c r="B42" s="49" t="s">
        <v>28</v>
      </c>
      <c r="C42" s="43">
        <v>6</v>
      </c>
      <c r="D42" s="1" t="s">
        <v>71</v>
      </c>
      <c r="E42" s="1" t="s">
        <v>32</v>
      </c>
      <c r="F42" s="15">
        <f>Jeffriesbriptscorrect</f>
        <v>35</v>
      </c>
    </row>
    <row r="43" spans="1:15" ht="14.95" customHeight="1" thickBot="1" x14ac:dyDescent="0.3">
      <c r="A43" s="135" t="s">
        <v>50</v>
      </c>
      <c r="B43" s="8" t="s">
        <v>32</v>
      </c>
      <c r="C43" s="7">
        <f>Ascherlbritries</f>
        <v>5</v>
      </c>
      <c r="D43" s="1" t="s">
        <v>87</v>
      </c>
      <c r="E43" s="1" t="s">
        <v>32</v>
      </c>
      <c r="F43" s="15">
        <f>Salomonbripts</f>
        <v>35</v>
      </c>
    </row>
    <row r="44" spans="1:15" ht="14.95" customHeight="1" thickBot="1" x14ac:dyDescent="0.3">
      <c r="A44" s="49" t="s">
        <v>64</v>
      </c>
      <c r="B44" s="49" t="s">
        <v>32</v>
      </c>
      <c r="C44" s="43">
        <f>Armstrongbritries</f>
        <v>5</v>
      </c>
      <c r="D44" s="1" t="s">
        <v>95</v>
      </c>
      <c r="E44" s="1" t="s">
        <v>30</v>
      </c>
      <c r="F44" s="14">
        <f>Capstickexepts</f>
        <v>35</v>
      </c>
    </row>
    <row r="45" spans="1:15" ht="14.95" customHeight="1" thickBot="1" x14ac:dyDescent="0.3">
      <c r="A45" s="49" t="s">
        <v>54</v>
      </c>
      <c r="B45" s="49" t="s">
        <v>32</v>
      </c>
      <c r="C45" s="43">
        <f>Benz_Salomon_Jbritri</f>
        <v>5</v>
      </c>
      <c r="D45" s="13" t="s">
        <v>107</v>
      </c>
      <c r="E45" s="13" t="s">
        <v>30</v>
      </c>
      <c r="F45" s="15">
        <f>Hoggexepts</f>
        <v>35</v>
      </c>
    </row>
    <row r="46" spans="1:15" ht="14.95" customHeight="1" thickBot="1" x14ac:dyDescent="0.3">
      <c r="A46" s="49" t="s">
        <v>66</v>
      </c>
      <c r="B46" s="49" t="s">
        <v>32</v>
      </c>
      <c r="C46" s="7">
        <f>Fenbylitries</f>
        <v>5</v>
      </c>
      <c r="D46" s="1" t="s">
        <v>118</v>
      </c>
      <c r="E46" s="1" t="s">
        <v>30</v>
      </c>
      <c r="F46" s="15">
        <f>Mummpts</f>
        <v>35</v>
      </c>
    </row>
    <row r="47" spans="1:15" ht="14.95" customHeight="1" thickBot="1" x14ac:dyDescent="0.3">
      <c r="A47" s="49" t="s">
        <v>68</v>
      </c>
      <c r="B47" s="49" t="s">
        <v>32</v>
      </c>
      <c r="C47" s="7">
        <f>Hewardbritries</f>
        <v>5</v>
      </c>
      <c r="D47" s="1" t="s">
        <v>106</v>
      </c>
      <c r="E47" s="1" t="s">
        <v>30</v>
      </c>
      <c r="F47" s="16">
        <v>35</v>
      </c>
    </row>
    <row r="48" spans="1:15" ht="14.95" customHeight="1" thickBot="1" x14ac:dyDescent="0.3">
      <c r="A48" s="49" t="s">
        <v>246</v>
      </c>
      <c r="B48" s="49" t="s">
        <v>32</v>
      </c>
      <c r="C48" s="7">
        <f>paulolirtries</f>
        <v>5</v>
      </c>
      <c r="D48" s="1" t="s">
        <v>165</v>
      </c>
      <c r="E48" s="1" t="s">
        <v>26</v>
      </c>
      <c r="F48" s="15">
        <f>McGuiganglopts</f>
        <v>35</v>
      </c>
    </row>
    <row r="49" spans="1:6" ht="14.95" customHeight="1" thickBot="1" x14ac:dyDescent="0.3">
      <c r="A49" s="49" t="s">
        <v>126</v>
      </c>
      <c r="B49" s="49" t="s">
        <v>30</v>
      </c>
      <c r="C49" s="7">
        <f>Simmonds_Sexetries</f>
        <v>5</v>
      </c>
      <c r="D49" s="1" t="s">
        <v>78</v>
      </c>
      <c r="E49" s="1" t="s">
        <v>26</v>
      </c>
      <c r="F49" s="15">
        <f>Vellacottglopts</f>
        <v>35</v>
      </c>
    </row>
    <row r="50" spans="1:6" ht="14.95" customHeight="1" thickBot="1" x14ac:dyDescent="0.3">
      <c r="A50" s="49" t="s">
        <v>171</v>
      </c>
      <c r="B50" s="49" t="s">
        <v>26</v>
      </c>
      <c r="C50" s="7">
        <f>Moriartyglotries</f>
        <v>5</v>
      </c>
      <c r="D50" s="1" t="s">
        <v>255</v>
      </c>
      <c r="E50" s="1" t="s">
        <v>29</v>
      </c>
      <c r="F50" s="15">
        <v>35</v>
      </c>
    </row>
    <row r="51" spans="1:6" ht="14.95" customHeight="1" thickBot="1" x14ac:dyDescent="0.3">
      <c r="A51" s="49" t="s">
        <v>175</v>
      </c>
      <c r="B51" s="49" t="s">
        <v>26</v>
      </c>
      <c r="C51" s="7">
        <f>Rees_Zammitglotries</f>
        <v>5</v>
      </c>
      <c r="D51" s="1" t="s">
        <v>256</v>
      </c>
      <c r="E51" s="1" t="s">
        <v>27</v>
      </c>
      <c r="F51" s="15">
        <v>35</v>
      </c>
    </row>
    <row r="52" spans="1:6" ht="14.95" customHeight="1" thickBot="1" x14ac:dyDescent="0.3">
      <c r="A52" s="8" t="s">
        <v>195</v>
      </c>
      <c r="B52" s="8" t="s">
        <v>26</v>
      </c>
      <c r="C52" s="7">
        <f>Tuipulotuglotries</f>
        <v>5</v>
      </c>
      <c r="D52" s="1" t="s">
        <v>263</v>
      </c>
      <c r="E52" s="1" t="s">
        <v>29</v>
      </c>
      <c r="F52" s="16">
        <v>30</v>
      </c>
    </row>
    <row r="53" spans="1:6" ht="14.95" customHeight="1" thickBot="1" x14ac:dyDescent="0.3">
      <c r="A53" s="49" t="s">
        <v>196</v>
      </c>
      <c r="B53" s="49" t="s">
        <v>26</v>
      </c>
      <c r="C53" s="7">
        <f>Vennerglohtries</f>
        <v>5</v>
      </c>
      <c r="D53" s="1" t="s">
        <v>264</v>
      </c>
      <c r="E53" s="1" t="s">
        <v>252</v>
      </c>
      <c r="F53" s="16">
        <v>30</v>
      </c>
    </row>
    <row r="54" spans="1:6" ht="14.95" customHeight="1" thickBot="1" x14ac:dyDescent="0.3">
      <c r="A54" s="49" t="s">
        <v>222</v>
      </c>
      <c r="B54" s="49" t="s">
        <v>39</v>
      </c>
      <c r="C54" s="7">
        <f>Georgesartriescorrect</f>
        <v>5</v>
      </c>
      <c r="D54" s="1" t="s">
        <v>265</v>
      </c>
      <c r="E54" s="1" t="s">
        <v>252</v>
      </c>
      <c r="F54" s="16">
        <v>30</v>
      </c>
    </row>
    <row r="55" spans="1:6" ht="14.95" customHeight="1" thickBot="1" x14ac:dyDescent="0.3">
      <c r="A55" s="49" t="s">
        <v>238</v>
      </c>
      <c r="B55" s="49" t="s">
        <v>39</v>
      </c>
      <c r="C55" s="7">
        <f>McFarlandsartriescorrect</f>
        <v>5</v>
      </c>
      <c r="D55" s="1" t="s">
        <v>266</v>
      </c>
      <c r="E55" s="1" t="s">
        <v>28</v>
      </c>
      <c r="F55" s="16">
        <v>30</v>
      </c>
    </row>
    <row r="56" spans="1:6" ht="14.95" customHeight="1" thickBot="1" x14ac:dyDescent="0.3">
      <c r="A56" s="8" t="s">
        <v>114</v>
      </c>
      <c r="B56" s="8" t="s">
        <v>30</v>
      </c>
      <c r="C56" s="7">
        <v>5</v>
      </c>
      <c r="D56" s="1" t="s">
        <v>267</v>
      </c>
      <c r="E56" s="1" t="s">
        <v>28</v>
      </c>
      <c r="F56" s="16">
        <v>30</v>
      </c>
    </row>
    <row r="57" spans="1:6" ht="14.95" customHeight="1" thickBot="1" x14ac:dyDescent="0.3">
      <c r="A57" s="49" t="s">
        <v>55</v>
      </c>
      <c r="B57" s="49" t="s">
        <v>32</v>
      </c>
      <c r="C57" s="7">
        <f>Bradburybritries</f>
        <v>4</v>
      </c>
      <c r="D57" s="1" t="s">
        <v>268</v>
      </c>
      <c r="E57" s="1" t="s">
        <v>28</v>
      </c>
      <c r="F57" s="16">
        <v>30</v>
      </c>
    </row>
    <row r="58" spans="1:6" ht="14.95" customHeight="1" thickBot="1" x14ac:dyDescent="0.3">
      <c r="A58" s="49" t="s">
        <v>67</v>
      </c>
      <c r="B58" s="49" t="s">
        <v>32</v>
      </c>
      <c r="C58" s="7">
        <f>Fowlietomtries</f>
        <v>4</v>
      </c>
      <c r="D58" s="1" t="s">
        <v>64</v>
      </c>
      <c r="E58" s="1" t="s">
        <v>32</v>
      </c>
      <c r="F58" s="15">
        <f>Armstrongbripts</f>
        <v>25</v>
      </c>
    </row>
    <row r="59" spans="1:6" ht="14.95" customHeight="1" thickBot="1" x14ac:dyDescent="0.3">
      <c r="A59" s="49" t="s">
        <v>77</v>
      </c>
      <c r="B59" s="49" t="s">
        <v>32</v>
      </c>
      <c r="C59" s="7">
        <f>LloydBriTries</f>
        <v>4</v>
      </c>
      <c r="D59" s="1" t="s">
        <v>54</v>
      </c>
      <c r="E59" s="1" t="s">
        <v>32</v>
      </c>
      <c r="F59" s="15">
        <f>Benz_Salomon_Jbripts</f>
        <v>25</v>
      </c>
    </row>
    <row r="60" spans="1:6" ht="14.95" customHeight="1" thickBot="1" x14ac:dyDescent="0.3">
      <c r="A60" s="49" t="s">
        <v>80</v>
      </c>
      <c r="B60" s="49" t="s">
        <v>32</v>
      </c>
      <c r="C60" s="7">
        <f>MacGintybritries</f>
        <v>4</v>
      </c>
      <c r="D60" s="1" t="s">
        <v>66</v>
      </c>
      <c r="E60" s="1" t="s">
        <v>32</v>
      </c>
      <c r="F60" s="15">
        <f>Fenbylipts</f>
        <v>25</v>
      </c>
    </row>
    <row r="61" spans="1:6" ht="14.95" customHeight="1" thickBot="1" x14ac:dyDescent="0.3">
      <c r="A61" s="49" t="s">
        <v>98</v>
      </c>
      <c r="B61" s="49" t="s">
        <v>30</v>
      </c>
      <c r="C61" s="7">
        <f>Davisexetrie</f>
        <v>4</v>
      </c>
      <c r="D61" s="1" t="s">
        <v>68</v>
      </c>
      <c r="E61" s="1" t="s">
        <v>32</v>
      </c>
      <c r="F61" s="15">
        <f>Hewardbripts</f>
        <v>25</v>
      </c>
    </row>
    <row r="62" spans="1:6" ht="14.95" customHeight="1" thickBot="1" x14ac:dyDescent="0.3">
      <c r="A62" s="49" t="s">
        <v>100</v>
      </c>
      <c r="B62" s="49" t="s">
        <v>30</v>
      </c>
      <c r="C62" s="7">
        <f>Ewersexetries</f>
        <v>4</v>
      </c>
      <c r="D62" s="1" t="s">
        <v>246</v>
      </c>
      <c r="E62" s="1" t="s">
        <v>32</v>
      </c>
      <c r="F62" s="15">
        <f>Paulolirpts</f>
        <v>25</v>
      </c>
    </row>
    <row r="63" spans="1:6" ht="14.95" customHeight="1" thickBot="1" x14ac:dyDescent="0.3">
      <c r="A63" s="49" t="s">
        <v>120</v>
      </c>
      <c r="B63" s="49" t="s">
        <v>30</v>
      </c>
      <c r="C63" s="7">
        <f>Nowellexetries</f>
        <v>4</v>
      </c>
      <c r="D63" s="1" t="s">
        <v>126</v>
      </c>
      <c r="E63" s="1" t="s">
        <v>30</v>
      </c>
      <c r="F63" s="15">
        <f>Simmonds_Sexepts</f>
        <v>25</v>
      </c>
    </row>
    <row r="64" spans="1:6" ht="14.95" customHeight="1" thickBot="1" x14ac:dyDescent="0.3">
      <c r="A64" s="49" t="s">
        <v>141</v>
      </c>
      <c r="B64" s="49" t="s">
        <v>26</v>
      </c>
      <c r="C64" s="43">
        <f>Alemannoglotries</f>
        <v>4</v>
      </c>
      <c r="D64" s="1" t="s">
        <v>171</v>
      </c>
      <c r="E64" s="1" t="s">
        <v>26</v>
      </c>
      <c r="F64" s="15">
        <f>Moriartyglopts</f>
        <v>25</v>
      </c>
    </row>
    <row r="65" spans="1:6" ht="14.95" customHeight="1" thickBot="1" x14ac:dyDescent="0.3">
      <c r="A65" s="49" t="s">
        <v>159</v>
      </c>
      <c r="B65" s="49" t="s">
        <v>26</v>
      </c>
      <c r="C65" s="7">
        <f>Hudsonglotries</f>
        <v>4</v>
      </c>
      <c r="D65" s="1" t="s">
        <v>175</v>
      </c>
      <c r="E65" s="1" t="s">
        <v>26</v>
      </c>
      <c r="F65" s="15">
        <f>Rees_Zammitglopts</f>
        <v>25</v>
      </c>
    </row>
    <row r="66" spans="1:6" ht="14.95" customHeight="1" thickBot="1" x14ac:dyDescent="0.3">
      <c r="A66" s="49" t="s">
        <v>216</v>
      </c>
      <c r="B66" s="49" t="s">
        <v>39</v>
      </c>
      <c r="C66" s="7">
        <f>Adejimisartries</f>
        <v>4</v>
      </c>
      <c r="D66" s="1" t="s">
        <v>195</v>
      </c>
      <c r="E66" s="1" t="s">
        <v>26</v>
      </c>
      <c r="F66" s="15">
        <f>tuipulotuglopts</f>
        <v>25</v>
      </c>
    </row>
    <row r="67" spans="1:6" ht="14.95" customHeight="1" thickBot="1" x14ac:dyDescent="0.3">
      <c r="A67" s="49" t="s">
        <v>199</v>
      </c>
      <c r="B67" s="49" t="s">
        <v>39</v>
      </c>
      <c r="C67" s="7">
        <f>Harrissartries</f>
        <v>4</v>
      </c>
      <c r="D67" s="1" t="s">
        <v>196</v>
      </c>
      <c r="E67" s="1" t="s">
        <v>26</v>
      </c>
      <c r="F67" s="15">
        <f>vennerglohpts</f>
        <v>25</v>
      </c>
    </row>
    <row r="68" spans="1:6" ht="14.95" customHeight="1" thickBot="1" x14ac:dyDescent="0.3">
      <c r="A68" s="49" t="s">
        <v>262</v>
      </c>
      <c r="B68" s="49" t="s">
        <v>28</v>
      </c>
      <c r="C68" s="7">
        <v>4</v>
      </c>
      <c r="D68" s="1" t="s">
        <v>222</v>
      </c>
      <c r="E68" s="1" t="s">
        <v>39</v>
      </c>
      <c r="F68" s="15">
        <f>Georgesarptscorrect</f>
        <v>25</v>
      </c>
    </row>
    <row r="69" spans="1:6" ht="14.95" customHeight="1" thickBot="1" x14ac:dyDescent="0.3">
      <c r="A69" s="49" t="s">
        <v>227</v>
      </c>
      <c r="B69" s="49" t="s">
        <v>39</v>
      </c>
      <c r="C69" s="7">
        <f>Reffellsartriescorrect</f>
        <v>4</v>
      </c>
      <c r="D69" s="1" t="s">
        <v>238</v>
      </c>
      <c r="E69" s="1" t="s">
        <v>39</v>
      </c>
      <c r="F69" s="15">
        <f>McFarlandsarptscorrect</f>
        <v>25</v>
      </c>
    </row>
    <row r="70" spans="1:6" ht="14.95" customHeight="1" thickBot="1" x14ac:dyDescent="0.3">
      <c r="A70" s="49" t="s">
        <v>43</v>
      </c>
      <c r="B70" s="49" t="s">
        <v>39</v>
      </c>
      <c r="C70" s="7">
        <f>Simpson_Gsartries</f>
        <v>4</v>
      </c>
      <c r="D70" s="1" t="s">
        <v>97</v>
      </c>
      <c r="E70" s="1" t="s">
        <v>30</v>
      </c>
      <c r="F70" s="15">
        <f>Cowan_Dickie_Lukepts</f>
        <v>23</v>
      </c>
    </row>
    <row r="71" spans="1:6" ht="14.95" customHeight="1" thickBot="1" x14ac:dyDescent="0.3">
      <c r="A71" s="49" t="s">
        <v>131</v>
      </c>
      <c r="B71" s="49" t="s">
        <v>30</v>
      </c>
      <c r="C71" s="7">
        <f>Streetexetries</f>
        <v>4</v>
      </c>
      <c r="D71" s="1" t="s">
        <v>237</v>
      </c>
      <c r="E71" s="1" t="s">
        <v>39</v>
      </c>
      <c r="F71" s="15">
        <f>Pifeletisarptscorrect</f>
        <v>23</v>
      </c>
    </row>
    <row r="72" spans="1:6" ht="14.95" customHeight="1" thickBot="1" x14ac:dyDescent="0.3">
      <c r="A72" s="49" t="s">
        <v>237</v>
      </c>
      <c r="B72" s="49" t="s">
        <v>39</v>
      </c>
      <c r="C72" s="7">
        <f>Pifeletisartriescorrect</f>
        <v>4</v>
      </c>
      <c r="D72" s="1" t="s">
        <v>4</v>
      </c>
      <c r="E72" s="1" t="s">
        <v>26</v>
      </c>
      <c r="F72" s="15">
        <v>21</v>
      </c>
    </row>
    <row r="73" spans="1:6" ht="14.95" customHeight="1" thickBot="1" x14ac:dyDescent="0.3">
      <c r="A73" s="49" t="s">
        <v>133</v>
      </c>
      <c r="B73" s="49" t="s">
        <v>30</v>
      </c>
      <c r="C73" s="7">
        <v>4</v>
      </c>
      <c r="D73" s="1" t="s">
        <v>55</v>
      </c>
      <c r="E73" s="1" t="s">
        <v>32</v>
      </c>
      <c r="F73" s="15">
        <f>Bradburybripts</f>
        <v>20</v>
      </c>
    </row>
    <row r="74" spans="1:6" ht="14.95" customHeight="1" thickBot="1" x14ac:dyDescent="0.3">
      <c r="A74" s="49" t="s">
        <v>185</v>
      </c>
      <c r="B74" s="49" t="s">
        <v>26</v>
      </c>
      <c r="C74" s="7">
        <v>4</v>
      </c>
      <c r="D74" s="1" t="s">
        <v>67</v>
      </c>
      <c r="E74" s="1" t="s">
        <v>32</v>
      </c>
      <c r="F74" s="15">
        <f>Fowlielipts</f>
        <v>20</v>
      </c>
    </row>
    <row r="75" spans="1:6" ht="14.95" customHeight="1" thickBot="1" x14ac:dyDescent="0.3">
      <c r="A75" s="49" t="s">
        <v>94</v>
      </c>
      <c r="B75" s="49" t="s">
        <v>30</v>
      </c>
      <c r="C75" s="7">
        <f>Cairnsexetries</f>
        <v>3</v>
      </c>
      <c r="D75" s="1" t="s">
        <v>77</v>
      </c>
      <c r="E75" s="1" t="s">
        <v>32</v>
      </c>
      <c r="F75" s="15">
        <f>LloydBriPts</f>
        <v>20</v>
      </c>
    </row>
    <row r="76" spans="1:6" ht="14.95" customHeight="1" thickBot="1" x14ac:dyDescent="0.3">
      <c r="A76" s="49" t="s">
        <v>97</v>
      </c>
      <c r="B76" s="49" t="s">
        <v>30</v>
      </c>
      <c r="C76" s="7">
        <f>Cowan_Dickie_Luketries</f>
        <v>3</v>
      </c>
      <c r="D76" s="1" t="s">
        <v>98</v>
      </c>
      <c r="E76" s="1" t="s">
        <v>30</v>
      </c>
      <c r="F76" s="16">
        <f>Davisexepoints</f>
        <v>20</v>
      </c>
    </row>
    <row r="77" spans="1:6" ht="14.95" customHeight="1" thickBot="1" x14ac:dyDescent="0.3">
      <c r="A77" s="49" t="s">
        <v>113</v>
      </c>
      <c r="B77" s="49" t="s">
        <v>30</v>
      </c>
      <c r="C77" s="7">
        <f>Keastexetries</f>
        <v>3</v>
      </c>
      <c r="D77" s="1" t="s">
        <v>100</v>
      </c>
      <c r="E77" s="1" t="s">
        <v>30</v>
      </c>
      <c r="F77" s="15">
        <f>Ewersexepts</f>
        <v>20</v>
      </c>
    </row>
    <row r="78" spans="1:6" ht="14.95" customHeight="1" thickBot="1" x14ac:dyDescent="0.3">
      <c r="A78" s="49" t="s">
        <v>130</v>
      </c>
      <c r="B78" s="49" t="s">
        <v>30</v>
      </c>
      <c r="C78" s="7">
        <f>Southworthexetries</f>
        <v>3</v>
      </c>
      <c r="D78" s="1" t="s">
        <v>120</v>
      </c>
      <c r="E78" s="1" t="s">
        <v>30</v>
      </c>
      <c r="F78" s="15">
        <f>Nowellexepts</f>
        <v>20</v>
      </c>
    </row>
    <row r="79" spans="1:6" ht="14.95" customHeight="1" thickBot="1" x14ac:dyDescent="0.3">
      <c r="A79" s="49" t="s">
        <v>132</v>
      </c>
      <c r="B79" s="49" t="s">
        <v>30</v>
      </c>
      <c r="C79" s="7">
        <f>Townsendexetries</f>
        <v>3</v>
      </c>
      <c r="D79" s="1" t="s">
        <v>131</v>
      </c>
      <c r="E79" s="1" t="s">
        <v>30</v>
      </c>
      <c r="F79" s="15">
        <f>Streetexepts</f>
        <v>20</v>
      </c>
    </row>
    <row r="80" spans="1:6" ht="14.95" customHeight="1" thickBot="1" x14ac:dyDescent="0.3">
      <c r="A80" s="49" t="s">
        <v>153</v>
      </c>
      <c r="B80" s="49" t="s">
        <v>26</v>
      </c>
      <c r="C80" s="7">
        <f>Dentonglotries</f>
        <v>3</v>
      </c>
      <c r="D80" s="1" t="s">
        <v>133</v>
      </c>
      <c r="E80" s="1" t="s">
        <v>30</v>
      </c>
      <c r="F80" s="15">
        <v>20</v>
      </c>
    </row>
    <row r="81" spans="1:6" ht="14.95" customHeight="1" thickBot="1" x14ac:dyDescent="0.3">
      <c r="A81" s="49" t="s">
        <v>168</v>
      </c>
      <c r="B81" s="49" t="s">
        <v>26</v>
      </c>
      <c r="C81" s="7">
        <f>Morrisjglotries</f>
        <v>3</v>
      </c>
      <c r="D81" s="1" t="s">
        <v>141</v>
      </c>
      <c r="E81" s="1" t="s">
        <v>26</v>
      </c>
      <c r="F81" s="15">
        <f>Alemannoglopts</f>
        <v>20</v>
      </c>
    </row>
    <row r="82" spans="1:6" ht="14.95" customHeight="1" thickBot="1" x14ac:dyDescent="0.3">
      <c r="A82" s="49" t="s">
        <v>212</v>
      </c>
      <c r="B82" s="49" t="s">
        <v>39</v>
      </c>
      <c r="C82" s="7">
        <f>Hartleysartries</f>
        <v>3</v>
      </c>
      <c r="D82" s="1" t="s">
        <v>185</v>
      </c>
      <c r="E82" s="1" t="s">
        <v>26</v>
      </c>
      <c r="F82" s="15">
        <v>20</v>
      </c>
    </row>
    <row r="83" spans="1:6" ht="14.95" customHeight="1" thickBot="1" x14ac:dyDescent="0.3">
      <c r="A83" s="49" t="s">
        <v>242</v>
      </c>
      <c r="B83" s="49" t="s">
        <v>39</v>
      </c>
      <c r="C83" s="7">
        <f>Gregsonsartries</f>
        <v>3</v>
      </c>
      <c r="D83" s="1" t="s">
        <v>216</v>
      </c>
      <c r="E83" s="1" t="s">
        <v>39</v>
      </c>
      <c r="F83" s="15">
        <f>Adejimisarpts</f>
        <v>20</v>
      </c>
    </row>
    <row r="84" spans="1:6" ht="14.95" customHeight="1" thickBot="1" x14ac:dyDescent="0.3">
      <c r="A84" s="49" t="s">
        <v>4</v>
      </c>
      <c r="B84" s="49" t="s">
        <v>26</v>
      </c>
      <c r="C84" s="7">
        <v>3</v>
      </c>
      <c r="D84" s="1" t="s">
        <v>199</v>
      </c>
      <c r="E84" s="1" t="s">
        <v>39</v>
      </c>
      <c r="F84" s="15">
        <f>Harrissarpts</f>
        <v>20</v>
      </c>
    </row>
    <row r="85" spans="1:6" ht="14.95" customHeight="1" thickBot="1" x14ac:dyDescent="0.3">
      <c r="A85" s="49" t="s">
        <v>52</v>
      </c>
      <c r="B85" s="8" t="s">
        <v>32</v>
      </c>
      <c r="C85" s="7">
        <f>Batleybritriescorrect</f>
        <v>2</v>
      </c>
      <c r="D85" s="1" t="s">
        <v>227</v>
      </c>
      <c r="E85" s="1" t="s">
        <v>39</v>
      </c>
      <c r="F85" s="15">
        <f>Reffellsarptscorrect</f>
        <v>20</v>
      </c>
    </row>
    <row r="86" spans="1:6" ht="14.95" customHeight="1" thickBot="1" x14ac:dyDescent="0.3">
      <c r="A86" s="49" t="s">
        <v>61</v>
      </c>
      <c r="B86" s="49" t="s">
        <v>32</v>
      </c>
      <c r="C86" s="7">
        <f>Danielsbritries</f>
        <v>2</v>
      </c>
      <c r="D86" s="1" t="s">
        <v>43</v>
      </c>
      <c r="E86" s="1" t="s">
        <v>39</v>
      </c>
      <c r="F86" s="15">
        <f>Simpson_Gsarpts</f>
        <v>20</v>
      </c>
    </row>
    <row r="87" spans="1:6" ht="14.95" customHeight="1" thickBot="1" x14ac:dyDescent="0.3">
      <c r="A87" s="49" t="s">
        <v>76</v>
      </c>
      <c r="B87" s="49" t="s">
        <v>32</v>
      </c>
      <c r="C87" s="7">
        <f>Lanebritries</f>
        <v>2</v>
      </c>
      <c r="D87" s="1" t="s">
        <v>94</v>
      </c>
      <c r="E87" s="1" t="s">
        <v>30</v>
      </c>
      <c r="F87" s="14">
        <f>Cairnsexepts</f>
        <v>15</v>
      </c>
    </row>
    <row r="88" spans="1:6" ht="14.95" customHeight="1" thickBot="1" x14ac:dyDescent="0.3">
      <c r="A88" s="49" t="s">
        <v>85</v>
      </c>
      <c r="B88" s="49" t="s">
        <v>32</v>
      </c>
      <c r="C88" s="7">
        <f>Powellbritries</f>
        <v>2</v>
      </c>
      <c r="D88" s="1" t="s">
        <v>113</v>
      </c>
      <c r="E88" s="1" t="s">
        <v>30</v>
      </c>
      <c r="F88" s="15">
        <f>Keastexepts</f>
        <v>15</v>
      </c>
    </row>
    <row r="89" spans="1:6" ht="14.95" customHeight="1" thickBot="1" x14ac:dyDescent="0.3">
      <c r="A89" s="49" t="s">
        <v>116</v>
      </c>
      <c r="B89" s="49" t="s">
        <v>30</v>
      </c>
      <c r="C89" s="7">
        <f>Maunderexetries</f>
        <v>2</v>
      </c>
      <c r="D89" s="1" t="s">
        <v>130</v>
      </c>
      <c r="E89" s="1" t="s">
        <v>30</v>
      </c>
      <c r="F89" s="15">
        <f>Southworthexepts</f>
        <v>15</v>
      </c>
    </row>
    <row r="90" spans="1:6" ht="14.95" customHeight="1" thickBot="1" x14ac:dyDescent="0.3">
      <c r="A90" s="49" t="s">
        <v>122</v>
      </c>
      <c r="B90" s="49" t="s">
        <v>30</v>
      </c>
      <c r="C90" s="7">
        <f>Pearsonexetries</f>
        <v>2</v>
      </c>
      <c r="D90" s="1" t="s">
        <v>132</v>
      </c>
      <c r="E90" s="1" t="s">
        <v>30</v>
      </c>
      <c r="F90" s="15">
        <f>Townsendexepts</f>
        <v>15</v>
      </c>
    </row>
    <row r="91" spans="1:6" ht="14.95" customHeight="1" thickBot="1" x14ac:dyDescent="0.3">
      <c r="A91" s="49" t="s">
        <v>138</v>
      </c>
      <c r="B91" s="49" t="s">
        <v>30</v>
      </c>
      <c r="C91" s="7">
        <f>Woodburnexetries</f>
        <v>2</v>
      </c>
      <c r="D91" s="1" t="s">
        <v>153</v>
      </c>
      <c r="E91" s="1" t="s">
        <v>26</v>
      </c>
      <c r="F91" s="15">
        <f>Dentonglopts</f>
        <v>15</v>
      </c>
    </row>
    <row r="92" spans="1:6" ht="14.95" customHeight="1" thickBot="1" x14ac:dyDescent="0.3">
      <c r="A92" s="49" t="s">
        <v>156</v>
      </c>
      <c r="B92" s="49" t="s">
        <v>26</v>
      </c>
      <c r="C92" s="7">
        <f>Evans_Lglotries</f>
        <v>2</v>
      </c>
      <c r="D92" s="1" t="s">
        <v>168</v>
      </c>
      <c r="E92" s="1" t="s">
        <v>26</v>
      </c>
      <c r="F92" s="15">
        <f>Morrisjglopts</f>
        <v>15</v>
      </c>
    </row>
    <row r="93" spans="1:6" ht="14.95" customHeight="1" thickBot="1" x14ac:dyDescent="0.3">
      <c r="A93" s="49" t="s">
        <v>180</v>
      </c>
      <c r="B93" s="49" t="s">
        <v>26</v>
      </c>
      <c r="C93" s="5">
        <f>Slaterglotries</f>
        <v>2</v>
      </c>
      <c r="D93" s="1" t="s">
        <v>212</v>
      </c>
      <c r="E93" s="1" t="s">
        <v>39</v>
      </c>
      <c r="F93" s="16">
        <f>Hartleysarpts</f>
        <v>15</v>
      </c>
    </row>
    <row r="94" spans="1:6" ht="14.95" customHeight="1" thickBot="1" x14ac:dyDescent="0.3">
      <c r="A94" s="49" t="s">
        <v>259</v>
      </c>
      <c r="B94" s="49" t="s">
        <v>29</v>
      </c>
      <c r="C94" s="5">
        <v>2</v>
      </c>
      <c r="D94" s="1" t="s">
        <v>242</v>
      </c>
      <c r="E94" s="1" t="s">
        <v>39</v>
      </c>
      <c r="F94" s="15">
        <f>Gregsonsarpts</f>
        <v>15</v>
      </c>
    </row>
    <row r="95" spans="1:6" ht="14.95" customHeight="1" thickBot="1" x14ac:dyDescent="0.3">
      <c r="A95" s="49" t="s">
        <v>182</v>
      </c>
      <c r="B95" s="49" t="s">
        <v>26</v>
      </c>
      <c r="C95" s="5">
        <f>Socinoglotries</f>
        <v>2</v>
      </c>
      <c r="D95" s="1" t="s">
        <v>209</v>
      </c>
      <c r="E95" s="1" t="s">
        <v>39</v>
      </c>
      <c r="F95" s="15">
        <f>Wraysarptscorrect</f>
        <v>12</v>
      </c>
    </row>
    <row r="96" spans="1:6" ht="14.95" customHeight="1" thickBot="1" x14ac:dyDescent="0.3">
      <c r="A96" s="49" t="s">
        <v>215</v>
      </c>
      <c r="B96" s="49" t="s">
        <v>39</v>
      </c>
      <c r="C96" s="7">
        <f>Adams_Halesartriescorrect</f>
        <v>2</v>
      </c>
      <c r="D96" s="1" t="s">
        <v>89</v>
      </c>
      <c r="E96" s="1" t="s">
        <v>32</v>
      </c>
      <c r="F96" s="15">
        <f>Wilkinsonbripts</f>
        <v>11</v>
      </c>
    </row>
    <row r="97" spans="1:6" ht="14.95" customHeight="1" thickBot="1" x14ac:dyDescent="0.3">
      <c r="A97" s="49" t="s">
        <v>209</v>
      </c>
      <c r="B97" s="49" t="s">
        <v>39</v>
      </c>
      <c r="C97" s="7">
        <f>Wraysartriescorrect</f>
        <v>2</v>
      </c>
      <c r="D97" s="13" t="s">
        <v>52</v>
      </c>
      <c r="E97" s="13" t="s">
        <v>32</v>
      </c>
      <c r="F97" s="14">
        <f>Batleybriptscorrect</f>
        <v>10</v>
      </c>
    </row>
    <row r="98" spans="1:6" ht="14.95" customHeight="1" thickBot="1" x14ac:dyDescent="0.3">
      <c r="A98" s="49" t="s">
        <v>213</v>
      </c>
      <c r="B98" s="49" t="s">
        <v>39</v>
      </c>
      <c r="C98" s="7">
        <f>Christiesartriescorrect</f>
        <v>2</v>
      </c>
      <c r="D98" s="1" t="s">
        <v>61</v>
      </c>
      <c r="E98" s="1" t="s">
        <v>32</v>
      </c>
      <c r="F98" s="15">
        <f>Danielsbripts</f>
        <v>10</v>
      </c>
    </row>
    <row r="99" spans="1:6" ht="14.95" customHeight="1" thickBot="1" x14ac:dyDescent="0.3">
      <c r="A99" s="49" t="s">
        <v>48</v>
      </c>
      <c r="B99" s="49" t="s">
        <v>32</v>
      </c>
      <c r="C99" s="7">
        <f>afoabritries</f>
        <v>1</v>
      </c>
      <c r="D99" s="1" t="s">
        <v>76</v>
      </c>
      <c r="E99" s="1" t="s">
        <v>32</v>
      </c>
      <c r="F99" s="15">
        <f>Lanebripts</f>
        <v>10</v>
      </c>
    </row>
    <row r="100" spans="1:6" ht="14.95" customHeight="1" thickBot="1" x14ac:dyDescent="0.3">
      <c r="A100" s="49" t="s">
        <v>63</v>
      </c>
      <c r="B100" s="49" t="s">
        <v>32</v>
      </c>
      <c r="C100" s="7">
        <f>Dorrianlitries</f>
        <v>1</v>
      </c>
      <c r="D100" s="1" t="s">
        <v>116</v>
      </c>
      <c r="E100" s="1" t="s">
        <v>30</v>
      </c>
      <c r="F100" s="15">
        <f>Maunderexepts</f>
        <v>10</v>
      </c>
    </row>
    <row r="101" spans="1:6" ht="14.95" customHeight="1" thickBot="1" x14ac:dyDescent="0.3">
      <c r="A101" s="49" t="s">
        <v>73</v>
      </c>
      <c r="B101" s="49" t="s">
        <v>32</v>
      </c>
      <c r="C101" s="7">
        <f>Hearnlirtries</f>
        <v>1</v>
      </c>
      <c r="D101" s="13" t="s">
        <v>122</v>
      </c>
      <c r="E101" s="13" t="s">
        <v>30</v>
      </c>
      <c r="F101" s="16">
        <f>Pearsonexepts</f>
        <v>10</v>
      </c>
    </row>
    <row r="102" spans="1:6" ht="14.95" customHeight="1" thickBot="1" x14ac:dyDescent="0.3">
      <c r="A102" s="49" t="s">
        <v>92</v>
      </c>
      <c r="B102" s="49" t="s">
        <v>32</v>
      </c>
      <c r="C102" s="7">
        <f>Kerrbritries</f>
        <v>1</v>
      </c>
      <c r="D102" s="1" t="s">
        <v>138</v>
      </c>
      <c r="E102" s="1" t="s">
        <v>30</v>
      </c>
      <c r="F102" s="15">
        <f>Woodburnexepts</f>
        <v>10</v>
      </c>
    </row>
    <row r="103" spans="1:6" ht="14.95" customHeight="1" thickBot="1" x14ac:dyDescent="0.3">
      <c r="A103" s="49" t="s">
        <v>4</v>
      </c>
      <c r="B103" s="49" t="s">
        <v>32</v>
      </c>
      <c r="C103" s="7">
        <f>Loaderlirtries</f>
        <v>1</v>
      </c>
      <c r="D103" s="13" t="s">
        <v>156</v>
      </c>
      <c r="E103" s="13" t="s">
        <v>26</v>
      </c>
      <c r="F103" s="15">
        <f>Evans_Lglopts</f>
        <v>10</v>
      </c>
    </row>
    <row r="104" spans="1:6" ht="14.95" customHeight="1" thickBot="1" x14ac:dyDescent="0.3">
      <c r="A104" s="49" t="s">
        <v>247</v>
      </c>
      <c r="B104" s="49" t="s">
        <v>32</v>
      </c>
      <c r="C104" s="7">
        <f>Simsbritries</f>
        <v>1</v>
      </c>
      <c r="D104" s="1" t="s">
        <v>180</v>
      </c>
      <c r="E104" s="1" t="s">
        <v>26</v>
      </c>
      <c r="F104" s="15">
        <f>Slaterglopts</f>
        <v>10</v>
      </c>
    </row>
    <row r="105" spans="1:6" ht="14.95" customHeight="1" thickBot="1" x14ac:dyDescent="0.3">
      <c r="A105" s="49" t="s">
        <v>82</v>
      </c>
      <c r="B105" s="49" t="s">
        <v>32</v>
      </c>
      <c r="C105" s="7">
        <f>Muldowneybritries</f>
        <v>1</v>
      </c>
      <c r="D105" s="1" t="s">
        <v>182</v>
      </c>
      <c r="E105" s="1" t="s">
        <v>26</v>
      </c>
      <c r="F105" s="15">
        <f>Socinoglopts</f>
        <v>10</v>
      </c>
    </row>
    <row r="106" spans="1:6" ht="14.95" customHeight="1" thickBot="1" x14ac:dyDescent="0.3">
      <c r="A106" s="49" t="s">
        <v>90</v>
      </c>
      <c r="B106" s="49" t="s">
        <v>32</v>
      </c>
      <c r="C106" s="7">
        <f>MulchronelirtriesCORRECT</f>
        <v>1</v>
      </c>
      <c r="D106" s="1" t="s">
        <v>213</v>
      </c>
      <c r="E106" s="1" t="s">
        <v>39</v>
      </c>
      <c r="F106" s="15">
        <f>Christiesarptscorrect</f>
        <v>10</v>
      </c>
    </row>
    <row r="107" spans="1:6" ht="14.95" customHeight="1" thickBot="1" x14ac:dyDescent="0.3">
      <c r="A107" s="49" t="s">
        <v>89</v>
      </c>
      <c r="B107" s="49" t="s">
        <v>32</v>
      </c>
      <c r="C107" s="7">
        <f>Wilkinsonbritries</f>
        <v>1</v>
      </c>
      <c r="D107" s="1" t="s">
        <v>4</v>
      </c>
      <c r="E107" s="1" t="s">
        <v>32</v>
      </c>
      <c r="F107" s="15">
        <f>Loaderlirpts</f>
        <v>7</v>
      </c>
    </row>
    <row r="108" spans="1:6" ht="14.95" customHeight="1" thickBot="1" x14ac:dyDescent="0.3">
      <c r="A108" s="49" t="s">
        <v>96</v>
      </c>
      <c r="B108" s="49" t="s">
        <v>30</v>
      </c>
      <c r="C108" s="7">
        <f>Carrick_Smithexetries</f>
        <v>1</v>
      </c>
      <c r="D108" s="1" t="s">
        <v>136</v>
      </c>
      <c r="E108" s="1" t="s">
        <v>30</v>
      </c>
      <c r="F108" s="15">
        <f>Whittenpts</f>
        <v>6</v>
      </c>
    </row>
    <row r="109" spans="1:6" ht="14.95" customHeight="1" thickBot="1" x14ac:dyDescent="0.3">
      <c r="A109" s="49" t="s">
        <v>105</v>
      </c>
      <c r="B109" s="49" t="s">
        <v>30</v>
      </c>
      <c r="C109" s="7">
        <f>Hepburnexetries</f>
        <v>1</v>
      </c>
      <c r="D109" s="1" t="s">
        <v>48</v>
      </c>
      <c r="E109" s="1" t="s">
        <v>32</v>
      </c>
      <c r="F109" s="15">
        <f>afoabripts</f>
        <v>5</v>
      </c>
    </row>
    <row r="110" spans="1:6" ht="14.95" customHeight="1" thickBot="1" x14ac:dyDescent="0.3">
      <c r="A110" s="49" t="s">
        <v>109</v>
      </c>
      <c r="B110" s="49" t="s">
        <v>30</v>
      </c>
      <c r="C110" s="7">
        <f>Iosefa_Scottexetries</f>
        <v>1</v>
      </c>
      <c r="D110" s="1" t="s">
        <v>63</v>
      </c>
      <c r="E110" s="1" t="s">
        <v>32</v>
      </c>
      <c r="F110" s="15">
        <f>Dorrianlipts</f>
        <v>5</v>
      </c>
    </row>
    <row r="111" spans="1:6" ht="14.95" customHeight="1" thickBot="1" x14ac:dyDescent="0.3">
      <c r="A111" s="49" t="s">
        <v>115</v>
      </c>
      <c r="B111" s="49" t="s">
        <v>30</v>
      </c>
      <c r="C111" s="7">
        <f>Kirstenexetries</f>
        <v>1</v>
      </c>
      <c r="D111" s="1" t="s">
        <v>73</v>
      </c>
      <c r="E111" s="1" t="s">
        <v>32</v>
      </c>
      <c r="F111" s="15">
        <f>Hearnlirpts</f>
        <v>5</v>
      </c>
    </row>
    <row r="112" spans="1:6" ht="14.95" customHeight="1" thickBot="1" x14ac:dyDescent="0.3">
      <c r="A112" s="49" t="s">
        <v>119</v>
      </c>
      <c r="B112" s="49" t="s">
        <v>30</v>
      </c>
      <c r="C112" s="7">
        <f>Noreyexetries</f>
        <v>1</v>
      </c>
      <c r="D112" s="1" t="s">
        <v>92</v>
      </c>
      <c r="E112" s="1" t="s">
        <v>32</v>
      </c>
      <c r="F112" s="15">
        <f>Kerrbripts</f>
        <v>5</v>
      </c>
    </row>
    <row r="113" spans="1:6" ht="14.95" customHeight="1" thickBot="1" x14ac:dyDescent="0.3">
      <c r="A113" s="49" t="s">
        <v>144</v>
      </c>
      <c r="B113" s="49" t="s">
        <v>26</v>
      </c>
      <c r="C113" s="7">
        <f>Balmainglotries</f>
        <v>1</v>
      </c>
      <c r="D113" s="13" t="s">
        <v>247</v>
      </c>
      <c r="E113" s="13" t="s">
        <v>32</v>
      </c>
      <c r="F113" s="15">
        <f>Simsbripts</f>
        <v>5</v>
      </c>
    </row>
    <row r="114" spans="1:6" ht="14.95" customHeight="1" thickBot="1" x14ac:dyDescent="0.3">
      <c r="A114" s="49" t="s">
        <v>157</v>
      </c>
      <c r="B114" s="49" t="s">
        <v>26</v>
      </c>
      <c r="C114" s="7">
        <f>Halaifonuaglotries</f>
        <v>1</v>
      </c>
      <c r="D114" s="1" t="s">
        <v>82</v>
      </c>
      <c r="E114" s="1" t="s">
        <v>32</v>
      </c>
      <c r="F114" s="15">
        <f>Muldowneybripts</f>
        <v>5</v>
      </c>
    </row>
    <row r="115" spans="1:6" ht="14.95" customHeight="1" thickBot="1" x14ac:dyDescent="0.3">
      <c r="A115" s="49" t="s">
        <v>160</v>
      </c>
      <c r="B115" s="49" t="s">
        <v>26</v>
      </c>
      <c r="C115" s="7">
        <f>Hillman_Cooperglotries</f>
        <v>1</v>
      </c>
      <c r="D115" s="1" t="s">
        <v>90</v>
      </c>
      <c r="E115" s="1" t="s">
        <v>32</v>
      </c>
      <c r="F115" s="15">
        <f>Geraghtypts</f>
        <v>5</v>
      </c>
    </row>
    <row r="116" spans="1:6" ht="14.95" customHeight="1" thickBot="1" x14ac:dyDescent="0.3">
      <c r="A116" s="10" t="s">
        <v>161</v>
      </c>
      <c r="B116" s="10" t="s">
        <v>26</v>
      </c>
      <c r="C116" s="7">
        <f>Krielglotries</f>
        <v>1</v>
      </c>
      <c r="D116" s="1" t="s">
        <v>105</v>
      </c>
      <c r="E116" s="1" t="s">
        <v>30</v>
      </c>
      <c r="F116" s="15">
        <f>Hepburnexepts</f>
        <v>5</v>
      </c>
    </row>
    <row r="117" spans="1:6" ht="14.95" customHeight="1" thickBot="1" x14ac:dyDescent="0.3">
      <c r="A117" s="49" t="s">
        <v>162</v>
      </c>
      <c r="B117" s="49" t="s">
        <v>26</v>
      </c>
      <c r="C117" s="7">
        <f>Knightglotriescorrect</f>
        <v>1</v>
      </c>
      <c r="D117" s="1" t="s">
        <v>109</v>
      </c>
      <c r="E117" s="1" t="s">
        <v>30</v>
      </c>
      <c r="F117" s="15">
        <f>Iosefa_Scottexepts</f>
        <v>5</v>
      </c>
    </row>
    <row r="118" spans="1:6" ht="14.95" customHeight="1" thickBot="1" x14ac:dyDescent="0.3">
      <c r="A118" s="49" t="s">
        <v>167</v>
      </c>
      <c r="B118" s="49" t="s">
        <v>26</v>
      </c>
      <c r="C118" s="7">
        <f>Morgan_Aglotries</f>
        <v>1</v>
      </c>
      <c r="D118" s="1" t="s">
        <v>115</v>
      </c>
      <c r="E118" s="1" t="s">
        <v>30</v>
      </c>
      <c r="F118" s="15">
        <f>Kirstenexepts</f>
        <v>5</v>
      </c>
    </row>
    <row r="119" spans="1:6" ht="14.95" customHeight="1" thickBot="1" x14ac:dyDescent="0.3">
      <c r="A119" s="8" t="s">
        <v>177</v>
      </c>
      <c r="B119" s="49" t="s">
        <v>26</v>
      </c>
      <c r="C119" s="43">
        <f>Safeglotries</f>
        <v>1</v>
      </c>
      <c r="D119" s="1" t="s">
        <v>119</v>
      </c>
      <c r="E119" s="1" t="s">
        <v>30</v>
      </c>
      <c r="F119" s="15">
        <f>Noreyexepts</f>
        <v>5</v>
      </c>
    </row>
    <row r="120" spans="1:6" ht="14.95" customHeight="1" thickBot="1" x14ac:dyDescent="0.3">
      <c r="A120" s="49" t="s">
        <v>194</v>
      </c>
      <c r="B120" s="49" t="s">
        <v>26</v>
      </c>
      <c r="C120" s="7">
        <f>Tandyglotries</f>
        <v>1</v>
      </c>
      <c r="D120" s="1" t="s">
        <v>144</v>
      </c>
      <c r="E120" s="1" t="s">
        <v>26</v>
      </c>
      <c r="F120" s="15">
        <f>Balmainglopts</f>
        <v>5</v>
      </c>
    </row>
    <row r="121" spans="1:6" ht="14.95" customHeight="1" thickBot="1" x14ac:dyDescent="0.3">
      <c r="A121" s="49" t="s">
        <v>239</v>
      </c>
      <c r="B121" s="49" t="s">
        <v>39</v>
      </c>
      <c r="C121" s="7">
        <f>Lozowskisartriescorrect</f>
        <v>1</v>
      </c>
      <c r="D121" s="1" t="s">
        <v>157</v>
      </c>
      <c r="E121" s="1" t="s">
        <v>26</v>
      </c>
      <c r="F121" s="15">
        <f>Halaifonuaglopts</f>
        <v>5</v>
      </c>
    </row>
    <row r="122" spans="1:6" ht="14.95" customHeight="1" thickBot="1" x14ac:dyDescent="0.3">
      <c r="A122" s="49" t="s">
        <v>245</v>
      </c>
      <c r="B122" s="49" t="s">
        <v>39</v>
      </c>
      <c r="C122" s="7">
        <f>Harrisonsartriesd</f>
        <v>1</v>
      </c>
      <c r="D122" s="1" t="s">
        <v>160</v>
      </c>
      <c r="E122" s="1" t="s">
        <v>26</v>
      </c>
      <c r="F122" s="15">
        <f>Hillman_Cooperglopts</f>
        <v>5</v>
      </c>
    </row>
    <row r="123" spans="1:6" ht="14.95" customHeight="1" thickBot="1" x14ac:dyDescent="0.3">
      <c r="A123" s="49" t="s">
        <v>224</v>
      </c>
      <c r="B123" s="49" t="s">
        <v>39</v>
      </c>
      <c r="C123" s="7">
        <f>Maitlandsartriescorrect</f>
        <v>1</v>
      </c>
      <c r="D123" s="1" t="s">
        <v>161</v>
      </c>
      <c r="E123" s="1" t="s">
        <v>26</v>
      </c>
      <c r="F123" s="15">
        <f>Krielglopts</f>
        <v>5</v>
      </c>
    </row>
    <row r="124" spans="1:6" ht="14.95" customHeight="1" thickBot="1" x14ac:dyDescent="0.3">
      <c r="A124" s="49" t="s">
        <v>202</v>
      </c>
      <c r="B124" s="49" t="s">
        <v>39</v>
      </c>
      <c r="C124" s="5">
        <f>Wilsonsartries</f>
        <v>1</v>
      </c>
      <c r="D124" s="1" t="s">
        <v>162</v>
      </c>
      <c r="E124" s="1" t="s">
        <v>26</v>
      </c>
      <c r="F124" s="15">
        <f>Knightgloptscorrect</f>
        <v>5</v>
      </c>
    </row>
    <row r="125" spans="1:6" ht="14.95" customHeight="1" thickBot="1" x14ac:dyDescent="0.3">
      <c r="A125" s="49" t="s">
        <v>249</v>
      </c>
      <c r="B125" s="49" t="s">
        <v>39</v>
      </c>
      <c r="C125" s="7">
        <f>Vinuezasartries</f>
        <v>1</v>
      </c>
      <c r="D125" s="13" t="s">
        <v>167</v>
      </c>
      <c r="E125" s="13" t="s">
        <v>26</v>
      </c>
      <c r="F125" s="15">
        <f>Morgan_Aglopts</f>
        <v>5</v>
      </c>
    </row>
    <row r="126" spans="1:6" ht="14.95" customHeight="1" thickBot="1" x14ac:dyDescent="0.3">
      <c r="A126" s="49" t="s">
        <v>60</v>
      </c>
      <c r="B126" s="49" t="s">
        <v>32</v>
      </c>
      <c r="C126" s="7">
        <f>Adeolokunbritries</f>
        <v>0</v>
      </c>
      <c r="D126" s="1" t="s">
        <v>177</v>
      </c>
      <c r="E126" s="1" t="s">
        <v>26</v>
      </c>
      <c r="F126" s="15">
        <f>Safeglopts</f>
        <v>5</v>
      </c>
    </row>
    <row r="127" spans="1:6" ht="14.95" customHeight="1" thickBot="1" x14ac:dyDescent="0.3">
      <c r="A127" s="8" t="s">
        <v>51</v>
      </c>
      <c r="B127" s="8" t="s">
        <v>32</v>
      </c>
      <c r="C127" s="7">
        <f>Batesbritries</f>
        <v>0</v>
      </c>
      <c r="D127" s="1" t="s">
        <v>194</v>
      </c>
      <c r="E127" s="1" t="s">
        <v>26</v>
      </c>
      <c r="F127" s="15">
        <f>Tandyglopts</f>
        <v>5</v>
      </c>
    </row>
    <row r="128" spans="1:6" ht="14.95" customHeight="1" thickBot="1" x14ac:dyDescent="0.3">
      <c r="A128" s="49" t="s">
        <v>53</v>
      </c>
      <c r="B128" s="49" t="s">
        <v>32</v>
      </c>
      <c r="C128" s="7">
        <f>bedlowbritries</f>
        <v>0</v>
      </c>
      <c r="D128" s="1" t="s">
        <v>239</v>
      </c>
      <c r="E128" s="1" t="s">
        <v>39</v>
      </c>
      <c r="F128" s="15">
        <f>Lozowskisarptscorrect</f>
        <v>5</v>
      </c>
    </row>
    <row r="129" spans="1:6" ht="14.95" customHeight="1" thickBot="1" x14ac:dyDescent="0.3">
      <c r="A129" s="49" t="s">
        <v>56</v>
      </c>
      <c r="B129" s="49" t="s">
        <v>32</v>
      </c>
      <c r="C129" s="141">
        <f>Byrnebritries</f>
        <v>0</v>
      </c>
      <c r="D129" s="1" t="s">
        <v>224</v>
      </c>
      <c r="E129" s="1" t="s">
        <v>39</v>
      </c>
      <c r="F129" s="15">
        <f>Maitlandsarptscorrect</f>
        <v>5</v>
      </c>
    </row>
    <row r="130" spans="1:6" ht="14.95" customHeight="1" thickBot="1" x14ac:dyDescent="0.3">
      <c r="A130" s="49" t="s">
        <v>59</v>
      </c>
      <c r="B130" s="49" t="s">
        <v>32</v>
      </c>
      <c r="C130" s="7">
        <f>Challengerbritries</f>
        <v>0</v>
      </c>
      <c r="D130" s="142" t="s">
        <v>202</v>
      </c>
      <c r="E130" s="142" t="s">
        <v>39</v>
      </c>
      <c r="F130" s="14">
        <f>Wilsonsarpts</f>
        <v>5</v>
      </c>
    </row>
    <row r="131" spans="1:6" ht="14.95" customHeight="1" thickBot="1" x14ac:dyDescent="0.3">
      <c r="A131" s="49" t="s">
        <v>57</v>
      </c>
      <c r="B131" s="49" t="s">
        <v>32</v>
      </c>
      <c r="C131" s="43">
        <f>Daviesbritries</f>
        <v>0</v>
      </c>
      <c r="D131" s="13" t="s">
        <v>249</v>
      </c>
      <c r="E131" s="13" t="s">
        <v>39</v>
      </c>
      <c r="F131" s="15">
        <f>Vinuezasarpts</f>
        <v>5</v>
      </c>
    </row>
    <row r="132" spans="1:6" ht="14.95" customHeight="1" thickBot="1" x14ac:dyDescent="0.3">
      <c r="A132" s="8" t="s">
        <v>62</v>
      </c>
      <c r="B132" s="49" t="s">
        <v>32</v>
      </c>
      <c r="C132" s="7">
        <f>Cranebritries</f>
        <v>0</v>
      </c>
      <c r="D132" s="1" t="s">
        <v>81</v>
      </c>
      <c r="E132" s="1" t="s">
        <v>32</v>
      </c>
      <c r="F132" s="15">
        <f>McNallylirpts</f>
        <v>2</v>
      </c>
    </row>
    <row r="133" spans="1:6" ht="14.95" customHeight="1" thickBot="1" x14ac:dyDescent="0.3">
      <c r="A133" s="49" t="s">
        <v>33</v>
      </c>
      <c r="B133" s="49" t="s">
        <v>32</v>
      </c>
      <c r="C133" s="7">
        <f>Edenbritries</f>
        <v>0</v>
      </c>
      <c r="D133" s="1" t="s">
        <v>60</v>
      </c>
      <c r="E133" s="1" t="s">
        <v>32</v>
      </c>
      <c r="F133" s="15">
        <f>Adeolokunbripts</f>
        <v>0</v>
      </c>
    </row>
    <row r="134" spans="1:6" ht="14.95" customHeight="1" thickBot="1" x14ac:dyDescent="0.3">
      <c r="A134" s="49" t="s">
        <v>17</v>
      </c>
      <c r="B134" s="49" t="s">
        <v>32</v>
      </c>
      <c r="C134" s="7">
        <f>Frischbritries</f>
        <v>0</v>
      </c>
      <c r="D134" s="13" t="s">
        <v>51</v>
      </c>
      <c r="E134" s="13" t="s">
        <v>32</v>
      </c>
      <c r="F134" s="14">
        <f>Batesbripts</f>
        <v>0</v>
      </c>
    </row>
    <row r="135" spans="1:6" ht="14.95" customHeight="1" thickBot="1" x14ac:dyDescent="0.3">
      <c r="A135" s="49" t="s">
        <v>65</v>
      </c>
      <c r="B135" s="49" t="s">
        <v>32</v>
      </c>
      <c r="C135" s="7">
        <f>Hardingbritries</f>
        <v>0</v>
      </c>
      <c r="D135" s="1" t="s">
        <v>53</v>
      </c>
      <c r="E135" s="1" t="s">
        <v>32</v>
      </c>
      <c r="F135" s="15">
        <f>Bedlowbripts</f>
        <v>0</v>
      </c>
    </row>
    <row r="136" spans="1:6" ht="14.95" customHeight="1" thickBot="1" x14ac:dyDescent="0.3">
      <c r="A136" s="49" t="s">
        <v>69</v>
      </c>
      <c r="B136" s="49" t="s">
        <v>32</v>
      </c>
      <c r="C136" s="43">
        <f>Frankslirtries</f>
        <v>0</v>
      </c>
      <c r="D136" s="1" t="s">
        <v>56</v>
      </c>
      <c r="E136" s="1" t="s">
        <v>32</v>
      </c>
      <c r="F136" s="15">
        <f>Byrnebripts</f>
        <v>0</v>
      </c>
    </row>
    <row r="137" spans="1:6" ht="14.95" customHeight="1" thickBot="1" x14ac:dyDescent="0.3">
      <c r="A137" s="49" t="s">
        <v>70</v>
      </c>
      <c r="B137" s="49" t="s">
        <v>32</v>
      </c>
      <c r="C137" s="7">
        <f>Hughesbritries</f>
        <v>0</v>
      </c>
      <c r="D137" s="1" t="s">
        <v>59</v>
      </c>
      <c r="E137" s="1" t="s">
        <v>32</v>
      </c>
      <c r="F137" s="15">
        <f>Challengerbripts</f>
        <v>0</v>
      </c>
    </row>
    <row r="138" spans="1:6" ht="14.95" customHeight="1" thickBot="1" x14ac:dyDescent="0.3">
      <c r="A138" s="49" t="s">
        <v>72</v>
      </c>
      <c r="B138" s="49" t="s">
        <v>32</v>
      </c>
      <c r="C138" s="7">
        <f>Jenkinsbritries</f>
        <v>0</v>
      </c>
      <c r="D138" s="1" t="s">
        <v>57</v>
      </c>
      <c r="E138" s="1" t="s">
        <v>32</v>
      </c>
      <c r="F138" s="16">
        <f>Daviesbripts</f>
        <v>0</v>
      </c>
    </row>
    <row r="139" spans="1:6" ht="14.95" customHeight="1" thickBot="1" x14ac:dyDescent="0.3">
      <c r="A139" s="49" t="s">
        <v>74</v>
      </c>
      <c r="B139" s="49" t="s">
        <v>32</v>
      </c>
      <c r="C139" s="7">
        <f>Laybritries</f>
        <v>0</v>
      </c>
      <c r="D139" s="1" t="s">
        <v>62</v>
      </c>
      <c r="E139" s="1" t="s">
        <v>32</v>
      </c>
      <c r="F139" s="15">
        <f>cranebripts</f>
        <v>0</v>
      </c>
    </row>
    <row r="140" spans="1:6" ht="14.95" customHeight="1" thickBot="1" x14ac:dyDescent="0.3">
      <c r="A140" s="49" t="s">
        <v>75</v>
      </c>
      <c r="B140" s="49" t="s">
        <v>32</v>
      </c>
      <c r="C140" s="7">
        <f>Lloydlirtries</f>
        <v>0</v>
      </c>
      <c r="D140" s="1" t="s">
        <v>33</v>
      </c>
      <c r="E140" s="1" t="s">
        <v>32</v>
      </c>
      <c r="F140" s="15">
        <f>Edenbripts</f>
        <v>0</v>
      </c>
    </row>
    <row r="141" spans="1:6" ht="14.95" customHeight="1" thickBot="1" x14ac:dyDescent="0.3">
      <c r="A141" s="49" t="s">
        <v>78</v>
      </c>
      <c r="B141" s="49" t="s">
        <v>32</v>
      </c>
      <c r="C141" s="7">
        <f>Lloyd_Jbritries</f>
        <v>0</v>
      </c>
      <c r="D141" s="1" t="s">
        <v>17</v>
      </c>
      <c r="E141" s="1" t="s">
        <v>32</v>
      </c>
      <c r="F141" s="15">
        <f>Frischbripts</f>
        <v>0</v>
      </c>
    </row>
    <row r="142" spans="1:6" ht="14.95" customHeight="1" thickBot="1" x14ac:dyDescent="0.3">
      <c r="A142" s="49" t="s">
        <v>79</v>
      </c>
      <c r="B142" s="49" t="s">
        <v>32</v>
      </c>
      <c r="C142" s="7">
        <f>Marshalllirtries</f>
        <v>0</v>
      </c>
      <c r="D142" s="1" t="s">
        <v>65</v>
      </c>
      <c r="E142" s="1" t="s">
        <v>32</v>
      </c>
      <c r="F142" s="15">
        <f>Hardingbripts</f>
        <v>0</v>
      </c>
    </row>
    <row r="143" spans="1:6" ht="14.95" customHeight="1" thickBot="1" x14ac:dyDescent="0.3">
      <c r="A143" s="49" t="s">
        <v>81</v>
      </c>
      <c r="B143" s="49" t="s">
        <v>32</v>
      </c>
      <c r="C143" s="7">
        <f>McNallylirtries</f>
        <v>0</v>
      </c>
      <c r="D143" s="1" t="s">
        <v>69</v>
      </c>
      <c r="E143" s="1" t="s">
        <v>32</v>
      </c>
      <c r="F143" s="15">
        <f>Frankslirpts</f>
        <v>0</v>
      </c>
    </row>
    <row r="144" spans="1:6" ht="14.95" customHeight="1" thickBot="1" x14ac:dyDescent="0.3">
      <c r="A144" s="49" t="s">
        <v>83</v>
      </c>
      <c r="B144" s="49" t="s">
        <v>32</v>
      </c>
      <c r="C144" s="7">
        <f>Penalty_Triesbritries</f>
        <v>0</v>
      </c>
      <c r="D144" s="1" t="s">
        <v>70</v>
      </c>
      <c r="E144" s="1" t="s">
        <v>32</v>
      </c>
      <c r="F144" s="15">
        <f>Hughesbripts</f>
        <v>0</v>
      </c>
    </row>
    <row r="145" spans="1:6" ht="14.95" customHeight="1" thickBot="1" x14ac:dyDescent="0.3">
      <c r="A145" s="49" t="s">
        <v>91</v>
      </c>
      <c r="B145" s="49" t="s">
        <v>32</v>
      </c>
      <c r="C145" s="7">
        <f>Noakeslitries</f>
        <v>0</v>
      </c>
      <c r="D145" s="1" t="s">
        <v>72</v>
      </c>
      <c r="E145" s="1" t="s">
        <v>32</v>
      </c>
      <c r="F145" s="15">
        <f>Jenkinsbripts</f>
        <v>0</v>
      </c>
    </row>
    <row r="146" spans="1:6" ht="14.95" customHeight="1" thickBot="1" x14ac:dyDescent="0.3">
      <c r="A146" s="49" t="s">
        <v>84</v>
      </c>
      <c r="B146" s="49" t="s">
        <v>32</v>
      </c>
      <c r="C146" s="7">
        <f>Purdybritries</f>
        <v>0</v>
      </c>
      <c r="D146" s="1" t="s">
        <v>74</v>
      </c>
      <c r="E146" s="1" t="s">
        <v>32</v>
      </c>
      <c r="F146" s="15">
        <f>Laybripts</f>
        <v>0</v>
      </c>
    </row>
    <row r="147" spans="1:6" ht="14.95" customHeight="1" thickBot="1" x14ac:dyDescent="0.3">
      <c r="A147" s="8" t="s">
        <v>86</v>
      </c>
      <c r="B147" s="8" t="s">
        <v>32</v>
      </c>
      <c r="C147" s="7">
        <f>Radradrabritries</f>
        <v>0</v>
      </c>
      <c r="D147" s="1" t="s">
        <v>75</v>
      </c>
      <c r="E147" s="1" t="s">
        <v>32</v>
      </c>
      <c r="F147" s="14">
        <f>Lloydlirpts</f>
        <v>0</v>
      </c>
    </row>
    <row r="148" spans="1:6" ht="14.95" customHeight="1" thickBot="1" x14ac:dyDescent="0.3">
      <c r="A148" s="8" t="s">
        <v>88</v>
      </c>
      <c r="B148" s="8" t="s">
        <v>32</v>
      </c>
      <c r="C148" s="7">
        <f>Palamobristries</f>
        <v>0</v>
      </c>
      <c r="D148" s="1" t="s">
        <v>78</v>
      </c>
      <c r="E148" s="1" t="s">
        <v>32</v>
      </c>
      <c r="F148" s="15">
        <f>Lloyd_Jbripts</f>
        <v>0</v>
      </c>
    </row>
    <row r="149" spans="1:6" ht="14.95" customHeight="1" thickBot="1" x14ac:dyDescent="0.3">
      <c r="A149" s="49" t="s">
        <v>99</v>
      </c>
      <c r="B149" s="49" t="s">
        <v>30</v>
      </c>
      <c r="C149" s="7">
        <f>Devotoexetries</f>
        <v>0</v>
      </c>
      <c r="D149" s="1" t="s">
        <v>79</v>
      </c>
      <c r="E149" s="1" t="s">
        <v>32</v>
      </c>
      <c r="F149" s="15">
        <f>Marshalllirpts</f>
        <v>0</v>
      </c>
    </row>
    <row r="150" spans="1:6" ht="14.95" customHeight="1" thickBot="1" x14ac:dyDescent="0.3">
      <c r="A150" s="49" t="s">
        <v>101</v>
      </c>
      <c r="B150" s="49" t="s">
        <v>30</v>
      </c>
      <c r="C150" s="43">
        <f>Feyi_Wabosoexetries</f>
        <v>0</v>
      </c>
      <c r="D150" s="1" t="s">
        <v>83</v>
      </c>
      <c r="E150" s="1" t="s">
        <v>32</v>
      </c>
      <c r="F150" s="15">
        <f>Penalty_Triesbripts</f>
        <v>0</v>
      </c>
    </row>
    <row r="151" spans="1:6" ht="14.95" customHeight="1" thickBot="1" x14ac:dyDescent="0.3">
      <c r="A151" s="49" t="s">
        <v>102</v>
      </c>
      <c r="B151" s="49" t="s">
        <v>30</v>
      </c>
      <c r="C151" s="7">
        <f>Frostexetries</f>
        <v>0</v>
      </c>
      <c r="D151" s="1" t="s">
        <v>91</v>
      </c>
      <c r="E151" s="1" t="s">
        <v>32</v>
      </c>
      <c r="F151" s="15">
        <f>Noakeslipts</f>
        <v>0</v>
      </c>
    </row>
    <row r="152" spans="1:6" ht="14.95" customHeight="1" thickBot="1" x14ac:dyDescent="0.3">
      <c r="A152" s="49" t="s">
        <v>103</v>
      </c>
      <c r="B152" s="49" t="s">
        <v>30</v>
      </c>
      <c r="C152" s="7">
        <f>Grayexetries</f>
        <v>0</v>
      </c>
      <c r="D152" s="1" t="s">
        <v>84</v>
      </c>
      <c r="E152" s="1" t="s">
        <v>32</v>
      </c>
      <c r="F152" s="15">
        <f>Purdybripts</f>
        <v>0</v>
      </c>
    </row>
    <row r="153" spans="1:6" ht="14.95" customHeight="1" thickBot="1" x14ac:dyDescent="0.3">
      <c r="A153" s="49" t="s">
        <v>104</v>
      </c>
      <c r="B153" s="49" t="s">
        <v>30</v>
      </c>
      <c r="C153" s="7">
        <f>Grondonaexetries</f>
        <v>0</v>
      </c>
      <c r="D153" s="1" t="s">
        <v>86</v>
      </c>
      <c r="E153" s="1" t="s">
        <v>32</v>
      </c>
      <c r="F153" s="15">
        <f>Radradrabripts</f>
        <v>0</v>
      </c>
    </row>
    <row r="154" spans="1:6" ht="14.95" customHeight="1" thickBot="1" x14ac:dyDescent="0.3">
      <c r="A154" s="49" t="s">
        <v>42</v>
      </c>
      <c r="B154" s="49" t="s">
        <v>30</v>
      </c>
      <c r="C154" s="7">
        <f>Hendricksonexetries</f>
        <v>0</v>
      </c>
      <c r="D154" s="13" t="s">
        <v>88</v>
      </c>
      <c r="E154" s="13" t="s">
        <v>32</v>
      </c>
      <c r="F154" s="15">
        <f>Randallbripts</f>
        <v>0</v>
      </c>
    </row>
    <row r="155" spans="1:6" ht="14.95" customHeight="1" thickBot="1" x14ac:dyDescent="0.3">
      <c r="A155" s="49" t="s">
        <v>108</v>
      </c>
      <c r="B155" s="49" t="s">
        <v>30</v>
      </c>
      <c r="C155" s="7">
        <f>holmesexetries</f>
        <v>0</v>
      </c>
      <c r="D155" s="1" t="s">
        <v>99</v>
      </c>
      <c r="E155" s="1" t="s">
        <v>30</v>
      </c>
      <c r="F155" s="15">
        <f>Devotoexepts</f>
        <v>0</v>
      </c>
    </row>
    <row r="156" spans="1:6" ht="14.95" customHeight="1" thickBot="1" x14ac:dyDescent="0.3">
      <c r="A156" s="49" t="s">
        <v>110</v>
      </c>
      <c r="B156" s="49" t="s">
        <v>30</v>
      </c>
      <c r="C156" s="7">
        <f>Jenkins_Dexetries</f>
        <v>0</v>
      </c>
      <c r="D156" s="1" t="s">
        <v>101</v>
      </c>
      <c r="E156" s="1" t="s">
        <v>30</v>
      </c>
      <c r="F156" s="15">
        <f>Feyi_Wabosoexepts</f>
        <v>0</v>
      </c>
    </row>
    <row r="157" spans="1:6" ht="14.95" customHeight="1" thickBot="1" x14ac:dyDescent="0.3">
      <c r="A157" s="49" t="s">
        <v>112</v>
      </c>
      <c r="B157" s="49" t="s">
        <v>30</v>
      </c>
      <c r="C157" s="7">
        <f>jamestries</f>
        <v>0</v>
      </c>
      <c r="D157" s="13" t="s">
        <v>102</v>
      </c>
      <c r="E157" s="1" t="s">
        <v>30</v>
      </c>
      <c r="F157" s="15">
        <f>Frostexepts</f>
        <v>0</v>
      </c>
    </row>
    <row r="158" spans="1:6" ht="14.95" customHeight="1" thickBot="1" x14ac:dyDescent="0.3">
      <c r="A158" s="49" t="s">
        <v>117</v>
      </c>
      <c r="B158" s="49" t="s">
        <v>30</v>
      </c>
      <c r="C158" s="7">
        <f>Maunder_Sexetries</f>
        <v>0</v>
      </c>
      <c r="D158" s="1" t="s">
        <v>103</v>
      </c>
      <c r="E158" s="1" t="s">
        <v>30</v>
      </c>
      <c r="F158" s="15">
        <f>Grayexepts</f>
        <v>0</v>
      </c>
    </row>
    <row r="159" spans="1:6" ht="14.95" customHeight="1" thickBot="1" x14ac:dyDescent="0.3">
      <c r="A159" s="49" t="s">
        <v>121</v>
      </c>
      <c r="B159" s="49" t="s">
        <v>30</v>
      </c>
      <c r="C159" s="7">
        <f>O_Brienexetries</f>
        <v>0</v>
      </c>
      <c r="D159" s="1" t="s">
        <v>104</v>
      </c>
      <c r="E159" s="1" t="s">
        <v>30</v>
      </c>
      <c r="F159" s="15">
        <f>Grondonaexepts</f>
        <v>0</v>
      </c>
    </row>
    <row r="160" spans="1:6" ht="14.95" customHeight="1" thickBot="1" x14ac:dyDescent="0.3">
      <c r="A160" s="8" t="s">
        <v>4</v>
      </c>
      <c r="B160" s="8" t="s">
        <v>30</v>
      </c>
      <c r="C160" s="7">
        <f>Penalty_Triesexetries</f>
        <v>0</v>
      </c>
      <c r="D160" s="1" t="s">
        <v>42</v>
      </c>
      <c r="E160" s="1" t="s">
        <v>30</v>
      </c>
      <c r="F160" s="15">
        <f>Hendricksonexepts</f>
        <v>0</v>
      </c>
    </row>
    <row r="161" spans="1:6" ht="14.95" customHeight="1" thickBot="1" x14ac:dyDescent="0.3">
      <c r="A161" s="49" t="s">
        <v>123</v>
      </c>
      <c r="B161" s="49" t="s">
        <v>30</v>
      </c>
      <c r="C161" s="7">
        <f>Reltonexetries</f>
        <v>0</v>
      </c>
      <c r="D161" s="1" t="s">
        <v>108</v>
      </c>
      <c r="E161" s="1" t="s">
        <v>30</v>
      </c>
      <c r="F161" s="15">
        <f>Holmesexepts</f>
        <v>0</v>
      </c>
    </row>
    <row r="162" spans="1:6" ht="14.95" customHeight="1" thickBot="1" x14ac:dyDescent="0.3">
      <c r="A162" s="49" t="s">
        <v>124</v>
      </c>
      <c r="B162" s="49" t="s">
        <v>30</v>
      </c>
      <c r="C162" s="7">
        <f>Schickerlingexetries</f>
        <v>0</v>
      </c>
      <c r="D162" s="1" t="s">
        <v>110</v>
      </c>
      <c r="E162" s="1" t="s">
        <v>30</v>
      </c>
      <c r="F162" s="16">
        <f>Jenkins_Dexepts</f>
        <v>0</v>
      </c>
    </row>
    <row r="163" spans="1:6" ht="14.95" customHeight="1" thickBot="1" x14ac:dyDescent="0.3">
      <c r="A163" s="49" t="s">
        <v>125</v>
      </c>
      <c r="B163" s="49" t="s">
        <v>30</v>
      </c>
      <c r="C163" s="7">
        <f>Simmondsexetries</f>
        <v>0</v>
      </c>
      <c r="D163" s="1" t="s">
        <v>112</v>
      </c>
      <c r="E163" s="1" t="s">
        <v>30</v>
      </c>
      <c r="F163" s="15">
        <f>Jamespts</f>
        <v>0</v>
      </c>
    </row>
    <row r="164" spans="1:6" ht="14.95" customHeight="1" thickBot="1" x14ac:dyDescent="0.3">
      <c r="A164" s="49" t="s">
        <v>128</v>
      </c>
      <c r="B164" s="49" t="s">
        <v>30</v>
      </c>
      <c r="C164" s="7">
        <f>Skinner_Hexetries</f>
        <v>0</v>
      </c>
      <c r="D164" s="1" t="s">
        <v>117</v>
      </c>
      <c r="E164" s="1" t="s">
        <v>30</v>
      </c>
      <c r="F164" s="15">
        <f>Maunder_Sexepts</f>
        <v>0</v>
      </c>
    </row>
    <row r="165" spans="1:6" ht="14.95" customHeight="1" thickBot="1" x14ac:dyDescent="0.3">
      <c r="A165" s="49" t="s">
        <v>129</v>
      </c>
      <c r="B165" s="49" t="s">
        <v>30</v>
      </c>
      <c r="C165" s="7">
        <f>Sladeexetries</f>
        <v>0</v>
      </c>
      <c r="D165" s="13" t="s">
        <v>121</v>
      </c>
      <c r="E165" s="1" t="s">
        <v>30</v>
      </c>
      <c r="F165" s="15">
        <f>O_Brienexepts</f>
        <v>0</v>
      </c>
    </row>
    <row r="166" spans="1:6" ht="14.95" customHeight="1" thickBot="1" x14ac:dyDescent="0.3">
      <c r="A166" s="49" t="s">
        <v>134</v>
      </c>
      <c r="B166" s="49" t="s">
        <v>30</v>
      </c>
      <c r="C166" s="7">
        <f>Tuimaexetries</f>
        <v>0</v>
      </c>
      <c r="D166" s="13" t="s">
        <v>4</v>
      </c>
      <c r="E166" s="13" t="s">
        <v>30</v>
      </c>
      <c r="F166" s="15">
        <f>Penalty_Triesexepts</f>
        <v>0</v>
      </c>
    </row>
    <row r="167" spans="1:6" ht="14.95" customHeight="1" thickBot="1" x14ac:dyDescent="0.3">
      <c r="A167" s="49" t="s">
        <v>15</v>
      </c>
      <c r="B167" s="49" t="s">
        <v>30</v>
      </c>
      <c r="C167" s="7">
        <f>van_Heerdenexetries</f>
        <v>0</v>
      </c>
      <c r="D167" s="13" t="s">
        <v>123</v>
      </c>
      <c r="E167" s="13" t="s">
        <v>30</v>
      </c>
      <c r="F167" s="15">
        <f>Reltonexepts</f>
        <v>0</v>
      </c>
    </row>
    <row r="168" spans="1:6" ht="14.95" customHeight="1" thickBot="1" x14ac:dyDescent="0.3">
      <c r="A168" s="49" t="s">
        <v>135</v>
      </c>
      <c r="B168" s="49" t="s">
        <v>30</v>
      </c>
      <c r="C168" s="7">
        <f>van_der_Sluysexetries</f>
        <v>0</v>
      </c>
      <c r="D168" s="13" t="s">
        <v>124</v>
      </c>
      <c r="E168" s="13" t="s">
        <v>30</v>
      </c>
      <c r="F168" s="15">
        <f>Schickerlingexepts</f>
        <v>0</v>
      </c>
    </row>
    <row r="169" spans="1:6" ht="14.95" customHeight="1" thickBot="1" x14ac:dyDescent="0.3">
      <c r="A169" s="49" t="s">
        <v>136</v>
      </c>
      <c r="B169" s="49" t="s">
        <v>30</v>
      </c>
      <c r="C169" s="7">
        <f>Whittentries</f>
        <v>0</v>
      </c>
      <c r="D169" s="1" t="s">
        <v>125</v>
      </c>
      <c r="E169" s="1" t="s">
        <v>30</v>
      </c>
      <c r="F169" s="15">
        <f>Simmondsexepts</f>
        <v>0</v>
      </c>
    </row>
    <row r="170" spans="1:6" ht="14.95" customHeight="1" thickBot="1" x14ac:dyDescent="0.3">
      <c r="A170" s="8" t="s">
        <v>137</v>
      </c>
      <c r="B170" s="8" t="s">
        <v>30</v>
      </c>
      <c r="C170" s="7">
        <f>Williamsexetries</f>
        <v>0</v>
      </c>
      <c r="D170" s="1" t="s">
        <v>128</v>
      </c>
      <c r="E170" s="1" t="s">
        <v>30</v>
      </c>
      <c r="F170" s="15">
        <f>Skinner_Hexepts</f>
        <v>0</v>
      </c>
    </row>
    <row r="171" spans="1:6" ht="14.95" customHeight="1" thickBot="1" x14ac:dyDescent="0.3">
      <c r="A171" s="49" t="s">
        <v>140</v>
      </c>
      <c r="B171" s="49" t="s">
        <v>26</v>
      </c>
      <c r="C171" s="7">
        <f>Ackermannglotries</f>
        <v>0</v>
      </c>
      <c r="D171" s="1" t="s">
        <v>129</v>
      </c>
      <c r="E171" s="1" t="s">
        <v>30</v>
      </c>
      <c r="F171" s="15">
        <f>Sladeexepts</f>
        <v>0</v>
      </c>
    </row>
    <row r="172" spans="1:6" ht="14.95" customHeight="1" thickBot="1" x14ac:dyDescent="0.3">
      <c r="A172" s="49" t="s">
        <v>142</v>
      </c>
      <c r="B172" s="49" t="s">
        <v>26</v>
      </c>
      <c r="C172" s="7">
        <f>Atkinsonglotries</f>
        <v>0</v>
      </c>
      <c r="D172" s="1" t="s">
        <v>134</v>
      </c>
      <c r="E172" s="1" t="s">
        <v>30</v>
      </c>
      <c r="F172" s="15">
        <f>Tuimaexepts</f>
        <v>0</v>
      </c>
    </row>
    <row r="173" spans="1:6" ht="14.95" customHeight="1" thickBot="1" x14ac:dyDescent="0.3">
      <c r="A173" s="49" t="s">
        <v>146</v>
      </c>
      <c r="B173" s="49" t="s">
        <v>26</v>
      </c>
      <c r="C173" s="7">
        <f>Bartonglotries</f>
        <v>0</v>
      </c>
      <c r="D173" s="1" t="s">
        <v>15</v>
      </c>
      <c r="E173" s="1" t="s">
        <v>30</v>
      </c>
      <c r="F173" s="15">
        <f>van_Heerdenexepts</f>
        <v>0</v>
      </c>
    </row>
    <row r="174" spans="1:6" ht="14.95" customHeight="1" thickBot="1" x14ac:dyDescent="0.3">
      <c r="A174" s="49" t="s">
        <v>147</v>
      </c>
      <c r="B174" s="49" t="s">
        <v>26</v>
      </c>
      <c r="C174" s="7">
        <f>Blakeglotries</f>
        <v>0</v>
      </c>
      <c r="D174" s="1" t="s">
        <v>135</v>
      </c>
      <c r="E174" s="1" t="s">
        <v>30</v>
      </c>
      <c r="F174" s="15">
        <f>van_der_Sluysexepts</f>
        <v>0</v>
      </c>
    </row>
    <row r="175" spans="1:6" ht="14.95" customHeight="1" thickBot="1" x14ac:dyDescent="0.3">
      <c r="A175" s="49" t="s">
        <v>148</v>
      </c>
      <c r="B175" s="49" t="s">
        <v>26</v>
      </c>
      <c r="C175" s="7">
        <f>Carrerasglotries</f>
        <v>0</v>
      </c>
      <c r="D175" s="13" t="s">
        <v>137</v>
      </c>
      <c r="E175" s="13" t="s">
        <v>30</v>
      </c>
      <c r="F175" s="16">
        <f>Williamsexepts</f>
        <v>0</v>
      </c>
    </row>
    <row r="176" spans="1:6" ht="14.95" customHeight="1" thickBot="1" x14ac:dyDescent="0.3">
      <c r="A176" s="49" t="s">
        <v>149</v>
      </c>
      <c r="B176" s="49" t="s">
        <v>26</v>
      </c>
      <c r="C176" s="7">
        <f>Chapmanglotries</f>
        <v>0</v>
      </c>
      <c r="D176" s="1" t="s">
        <v>140</v>
      </c>
      <c r="E176" s="1" t="s">
        <v>26</v>
      </c>
      <c r="F176" s="15">
        <f>Ackermannglopts</f>
        <v>0</v>
      </c>
    </row>
    <row r="177" spans="1:6" ht="14.95" customHeight="1" thickBot="1" x14ac:dyDescent="0.3">
      <c r="A177" s="49" t="s">
        <v>150</v>
      </c>
      <c r="B177" s="49" t="s">
        <v>26</v>
      </c>
      <c r="C177" s="7">
        <f>Clarkglotries</f>
        <v>0</v>
      </c>
      <c r="D177" s="1" t="s">
        <v>142</v>
      </c>
      <c r="E177" s="1" t="s">
        <v>26</v>
      </c>
      <c r="F177" s="15">
        <f>Atkinsonglopts</f>
        <v>0</v>
      </c>
    </row>
    <row r="178" spans="1:6" ht="14.95" customHeight="1" thickBot="1" x14ac:dyDescent="0.3">
      <c r="A178" s="49" t="s">
        <v>151</v>
      </c>
      <c r="B178" s="49" t="s">
        <v>26</v>
      </c>
      <c r="C178" s="7">
        <f>Dawidiukglotries</f>
        <v>0</v>
      </c>
      <c r="D178" s="1" t="s">
        <v>146</v>
      </c>
      <c r="E178" s="1" t="s">
        <v>26</v>
      </c>
      <c r="F178" s="15">
        <f>Bartonglopts</f>
        <v>0</v>
      </c>
    </row>
    <row r="179" spans="1:6" ht="14.95" customHeight="1" thickBot="1" x14ac:dyDescent="0.3">
      <c r="A179" s="49" t="s">
        <v>152</v>
      </c>
      <c r="B179" s="49" t="s">
        <v>26</v>
      </c>
      <c r="C179" s="7">
        <f>Coetzerglotries</f>
        <v>0</v>
      </c>
      <c r="D179" s="1" t="s">
        <v>147</v>
      </c>
      <c r="E179" s="1" t="s">
        <v>26</v>
      </c>
      <c r="F179" s="15">
        <f>Blakeglopts</f>
        <v>0</v>
      </c>
    </row>
    <row r="180" spans="1:6" ht="14.95" customHeight="1" thickBot="1" x14ac:dyDescent="0.3">
      <c r="A180" s="49" t="s">
        <v>154</v>
      </c>
      <c r="B180" s="49" t="s">
        <v>26</v>
      </c>
      <c r="C180" s="7">
        <f>Davidsonglotries</f>
        <v>0</v>
      </c>
      <c r="D180" s="1" t="s">
        <v>148</v>
      </c>
      <c r="E180" s="1" t="s">
        <v>26</v>
      </c>
      <c r="F180" s="15">
        <f>Carrerasglopts</f>
        <v>0</v>
      </c>
    </row>
    <row r="181" spans="1:6" ht="14.95" customHeight="1" thickBot="1" x14ac:dyDescent="0.3">
      <c r="A181" s="8" t="s">
        <v>155</v>
      </c>
      <c r="B181" s="49" t="s">
        <v>26</v>
      </c>
      <c r="C181" s="7">
        <f>Elringtonglotries</f>
        <v>0</v>
      </c>
      <c r="D181" s="1" t="s">
        <v>149</v>
      </c>
      <c r="E181" s="1" t="s">
        <v>26</v>
      </c>
      <c r="F181" s="15">
        <f>Chapmanglopts</f>
        <v>0</v>
      </c>
    </row>
    <row r="182" spans="1:6" ht="14.95" customHeight="1" thickBot="1" x14ac:dyDescent="0.3">
      <c r="A182" s="49" t="s">
        <v>38</v>
      </c>
      <c r="B182" s="49" t="s">
        <v>26</v>
      </c>
      <c r="C182" s="7">
        <f>Ford_Robinsonglotries</f>
        <v>0</v>
      </c>
      <c r="D182" s="1" t="s">
        <v>150</v>
      </c>
      <c r="E182" s="1" t="s">
        <v>26</v>
      </c>
      <c r="F182" s="15">
        <f>Clarkglopts</f>
        <v>0</v>
      </c>
    </row>
    <row r="183" spans="1:6" ht="14.95" customHeight="1" thickBot="1" x14ac:dyDescent="0.3">
      <c r="A183" s="49" t="s">
        <v>158</v>
      </c>
      <c r="B183" s="49" t="s">
        <v>26</v>
      </c>
      <c r="C183" s="7">
        <f>Harrisglotries</f>
        <v>0</v>
      </c>
      <c r="D183" s="1" t="s">
        <v>151</v>
      </c>
      <c r="E183" s="1" t="s">
        <v>26</v>
      </c>
      <c r="F183" s="15">
        <f>Dawidiukglopts</f>
        <v>0</v>
      </c>
    </row>
    <row r="184" spans="1:6" ht="14.95" customHeight="1" thickBot="1" x14ac:dyDescent="0.3">
      <c r="A184" s="49" t="s">
        <v>163</v>
      </c>
      <c r="B184" s="49" t="s">
        <v>26</v>
      </c>
      <c r="C184" s="7">
        <f>Ludlowglotries</f>
        <v>0</v>
      </c>
      <c r="D184" s="1" t="s">
        <v>152</v>
      </c>
      <c r="E184" s="1" t="s">
        <v>26</v>
      </c>
      <c r="F184" s="15">
        <f>Coetzerglopts</f>
        <v>0</v>
      </c>
    </row>
    <row r="185" spans="1:6" ht="14.95" customHeight="1" thickBot="1" x14ac:dyDescent="0.3">
      <c r="A185" s="49" t="s">
        <v>164</v>
      </c>
      <c r="B185" s="49" t="s">
        <v>26</v>
      </c>
      <c r="C185" s="7">
        <f>Maraisglotries</f>
        <v>0</v>
      </c>
      <c r="D185" s="1" t="s">
        <v>154</v>
      </c>
      <c r="E185" s="1" t="s">
        <v>26</v>
      </c>
      <c r="F185" s="15">
        <f>Davidsonglopts</f>
        <v>0</v>
      </c>
    </row>
    <row r="186" spans="1:6" ht="14.95" customHeight="1" thickBot="1" x14ac:dyDescent="0.3">
      <c r="A186" s="49" t="s">
        <v>166</v>
      </c>
      <c r="B186" s="49" t="s">
        <v>26</v>
      </c>
      <c r="C186" s="7">
        <f>Meehanglotries</f>
        <v>0</v>
      </c>
      <c r="D186" s="1" t="s">
        <v>155</v>
      </c>
      <c r="E186" s="1" t="s">
        <v>26</v>
      </c>
      <c r="F186" s="15">
        <f>Elringtonglopts</f>
        <v>0</v>
      </c>
    </row>
    <row r="187" spans="1:6" ht="14.95" customHeight="1" thickBot="1" x14ac:dyDescent="0.3">
      <c r="A187" s="49" t="s">
        <v>170</v>
      </c>
      <c r="B187" s="49" t="s">
        <v>26</v>
      </c>
      <c r="C187" s="7">
        <f>Morganbentries</f>
        <v>0</v>
      </c>
      <c r="D187" s="1" t="s">
        <v>158</v>
      </c>
      <c r="E187" s="1" t="s">
        <v>26</v>
      </c>
      <c r="F187" s="15">
        <f>Harrisglopts</f>
        <v>0</v>
      </c>
    </row>
    <row r="188" spans="1:6" ht="14.95" customHeight="1" thickBot="1" x14ac:dyDescent="0.3">
      <c r="A188" s="49" t="s">
        <v>172</v>
      </c>
      <c r="B188" s="49" t="s">
        <v>26</v>
      </c>
      <c r="C188" s="7">
        <f>Penalty_Triesglotries</f>
        <v>0</v>
      </c>
      <c r="D188" s="1" t="s">
        <v>163</v>
      </c>
      <c r="E188" s="1" t="s">
        <v>26</v>
      </c>
      <c r="F188" s="15">
        <f>Ludlowglopts</f>
        <v>0</v>
      </c>
    </row>
    <row r="189" spans="1:6" ht="14.95" customHeight="1" thickBot="1" x14ac:dyDescent="0.3">
      <c r="A189" s="49" t="s">
        <v>173</v>
      </c>
      <c r="B189" s="49" t="s">
        <v>26</v>
      </c>
      <c r="C189" s="7">
        <f>Polledriglotries</f>
        <v>0</v>
      </c>
      <c r="D189" s="1" t="s">
        <v>164</v>
      </c>
      <c r="E189" s="1" t="s">
        <v>26</v>
      </c>
      <c r="F189" s="15">
        <f>Maraisglopts</f>
        <v>0</v>
      </c>
    </row>
    <row r="190" spans="1:6" ht="14.95" customHeight="1" thickBot="1" x14ac:dyDescent="0.3">
      <c r="A190" s="49" t="s">
        <v>174</v>
      </c>
      <c r="B190" s="49" t="s">
        <v>26</v>
      </c>
      <c r="C190" s="7">
        <f>Rapava_Ruskinglotries</f>
        <v>0</v>
      </c>
      <c r="D190" s="1" t="s">
        <v>166</v>
      </c>
      <c r="E190" s="1" t="s">
        <v>26</v>
      </c>
      <c r="F190" s="15">
        <f>Meehanglopts</f>
        <v>0</v>
      </c>
    </row>
    <row r="191" spans="1:6" ht="14.95" customHeight="1" thickBot="1" x14ac:dyDescent="0.3">
      <c r="A191" s="49" t="s">
        <v>176</v>
      </c>
      <c r="B191" s="49" t="s">
        <v>26</v>
      </c>
      <c r="C191" s="7">
        <f>Reevesglotries</f>
        <v>0</v>
      </c>
      <c r="D191" s="1" t="s">
        <v>170</v>
      </c>
      <c r="E191" s="1" t="s">
        <v>26</v>
      </c>
      <c r="F191" s="16">
        <f>Morganbenpts</f>
        <v>0</v>
      </c>
    </row>
    <row r="192" spans="1:6" ht="14.95" customHeight="1" thickBot="1" x14ac:dyDescent="0.3">
      <c r="A192" s="10" t="s">
        <v>179</v>
      </c>
      <c r="B192" s="49" t="s">
        <v>26</v>
      </c>
      <c r="C192" s="5">
        <f>Simpsonglotries</f>
        <v>0</v>
      </c>
      <c r="D192" s="1" t="s">
        <v>172</v>
      </c>
      <c r="E192" s="1" t="s">
        <v>26</v>
      </c>
      <c r="F192" s="15">
        <f>Penalty_Triesglopts</f>
        <v>0</v>
      </c>
    </row>
    <row r="193" spans="1:6" ht="14.95" customHeight="1" thickBot="1" x14ac:dyDescent="0.3">
      <c r="A193" s="49" t="s">
        <v>181</v>
      </c>
      <c r="B193" s="49" t="s">
        <v>26</v>
      </c>
      <c r="C193" s="5">
        <f>Terryglotries</f>
        <v>0</v>
      </c>
      <c r="D193" s="1" t="s">
        <v>173</v>
      </c>
      <c r="E193" s="1" t="s">
        <v>26</v>
      </c>
      <c r="F193" s="16">
        <f>Polledriglopts</f>
        <v>0</v>
      </c>
    </row>
    <row r="194" spans="1:6" ht="14.95" customHeight="1" thickBot="1" x14ac:dyDescent="0.3">
      <c r="A194" s="49" t="s">
        <v>183</v>
      </c>
      <c r="B194" s="49" t="s">
        <v>26</v>
      </c>
      <c r="C194" s="7">
        <f>Stanleyglotries</f>
        <v>0</v>
      </c>
      <c r="D194" s="1" t="s">
        <v>174</v>
      </c>
      <c r="E194" s="1" t="s">
        <v>26</v>
      </c>
      <c r="F194" s="15">
        <f>Rapava_Ruskinglopts</f>
        <v>0</v>
      </c>
    </row>
    <row r="195" spans="1:6" ht="14.95" customHeight="1" thickBot="1" x14ac:dyDescent="0.3">
      <c r="A195" s="49" t="s">
        <v>184</v>
      </c>
      <c r="B195" s="49" t="s">
        <v>26</v>
      </c>
      <c r="C195" s="7">
        <f>Taylorglotries</f>
        <v>0</v>
      </c>
      <c r="D195" s="1" t="s">
        <v>176</v>
      </c>
      <c r="E195" s="1" t="s">
        <v>26</v>
      </c>
      <c r="F195" s="15">
        <f>Reevesglopts</f>
        <v>0</v>
      </c>
    </row>
    <row r="196" spans="1:6" ht="14.95" customHeight="1" thickBot="1" x14ac:dyDescent="0.3">
      <c r="A196" s="49" t="s">
        <v>186</v>
      </c>
      <c r="B196" s="49" t="s">
        <v>26</v>
      </c>
      <c r="C196" s="7">
        <f>Cowanjimmytries</f>
        <v>0</v>
      </c>
      <c r="D196" s="1" t="s">
        <v>179</v>
      </c>
      <c r="E196" s="1" t="s">
        <v>26</v>
      </c>
      <c r="F196" s="15">
        <f>Simpsonglopts</f>
        <v>0</v>
      </c>
    </row>
    <row r="197" spans="1:6" ht="14.95" customHeight="1" thickBot="1" x14ac:dyDescent="0.3">
      <c r="A197" s="49" t="s">
        <v>187</v>
      </c>
      <c r="B197" s="49" t="s">
        <v>26</v>
      </c>
      <c r="C197" s="7">
        <f>Twelvetreesglotries</f>
        <v>0</v>
      </c>
      <c r="D197" s="1" t="s">
        <v>181</v>
      </c>
      <c r="E197" s="1" t="s">
        <v>26</v>
      </c>
      <c r="F197" s="15">
        <f>Terryglopts</f>
        <v>0</v>
      </c>
    </row>
    <row r="198" spans="1:6" ht="14.95" customHeight="1" thickBot="1" x14ac:dyDescent="0.3">
      <c r="A198" s="49" t="s">
        <v>188</v>
      </c>
      <c r="B198" s="49" t="s">
        <v>26</v>
      </c>
      <c r="C198" s="7">
        <f>Visagieglotries</f>
        <v>0</v>
      </c>
      <c r="D198" s="1" t="s">
        <v>183</v>
      </c>
      <c r="E198" s="1" t="s">
        <v>26</v>
      </c>
      <c r="F198" s="15">
        <f>Stanleyglopts</f>
        <v>0</v>
      </c>
    </row>
    <row r="199" spans="1:6" ht="14.95" customHeight="1" thickBot="1" x14ac:dyDescent="0.3">
      <c r="A199" s="49" t="s">
        <v>5</v>
      </c>
      <c r="B199" s="49" t="s">
        <v>26</v>
      </c>
      <c r="C199" s="7">
        <f>Woodwardglotries</f>
        <v>0</v>
      </c>
      <c r="D199" s="1" t="s">
        <v>184</v>
      </c>
      <c r="E199" s="1" t="s">
        <v>26</v>
      </c>
      <c r="F199" s="15">
        <f>Taylorglopts</f>
        <v>0</v>
      </c>
    </row>
    <row r="200" spans="1:6" ht="14.95" customHeight="1" thickBot="1" x14ac:dyDescent="0.3">
      <c r="A200" s="6" t="s">
        <v>126</v>
      </c>
      <c r="B200" s="49" t="s">
        <v>26</v>
      </c>
      <c r="C200" s="7">
        <f>Robinsonglotries</f>
        <v>0</v>
      </c>
      <c r="D200" s="1" t="s">
        <v>186</v>
      </c>
      <c r="E200" s="1" t="s">
        <v>26</v>
      </c>
      <c r="F200" s="15">
        <f>Cowanjimmypts</f>
        <v>0</v>
      </c>
    </row>
    <row r="201" spans="1:6" ht="14.95" customHeight="1" thickBot="1" x14ac:dyDescent="0.3">
      <c r="A201" s="49" t="s">
        <v>190</v>
      </c>
      <c r="B201" s="49" t="s">
        <v>26</v>
      </c>
      <c r="C201" s="7">
        <f>Russellglotries</f>
        <v>0</v>
      </c>
      <c r="D201" s="1" t="s">
        <v>187</v>
      </c>
      <c r="E201" s="1" t="s">
        <v>26</v>
      </c>
      <c r="F201" s="15">
        <f>Twelvetreesglopts</f>
        <v>0</v>
      </c>
    </row>
    <row r="202" spans="1:6" ht="14.95" customHeight="1" thickBot="1" x14ac:dyDescent="0.3">
      <c r="A202" s="49" t="s">
        <v>191</v>
      </c>
      <c r="B202" s="49" t="s">
        <v>26</v>
      </c>
      <c r="C202" s="7">
        <f>Samudaglotries</f>
        <v>0</v>
      </c>
      <c r="D202" s="1" t="s">
        <v>188</v>
      </c>
      <c r="E202" s="1" t="s">
        <v>26</v>
      </c>
      <c r="F202" s="15">
        <f>Visagieglopts</f>
        <v>0</v>
      </c>
    </row>
    <row r="203" spans="1:6" ht="14.95" customHeight="1" thickBot="1" x14ac:dyDescent="0.3">
      <c r="A203" s="49" t="s">
        <v>192</v>
      </c>
      <c r="B203" s="49" t="s">
        <v>26</v>
      </c>
      <c r="C203" s="7">
        <f>Scottglohtries</f>
        <v>0</v>
      </c>
      <c r="D203" s="17" t="s">
        <v>5</v>
      </c>
      <c r="E203" s="1" t="s">
        <v>26</v>
      </c>
      <c r="F203" s="15">
        <f>Woodwardglopts</f>
        <v>0</v>
      </c>
    </row>
    <row r="204" spans="1:6" ht="14.95" customHeight="1" thickBot="1" x14ac:dyDescent="0.3">
      <c r="A204" s="49" t="s">
        <v>83</v>
      </c>
      <c r="B204" s="49" t="s">
        <v>26</v>
      </c>
      <c r="C204" s="7">
        <f>Smithglotries</f>
        <v>0</v>
      </c>
      <c r="D204" s="1" t="s">
        <v>126</v>
      </c>
      <c r="E204" s="1" t="s">
        <v>26</v>
      </c>
      <c r="F204" s="15">
        <f>Robinsonglopts</f>
        <v>0</v>
      </c>
    </row>
    <row r="205" spans="1:6" ht="14.95" customHeight="1" thickBot="1" x14ac:dyDescent="0.3">
      <c r="A205" s="49" t="s">
        <v>15</v>
      </c>
      <c r="B205" s="49" t="s">
        <v>26</v>
      </c>
      <c r="C205" s="7">
        <f>Walkerglohtries</f>
        <v>0</v>
      </c>
      <c r="D205" s="1" t="s">
        <v>190</v>
      </c>
      <c r="E205" s="1" t="s">
        <v>26</v>
      </c>
      <c r="F205" s="15">
        <f>Russellglopts</f>
        <v>0</v>
      </c>
    </row>
    <row r="206" spans="1:6" ht="14.95" customHeight="1" thickBot="1" x14ac:dyDescent="0.3">
      <c r="A206" s="49" t="s">
        <v>236</v>
      </c>
      <c r="B206" s="49" t="s">
        <v>39</v>
      </c>
      <c r="C206" s="7">
        <f>Beatonsartries</f>
        <v>0</v>
      </c>
      <c r="D206" s="1" t="s">
        <v>191</v>
      </c>
      <c r="E206" s="1" t="s">
        <v>26</v>
      </c>
      <c r="F206" s="15">
        <f>Samudaglopts</f>
        <v>0</v>
      </c>
    </row>
    <row r="207" spans="1:6" ht="14.95" customHeight="1" thickBot="1" x14ac:dyDescent="0.3">
      <c r="A207" s="49" t="s">
        <v>228</v>
      </c>
      <c r="B207" s="49" t="s">
        <v>39</v>
      </c>
      <c r="C207" s="7">
        <f>Bryansartries</f>
        <v>0</v>
      </c>
      <c r="D207" s="1" t="s">
        <v>192</v>
      </c>
      <c r="E207" s="1" t="s">
        <v>26</v>
      </c>
      <c r="F207" s="15">
        <f>scottglohpts</f>
        <v>0</v>
      </c>
    </row>
    <row r="208" spans="1:6" ht="14.95" customHeight="1" thickBot="1" x14ac:dyDescent="0.3">
      <c r="A208" s="49" t="s">
        <v>210</v>
      </c>
      <c r="B208" s="49" t="s">
        <v>39</v>
      </c>
      <c r="C208" s="7">
        <f>Clareysartriescorrect</f>
        <v>0</v>
      </c>
      <c r="D208" s="1" t="s">
        <v>83</v>
      </c>
      <c r="E208" s="1" t="s">
        <v>26</v>
      </c>
      <c r="F208" s="15">
        <f>smithglopts</f>
        <v>0</v>
      </c>
    </row>
    <row r="209" spans="1:6" ht="14.95" customHeight="1" thickBot="1" x14ac:dyDescent="0.3">
      <c r="A209" s="49" t="s">
        <v>229</v>
      </c>
      <c r="B209" s="49" t="s">
        <v>39</v>
      </c>
      <c r="C209" s="7">
        <f>Daviessartriescorrect</f>
        <v>0</v>
      </c>
      <c r="D209" s="1" t="s">
        <v>15</v>
      </c>
      <c r="E209" s="1" t="s">
        <v>26</v>
      </c>
      <c r="F209" s="15">
        <f>walkerglohpts</f>
        <v>0</v>
      </c>
    </row>
    <row r="210" spans="1:6" ht="14.95" customHeight="1" thickBot="1" x14ac:dyDescent="0.3">
      <c r="A210" s="49" t="s">
        <v>214</v>
      </c>
      <c r="B210" s="49" t="s">
        <v>39</v>
      </c>
      <c r="C210" s="7">
        <f>de_Haassartriescorrect</f>
        <v>0</v>
      </c>
      <c r="D210" s="1" t="s">
        <v>236</v>
      </c>
      <c r="E210" s="1" t="s">
        <v>39</v>
      </c>
      <c r="F210" s="15">
        <f>Beatonsarpts</f>
        <v>0</v>
      </c>
    </row>
    <row r="211" spans="1:6" ht="14.95" customHeight="1" thickBot="1" x14ac:dyDescent="0.3">
      <c r="A211" s="49" t="s">
        <v>18</v>
      </c>
      <c r="B211" s="49" t="s">
        <v>39</v>
      </c>
      <c r="C211" s="7">
        <f>Elliottsartries</f>
        <v>0</v>
      </c>
      <c r="D211" s="1" t="s">
        <v>228</v>
      </c>
      <c r="E211" s="1" t="s">
        <v>39</v>
      </c>
      <c r="F211" s="15">
        <f>Bryansarpts</f>
        <v>0</v>
      </c>
    </row>
    <row r="212" spans="1:6" ht="14.95" customHeight="1" thickBot="1" x14ac:dyDescent="0.3">
      <c r="A212" s="49" t="s">
        <v>200</v>
      </c>
      <c r="B212" s="49" t="s">
        <v>39</v>
      </c>
      <c r="C212" s="7">
        <f>Goodesartriescorrect</f>
        <v>0</v>
      </c>
      <c r="D212" s="1" t="s">
        <v>210</v>
      </c>
      <c r="E212" s="1" t="s">
        <v>39</v>
      </c>
      <c r="F212" s="15">
        <f>Clareysarptscorrect</f>
        <v>0</v>
      </c>
    </row>
    <row r="213" spans="1:6" ht="14.95" customHeight="1" thickBot="1" x14ac:dyDescent="0.3">
      <c r="A213" s="49" t="s">
        <v>198</v>
      </c>
      <c r="B213" s="49" t="s">
        <v>39</v>
      </c>
      <c r="C213" s="7">
        <f>Harrissartriescorrect</f>
        <v>0</v>
      </c>
      <c r="D213" s="1" t="s">
        <v>229</v>
      </c>
      <c r="E213" s="1" t="s">
        <v>39</v>
      </c>
      <c r="F213" s="15">
        <f>Daviessarptscorrect</f>
        <v>0</v>
      </c>
    </row>
    <row r="214" spans="1:6" ht="14.95" customHeight="1" thickBot="1" x14ac:dyDescent="0.3">
      <c r="A214" s="6" t="s">
        <v>221</v>
      </c>
      <c r="B214" s="49" t="s">
        <v>39</v>
      </c>
      <c r="C214" s="7">
        <f>Hougaardsartries</f>
        <v>0</v>
      </c>
      <c r="D214" s="1" t="s">
        <v>214</v>
      </c>
      <c r="E214" s="1" t="s">
        <v>39</v>
      </c>
      <c r="F214" s="15">
        <f>de_Haassarptscorrect</f>
        <v>0</v>
      </c>
    </row>
    <row r="215" spans="1:6" ht="14.95" customHeight="1" thickBot="1" x14ac:dyDescent="0.3">
      <c r="A215" s="6" t="s">
        <v>233</v>
      </c>
      <c r="B215" s="49" t="s">
        <v>39</v>
      </c>
      <c r="C215" s="7">
        <f>Hunter_Hillsartriescorrect</f>
        <v>0</v>
      </c>
      <c r="D215" s="1" t="s">
        <v>18</v>
      </c>
      <c r="E215" s="1" t="s">
        <v>39</v>
      </c>
      <c r="F215" s="15">
        <f>Elliottsarpts</f>
        <v>0</v>
      </c>
    </row>
    <row r="216" spans="1:6" ht="14.95" customHeight="1" thickBot="1" x14ac:dyDescent="0.3">
      <c r="A216" s="6" t="s">
        <v>223</v>
      </c>
      <c r="B216" s="49" t="s">
        <v>39</v>
      </c>
      <c r="C216" s="7">
        <f>Isiekwesartriescorrect</f>
        <v>0</v>
      </c>
      <c r="D216" s="17" t="s">
        <v>200</v>
      </c>
      <c r="E216" s="17" t="s">
        <v>39</v>
      </c>
      <c r="F216" s="15">
        <f>Goodesarptscorrect</f>
        <v>0</v>
      </c>
    </row>
    <row r="217" spans="1:6" ht="14.95" customHeight="1" thickBot="1" x14ac:dyDescent="0.3">
      <c r="A217" s="6" t="s">
        <v>205</v>
      </c>
      <c r="B217" s="49" t="s">
        <v>39</v>
      </c>
      <c r="C217" s="7">
        <f>Itojesartriescorrect</f>
        <v>0</v>
      </c>
      <c r="D217" s="15" t="s">
        <v>198</v>
      </c>
      <c r="E217" s="17" t="s">
        <v>39</v>
      </c>
      <c r="F217" s="15">
        <f>Harrissarptscorrect</f>
        <v>0</v>
      </c>
    </row>
    <row r="218" spans="1:6" ht="14.95" customHeight="1" thickBot="1" x14ac:dyDescent="0.3">
      <c r="A218" s="6" t="s">
        <v>244</v>
      </c>
      <c r="B218" s="49" t="s">
        <v>39</v>
      </c>
      <c r="C218" s="7">
        <f>Fleetwoodsartries</f>
        <v>0</v>
      </c>
      <c r="D218" s="15" t="s">
        <v>221</v>
      </c>
      <c r="E218" s="17" t="s">
        <v>39</v>
      </c>
      <c r="F218" s="15">
        <f>Hougaardsarpts</f>
        <v>0</v>
      </c>
    </row>
    <row r="219" spans="1:6" ht="14.95" customHeight="1" thickBot="1" x14ac:dyDescent="0.3">
      <c r="A219" s="6" t="s">
        <v>201</v>
      </c>
      <c r="B219" s="49" t="s">
        <v>39</v>
      </c>
      <c r="C219" s="7">
        <f>Jacksonsartries</f>
        <v>0</v>
      </c>
      <c r="D219" s="17" t="s">
        <v>233</v>
      </c>
      <c r="E219" s="17" t="s">
        <v>39</v>
      </c>
      <c r="F219" s="15">
        <f>Hunter_Hillsarptscorrect</f>
        <v>0</v>
      </c>
    </row>
    <row r="220" spans="1:6" ht="14.95" customHeight="1" thickBot="1" x14ac:dyDescent="0.3">
      <c r="A220" s="6" t="s">
        <v>234</v>
      </c>
      <c r="B220" s="49" t="s">
        <v>39</v>
      </c>
      <c r="C220" s="7">
        <f>Lewingtonsartriescorrect</f>
        <v>0</v>
      </c>
      <c r="D220" s="17" t="s">
        <v>223</v>
      </c>
      <c r="E220" s="17" t="s">
        <v>39</v>
      </c>
      <c r="F220" s="15">
        <f>Isiekwesarptscorrect</f>
        <v>0</v>
      </c>
    </row>
    <row r="221" spans="1:6" ht="14.95" customHeight="1" thickBot="1" x14ac:dyDescent="0.3">
      <c r="A221" s="6" t="s">
        <v>203</v>
      </c>
      <c r="B221" s="49" t="s">
        <v>39</v>
      </c>
      <c r="C221" s="7">
        <f>Malinssartriescorrect</f>
        <v>0</v>
      </c>
      <c r="D221" s="17" t="s">
        <v>205</v>
      </c>
      <c r="E221" s="17" t="s">
        <v>39</v>
      </c>
      <c r="F221" s="15">
        <f>Itojesarptscorrect</f>
        <v>0</v>
      </c>
    </row>
    <row r="222" spans="1:6" ht="14.95" customHeight="1" thickBot="1" x14ac:dyDescent="0.3">
      <c r="A222" s="6" t="s">
        <v>107</v>
      </c>
      <c r="B222" s="49" t="s">
        <v>39</v>
      </c>
      <c r="C222" s="7">
        <f>Mawisartriescorrect</f>
        <v>0</v>
      </c>
      <c r="D222" s="17" t="s">
        <v>244</v>
      </c>
      <c r="E222" s="17" t="s">
        <v>39</v>
      </c>
      <c r="F222" s="15">
        <f>fleetwoodsarpts</f>
        <v>0</v>
      </c>
    </row>
    <row r="223" spans="1:6" ht="14.95" customHeight="1" thickBot="1" x14ac:dyDescent="0.3">
      <c r="A223" s="6" t="s">
        <v>206</v>
      </c>
      <c r="B223" s="49" t="s">
        <v>39</v>
      </c>
      <c r="C223" s="5">
        <f>Mooresartries</f>
        <v>0</v>
      </c>
      <c r="D223" s="17" t="s">
        <v>201</v>
      </c>
      <c r="E223" s="17" t="s">
        <v>39</v>
      </c>
      <c r="F223" s="16">
        <f>Jacksonsarpts</f>
        <v>0</v>
      </c>
    </row>
    <row r="224" spans="1:6" ht="14.95" customHeight="1" thickBot="1" x14ac:dyDescent="0.3">
      <c r="A224" s="6" t="s">
        <v>217</v>
      </c>
      <c r="B224" s="49" t="s">
        <v>39</v>
      </c>
      <c r="C224" s="7">
        <f>Morrissartriescorrect</f>
        <v>0</v>
      </c>
      <c r="D224" s="17" t="s">
        <v>234</v>
      </c>
      <c r="E224" s="17" t="s">
        <v>39</v>
      </c>
      <c r="F224" s="15">
        <f>Lewingtonsarptscorrect</f>
        <v>0</v>
      </c>
    </row>
    <row r="225" spans="1:6" ht="14.95" customHeight="1" thickBot="1" x14ac:dyDescent="0.3">
      <c r="A225" s="6" t="s">
        <v>211</v>
      </c>
      <c r="B225" s="49" t="s">
        <v>39</v>
      </c>
      <c r="C225" s="7">
        <f>Penalty_Triessartriescorrect</f>
        <v>0</v>
      </c>
      <c r="D225" s="17" t="s">
        <v>203</v>
      </c>
      <c r="E225" s="17" t="s">
        <v>39</v>
      </c>
      <c r="F225" s="15">
        <f>Malinssarptscorrect</f>
        <v>0</v>
      </c>
    </row>
    <row r="226" spans="1:6" ht="14.95" customHeight="1" thickBot="1" x14ac:dyDescent="0.3">
      <c r="A226" s="6" t="s">
        <v>204</v>
      </c>
      <c r="B226" s="49" t="s">
        <v>39</v>
      </c>
      <c r="C226" s="7">
        <f>Riccionisartriescorrect</f>
        <v>0</v>
      </c>
      <c r="D226" s="17" t="s">
        <v>107</v>
      </c>
      <c r="E226" s="17" t="s">
        <v>39</v>
      </c>
      <c r="F226" s="15">
        <f>Mawisarptscorrect</f>
        <v>0</v>
      </c>
    </row>
    <row r="227" spans="1:6" ht="14.95" customHeight="1" thickBot="1" x14ac:dyDescent="0.3">
      <c r="A227" s="6" t="s">
        <v>232</v>
      </c>
      <c r="B227" s="49" t="s">
        <v>39</v>
      </c>
      <c r="C227" s="7">
        <f>Segunsartriescorrect</f>
        <v>0</v>
      </c>
      <c r="D227" s="124" t="s">
        <v>206</v>
      </c>
      <c r="E227" s="124" t="s">
        <v>39</v>
      </c>
      <c r="F227" s="14">
        <f>Mooresarpts</f>
        <v>0</v>
      </c>
    </row>
    <row r="228" spans="1:6" ht="14.95" customHeight="1" thickBot="1" x14ac:dyDescent="0.3">
      <c r="A228" s="6" t="s">
        <v>225</v>
      </c>
      <c r="B228" s="49" t="s">
        <v>39</v>
      </c>
      <c r="C228" s="7">
        <f>Swinsonsartriescorrect</f>
        <v>0</v>
      </c>
      <c r="D228" s="17" t="s">
        <v>217</v>
      </c>
      <c r="E228" s="17" t="s">
        <v>39</v>
      </c>
      <c r="F228" s="15">
        <f>Morrissarptscorrect</f>
        <v>0</v>
      </c>
    </row>
    <row r="229" spans="1:6" ht="14.95" customHeight="1" thickBot="1" x14ac:dyDescent="0.3">
      <c r="A229" s="6" t="s">
        <v>4</v>
      </c>
      <c r="B229" s="49" t="s">
        <v>39</v>
      </c>
      <c r="C229" s="7">
        <f>Penalty_Triessarwomentries</f>
        <v>0</v>
      </c>
      <c r="D229" s="17" t="s">
        <v>211</v>
      </c>
      <c r="E229" s="17" t="s">
        <v>39</v>
      </c>
      <c r="F229" s="15">
        <f>Penalty_Triessarptscorrect</f>
        <v>0</v>
      </c>
    </row>
    <row r="230" spans="1:6" ht="14.95" customHeight="1" thickBot="1" x14ac:dyDescent="0.3">
      <c r="A230" s="6" t="s">
        <v>208</v>
      </c>
      <c r="B230" s="49" t="s">
        <v>39</v>
      </c>
      <c r="C230" s="7">
        <f>van_Zylsartriescorrect</f>
        <v>0</v>
      </c>
      <c r="D230" s="17" t="s">
        <v>204</v>
      </c>
      <c r="E230" s="17" t="s">
        <v>39</v>
      </c>
      <c r="F230" s="15">
        <f>Riccionisarptscorrect</f>
        <v>0</v>
      </c>
    </row>
    <row r="231" spans="1:6" ht="14.95" customHeight="1" thickBot="1" x14ac:dyDescent="0.3">
      <c r="A231" s="6" t="s">
        <v>243</v>
      </c>
      <c r="B231" s="49" t="s">
        <v>39</v>
      </c>
      <c r="C231" s="7">
        <f>Schutzlersartries</f>
        <v>0</v>
      </c>
      <c r="D231" s="17" t="s">
        <v>232</v>
      </c>
      <c r="E231" s="17" t="s">
        <v>39</v>
      </c>
      <c r="F231" s="15">
        <f>Segunsarptscorrect</f>
        <v>0</v>
      </c>
    </row>
    <row r="232" spans="1:6" ht="14.95" customHeight="1" thickBot="1" x14ac:dyDescent="0.3">
      <c r="A232" s="6" t="s">
        <v>240</v>
      </c>
      <c r="B232" s="49" t="s">
        <v>39</v>
      </c>
      <c r="C232" s="7">
        <f>Vunipola_Bsartriescorrect</f>
        <v>0</v>
      </c>
      <c r="D232" s="17" t="s">
        <v>225</v>
      </c>
      <c r="E232" s="17" t="s">
        <v>39</v>
      </c>
      <c r="F232" s="15">
        <f>Swinsonsarptscorrect</f>
        <v>0</v>
      </c>
    </row>
    <row r="233" spans="1:6" ht="14.95" customHeight="1" thickBot="1" x14ac:dyDescent="0.3">
      <c r="A233" s="6" t="s">
        <v>241</v>
      </c>
      <c r="B233" s="49" t="s">
        <v>39</v>
      </c>
      <c r="C233" s="7">
        <f>Vunipola__Makosartriescorrect</f>
        <v>0</v>
      </c>
      <c r="D233" s="17" t="s">
        <v>4</v>
      </c>
      <c r="E233" s="17" t="s">
        <v>39</v>
      </c>
      <c r="F233" s="15">
        <f>penaltytriessarwomenpts</f>
        <v>0</v>
      </c>
    </row>
    <row r="234" spans="1:6" ht="14.95" customHeight="1" thickBot="1" x14ac:dyDescent="0.3">
      <c r="A234" s="6" t="s">
        <v>220</v>
      </c>
      <c r="B234" s="49" t="s">
        <v>39</v>
      </c>
      <c r="C234" s="7">
        <f>Vunipola__Manusartriescorrect</f>
        <v>0</v>
      </c>
      <c r="D234" s="17" t="s">
        <v>208</v>
      </c>
      <c r="E234" s="17" t="s">
        <v>39</v>
      </c>
      <c r="F234" s="15">
        <f>van_Zylsarptscorrect</f>
        <v>0</v>
      </c>
    </row>
    <row r="235" spans="1:6" ht="14.95" customHeight="1" thickBot="1" x14ac:dyDescent="0.3">
      <c r="A235" s="6" t="s">
        <v>5</v>
      </c>
      <c r="B235" s="49" t="s">
        <v>39</v>
      </c>
      <c r="C235" s="7">
        <f>Woolstencroftsartriescorrect</f>
        <v>0</v>
      </c>
      <c r="D235" s="17" t="s">
        <v>243</v>
      </c>
      <c r="E235" s="17" t="s">
        <v>39</v>
      </c>
      <c r="F235" s="15">
        <f>schutzlersarpts</f>
        <v>0</v>
      </c>
    </row>
    <row r="236" spans="1:6" ht="14.95" customHeight="1" thickBot="1" x14ac:dyDescent="0.3">
      <c r="A236" s="6" t="s">
        <v>258</v>
      </c>
      <c r="B236" s="49" t="s">
        <v>252</v>
      </c>
      <c r="C236" s="7">
        <v>0</v>
      </c>
      <c r="D236" s="17" t="s">
        <v>240</v>
      </c>
      <c r="E236" s="17" t="s">
        <v>39</v>
      </c>
      <c r="F236" s="15">
        <f>Vunipola_Bsarptscorrect</f>
        <v>0</v>
      </c>
    </row>
    <row r="237" spans="1:6" ht="14.95" customHeight="1" thickBot="1" x14ac:dyDescent="0.3">
      <c r="A237" s="6" t="s">
        <v>260</v>
      </c>
      <c r="B237" s="49" t="s">
        <v>28</v>
      </c>
      <c r="C237" s="7">
        <v>0</v>
      </c>
      <c r="D237" s="17" t="s">
        <v>241</v>
      </c>
      <c r="E237" s="17" t="s">
        <v>39</v>
      </c>
      <c r="F237" s="15">
        <f>Vunipola__Makosarptscorrect</f>
        <v>0</v>
      </c>
    </row>
    <row r="238" spans="1:6" ht="14.95" customHeight="1" thickBot="1" x14ac:dyDescent="0.3">
      <c r="A238" s="7" t="s">
        <v>261</v>
      </c>
      <c r="B238" s="8" t="s">
        <v>27</v>
      </c>
      <c r="C238" s="7">
        <v>0</v>
      </c>
      <c r="D238" s="17" t="s">
        <v>220</v>
      </c>
      <c r="E238" s="17" t="s">
        <v>39</v>
      </c>
      <c r="F238" s="15">
        <f>Vunipola__Manusarptscorrect</f>
        <v>0</v>
      </c>
    </row>
    <row r="239" spans="1:6" ht="14.95" customHeight="1" thickBot="1" x14ac:dyDescent="0.3">
      <c r="A239" s="6"/>
      <c r="B239" s="49"/>
      <c r="C239" s="7"/>
      <c r="D239" s="17"/>
      <c r="E239" s="17"/>
      <c r="F239" s="16"/>
    </row>
    <row r="240" spans="1:6" ht="14.95" customHeight="1" thickBot="1" x14ac:dyDescent="0.3">
      <c r="A240" s="6"/>
      <c r="B240" s="49"/>
      <c r="C240" s="7"/>
      <c r="D240" s="17"/>
      <c r="E240" s="17"/>
      <c r="F240" s="15"/>
    </row>
    <row r="241" spans="1:6" ht="14.95" customHeight="1" thickBot="1" x14ac:dyDescent="0.3">
      <c r="A241" s="7"/>
      <c r="B241" s="6"/>
      <c r="C241" s="7"/>
      <c r="D241" s="17"/>
      <c r="E241" s="17"/>
      <c r="F241" s="15"/>
    </row>
    <row r="242" spans="1:6" ht="14.95" customHeight="1" thickBot="1" x14ac:dyDescent="0.3">
      <c r="A242" s="6"/>
      <c r="B242" s="6"/>
      <c r="C242" s="5"/>
      <c r="D242" s="17"/>
      <c r="E242" s="17"/>
      <c r="F242" s="15"/>
    </row>
    <row r="243" spans="1:6" ht="14.95" customHeight="1" thickBot="1" x14ac:dyDescent="0.3">
      <c r="A243" s="7"/>
      <c r="B243" s="7"/>
      <c r="C243" s="7"/>
      <c r="D243" s="17"/>
      <c r="E243" s="17"/>
      <c r="F243" s="15"/>
    </row>
    <row r="244" spans="1:6" ht="14.95" customHeight="1" thickBot="1" x14ac:dyDescent="0.3">
      <c r="A244" s="7"/>
      <c r="B244" s="7"/>
      <c r="C244" s="7"/>
      <c r="D244" s="17"/>
      <c r="E244" s="17"/>
      <c r="F244" s="15"/>
    </row>
    <row r="245" spans="1:6" ht="14.95" customHeight="1" thickBot="1" x14ac:dyDescent="0.3">
      <c r="A245" s="6"/>
      <c r="B245" s="6"/>
      <c r="C245" s="5"/>
      <c r="D245" s="17"/>
      <c r="E245" s="17"/>
      <c r="F245" s="15"/>
    </row>
    <row r="246" spans="1:6" ht="14.95" customHeight="1" thickBot="1" x14ac:dyDescent="0.3">
      <c r="A246" s="6"/>
      <c r="B246" s="6"/>
      <c r="C246" s="7"/>
      <c r="D246" s="15"/>
      <c r="E246" s="15"/>
      <c r="F246" s="14"/>
    </row>
    <row r="247" spans="1:6" ht="14.95" customHeight="1" thickBot="1" x14ac:dyDescent="0.3">
      <c r="A247" s="6"/>
      <c r="B247" s="6"/>
      <c r="C247" s="7"/>
      <c r="D247" s="17"/>
      <c r="E247" s="17"/>
      <c r="F247" s="15"/>
    </row>
    <row r="248" spans="1:6" ht="14.95" customHeight="1" thickBot="1" x14ac:dyDescent="0.3">
      <c r="A248" s="6"/>
      <c r="B248" s="6"/>
      <c r="C248" s="7"/>
      <c r="D248" s="17"/>
      <c r="E248" s="17"/>
      <c r="F248" s="15"/>
    </row>
    <row r="249" spans="1:6" ht="14.95" customHeight="1" thickBot="1" x14ac:dyDescent="0.3">
      <c r="A249" s="6"/>
      <c r="B249" s="6"/>
      <c r="C249" s="7"/>
      <c r="D249" s="17"/>
      <c r="E249" s="17"/>
      <c r="F249" s="15"/>
    </row>
    <row r="250" spans="1:6" ht="14.95" customHeight="1" thickBot="1" x14ac:dyDescent="0.3">
      <c r="A250" s="6"/>
      <c r="B250" s="6"/>
      <c r="C250" s="7"/>
      <c r="D250" s="17"/>
      <c r="E250" s="17"/>
      <c r="F250" s="15"/>
    </row>
    <row r="251" spans="1:6" ht="14.95" customHeight="1" thickBot="1" x14ac:dyDescent="0.3">
      <c r="A251" s="6"/>
      <c r="B251" s="6"/>
      <c r="C251" s="7"/>
      <c r="D251" s="15"/>
      <c r="E251" s="15"/>
      <c r="F251" s="15"/>
    </row>
    <row r="252" spans="1:6" ht="14.95" customHeight="1" thickBot="1" x14ac:dyDescent="0.3">
      <c r="A252" s="117"/>
      <c r="B252" s="117"/>
      <c r="C252" s="5"/>
      <c r="D252" s="15"/>
      <c r="E252" s="15"/>
      <c r="F252" s="15"/>
    </row>
    <row r="253" spans="1:6" ht="14.95" customHeight="1" thickBot="1" x14ac:dyDescent="0.3">
      <c r="A253" s="7"/>
      <c r="B253" s="7"/>
      <c r="C253" s="7"/>
      <c r="D253" s="17"/>
      <c r="E253" s="17"/>
      <c r="F253" s="14"/>
    </row>
    <row r="254" spans="1:6" ht="14.95" customHeight="1" thickBot="1" x14ac:dyDescent="0.3">
      <c r="A254" s="6"/>
      <c r="B254" s="6"/>
      <c r="C254" s="7"/>
      <c r="D254" s="17"/>
      <c r="E254" s="17"/>
      <c r="F254" s="15"/>
    </row>
    <row r="255" spans="1:6" ht="14.95" customHeight="1" thickBot="1" x14ac:dyDescent="0.3">
      <c r="A255" s="8"/>
      <c r="B255" s="8"/>
      <c r="C255" s="7"/>
      <c r="D255" s="1"/>
      <c r="E255" s="1"/>
      <c r="F255" s="15"/>
    </row>
    <row r="256" spans="1:6" ht="14.95" customHeight="1" thickBot="1" x14ac:dyDescent="0.3">
      <c r="A256" s="49"/>
      <c r="B256" s="49"/>
      <c r="C256" s="7"/>
      <c r="D256" s="1"/>
      <c r="E256" s="1"/>
      <c r="F256" s="15"/>
    </row>
    <row r="257" spans="1:6" ht="14.95" customHeight="1" thickBot="1" x14ac:dyDescent="0.3">
      <c r="A257" s="8"/>
      <c r="B257" s="8"/>
      <c r="C257" s="7"/>
      <c r="D257" s="1"/>
      <c r="E257" s="1"/>
      <c r="F257" s="15"/>
    </row>
    <row r="258" spans="1:6" ht="14.95" customHeight="1" thickBot="1" x14ac:dyDescent="0.3">
      <c r="A258" s="49"/>
      <c r="B258" s="49"/>
      <c r="C258" s="7"/>
      <c r="D258" s="1"/>
      <c r="E258" s="1"/>
      <c r="F258" s="15"/>
    </row>
    <row r="259" spans="1:6" ht="14.95" customHeight="1" thickBot="1" x14ac:dyDescent="0.3">
      <c r="A259" s="49"/>
      <c r="B259" s="49"/>
      <c r="C259" s="7"/>
      <c r="D259" s="1"/>
      <c r="E259" s="1"/>
      <c r="F259" s="13"/>
    </row>
    <row r="260" spans="1:6" ht="14.95" customHeight="1" thickBot="1" x14ac:dyDescent="0.3">
      <c r="A260" s="49"/>
      <c r="B260" s="49"/>
      <c r="C260" s="7"/>
      <c r="D260" s="13"/>
      <c r="E260" s="13"/>
      <c r="F260" s="132"/>
    </row>
    <row r="261" spans="1:6" ht="14.95" customHeight="1" thickBot="1" x14ac:dyDescent="0.3">
      <c r="A261" s="49"/>
      <c r="B261" s="49"/>
      <c r="C261" s="7"/>
      <c r="D261" s="1"/>
      <c r="E261" s="1"/>
      <c r="F261" s="12"/>
    </row>
    <row r="262" spans="1:6" ht="14.95" customHeight="1" thickBot="1" x14ac:dyDescent="0.3">
      <c r="A262" s="49"/>
      <c r="B262" s="49"/>
      <c r="C262" s="7"/>
      <c r="D262" s="13"/>
      <c r="E262" s="1"/>
      <c r="F262" s="12"/>
    </row>
    <row r="263" spans="1:6" ht="14.95" customHeight="1" thickBot="1" x14ac:dyDescent="0.3">
      <c r="A263" s="49"/>
      <c r="B263" s="49"/>
      <c r="C263" s="7"/>
      <c r="D263" s="1"/>
      <c r="E263" s="1"/>
      <c r="F263" s="12"/>
    </row>
    <row r="264" spans="1:6" ht="14.95" customHeight="1" thickBot="1" x14ac:dyDescent="0.3">
      <c r="A264" s="49"/>
      <c r="B264" s="49"/>
      <c r="C264" s="7"/>
      <c r="D264" s="1"/>
      <c r="E264" s="1"/>
      <c r="F264" s="12"/>
    </row>
    <row r="265" spans="1:6" ht="14.95" customHeight="1" thickBot="1" x14ac:dyDescent="0.3">
      <c r="A265" s="49"/>
      <c r="B265" s="49"/>
      <c r="C265" s="7"/>
      <c r="D265" s="1"/>
      <c r="E265" s="1"/>
      <c r="F265" s="12"/>
    </row>
    <row r="266" spans="1:6" ht="14.95" customHeight="1" thickBot="1" x14ac:dyDescent="0.3">
      <c r="A266" s="49"/>
      <c r="B266" s="49"/>
      <c r="C266" s="7"/>
      <c r="D266" s="1"/>
      <c r="E266" s="1"/>
      <c r="F266" s="12"/>
    </row>
    <row r="267" spans="1:6" ht="14.95" customHeight="1" thickBot="1" x14ac:dyDescent="0.3">
      <c r="A267" s="8"/>
      <c r="B267" s="49"/>
      <c r="C267" s="7"/>
      <c r="D267" s="1"/>
      <c r="E267" s="1"/>
      <c r="F267" s="12"/>
    </row>
    <row r="268" spans="1:6" ht="14.95" customHeight="1" thickBot="1" x14ac:dyDescent="0.3">
      <c r="A268" s="10"/>
      <c r="B268" s="10"/>
      <c r="C268" s="5"/>
      <c r="D268" s="1"/>
      <c r="E268" s="1"/>
      <c r="F268" s="12"/>
    </row>
    <row r="269" spans="1:6" ht="14.95" customHeight="1" thickBot="1" x14ac:dyDescent="0.3">
      <c r="A269" s="49"/>
      <c r="B269" s="49"/>
      <c r="C269" s="7"/>
      <c r="D269" s="1"/>
      <c r="E269" s="1"/>
      <c r="F269" s="12"/>
    </row>
    <row r="270" spans="1:6" ht="14.95" customHeight="1" thickBot="1" x14ac:dyDescent="0.3">
      <c r="A270" s="49"/>
      <c r="B270" s="49"/>
      <c r="C270" s="7"/>
      <c r="D270" s="96"/>
      <c r="E270" s="96"/>
      <c r="F270" s="12"/>
    </row>
    <row r="271" spans="1:6" ht="14.95" customHeight="1" thickBot="1" x14ac:dyDescent="0.3">
      <c r="A271" s="49"/>
      <c r="B271" s="49"/>
      <c r="C271" s="7"/>
      <c r="D271" s="13"/>
      <c r="E271" s="13"/>
      <c r="F271" s="12"/>
    </row>
    <row r="272" spans="1:6" ht="14.95" customHeight="1" thickBot="1" x14ac:dyDescent="0.3">
      <c r="A272" s="49"/>
      <c r="B272" s="49"/>
      <c r="C272" s="7"/>
      <c r="D272" s="1"/>
      <c r="E272" s="1"/>
      <c r="F272" s="18"/>
    </row>
    <row r="273" spans="1:6" ht="14.95" customHeight="1" thickBot="1" x14ac:dyDescent="0.3">
      <c r="A273" s="49"/>
      <c r="B273" s="49"/>
      <c r="C273" s="7"/>
      <c r="D273" s="1"/>
      <c r="E273" s="1"/>
      <c r="F273" s="18"/>
    </row>
    <row r="274" spans="1:6" ht="14.95" customHeight="1" thickBot="1" x14ac:dyDescent="0.3">
      <c r="A274" s="49"/>
      <c r="B274" s="49"/>
      <c r="C274" s="7"/>
      <c r="D274" s="13"/>
      <c r="E274" s="13"/>
      <c r="F274" s="18"/>
    </row>
    <row r="275" spans="1:6" ht="14.95" customHeight="1" thickBot="1" x14ac:dyDescent="0.3">
      <c r="A275" s="49"/>
      <c r="B275" s="49"/>
      <c r="C275" s="5"/>
      <c r="D275" s="13"/>
      <c r="E275" s="13"/>
      <c r="F275" s="18"/>
    </row>
    <row r="276" spans="1:6" ht="14.95" customHeight="1" thickBot="1" x14ac:dyDescent="0.3">
      <c r="A276" s="49"/>
      <c r="B276" s="49"/>
      <c r="C276" s="7"/>
      <c r="D276" s="1"/>
      <c r="E276" s="1"/>
      <c r="F276" s="18"/>
    </row>
    <row r="277" spans="1:6" ht="14.95" customHeight="1" thickBot="1" x14ac:dyDescent="0.3">
      <c r="A277" s="49"/>
      <c r="B277" s="49"/>
      <c r="C277" s="5"/>
      <c r="D277" s="1"/>
      <c r="E277" s="1"/>
      <c r="F277" s="18"/>
    </row>
    <row r="278" spans="1:6" ht="14.95" customHeight="1" thickBot="1" x14ac:dyDescent="0.3">
      <c r="A278" s="49"/>
      <c r="B278" s="49"/>
      <c r="C278" s="7"/>
      <c r="D278" s="1"/>
      <c r="E278" s="1"/>
      <c r="F278" s="19"/>
    </row>
    <row r="279" spans="1:6" ht="14.95" customHeight="1" thickBot="1" x14ac:dyDescent="0.3">
      <c r="A279" s="49"/>
      <c r="B279" s="49"/>
      <c r="C279" s="7"/>
      <c r="D279" s="1"/>
      <c r="E279" s="1"/>
      <c r="F279" s="19"/>
    </row>
    <row r="280" spans="1:6" ht="14.95" customHeight="1" thickBot="1" x14ac:dyDescent="0.3">
      <c r="A280" s="49"/>
      <c r="B280" s="49"/>
      <c r="C280" s="7"/>
      <c r="D280" s="1"/>
      <c r="E280" s="1"/>
      <c r="F280" s="131"/>
    </row>
    <row r="281" spans="1:6" ht="14.95" customHeight="1" thickBot="1" x14ac:dyDescent="0.3">
      <c r="A281" s="49"/>
      <c r="B281" s="49"/>
      <c r="C281" s="7"/>
      <c r="D281" s="1"/>
      <c r="E281" s="1"/>
      <c r="F281" s="19"/>
    </row>
    <row r="282" spans="1:6" ht="14.95" customHeight="1" thickBot="1" x14ac:dyDescent="0.3">
      <c r="A282" s="49"/>
      <c r="B282" s="49"/>
      <c r="C282" s="7"/>
      <c r="D282" s="1"/>
      <c r="E282" s="1"/>
      <c r="F282" s="130"/>
    </row>
    <row r="283" spans="1:6" ht="14.95" customHeight="1" thickBot="1" x14ac:dyDescent="0.3">
      <c r="A283" s="49"/>
      <c r="B283" s="49"/>
      <c r="C283" s="7"/>
      <c r="D283" s="1"/>
      <c r="E283" s="1"/>
      <c r="F283" s="19"/>
    </row>
    <row r="284" spans="1:6" ht="14.95" customHeight="1" thickBot="1" x14ac:dyDescent="0.3">
      <c r="A284" s="49"/>
      <c r="B284" s="49"/>
      <c r="C284" s="7"/>
      <c r="D284" s="1"/>
      <c r="E284" s="1"/>
      <c r="F284" s="19"/>
    </row>
    <row r="285" spans="1:6" ht="14.95" customHeight="1" thickBot="1" x14ac:dyDescent="0.3">
      <c r="A285" s="49"/>
      <c r="B285" s="49"/>
      <c r="C285" s="5"/>
      <c r="D285" s="1"/>
      <c r="E285" s="1"/>
      <c r="F285" s="19"/>
    </row>
    <row r="286" spans="1:6" ht="14.95" customHeight="1" thickBot="1" x14ac:dyDescent="0.3">
      <c r="A286" s="49"/>
      <c r="B286" s="49"/>
      <c r="C286" s="7"/>
      <c r="D286" s="13"/>
      <c r="E286" s="1"/>
      <c r="F286" s="19"/>
    </row>
    <row r="287" spans="1:6" ht="14.95" customHeight="1" thickBot="1" x14ac:dyDescent="0.3">
      <c r="A287" s="49"/>
      <c r="B287" s="49"/>
      <c r="C287" s="7"/>
      <c r="D287" s="96"/>
      <c r="E287" s="96"/>
      <c r="F287" s="19"/>
    </row>
    <row r="288" spans="1:6" ht="14.95" customHeight="1" thickBot="1" x14ac:dyDescent="0.3">
      <c r="A288" s="49"/>
      <c r="B288" s="49"/>
      <c r="C288" s="7"/>
      <c r="D288" s="1"/>
      <c r="E288" s="1"/>
      <c r="F288" s="19"/>
    </row>
    <row r="289" spans="1:6" ht="14.95" customHeight="1" thickBot="1" x14ac:dyDescent="0.3">
      <c r="A289" s="49"/>
      <c r="B289" s="49"/>
      <c r="C289" s="43"/>
      <c r="D289" s="1"/>
      <c r="E289" s="1"/>
      <c r="F289" s="19"/>
    </row>
    <row r="290" spans="1:6" ht="14.95" customHeight="1" thickBot="1" x14ac:dyDescent="0.3">
      <c r="A290" s="49"/>
      <c r="B290" s="49"/>
      <c r="C290" s="43"/>
      <c r="D290" s="1"/>
      <c r="E290" s="1"/>
      <c r="F290" s="15"/>
    </row>
    <row r="291" spans="1:6" ht="14.95" customHeight="1" thickBot="1" x14ac:dyDescent="0.3">
      <c r="A291" s="49"/>
      <c r="B291" s="49"/>
      <c r="C291" s="7"/>
      <c r="D291" s="1"/>
      <c r="E291" s="1"/>
      <c r="F291" s="12"/>
    </row>
    <row r="292" spans="1:6" ht="14.95" customHeight="1" thickBot="1" x14ac:dyDescent="0.3">
      <c r="A292" s="49"/>
      <c r="B292" s="49"/>
      <c r="C292" s="7"/>
      <c r="D292" s="1"/>
      <c r="E292" s="1"/>
      <c r="F292" s="12"/>
    </row>
    <row r="293" spans="1:6" ht="14.95" customHeight="1" thickBot="1" x14ac:dyDescent="0.3">
      <c r="A293" s="49"/>
      <c r="B293" s="49"/>
      <c r="C293" s="7"/>
      <c r="D293" s="1"/>
      <c r="E293" s="1"/>
      <c r="F293" s="12"/>
    </row>
    <row r="294" spans="1:6" ht="14.95" customHeight="1" thickBot="1" x14ac:dyDescent="0.3">
      <c r="A294" s="8"/>
      <c r="B294" s="8"/>
      <c r="C294" s="7"/>
      <c r="D294" s="1"/>
      <c r="E294" s="1"/>
      <c r="F294" s="15"/>
    </row>
    <row r="295" spans="1:6" ht="14.95" customHeight="1" thickBot="1" x14ac:dyDescent="0.3">
      <c r="A295" s="8"/>
      <c r="B295" s="8"/>
      <c r="C295" s="7"/>
      <c r="D295" s="1"/>
      <c r="E295" s="1"/>
      <c r="F295" s="15"/>
    </row>
    <row r="296" spans="1:6" ht="14.95" customHeight="1" thickBot="1" x14ac:dyDescent="0.3">
      <c r="A296" s="49"/>
      <c r="B296" s="49"/>
      <c r="C296" s="8"/>
      <c r="D296" s="1"/>
      <c r="E296" s="1"/>
      <c r="F296" s="15"/>
    </row>
    <row r="297" spans="1:6" ht="14.95" customHeight="1" thickBot="1" x14ac:dyDescent="0.3">
      <c r="A297" s="49"/>
      <c r="B297" s="49"/>
      <c r="C297" s="85"/>
      <c r="D297" s="1"/>
      <c r="E297" s="1"/>
      <c r="F297" s="15"/>
    </row>
    <row r="298" spans="1:6" ht="14.95" customHeight="1" thickBot="1" x14ac:dyDescent="0.3">
      <c r="A298" s="49"/>
      <c r="B298" s="49"/>
      <c r="C298" s="8"/>
      <c r="D298" s="1"/>
      <c r="E298" s="1"/>
      <c r="F298" s="16"/>
    </row>
    <row r="299" spans="1:6" ht="14.95" customHeight="1" thickBot="1" x14ac:dyDescent="0.3">
      <c r="A299" s="6"/>
      <c r="B299" s="6"/>
      <c r="C299" s="85"/>
      <c r="D299" s="1"/>
      <c r="E299" s="1"/>
      <c r="F299" s="15"/>
    </row>
    <row r="300" spans="1:6" ht="14.95" customHeight="1" thickBot="1" x14ac:dyDescent="0.3">
      <c r="A300" s="6"/>
      <c r="B300" s="6"/>
      <c r="C300" s="7"/>
      <c r="D300" s="1"/>
      <c r="E300" s="1"/>
      <c r="F300" s="15"/>
    </row>
    <row r="301" spans="1:6" ht="14.95" customHeight="1" thickBot="1" x14ac:dyDescent="0.3">
      <c r="A301" s="6"/>
      <c r="B301" s="6"/>
      <c r="C301" s="5"/>
      <c r="D301" s="1"/>
      <c r="E301" s="1"/>
      <c r="F301" s="15"/>
    </row>
    <row r="302" spans="1:6" ht="14.95" customHeight="1" thickBot="1" x14ac:dyDescent="0.3">
      <c r="A302" s="6"/>
      <c r="B302" s="6"/>
      <c r="C302" s="7"/>
      <c r="D302" s="1"/>
      <c r="E302" s="1"/>
      <c r="F302" s="15"/>
    </row>
    <row r="303" spans="1:6" ht="14.95" customHeight="1" thickBot="1" x14ac:dyDescent="0.3">
      <c r="A303" s="6"/>
      <c r="B303" s="6"/>
      <c r="C303" s="7"/>
      <c r="D303" s="1"/>
      <c r="E303" s="1"/>
      <c r="F303" s="15"/>
    </row>
    <row r="304" spans="1:6" ht="14.95" customHeight="1" thickBot="1" x14ac:dyDescent="0.3">
      <c r="A304" s="6"/>
      <c r="B304" s="6"/>
      <c r="C304" s="7"/>
      <c r="D304" s="1"/>
      <c r="E304" s="1"/>
      <c r="F304" s="15"/>
    </row>
    <row r="305" spans="1:6" ht="14.95" customHeight="1" thickBot="1" x14ac:dyDescent="0.3">
      <c r="A305" s="6"/>
      <c r="B305" s="6"/>
      <c r="C305" s="7"/>
      <c r="D305" s="17"/>
      <c r="E305" s="17"/>
      <c r="F305" s="15"/>
    </row>
    <row r="306" spans="1:6" ht="14.95" customHeight="1" thickBot="1" x14ac:dyDescent="0.3">
      <c r="A306" s="7"/>
      <c r="B306" s="7"/>
      <c r="C306" s="7"/>
      <c r="D306" s="17"/>
      <c r="E306" s="17"/>
      <c r="F306" s="15"/>
    </row>
    <row r="307" spans="1:6" ht="14.95" customHeight="1" thickBot="1" x14ac:dyDescent="0.3">
      <c r="A307" s="6"/>
      <c r="B307" s="6"/>
      <c r="C307" s="7"/>
      <c r="D307" s="17"/>
      <c r="E307" s="17"/>
      <c r="F307" s="15"/>
    </row>
    <row r="308" spans="1:6" ht="14.95" customHeight="1" thickBot="1" x14ac:dyDescent="0.3">
      <c r="A308" s="7"/>
      <c r="B308" s="7"/>
      <c r="C308" s="5"/>
      <c r="D308" s="17"/>
      <c r="E308" s="17"/>
      <c r="F308" s="15"/>
    </row>
    <row r="309" spans="1:6" ht="14.95" customHeight="1" thickBot="1" x14ac:dyDescent="0.3">
      <c r="A309" s="6"/>
      <c r="B309" s="6"/>
      <c r="C309" s="7"/>
      <c r="D309" s="17"/>
      <c r="E309" s="17"/>
      <c r="F309" s="15"/>
    </row>
    <row r="310" spans="1:6" ht="14.95" customHeight="1" thickBot="1" x14ac:dyDescent="0.3">
      <c r="A310" s="6"/>
      <c r="B310" s="6"/>
      <c r="C310" s="7"/>
      <c r="D310" s="17"/>
      <c r="E310" s="17"/>
      <c r="F310" s="15"/>
    </row>
    <row r="311" spans="1:6" ht="14.95" customHeight="1" thickBot="1" x14ac:dyDescent="0.3">
      <c r="A311" s="7"/>
      <c r="B311" s="6"/>
      <c r="C311" s="7"/>
      <c r="D311" s="17"/>
      <c r="E311" s="17"/>
      <c r="F311" s="15"/>
    </row>
    <row r="312" spans="1:6" ht="14.95" customHeight="1" thickBot="1" x14ac:dyDescent="0.3">
      <c r="A312" s="6"/>
      <c r="B312" s="6"/>
      <c r="C312" s="7"/>
      <c r="D312" s="17"/>
      <c r="E312" s="17"/>
      <c r="F312" s="15"/>
    </row>
    <row r="313" spans="1:6" ht="14.95" customHeight="1" thickBot="1" x14ac:dyDescent="0.3">
      <c r="A313" s="6"/>
      <c r="B313" s="6"/>
      <c r="C313" s="7"/>
      <c r="D313" s="15"/>
      <c r="E313" s="15"/>
      <c r="F313" s="15"/>
    </row>
    <row r="314" spans="1:6" ht="14.95" customHeight="1" thickBot="1" x14ac:dyDescent="0.3">
      <c r="A314" s="6"/>
      <c r="B314" s="6"/>
      <c r="C314" s="7"/>
      <c r="D314" s="17"/>
      <c r="E314" s="17"/>
      <c r="F314" s="15"/>
    </row>
    <row r="315" spans="1:6" ht="14.95" customHeight="1" thickBot="1" x14ac:dyDescent="0.3">
      <c r="A315" s="6"/>
      <c r="B315" s="6"/>
      <c r="C315" s="136"/>
      <c r="D315" s="17"/>
      <c r="E315" s="17"/>
      <c r="F315" s="15"/>
    </row>
    <row r="316" spans="1:6" ht="14.95" customHeight="1" thickBot="1" x14ac:dyDescent="0.3">
      <c r="A316" s="6"/>
      <c r="B316" s="6"/>
      <c r="C316" s="7"/>
      <c r="D316" s="17"/>
      <c r="E316" s="17"/>
      <c r="F316" s="15"/>
    </row>
    <row r="317" spans="1:6" ht="14.95" customHeight="1" thickBot="1" x14ac:dyDescent="0.3">
      <c r="A317" s="6"/>
      <c r="B317" s="6"/>
      <c r="C317" s="7"/>
      <c r="D317" s="17"/>
      <c r="E317" s="17"/>
      <c r="F317" s="15"/>
    </row>
    <row r="318" spans="1:6" ht="14.95" customHeight="1" thickBot="1" x14ac:dyDescent="0.3">
      <c r="A318" s="6"/>
      <c r="B318" s="6"/>
      <c r="C318" s="7"/>
      <c r="D318" s="17"/>
      <c r="E318" s="17"/>
      <c r="F318" s="15"/>
    </row>
    <row r="319" spans="1:6" ht="14.95" customHeight="1" thickBot="1" x14ac:dyDescent="0.3">
      <c r="A319" s="117"/>
      <c r="B319" s="117"/>
      <c r="C319" s="5"/>
      <c r="D319" s="17"/>
      <c r="E319" s="17"/>
      <c r="F319" s="15"/>
    </row>
    <row r="320" spans="1:6" ht="14.95" customHeight="1" thickBot="1" x14ac:dyDescent="0.3">
      <c r="A320" s="7"/>
      <c r="B320" s="7"/>
      <c r="C320" s="7"/>
      <c r="D320" s="17"/>
      <c r="E320" s="17"/>
      <c r="F320" s="15"/>
    </row>
    <row r="321" spans="1:6" ht="14.95" customHeight="1" thickBot="1" x14ac:dyDescent="0.3">
      <c r="A321" s="6"/>
      <c r="B321" s="6"/>
      <c r="C321" s="7"/>
      <c r="D321" s="17"/>
      <c r="E321" s="17"/>
      <c r="F321" s="15"/>
    </row>
    <row r="322" spans="1:6" ht="14.95" customHeight="1" thickBot="1" x14ac:dyDescent="0.3">
      <c r="A322" s="6"/>
      <c r="B322" s="6"/>
      <c r="C322" s="7"/>
      <c r="D322" s="17"/>
      <c r="E322" s="17"/>
      <c r="F322" s="15"/>
    </row>
    <row r="323" spans="1:6" ht="14.95" customHeight="1" thickBot="1" x14ac:dyDescent="0.3">
      <c r="A323" s="6"/>
      <c r="B323" s="6"/>
      <c r="C323" s="7"/>
      <c r="D323" s="17"/>
      <c r="E323" s="17"/>
      <c r="F323" s="14"/>
    </row>
    <row r="324" spans="1:6" ht="14.95" customHeight="1" thickBot="1" x14ac:dyDescent="0.3">
      <c r="A324" s="6"/>
      <c r="B324" s="6"/>
      <c r="C324" s="5"/>
      <c r="D324" s="15"/>
      <c r="E324" s="15"/>
      <c r="F324" s="137"/>
    </row>
    <row r="325" spans="1:6" ht="14.95" customHeight="1" thickBot="1" x14ac:dyDescent="0.3">
      <c r="A325" s="6"/>
      <c r="B325" s="6"/>
      <c r="C325" s="7"/>
      <c r="D325" s="15"/>
      <c r="E325" s="15"/>
      <c r="F325" s="15"/>
    </row>
    <row r="326" spans="1:6" ht="14.95" customHeight="1" thickBot="1" x14ac:dyDescent="0.3">
      <c r="A326" s="7"/>
      <c r="B326" s="7"/>
      <c r="C326" s="7"/>
      <c r="D326" s="17"/>
      <c r="E326" s="17"/>
      <c r="F326" s="15"/>
    </row>
    <row r="327" spans="1:6" ht="14.95" customHeight="1" thickBot="1" x14ac:dyDescent="0.3">
      <c r="A327" s="6"/>
      <c r="B327" s="6"/>
      <c r="C327" s="7"/>
      <c r="D327" s="17"/>
      <c r="E327" s="17"/>
      <c r="F327" s="15"/>
    </row>
    <row r="328" spans="1:6" ht="14.95" customHeight="1" thickBot="1" x14ac:dyDescent="0.3">
      <c r="A328" s="6"/>
      <c r="B328" s="6"/>
      <c r="C328" s="7"/>
      <c r="D328" s="17"/>
      <c r="E328" s="17"/>
      <c r="F328" s="15"/>
    </row>
    <row r="329" spans="1:6" ht="14.95" customHeight="1" thickBot="1" x14ac:dyDescent="0.3">
      <c r="A329" s="6"/>
      <c r="B329" s="6"/>
      <c r="C329" s="7"/>
      <c r="D329" s="116"/>
      <c r="E329" s="116"/>
      <c r="F329" s="15"/>
    </row>
    <row r="330" spans="1:6" ht="14.95" customHeight="1" thickBot="1" x14ac:dyDescent="0.3">
      <c r="A330" s="7"/>
      <c r="B330" s="7"/>
      <c r="C330" s="7"/>
      <c r="D330" s="17"/>
      <c r="E330" s="17"/>
      <c r="F330" s="15"/>
    </row>
    <row r="331" spans="1:6" ht="14.95" customHeight="1" thickBot="1" x14ac:dyDescent="0.3">
      <c r="A331" s="7"/>
      <c r="B331" s="6"/>
      <c r="C331" s="7"/>
      <c r="D331" s="17"/>
      <c r="E331" s="17"/>
      <c r="F331" s="15"/>
    </row>
    <row r="332" spans="1:6" ht="14.95" customHeight="1" thickBot="1" x14ac:dyDescent="0.3">
      <c r="A332" s="6"/>
      <c r="B332" s="6"/>
      <c r="C332" s="7"/>
      <c r="D332" s="15"/>
      <c r="E332" s="15"/>
      <c r="F332" s="15"/>
    </row>
    <row r="333" spans="1:6" ht="14.95" customHeight="1" thickBot="1" x14ac:dyDescent="0.3">
      <c r="A333" s="6"/>
      <c r="B333" s="6"/>
      <c r="C333" s="7"/>
      <c r="D333" s="15"/>
      <c r="E333" s="17"/>
      <c r="F333" s="15"/>
    </row>
    <row r="334" spans="1:6" ht="14.95" customHeight="1" thickBot="1" x14ac:dyDescent="0.3">
      <c r="A334" s="6"/>
      <c r="B334" s="6"/>
      <c r="C334" s="7"/>
      <c r="D334" s="17"/>
      <c r="E334" s="17"/>
      <c r="F334" s="15"/>
    </row>
    <row r="335" spans="1:6" ht="14.95" customHeight="1" thickBot="1" x14ac:dyDescent="0.3">
      <c r="A335" s="6"/>
      <c r="B335" s="6"/>
      <c r="C335" s="5"/>
      <c r="D335" s="17"/>
      <c r="E335" s="17"/>
      <c r="F335" s="15"/>
    </row>
    <row r="336" spans="1:6" ht="14.95" customHeight="1" thickBot="1" x14ac:dyDescent="0.3">
      <c r="A336" s="6"/>
      <c r="B336" s="6"/>
      <c r="C336" s="7"/>
      <c r="D336" s="15"/>
      <c r="E336" s="15"/>
      <c r="F336" s="14"/>
    </row>
    <row r="337" spans="1:6" ht="14.95" customHeight="1" thickBot="1" x14ac:dyDescent="0.3">
      <c r="A337" s="6"/>
      <c r="B337" s="6"/>
      <c r="C337" s="7"/>
      <c r="D337" s="17"/>
      <c r="E337" s="17"/>
      <c r="F337" s="15"/>
    </row>
    <row r="338" spans="1:6" ht="14.95" customHeight="1" thickBot="1" x14ac:dyDescent="0.3">
      <c r="A338" s="6"/>
      <c r="B338" s="6"/>
      <c r="C338" s="7"/>
      <c r="D338" s="17"/>
      <c r="E338" s="17"/>
      <c r="F338" s="15"/>
    </row>
    <row r="339" spans="1:6" ht="14.95" customHeight="1" thickBot="1" x14ac:dyDescent="0.3">
      <c r="A339" s="7"/>
      <c r="B339" s="7"/>
      <c r="C339" s="7"/>
      <c r="D339" s="17"/>
      <c r="E339" s="17"/>
      <c r="F339" s="15"/>
    </row>
    <row r="340" spans="1:6" ht="14.95" customHeight="1" thickBot="1" x14ac:dyDescent="0.3">
      <c r="A340" s="6"/>
      <c r="B340" s="6"/>
      <c r="C340" s="7"/>
      <c r="D340" s="17"/>
      <c r="E340" s="17"/>
      <c r="F340" s="15"/>
    </row>
    <row r="341" spans="1:6" ht="14.95" customHeight="1" thickBot="1" x14ac:dyDescent="0.3">
      <c r="A341" s="6"/>
      <c r="B341" s="6"/>
      <c r="C341" s="7"/>
      <c r="D341" s="17"/>
      <c r="E341" s="17"/>
      <c r="F341" s="15"/>
    </row>
    <row r="342" spans="1:6" ht="14.95" customHeight="1" thickBot="1" x14ac:dyDescent="0.3">
      <c r="A342" s="6"/>
      <c r="B342" s="6"/>
      <c r="C342" s="7"/>
      <c r="D342" s="15"/>
      <c r="E342" s="15"/>
      <c r="F342" s="15"/>
    </row>
    <row r="343" spans="1:6" ht="14.95" customHeight="1" thickBot="1" x14ac:dyDescent="0.3">
      <c r="A343" s="7"/>
      <c r="B343" s="7"/>
      <c r="C343" s="7"/>
      <c r="D343" s="17"/>
      <c r="E343" s="17"/>
      <c r="F343" s="15"/>
    </row>
    <row r="344" spans="1:6" ht="14.95" customHeight="1" thickBot="1" x14ac:dyDescent="0.3">
      <c r="A344" s="6"/>
      <c r="B344" s="6"/>
      <c r="C344" s="7"/>
      <c r="D344" s="17"/>
      <c r="E344" s="17"/>
      <c r="F344" s="15"/>
    </row>
    <row r="345" spans="1:6" ht="14.95" customHeight="1" thickBot="1" x14ac:dyDescent="0.3">
      <c r="A345" s="6"/>
      <c r="B345" s="6"/>
      <c r="C345" s="7"/>
      <c r="D345" s="17"/>
      <c r="E345" s="17"/>
      <c r="F345" s="15"/>
    </row>
    <row r="346" spans="1:6" ht="14.95" customHeight="1" thickBot="1" x14ac:dyDescent="0.3">
      <c r="A346" s="6"/>
      <c r="B346" s="6"/>
      <c r="C346" s="7"/>
      <c r="D346" s="17"/>
      <c r="E346" s="17"/>
      <c r="F346" s="15"/>
    </row>
    <row r="347" spans="1:6" ht="14.95" customHeight="1" thickBot="1" x14ac:dyDescent="0.3">
      <c r="A347" s="6"/>
      <c r="B347" s="6"/>
      <c r="C347" s="7"/>
      <c r="D347" s="17"/>
      <c r="E347" s="17"/>
      <c r="F347" s="15"/>
    </row>
    <row r="348" spans="1:6" ht="14.95" customHeight="1" thickBot="1" x14ac:dyDescent="0.3">
      <c r="A348" s="6"/>
      <c r="B348" s="6"/>
      <c r="C348" s="7"/>
      <c r="D348" s="15"/>
      <c r="E348" s="15"/>
      <c r="F348" s="15"/>
    </row>
    <row r="349" spans="1:6" ht="14.95" customHeight="1" thickBot="1" x14ac:dyDescent="0.3">
      <c r="A349" s="6"/>
      <c r="B349" s="6"/>
      <c r="C349" s="7"/>
      <c r="D349" s="17"/>
      <c r="E349" s="17"/>
      <c r="F349" s="15"/>
    </row>
    <row r="350" spans="1:6" ht="14.95" customHeight="1" thickBot="1" x14ac:dyDescent="0.3">
      <c r="A350" s="6"/>
      <c r="B350" s="6"/>
      <c r="C350" s="7"/>
      <c r="D350" s="17"/>
      <c r="E350" s="17"/>
      <c r="F350" s="14"/>
    </row>
    <row r="351" spans="1:6" ht="14.95" customHeight="1" thickBot="1" x14ac:dyDescent="0.3">
      <c r="A351" s="6"/>
      <c r="B351" s="6"/>
      <c r="C351" s="7"/>
      <c r="D351" s="15"/>
      <c r="E351" s="15"/>
      <c r="F351" s="15"/>
    </row>
    <row r="352" spans="1:6" ht="14.95" customHeight="1" thickBot="1" x14ac:dyDescent="0.3">
      <c r="A352" s="6"/>
      <c r="B352" s="6"/>
      <c r="C352" s="7"/>
      <c r="D352" s="15"/>
      <c r="E352" s="15"/>
      <c r="F352" s="15"/>
    </row>
    <row r="353" spans="1:6" ht="14.95" customHeight="1" thickBot="1" x14ac:dyDescent="0.3">
      <c r="A353" s="6"/>
      <c r="B353" s="6"/>
      <c r="C353" s="7"/>
      <c r="D353" s="17"/>
      <c r="E353" s="17"/>
      <c r="F353" s="15"/>
    </row>
    <row r="354" spans="1:6" ht="14.95" customHeight="1" thickBot="1" x14ac:dyDescent="0.3">
      <c r="A354" s="7"/>
      <c r="B354" s="6"/>
      <c r="C354" s="7"/>
      <c r="D354" s="15"/>
      <c r="E354" s="17"/>
      <c r="F354" s="15"/>
    </row>
    <row r="355" spans="1:6" ht="14.95" customHeight="1" thickBot="1" x14ac:dyDescent="0.3">
      <c r="A355" s="6"/>
      <c r="B355" s="6"/>
      <c r="C355" s="7"/>
      <c r="D355" s="17"/>
      <c r="E355" s="17"/>
      <c r="F355" s="14"/>
    </row>
    <row r="356" spans="1:6" ht="14.95" customHeight="1" thickBot="1" x14ac:dyDescent="0.3">
      <c r="A356" s="7"/>
      <c r="B356" s="6"/>
      <c r="C356" s="7"/>
      <c r="D356" s="17"/>
      <c r="E356" s="17"/>
      <c r="F356" s="15"/>
    </row>
    <row r="357" spans="1:6" ht="14.95" customHeight="1" thickBot="1" x14ac:dyDescent="0.3">
      <c r="A357" s="6"/>
      <c r="B357" s="6"/>
      <c r="C357" s="7"/>
      <c r="D357" s="17"/>
      <c r="E357" s="17"/>
      <c r="F357" s="15"/>
    </row>
    <row r="358" spans="1:6" ht="14.95" customHeight="1" thickBot="1" x14ac:dyDescent="0.3">
      <c r="A358" s="6"/>
      <c r="B358" s="6"/>
      <c r="C358" s="7"/>
      <c r="D358" s="17"/>
      <c r="E358" s="17"/>
      <c r="F358" s="14"/>
    </row>
    <row r="359" spans="1:6" ht="14.95" customHeight="1" thickBot="1" x14ac:dyDescent="0.3">
      <c r="A359" s="7"/>
      <c r="B359" s="7"/>
      <c r="C359" s="7"/>
      <c r="D359" s="15"/>
      <c r="E359" s="15"/>
      <c r="F359" s="15"/>
    </row>
    <row r="360" spans="1:6" ht="14.95" customHeight="1" thickBot="1" x14ac:dyDescent="0.3">
      <c r="A360" s="117"/>
      <c r="B360" s="117"/>
      <c r="C360" s="5"/>
      <c r="D360" s="17"/>
      <c r="E360" s="17"/>
      <c r="F360" s="15"/>
    </row>
    <row r="361" spans="1:6" ht="14.95" customHeight="1" thickBot="1" x14ac:dyDescent="0.3">
      <c r="A361" s="6"/>
      <c r="B361" s="6"/>
      <c r="C361" s="7"/>
      <c r="D361" s="17"/>
      <c r="E361" s="17"/>
      <c r="F361" s="15"/>
    </row>
    <row r="362" spans="1:6" ht="14.95" customHeight="1" thickBot="1" x14ac:dyDescent="0.3">
      <c r="A362" s="6"/>
      <c r="B362" s="6"/>
      <c r="C362" s="7"/>
      <c r="D362" s="17"/>
      <c r="E362" s="17"/>
      <c r="F362" s="15"/>
    </row>
    <row r="363" spans="1:6" ht="14.95" customHeight="1" thickBot="1" x14ac:dyDescent="0.3">
      <c r="A363" s="6"/>
      <c r="B363" s="6"/>
      <c r="C363" s="7"/>
      <c r="D363" s="17"/>
      <c r="E363" s="17"/>
      <c r="F363" s="15"/>
    </row>
    <row r="364" spans="1:6" ht="14.95" customHeight="1" thickBot="1" x14ac:dyDescent="0.3">
      <c r="A364" s="6"/>
      <c r="B364" s="6"/>
      <c r="C364" s="7"/>
      <c r="D364" s="15"/>
      <c r="E364" s="17"/>
      <c r="F364" s="15"/>
    </row>
    <row r="365" spans="1:6" ht="14.95" customHeight="1" thickBot="1" x14ac:dyDescent="0.3">
      <c r="A365" s="6"/>
      <c r="B365" s="6"/>
      <c r="C365" s="7"/>
      <c r="D365" s="17"/>
      <c r="E365" s="17"/>
      <c r="F365" s="15"/>
    </row>
    <row r="366" spans="1:6" ht="14.95" customHeight="1" thickBot="1" x14ac:dyDescent="0.3">
      <c r="A366" s="6"/>
      <c r="B366" s="6"/>
      <c r="C366" s="7"/>
      <c r="D366" s="17"/>
      <c r="E366" s="17"/>
      <c r="F366" s="15"/>
    </row>
    <row r="367" spans="1:6" ht="14.95" customHeight="1" thickBot="1" x14ac:dyDescent="0.3">
      <c r="A367" s="7"/>
      <c r="B367" s="6"/>
      <c r="C367" s="7"/>
      <c r="D367" s="17"/>
      <c r="E367" s="17"/>
      <c r="F367" s="15"/>
    </row>
    <row r="368" spans="1:6" ht="14.95" customHeight="1" thickBot="1" x14ac:dyDescent="0.3">
      <c r="A368" s="6"/>
      <c r="B368" s="6"/>
      <c r="C368" s="7"/>
      <c r="D368" s="17"/>
      <c r="E368" s="17"/>
      <c r="F368" s="15"/>
    </row>
    <row r="369" spans="1:6" ht="14.95" customHeight="1" thickBot="1" x14ac:dyDescent="0.3">
      <c r="A369" s="7"/>
      <c r="B369" s="7"/>
      <c r="C369" s="7"/>
      <c r="D369" s="17"/>
      <c r="E369" s="17"/>
      <c r="F369" s="15"/>
    </row>
    <row r="370" spans="1:6" ht="14.95" customHeight="1" thickBot="1" x14ac:dyDescent="0.3">
      <c r="A370" s="7"/>
      <c r="B370" s="7"/>
      <c r="C370" s="7"/>
      <c r="D370" s="17"/>
      <c r="E370" s="17"/>
      <c r="F370" s="15"/>
    </row>
    <row r="371" spans="1:6" ht="14.95" customHeight="1" thickBot="1" x14ac:dyDescent="0.3">
      <c r="A371" s="6"/>
      <c r="B371" s="6"/>
      <c r="C371" s="7"/>
      <c r="D371" s="15"/>
      <c r="E371" s="15"/>
      <c r="F371" s="15"/>
    </row>
    <row r="372" spans="1:6" ht="14.95" customHeight="1" thickBot="1" x14ac:dyDescent="0.3">
      <c r="A372" s="7"/>
      <c r="B372" s="7"/>
      <c r="C372" s="7"/>
      <c r="D372" s="17"/>
      <c r="E372" s="17"/>
      <c r="F372" s="14"/>
    </row>
    <row r="373" spans="1:6" ht="14.95" customHeight="1" thickBot="1" x14ac:dyDescent="0.3">
      <c r="A373" s="6"/>
      <c r="B373" s="6"/>
      <c r="C373" s="7"/>
      <c r="D373" s="17"/>
      <c r="E373" s="17"/>
      <c r="F373" s="14"/>
    </row>
    <row r="374" spans="1:6" ht="14.95" customHeight="1" thickBot="1" x14ac:dyDescent="0.3">
      <c r="A374" s="7"/>
      <c r="B374" s="7"/>
      <c r="C374" s="7"/>
      <c r="D374" s="17"/>
      <c r="E374" s="17"/>
      <c r="F374" s="15"/>
    </row>
    <row r="375" spans="1:6" ht="14.95" customHeight="1" thickBot="1" x14ac:dyDescent="0.3">
      <c r="A375" s="6"/>
      <c r="B375" s="6"/>
      <c r="C375" s="7"/>
      <c r="D375" s="17"/>
      <c r="E375" s="17"/>
      <c r="F375" s="15"/>
    </row>
    <row r="376" spans="1:6" ht="14.95" customHeight="1" thickBot="1" x14ac:dyDescent="0.3">
      <c r="A376" s="6"/>
      <c r="B376" s="6"/>
      <c r="C376" s="7"/>
      <c r="D376" s="17"/>
      <c r="E376" s="17"/>
      <c r="F376" s="14"/>
    </row>
    <row r="377" spans="1:6" ht="14.95" customHeight="1" thickBot="1" x14ac:dyDescent="0.3">
      <c r="A377" s="6"/>
      <c r="B377" s="6"/>
      <c r="C377" s="7"/>
      <c r="D377" s="15"/>
      <c r="E377" s="15"/>
      <c r="F377" s="15"/>
    </row>
    <row r="378" spans="1:6" ht="14.95" customHeight="1" thickBot="1" x14ac:dyDescent="0.3">
      <c r="A378" s="7"/>
      <c r="B378" s="7"/>
      <c r="C378" s="7"/>
      <c r="D378" s="17"/>
      <c r="E378" s="17"/>
      <c r="F378" s="15"/>
    </row>
    <row r="379" spans="1:6" ht="14.95" customHeight="1" thickBot="1" x14ac:dyDescent="0.3">
      <c r="A379" s="6"/>
      <c r="B379" s="6"/>
      <c r="C379" s="7"/>
      <c r="D379" s="17"/>
      <c r="E379" s="17"/>
      <c r="F379" s="15"/>
    </row>
    <row r="380" spans="1:6" ht="14.95" customHeight="1" thickBot="1" x14ac:dyDescent="0.3">
      <c r="A380" s="6"/>
      <c r="B380" s="6"/>
      <c r="C380" s="7"/>
      <c r="D380" s="17"/>
      <c r="E380" s="17"/>
      <c r="F380" s="15"/>
    </row>
    <row r="381" spans="1:6" ht="14.95" customHeight="1" thickBot="1" x14ac:dyDescent="0.3">
      <c r="A381" s="6"/>
      <c r="B381" s="6"/>
      <c r="C381" s="7"/>
      <c r="D381" s="17"/>
      <c r="E381" s="17"/>
      <c r="F381" s="15"/>
    </row>
    <row r="382" spans="1:6" ht="14.95" customHeight="1" thickBot="1" x14ac:dyDescent="0.3">
      <c r="A382" s="7"/>
      <c r="B382" s="7"/>
      <c r="C382" s="7"/>
      <c r="D382" s="17"/>
      <c r="E382" s="17"/>
      <c r="F382" s="15"/>
    </row>
    <row r="383" spans="1:6" ht="14.95" customHeight="1" thickBot="1" x14ac:dyDescent="0.3">
      <c r="A383" s="7"/>
      <c r="B383" s="6"/>
      <c r="C383" s="7"/>
      <c r="D383" s="124"/>
      <c r="E383" s="124"/>
      <c r="F383" s="15"/>
    </row>
    <row r="384" spans="1:6" ht="14.95" customHeight="1" thickBot="1" x14ac:dyDescent="0.3">
      <c r="A384" s="7"/>
      <c r="B384" s="6"/>
      <c r="C384" s="7"/>
      <c r="D384" s="17"/>
      <c r="E384" s="17"/>
      <c r="F384" s="15"/>
    </row>
    <row r="385" spans="1:6" ht="14.95" customHeight="1" thickBot="1" x14ac:dyDescent="0.3">
      <c r="A385" s="6"/>
      <c r="B385" s="6"/>
      <c r="C385" s="7"/>
      <c r="D385" s="15"/>
      <c r="E385" s="15"/>
      <c r="F385" s="15"/>
    </row>
    <row r="386" spans="1:6" ht="14.95" customHeight="1" thickBot="1" x14ac:dyDescent="0.3">
      <c r="A386" s="6"/>
      <c r="B386" s="6"/>
      <c r="C386" s="43"/>
      <c r="D386" s="17"/>
      <c r="E386" s="17"/>
      <c r="F386" s="16"/>
    </row>
    <row r="387" spans="1:6" ht="14.95" customHeight="1" thickBot="1" x14ac:dyDescent="0.3">
      <c r="A387" s="6"/>
      <c r="B387" s="6"/>
      <c r="C387" s="7"/>
      <c r="D387" s="15"/>
      <c r="E387" s="17"/>
      <c r="F387" s="15"/>
    </row>
    <row r="388" spans="1:6" ht="14.95" customHeight="1" thickBot="1" x14ac:dyDescent="0.3">
      <c r="A388" s="6"/>
      <c r="B388" s="6"/>
      <c r="C388" s="7"/>
      <c r="D388" s="17"/>
      <c r="E388" s="17"/>
      <c r="F388" s="15"/>
    </row>
    <row r="389" spans="1:6" ht="14.95" customHeight="1" thickBot="1" x14ac:dyDescent="0.3">
      <c r="A389" s="6"/>
      <c r="B389" s="6"/>
      <c r="C389" s="7"/>
      <c r="D389" s="15"/>
      <c r="E389" s="15"/>
      <c r="F389" s="15"/>
    </row>
    <row r="390" spans="1:6" ht="14.95" customHeight="1" thickBot="1" x14ac:dyDescent="0.3">
      <c r="A390" s="6"/>
      <c r="B390" s="6"/>
      <c r="C390" s="7"/>
      <c r="D390" s="15"/>
      <c r="E390" s="15"/>
      <c r="F390" s="15"/>
    </row>
    <row r="391" spans="1:6" ht="14.95" customHeight="1" thickBot="1" x14ac:dyDescent="0.3">
      <c r="A391" s="6"/>
      <c r="B391" s="6"/>
      <c r="C391" s="7"/>
      <c r="D391" s="17"/>
      <c r="E391" s="17"/>
      <c r="F391" s="15"/>
    </row>
    <row r="392" spans="1:6" ht="14.95" customHeight="1" thickBot="1" x14ac:dyDescent="0.3">
      <c r="A392" s="6"/>
      <c r="B392" s="6"/>
      <c r="C392" s="7"/>
      <c r="D392" s="15"/>
      <c r="E392" s="15"/>
      <c r="F392" s="15"/>
    </row>
    <row r="393" spans="1:6" ht="14.95" customHeight="1" thickBot="1" x14ac:dyDescent="0.3">
      <c r="A393" s="6"/>
      <c r="B393" s="6"/>
      <c r="C393" s="5"/>
      <c r="D393" s="17"/>
      <c r="E393" s="17"/>
      <c r="F393" s="15"/>
    </row>
    <row r="394" spans="1:6" ht="14.95" customHeight="1" thickBot="1" x14ac:dyDescent="0.3">
      <c r="A394" s="6"/>
      <c r="B394" s="6"/>
      <c r="C394" s="7"/>
      <c r="D394" s="15"/>
      <c r="E394" s="17"/>
      <c r="F394" s="15"/>
    </row>
    <row r="395" spans="1:6" ht="14.95" customHeight="1" thickBot="1" x14ac:dyDescent="0.3">
      <c r="A395" s="6"/>
      <c r="B395" s="6"/>
      <c r="C395" s="7"/>
      <c r="D395" s="17"/>
      <c r="E395" s="17"/>
      <c r="F395" s="15"/>
    </row>
    <row r="396" spans="1:6" ht="14.95" customHeight="1" thickBot="1" x14ac:dyDescent="0.3">
      <c r="A396" s="6"/>
      <c r="B396" s="6"/>
      <c r="C396" s="7"/>
      <c r="D396" s="15"/>
      <c r="E396" s="15"/>
      <c r="F396" s="15"/>
    </row>
    <row r="397" spans="1:6" ht="14.95" customHeight="1" thickBot="1" x14ac:dyDescent="0.3">
      <c r="A397" s="6"/>
      <c r="B397" s="6"/>
      <c r="C397" s="7"/>
      <c r="D397" s="17"/>
      <c r="E397" s="17"/>
      <c r="F397" s="15"/>
    </row>
    <row r="398" spans="1:6" ht="14.95" customHeight="1" thickBot="1" x14ac:dyDescent="0.3">
      <c r="A398" s="6"/>
      <c r="B398" s="6"/>
      <c r="C398" s="7"/>
      <c r="D398" s="17"/>
      <c r="E398" s="17"/>
      <c r="F398" s="15"/>
    </row>
    <row r="399" spans="1:6" ht="14.95" customHeight="1" thickBot="1" x14ac:dyDescent="0.3">
      <c r="A399" s="6"/>
      <c r="B399" s="6"/>
      <c r="C399" s="7"/>
      <c r="D399" s="17"/>
      <c r="E399" s="17"/>
      <c r="F399" s="14"/>
    </row>
    <row r="400" spans="1:6" ht="14.95" customHeight="1" thickBot="1" x14ac:dyDescent="0.3">
      <c r="A400" s="6"/>
      <c r="B400" s="6"/>
      <c r="C400" s="7"/>
      <c r="D400" s="15"/>
      <c r="E400" s="15"/>
      <c r="F400" s="15"/>
    </row>
    <row r="401" spans="1:6" ht="14.95" customHeight="1" thickBot="1" x14ac:dyDescent="0.3">
      <c r="A401" s="6"/>
      <c r="B401" s="6"/>
      <c r="C401" s="7"/>
      <c r="D401" s="15"/>
      <c r="E401" s="17"/>
      <c r="F401" s="15"/>
    </row>
    <row r="402" spans="1:6" ht="14.95" customHeight="1" thickBot="1" x14ac:dyDescent="0.3">
      <c r="A402" s="6"/>
      <c r="B402" s="6"/>
      <c r="C402" s="7"/>
      <c r="D402" s="15"/>
      <c r="E402" s="17"/>
      <c r="F402" s="15"/>
    </row>
    <row r="403" spans="1:6" ht="14.95" customHeight="1" thickBot="1" x14ac:dyDescent="0.3">
      <c r="A403" s="7"/>
      <c r="B403" s="6"/>
      <c r="C403" s="7"/>
      <c r="D403" s="17"/>
      <c r="E403" s="17"/>
      <c r="F403" s="16"/>
    </row>
    <row r="404" spans="1:6" ht="14.95" customHeight="1" thickBot="1" x14ac:dyDescent="0.3">
      <c r="A404" s="6"/>
      <c r="B404" s="6"/>
      <c r="C404" s="7"/>
      <c r="D404" s="17"/>
      <c r="E404" s="17"/>
      <c r="F404" s="15"/>
    </row>
    <row r="405" spans="1:6" ht="14.95" customHeight="1" thickBot="1" x14ac:dyDescent="0.3">
      <c r="A405" s="7"/>
      <c r="B405" s="7"/>
      <c r="C405" s="7"/>
      <c r="D405" s="17"/>
      <c r="E405" s="17"/>
      <c r="F405" s="15"/>
    </row>
    <row r="406" spans="1:6" ht="14.95" customHeight="1" thickBot="1" x14ac:dyDescent="0.3">
      <c r="A406" s="7"/>
      <c r="B406" s="6"/>
      <c r="C406" s="7"/>
      <c r="D406" s="17"/>
      <c r="E406" s="17"/>
      <c r="F406" s="15"/>
    </row>
    <row r="407" spans="1:6" ht="14.95" customHeight="1" thickBot="1" x14ac:dyDescent="0.3">
      <c r="A407" s="6"/>
      <c r="B407" s="6"/>
      <c r="C407" s="7"/>
      <c r="D407" s="17"/>
      <c r="E407" s="17"/>
      <c r="F407" s="15"/>
    </row>
    <row r="408" spans="1:6" ht="14.95" customHeight="1" thickBot="1" x14ac:dyDescent="0.3">
      <c r="A408" s="6"/>
      <c r="B408" s="6"/>
      <c r="C408" s="7"/>
      <c r="D408" s="17"/>
      <c r="E408" s="17"/>
      <c r="F408" s="15"/>
    </row>
    <row r="409" spans="1:6" ht="14.95" customHeight="1" thickBot="1" x14ac:dyDescent="0.3">
      <c r="A409" s="6"/>
      <c r="B409" s="6"/>
      <c r="C409" s="7"/>
      <c r="D409" s="17"/>
      <c r="E409" s="17"/>
      <c r="F409" s="15"/>
    </row>
    <row r="410" spans="1:6" ht="14.95" customHeight="1" thickBot="1" x14ac:dyDescent="0.3">
      <c r="A410" s="6"/>
      <c r="B410" s="6"/>
      <c r="C410" s="7"/>
      <c r="D410" s="17"/>
      <c r="E410" s="17"/>
      <c r="F410" s="14"/>
    </row>
    <row r="411" spans="1:6" ht="14.95" customHeight="1" thickBot="1" x14ac:dyDescent="0.3">
      <c r="A411" s="6"/>
      <c r="B411" s="6"/>
      <c r="C411" s="7"/>
      <c r="D411" s="17"/>
      <c r="E411" s="17"/>
      <c r="F411" s="15"/>
    </row>
    <row r="412" spans="1:6" ht="14.95" customHeight="1" thickBot="1" x14ac:dyDescent="0.3">
      <c r="A412" s="6"/>
      <c r="B412" s="6"/>
      <c r="C412" s="7"/>
      <c r="D412" s="17"/>
      <c r="E412" s="17"/>
      <c r="F412" s="15"/>
    </row>
    <row r="413" spans="1:6" ht="14.95" customHeight="1" thickBot="1" x14ac:dyDescent="0.3">
      <c r="A413" s="6"/>
      <c r="B413" s="6"/>
      <c r="C413" s="7"/>
      <c r="D413" s="17"/>
      <c r="E413" s="17"/>
      <c r="F413" s="15"/>
    </row>
    <row r="414" spans="1:6" ht="14.95" customHeight="1" thickBot="1" x14ac:dyDescent="0.3">
      <c r="A414" s="6"/>
      <c r="B414" s="7"/>
      <c r="C414" s="5"/>
      <c r="D414" s="17"/>
      <c r="E414" s="17"/>
      <c r="F414" s="15"/>
    </row>
    <row r="415" spans="1:6" ht="14.95" customHeight="1" thickBot="1" x14ac:dyDescent="0.3">
      <c r="A415" s="6"/>
      <c r="B415" s="6"/>
      <c r="C415" s="7"/>
      <c r="D415" s="17"/>
      <c r="E415" s="17"/>
      <c r="F415" s="15"/>
    </row>
    <row r="416" spans="1:6" ht="14.95" customHeight="1" thickBot="1" x14ac:dyDescent="0.3">
      <c r="A416" s="6"/>
      <c r="B416" s="6"/>
      <c r="C416" s="7"/>
      <c r="D416" s="17"/>
      <c r="E416" s="17"/>
      <c r="F416" s="15"/>
    </row>
    <row r="417" spans="1:6" ht="14.95" customHeight="1" thickBot="1" x14ac:dyDescent="0.3">
      <c r="A417" s="6"/>
      <c r="B417" s="6"/>
      <c r="C417" s="7"/>
      <c r="D417" s="17"/>
      <c r="E417" s="17"/>
      <c r="F417" s="15"/>
    </row>
    <row r="418" spans="1:6" ht="14.95" customHeight="1" thickBot="1" x14ac:dyDescent="0.3">
      <c r="A418" s="6"/>
      <c r="B418" s="6"/>
      <c r="C418" s="7"/>
      <c r="D418" s="17"/>
      <c r="E418" s="17"/>
      <c r="F418" s="15"/>
    </row>
    <row r="419" spans="1:6" ht="14.95" customHeight="1" thickBot="1" x14ac:dyDescent="0.3">
      <c r="A419" s="6"/>
      <c r="B419" s="6"/>
      <c r="C419" s="7"/>
      <c r="D419" s="17"/>
      <c r="E419" s="17"/>
      <c r="F419" s="15"/>
    </row>
    <row r="420" spans="1:6" ht="14.95" customHeight="1" thickBot="1" x14ac:dyDescent="0.3">
      <c r="A420" s="6"/>
      <c r="B420" s="6"/>
      <c r="C420" s="7"/>
      <c r="D420" s="17"/>
      <c r="E420" s="17"/>
      <c r="F420" s="15"/>
    </row>
    <row r="421" spans="1:6" ht="14.95" customHeight="1" thickBot="1" x14ac:dyDescent="0.3">
      <c r="A421" s="6"/>
      <c r="B421" s="6"/>
      <c r="C421" s="7"/>
      <c r="D421" s="15"/>
      <c r="E421" s="17"/>
      <c r="F421" s="16"/>
    </row>
    <row r="422" spans="1:6" ht="14.95" customHeight="1" thickBot="1" x14ac:dyDescent="0.3">
      <c r="A422" s="6"/>
      <c r="B422" s="6"/>
      <c r="C422" s="7"/>
      <c r="D422" s="17"/>
      <c r="E422" s="17"/>
      <c r="F422" s="16"/>
    </row>
    <row r="423" spans="1:6" ht="14.95" customHeight="1" thickBot="1" x14ac:dyDescent="0.3">
      <c r="A423" s="7"/>
      <c r="B423" s="7"/>
      <c r="C423" s="7"/>
      <c r="D423" s="15"/>
      <c r="E423" s="15"/>
      <c r="F423" s="15"/>
    </row>
    <row r="424" spans="1:6" ht="14.95" customHeight="1" thickBot="1" x14ac:dyDescent="0.3">
      <c r="A424" s="6"/>
      <c r="B424" s="6"/>
      <c r="C424" s="7"/>
      <c r="D424" s="15"/>
      <c r="E424" s="17"/>
      <c r="F424" s="15"/>
    </row>
    <row r="425" spans="1:6" ht="14.95" customHeight="1" thickBot="1" x14ac:dyDescent="0.3">
      <c r="A425" s="7"/>
      <c r="B425" s="6"/>
      <c r="C425" s="7"/>
      <c r="D425" s="17"/>
      <c r="E425" s="17"/>
      <c r="F425" s="15"/>
    </row>
    <row r="426" spans="1:6" ht="14.95" customHeight="1" thickBot="1" x14ac:dyDescent="0.3">
      <c r="A426" s="6"/>
      <c r="B426" s="6"/>
      <c r="C426" s="43"/>
      <c r="D426" s="17"/>
      <c r="E426" s="17"/>
      <c r="F426" s="15"/>
    </row>
    <row r="427" spans="1:6" ht="14.95" customHeight="1" thickBot="1" x14ac:dyDescent="0.3">
      <c r="A427" s="6"/>
      <c r="B427" s="6"/>
      <c r="C427" s="43"/>
      <c r="D427" s="17"/>
      <c r="E427" s="17"/>
      <c r="F427" s="16"/>
    </row>
    <row r="428" spans="1:6" ht="14.95" customHeight="1" thickBot="1" x14ac:dyDescent="0.3">
      <c r="A428" s="6"/>
      <c r="B428" s="6"/>
      <c r="C428" s="7"/>
      <c r="D428" s="17"/>
      <c r="E428" s="17"/>
      <c r="F428" s="16"/>
    </row>
    <row r="429" spans="1:6" ht="14.95" customHeight="1" thickBot="1" x14ac:dyDescent="0.3">
      <c r="A429" s="6"/>
      <c r="B429" s="6"/>
      <c r="C429" s="43"/>
      <c r="D429" s="17"/>
      <c r="E429" s="17"/>
      <c r="F429" s="15"/>
    </row>
    <row r="430" spans="1:6" ht="14.95" customHeight="1" thickBot="1" x14ac:dyDescent="0.3">
      <c r="A430" s="6"/>
      <c r="B430" s="6"/>
      <c r="C430" s="7"/>
      <c r="D430" s="17"/>
      <c r="E430" s="17"/>
      <c r="F430" s="15"/>
    </row>
    <row r="431" spans="1:6" ht="14.95" customHeight="1" thickBot="1" x14ac:dyDescent="0.3">
      <c r="A431" s="6"/>
      <c r="B431" s="6"/>
      <c r="C431" s="7"/>
      <c r="D431" s="17"/>
      <c r="E431" s="17"/>
      <c r="F431" s="14"/>
    </row>
    <row r="432" spans="1:6" ht="14.95" customHeight="1" thickBot="1" x14ac:dyDescent="0.3">
      <c r="A432" s="6"/>
      <c r="B432" s="6"/>
      <c r="C432" s="7"/>
      <c r="D432" s="17"/>
      <c r="E432" s="17"/>
      <c r="F432" s="15"/>
    </row>
    <row r="433" spans="1:6" ht="14.95" customHeight="1" thickBot="1" x14ac:dyDescent="0.3">
      <c r="A433" s="6"/>
      <c r="B433" s="6"/>
      <c r="C433" s="7"/>
      <c r="D433" s="17"/>
      <c r="E433" s="17"/>
      <c r="F433" s="15"/>
    </row>
    <row r="434" spans="1:6" ht="14.95" customHeight="1" thickBot="1" x14ac:dyDescent="0.3">
      <c r="A434" s="6"/>
      <c r="B434" s="6"/>
      <c r="C434" s="7"/>
      <c r="D434" s="17"/>
      <c r="E434" s="17"/>
      <c r="F434" s="15"/>
    </row>
    <row r="435" spans="1:6" ht="14.95" customHeight="1" thickBot="1" x14ac:dyDescent="0.3">
      <c r="A435" s="6"/>
      <c r="B435" s="6"/>
      <c r="C435" s="7"/>
      <c r="D435" s="17"/>
      <c r="E435" s="17"/>
      <c r="F435" s="15"/>
    </row>
    <row r="436" spans="1:6" ht="14.95" customHeight="1" thickBot="1" x14ac:dyDescent="0.3">
      <c r="A436" s="129"/>
      <c r="B436" s="129"/>
      <c r="C436" s="7"/>
      <c r="D436" s="17"/>
      <c r="E436" s="17"/>
      <c r="F436" s="15"/>
    </row>
    <row r="437" spans="1:6" ht="14.95" customHeight="1" thickBot="1" x14ac:dyDescent="0.3">
      <c r="A437" s="6"/>
      <c r="B437" s="6"/>
      <c r="C437" s="5"/>
      <c r="D437" s="17"/>
      <c r="E437" s="17"/>
      <c r="F437" s="15"/>
    </row>
    <row r="438" spans="1:6" ht="14.95" customHeight="1" thickBot="1" x14ac:dyDescent="0.3">
      <c r="A438" s="6"/>
      <c r="B438" s="6"/>
      <c r="C438" s="7"/>
      <c r="D438" s="17"/>
      <c r="E438" s="17"/>
      <c r="F438" s="15"/>
    </row>
    <row r="439" spans="1:6" ht="14.95" customHeight="1" thickBot="1" x14ac:dyDescent="0.3">
      <c r="A439" s="6"/>
      <c r="B439" s="6"/>
      <c r="C439" s="7"/>
      <c r="D439" s="17"/>
      <c r="E439" s="17"/>
      <c r="F439" s="15"/>
    </row>
    <row r="440" spans="1:6" ht="14.95" customHeight="1" thickBot="1" x14ac:dyDescent="0.3">
      <c r="A440" s="6"/>
      <c r="B440" s="6"/>
      <c r="C440" s="5"/>
      <c r="D440" s="17"/>
      <c r="E440" s="17"/>
      <c r="F440" s="15"/>
    </row>
    <row r="441" spans="1:6" ht="14.95" customHeight="1" thickBot="1" x14ac:dyDescent="0.3">
      <c r="A441" s="6"/>
      <c r="B441" s="6"/>
      <c r="C441" s="7"/>
      <c r="D441" s="15"/>
      <c r="E441" s="17"/>
      <c r="F441" s="15"/>
    </row>
    <row r="442" spans="1:6" ht="14.95" customHeight="1" thickBot="1" x14ac:dyDescent="0.3">
      <c r="A442" s="6"/>
      <c r="B442" s="6"/>
      <c r="C442" s="7"/>
      <c r="D442" s="17"/>
      <c r="E442" s="17"/>
      <c r="F442" s="15"/>
    </row>
    <row r="443" spans="1:6" ht="14.95" customHeight="1" thickBot="1" x14ac:dyDescent="0.3">
      <c r="A443" s="117"/>
      <c r="B443" s="117"/>
      <c r="C443" s="5"/>
      <c r="D443" s="17"/>
      <c r="E443" s="17"/>
      <c r="F443" s="16"/>
    </row>
    <row r="444" spans="1:6" ht="14.95" customHeight="1" thickBot="1" x14ac:dyDescent="0.3">
      <c r="A444" s="117"/>
      <c r="B444" s="117"/>
      <c r="C444" s="5"/>
      <c r="D444" s="17"/>
      <c r="E444" s="17"/>
      <c r="F444" s="15"/>
    </row>
    <row r="445" spans="1:6" ht="14.95" customHeight="1" thickBot="1" x14ac:dyDescent="0.3">
      <c r="A445" s="6"/>
      <c r="B445" s="6"/>
      <c r="C445" s="7"/>
      <c r="D445" s="17"/>
      <c r="E445" s="17"/>
      <c r="F445" s="15"/>
    </row>
    <row r="446" spans="1:6" ht="14.95" customHeight="1" thickBot="1" x14ac:dyDescent="0.3">
      <c r="A446" s="6"/>
      <c r="B446" s="6"/>
      <c r="C446" s="7"/>
      <c r="D446" s="17"/>
      <c r="E446" s="17"/>
      <c r="F446" s="15"/>
    </row>
    <row r="447" spans="1:6" ht="14.95" customHeight="1" thickBot="1" x14ac:dyDescent="0.3">
      <c r="A447" s="6"/>
      <c r="B447" s="6"/>
      <c r="C447" s="7"/>
      <c r="D447" s="17"/>
      <c r="E447" s="17"/>
      <c r="F447" s="15"/>
    </row>
    <row r="448" spans="1:6" ht="14.95" customHeight="1" thickBot="1" x14ac:dyDescent="0.3">
      <c r="A448" s="7"/>
      <c r="B448" s="7"/>
      <c r="C448" s="7"/>
      <c r="D448" s="17"/>
      <c r="E448" s="17"/>
      <c r="F448" s="15"/>
    </row>
    <row r="449" spans="1:6" ht="14.95" customHeight="1" thickBot="1" x14ac:dyDescent="0.3">
      <c r="A449" s="6"/>
      <c r="B449" s="6"/>
      <c r="C449" s="7"/>
      <c r="D449" s="17"/>
      <c r="E449" s="17"/>
      <c r="F449" s="15"/>
    </row>
    <row r="450" spans="1:6" ht="14.95" customHeight="1" thickBot="1" x14ac:dyDescent="0.3">
      <c r="A450" s="6"/>
      <c r="B450" s="6"/>
      <c r="C450" s="7"/>
      <c r="D450" s="17"/>
      <c r="E450" s="17"/>
      <c r="F450" s="15"/>
    </row>
    <row r="451" spans="1:6" ht="14.95" customHeight="1" thickBot="1" x14ac:dyDescent="0.3">
      <c r="A451" s="117"/>
      <c r="B451" s="117"/>
      <c r="C451" s="7"/>
      <c r="D451" s="17"/>
      <c r="E451" s="17"/>
      <c r="F451" s="15"/>
    </row>
    <row r="452" spans="1:6" ht="14.95" customHeight="1" thickBot="1" x14ac:dyDescent="0.3">
      <c r="A452" s="6"/>
      <c r="B452" s="6"/>
      <c r="C452" s="7"/>
      <c r="D452" s="124"/>
      <c r="E452" s="124"/>
      <c r="F452" s="14"/>
    </row>
    <row r="453" spans="1:6" ht="14.95" customHeight="1" thickBot="1" x14ac:dyDescent="0.3">
      <c r="A453" s="6"/>
      <c r="B453" s="6"/>
      <c r="C453" s="5"/>
      <c r="D453" s="17"/>
      <c r="E453" s="17"/>
      <c r="F453" s="15"/>
    </row>
    <row r="454" spans="1:6" ht="14.95" customHeight="1" thickBot="1" x14ac:dyDescent="0.3">
      <c r="A454" s="6"/>
      <c r="B454" s="6"/>
      <c r="C454" s="5"/>
      <c r="D454" s="17"/>
      <c r="E454" s="17"/>
      <c r="F454" s="15"/>
    </row>
    <row r="455" spans="1:6" ht="14.95" customHeight="1" thickBot="1" x14ac:dyDescent="0.3">
      <c r="A455" s="6"/>
      <c r="B455" s="6"/>
      <c r="C455" s="43"/>
      <c r="D455" s="17"/>
      <c r="E455" s="17"/>
      <c r="F455" s="15"/>
    </row>
    <row r="456" spans="1:6" ht="14.95" customHeight="1" thickBot="1" x14ac:dyDescent="0.3">
      <c r="A456" s="6"/>
      <c r="B456" s="6"/>
      <c r="C456" s="7"/>
      <c r="D456" s="17"/>
      <c r="E456" s="17"/>
      <c r="F456" s="15"/>
    </row>
    <row r="457" spans="1:6" ht="14.95" customHeight="1" thickBot="1" x14ac:dyDescent="0.3">
      <c r="A457" s="6"/>
      <c r="B457" s="6"/>
      <c r="C457" s="7"/>
      <c r="D457" s="17"/>
      <c r="E457" s="17"/>
      <c r="F457" s="15"/>
    </row>
    <row r="458" spans="1:6" ht="14.95" customHeight="1" thickBot="1" x14ac:dyDescent="0.3">
      <c r="A458" s="117"/>
      <c r="B458" s="117"/>
      <c r="C458" s="7"/>
      <c r="D458" s="116"/>
      <c r="E458" s="116"/>
      <c r="F458" s="15"/>
    </row>
    <row r="459" spans="1:6" ht="14.95" customHeight="1" thickBot="1" x14ac:dyDescent="0.3">
      <c r="A459" s="6"/>
      <c r="B459" s="6"/>
      <c r="C459" s="7"/>
      <c r="D459" s="17"/>
      <c r="E459" s="17"/>
      <c r="F459" s="15"/>
    </row>
    <row r="460" spans="1:6" ht="14.95" customHeight="1" thickBot="1" x14ac:dyDescent="0.3">
      <c r="A460" s="6"/>
      <c r="B460" s="6"/>
      <c r="C460" s="7"/>
      <c r="D460" s="17"/>
      <c r="E460" s="17"/>
      <c r="F460" s="15"/>
    </row>
    <row r="461" spans="1:6" ht="14.95" customHeight="1" thickBot="1" x14ac:dyDescent="0.3">
      <c r="A461" s="6"/>
      <c r="B461" s="6"/>
      <c r="C461" s="7"/>
      <c r="D461" s="17"/>
      <c r="E461" s="17"/>
      <c r="F461" s="15"/>
    </row>
    <row r="462" spans="1:6" ht="14.95" customHeight="1" thickBot="1" x14ac:dyDescent="0.3">
      <c r="A462" s="7"/>
      <c r="B462" s="7"/>
      <c r="C462" s="7"/>
      <c r="D462" s="17"/>
      <c r="E462" s="17"/>
      <c r="F462" s="15"/>
    </row>
    <row r="463" spans="1:6" ht="14.95" customHeight="1" thickBot="1" x14ac:dyDescent="0.3">
      <c r="A463" s="7"/>
      <c r="B463" s="7"/>
      <c r="C463" s="7"/>
      <c r="D463" s="17"/>
      <c r="E463" s="17"/>
      <c r="F463" s="15"/>
    </row>
    <row r="464" spans="1:6" ht="14.95" customHeight="1" thickBot="1" x14ac:dyDescent="0.3">
      <c r="A464" s="6"/>
      <c r="B464" s="6"/>
      <c r="C464" s="7"/>
      <c r="D464" s="17"/>
      <c r="E464" s="17"/>
      <c r="F464" s="15"/>
    </row>
    <row r="465" spans="1:6" ht="14.95" customHeight="1" thickBot="1" x14ac:dyDescent="0.3">
      <c r="A465" s="6"/>
      <c r="B465" s="6"/>
      <c r="C465" s="7"/>
      <c r="D465" s="116"/>
      <c r="E465" s="116"/>
      <c r="F465" s="15"/>
    </row>
    <row r="466" spans="1:6" ht="14.95" customHeight="1" thickBot="1" x14ac:dyDescent="0.3">
      <c r="A466" s="6"/>
      <c r="B466" s="6"/>
      <c r="C466" s="7"/>
      <c r="D466" s="17"/>
      <c r="E466" s="17"/>
      <c r="F466" s="15"/>
    </row>
    <row r="467" spans="1:6" ht="14.95" customHeight="1" thickBot="1" x14ac:dyDescent="0.3">
      <c r="A467" s="6"/>
      <c r="B467" s="6"/>
      <c r="C467" s="7"/>
      <c r="D467" s="17"/>
      <c r="E467" s="17"/>
      <c r="F467" s="15"/>
    </row>
    <row r="468" spans="1:6" ht="14.95" customHeight="1" thickBot="1" x14ac:dyDescent="0.3">
      <c r="A468" s="6"/>
      <c r="B468" s="6"/>
      <c r="C468" s="7"/>
      <c r="D468" s="17"/>
      <c r="E468" s="17"/>
      <c r="F468" s="15"/>
    </row>
    <row r="469" spans="1:6" ht="14.95" customHeight="1" thickBot="1" x14ac:dyDescent="0.3">
      <c r="A469" s="6"/>
      <c r="B469" s="6"/>
      <c r="C469" s="7"/>
      <c r="D469" s="17"/>
      <c r="E469" s="17"/>
      <c r="F469" s="15"/>
    </row>
    <row r="470" spans="1:6" ht="14.95" customHeight="1" thickBot="1" x14ac:dyDescent="0.3">
      <c r="A470" s="6"/>
      <c r="B470" s="6"/>
      <c r="C470" s="7"/>
      <c r="D470" s="17"/>
      <c r="E470" s="17"/>
      <c r="F470" s="15"/>
    </row>
    <row r="471" spans="1:6" ht="14.95" customHeight="1" thickBot="1" x14ac:dyDescent="0.3">
      <c r="A471" s="6"/>
      <c r="B471" s="6"/>
      <c r="C471" s="7"/>
      <c r="D471" s="17"/>
      <c r="E471" s="17"/>
      <c r="F471" s="15"/>
    </row>
    <row r="472" spans="1:6" ht="14.95" customHeight="1" thickBot="1" x14ac:dyDescent="0.3">
      <c r="A472" s="6"/>
      <c r="B472" s="6"/>
      <c r="C472" s="7"/>
      <c r="D472" s="116"/>
      <c r="E472" s="116"/>
      <c r="F472" s="15"/>
    </row>
    <row r="473" spans="1:6" ht="14.95" customHeight="1" thickBot="1" x14ac:dyDescent="0.3">
      <c r="A473" s="6"/>
      <c r="B473" s="6"/>
      <c r="C473" s="43"/>
      <c r="D473" s="17"/>
      <c r="E473" s="17"/>
      <c r="F473" s="15"/>
    </row>
    <row r="474" spans="1:6" ht="14.95" customHeight="1" thickBot="1" x14ac:dyDescent="0.3">
      <c r="A474" s="6"/>
      <c r="B474" s="6"/>
      <c r="C474" s="7"/>
      <c r="D474" s="17"/>
      <c r="E474" s="17"/>
      <c r="F474" s="15"/>
    </row>
    <row r="475" spans="1:6" ht="14.95" customHeight="1" thickBot="1" x14ac:dyDescent="0.3">
      <c r="A475" s="7"/>
      <c r="B475" s="6"/>
      <c r="C475" s="7"/>
      <c r="D475" s="17"/>
      <c r="E475" s="17"/>
      <c r="F475" s="15"/>
    </row>
    <row r="476" spans="1:6" ht="14.95" customHeight="1" thickBot="1" x14ac:dyDescent="0.3">
      <c r="A476" s="6"/>
      <c r="B476" s="6"/>
      <c r="C476" s="7"/>
      <c r="D476" s="15"/>
      <c r="E476" s="15"/>
      <c r="F476" s="15"/>
    </row>
    <row r="477" spans="1:6" ht="14.95" customHeight="1" thickBot="1" x14ac:dyDescent="0.3">
      <c r="A477" s="6"/>
      <c r="B477" s="6"/>
      <c r="C477" s="7"/>
      <c r="D477" s="15"/>
      <c r="E477" s="15"/>
      <c r="F477" s="15"/>
    </row>
    <row r="478" spans="1:6" ht="14.95" customHeight="1" thickBot="1" x14ac:dyDescent="0.3">
      <c r="A478" s="6"/>
      <c r="B478" s="6"/>
      <c r="C478" s="7"/>
      <c r="D478" s="17"/>
      <c r="E478" s="17"/>
      <c r="F478" s="15"/>
    </row>
    <row r="479" spans="1:6" ht="14.95" customHeight="1" thickBot="1" x14ac:dyDescent="0.3">
      <c r="A479" s="6"/>
      <c r="B479" s="6"/>
      <c r="C479" s="7"/>
      <c r="D479" s="17"/>
      <c r="E479" s="17"/>
      <c r="F479" s="15"/>
    </row>
    <row r="480" spans="1:6" ht="14.95" customHeight="1" thickBot="1" x14ac:dyDescent="0.3">
      <c r="A480" s="6"/>
      <c r="B480" s="6"/>
      <c r="C480" s="7"/>
      <c r="D480" s="17"/>
      <c r="E480" s="17"/>
      <c r="F480" s="15"/>
    </row>
    <row r="481" spans="1:6" ht="14.95" customHeight="1" thickBot="1" x14ac:dyDescent="0.3">
      <c r="A481" s="6"/>
      <c r="B481" s="6"/>
      <c r="C481" s="7"/>
      <c r="D481" s="17"/>
      <c r="E481" s="17"/>
      <c r="F481" s="15"/>
    </row>
    <row r="482" spans="1:6" ht="14.95" customHeight="1" thickBot="1" x14ac:dyDescent="0.3">
      <c r="A482" s="7"/>
      <c r="B482" s="7"/>
      <c r="C482" s="7"/>
      <c r="D482" s="17"/>
      <c r="E482" s="17"/>
      <c r="F482" s="15"/>
    </row>
    <row r="483" spans="1:6" ht="14.95" customHeight="1" thickBot="1" x14ac:dyDescent="0.3">
      <c r="A483" s="6"/>
      <c r="B483" s="6"/>
      <c r="C483" s="7"/>
      <c r="D483" s="17"/>
      <c r="E483" s="17"/>
      <c r="F483" s="15"/>
    </row>
    <row r="484" spans="1:6" ht="14.95" customHeight="1" thickBot="1" x14ac:dyDescent="0.3">
      <c r="A484" s="6"/>
      <c r="B484" s="6"/>
      <c r="C484" s="7"/>
      <c r="D484" s="17"/>
      <c r="E484" s="17"/>
      <c r="F484" s="15"/>
    </row>
    <row r="485" spans="1:6" ht="14.95" customHeight="1" thickBot="1" x14ac:dyDescent="0.3">
      <c r="A485" s="6"/>
      <c r="B485" s="6"/>
      <c r="C485" s="7"/>
      <c r="D485" s="17"/>
      <c r="E485" s="17"/>
      <c r="F485" s="16"/>
    </row>
    <row r="486" spans="1:6" ht="14.95" customHeight="1" thickBot="1" x14ac:dyDescent="0.3">
      <c r="A486" s="6"/>
      <c r="B486" s="6"/>
      <c r="C486" s="7"/>
      <c r="D486" s="17"/>
      <c r="E486" s="17"/>
      <c r="F486" s="15"/>
    </row>
    <row r="487" spans="1:6" ht="14.95" customHeight="1" thickBot="1" x14ac:dyDescent="0.3">
      <c r="A487" s="6"/>
      <c r="B487" s="6"/>
      <c r="C487" s="7"/>
      <c r="D487" s="17"/>
      <c r="E487" s="17"/>
      <c r="F487" s="15"/>
    </row>
    <row r="488" spans="1:6" ht="14.95" customHeight="1" thickBot="1" x14ac:dyDescent="0.3">
      <c r="A488" s="7"/>
      <c r="B488" s="6"/>
      <c r="C488" s="7"/>
      <c r="D488" s="17"/>
      <c r="E488" s="17"/>
      <c r="F488" s="15"/>
    </row>
    <row r="489" spans="1:6" ht="14.95" customHeight="1" thickBot="1" x14ac:dyDescent="0.3">
      <c r="A489" s="6"/>
      <c r="B489" s="6"/>
      <c r="C489" s="7"/>
      <c r="D489" s="17"/>
      <c r="E489" s="17"/>
      <c r="F489" s="15"/>
    </row>
    <row r="490" spans="1:6" ht="14.95" customHeight="1" thickBot="1" x14ac:dyDescent="0.3">
      <c r="A490" s="6"/>
      <c r="B490" s="6"/>
      <c r="C490" s="43"/>
      <c r="D490" s="17"/>
      <c r="E490" s="17"/>
      <c r="F490" s="15"/>
    </row>
    <row r="491" spans="1:6" ht="14.95" customHeight="1" thickBot="1" x14ac:dyDescent="0.3">
      <c r="A491" s="6"/>
      <c r="B491" s="6"/>
      <c r="C491" s="7"/>
      <c r="D491" s="17"/>
      <c r="E491" s="17"/>
      <c r="F491" s="15"/>
    </row>
    <row r="492" spans="1:6" ht="14.95" customHeight="1" thickBot="1" x14ac:dyDescent="0.3">
      <c r="A492" s="6"/>
      <c r="B492" s="6"/>
      <c r="C492" s="7"/>
      <c r="D492" s="17"/>
      <c r="E492" s="17"/>
      <c r="F492" s="15"/>
    </row>
    <row r="493" spans="1:6" ht="14.95" customHeight="1" thickBot="1" x14ac:dyDescent="0.3">
      <c r="A493" s="6"/>
      <c r="B493" s="6"/>
      <c r="C493" s="7"/>
      <c r="D493" s="15"/>
      <c r="E493" s="15"/>
      <c r="F493" s="15"/>
    </row>
    <row r="494" spans="1:6" ht="14.95" customHeight="1" thickBot="1" x14ac:dyDescent="0.3">
      <c r="A494" s="6"/>
      <c r="B494" s="6"/>
      <c r="C494" s="7"/>
      <c r="D494" s="17"/>
      <c r="E494" s="17"/>
      <c r="F494" s="15"/>
    </row>
    <row r="495" spans="1:6" ht="14.95" customHeight="1" thickBot="1" x14ac:dyDescent="0.3">
      <c r="A495" s="7"/>
      <c r="B495" s="7"/>
      <c r="C495" s="7"/>
      <c r="D495" s="17"/>
      <c r="E495" s="17"/>
      <c r="F495" s="15"/>
    </row>
    <row r="496" spans="1:6" ht="14.95" customHeight="1" thickBot="1" x14ac:dyDescent="0.3">
      <c r="A496" s="7"/>
      <c r="B496" s="7"/>
      <c r="C496" s="7"/>
      <c r="D496" s="17"/>
      <c r="E496" s="17"/>
      <c r="F496" s="15"/>
    </row>
    <row r="497" spans="1:6" ht="14.95" customHeight="1" thickBot="1" x14ac:dyDescent="0.3">
      <c r="A497" s="49"/>
      <c r="B497" s="6"/>
      <c r="C497" s="7"/>
      <c r="D497" s="17"/>
      <c r="E497" s="17"/>
      <c r="F497" s="15"/>
    </row>
    <row r="498" spans="1:6" ht="14.95" customHeight="1" thickBot="1" x14ac:dyDescent="0.3">
      <c r="A498" s="8"/>
      <c r="B498" s="7"/>
      <c r="C498" s="7"/>
      <c r="D498" s="15"/>
      <c r="E498" s="17"/>
      <c r="F498" s="15"/>
    </row>
    <row r="499" spans="1:6" ht="14.95" customHeight="1" thickBot="1" x14ac:dyDescent="0.3">
      <c r="A499" s="49"/>
      <c r="B499" s="6"/>
      <c r="C499" s="7"/>
      <c r="D499" s="17"/>
      <c r="E499" s="17"/>
      <c r="F499" s="14"/>
    </row>
    <row r="500" spans="1:6" ht="14.95" customHeight="1" thickBot="1" x14ac:dyDescent="0.3">
      <c r="A500" s="49"/>
      <c r="B500" s="6"/>
      <c r="C500" s="7"/>
      <c r="D500" s="17"/>
      <c r="E500" s="17"/>
      <c r="F500" s="15"/>
    </row>
    <row r="501" spans="1:6" ht="14.95" customHeight="1" thickBot="1" x14ac:dyDescent="0.3">
      <c r="A501" s="8"/>
      <c r="B501" s="6"/>
      <c r="C501" s="7"/>
      <c r="D501" s="17"/>
      <c r="E501" s="17"/>
      <c r="F501" s="15"/>
    </row>
    <row r="502" spans="1:6" ht="14.95" customHeight="1" thickBot="1" x14ac:dyDescent="0.3">
      <c r="A502" s="49"/>
      <c r="B502" s="6"/>
      <c r="C502" s="7"/>
      <c r="D502" s="17"/>
      <c r="E502" s="17"/>
      <c r="F502" s="15"/>
    </row>
    <row r="503" spans="1:6" ht="14.95" customHeight="1" thickBot="1" x14ac:dyDescent="0.3">
      <c r="A503" s="49"/>
      <c r="B503" s="6"/>
      <c r="C503" s="7"/>
      <c r="D503" s="1"/>
      <c r="E503" s="17"/>
      <c r="F503" s="14"/>
    </row>
    <row r="504" spans="1:6" ht="14.95" customHeight="1" thickBot="1" x14ac:dyDescent="0.3">
      <c r="A504" s="49"/>
      <c r="B504" s="6"/>
      <c r="C504" s="7"/>
      <c r="D504" s="1"/>
      <c r="E504" s="17"/>
      <c r="F504" s="15"/>
    </row>
    <row r="505" spans="1:6" ht="14.95" customHeight="1" thickBot="1" x14ac:dyDescent="0.3">
      <c r="A505" s="49"/>
      <c r="B505" s="6"/>
      <c r="C505" s="5"/>
      <c r="D505" s="13"/>
      <c r="E505" s="15"/>
      <c r="F505" s="15"/>
    </row>
    <row r="506" spans="1:6" ht="14.95" customHeight="1" thickBot="1" x14ac:dyDescent="0.3">
      <c r="A506" s="49"/>
      <c r="B506" s="6"/>
      <c r="C506" s="7"/>
      <c r="D506" s="13"/>
      <c r="E506" s="15"/>
      <c r="F506" s="15"/>
    </row>
    <row r="507" spans="1:6" ht="14.95" customHeight="1" thickBot="1" x14ac:dyDescent="0.3">
      <c r="A507" s="49"/>
      <c r="B507" s="6"/>
      <c r="C507" s="7"/>
      <c r="D507" s="13"/>
      <c r="E507" s="15"/>
      <c r="F507" s="15"/>
    </row>
    <row r="508" spans="1:6" ht="14.95" customHeight="1" thickBot="1" x14ac:dyDescent="0.3">
      <c r="A508" s="49"/>
      <c r="B508" s="6"/>
      <c r="C508" s="7"/>
      <c r="D508" s="13"/>
      <c r="E508" s="17"/>
      <c r="F508" s="15"/>
    </row>
    <row r="509" spans="1:6" ht="14.95" customHeight="1" thickBot="1" x14ac:dyDescent="0.3">
      <c r="A509" s="49"/>
      <c r="B509" s="6"/>
      <c r="C509" s="7"/>
      <c r="D509" s="1"/>
      <c r="E509" s="17"/>
      <c r="F509" s="15"/>
    </row>
    <row r="510" spans="1:6" ht="14.95" customHeight="1" thickBot="1" x14ac:dyDescent="0.3">
      <c r="A510" s="49"/>
      <c r="B510" s="6"/>
      <c r="C510" s="7"/>
      <c r="D510" s="1"/>
      <c r="E510" s="17"/>
      <c r="F510" s="15"/>
    </row>
    <row r="511" spans="1:6" ht="14.95" customHeight="1" thickBot="1" x14ac:dyDescent="0.3">
      <c r="A511" s="49"/>
      <c r="B511" s="6"/>
      <c r="C511" s="5"/>
      <c r="D511" s="1"/>
      <c r="E511" s="17"/>
      <c r="F511" s="15"/>
    </row>
    <row r="512" spans="1:6" ht="14.95" customHeight="1" thickBot="1" x14ac:dyDescent="0.3">
      <c r="A512" s="49"/>
      <c r="B512" s="6"/>
      <c r="C512" s="7"/>
      <c r="D512" s="1"/>
      <c r="E512" s="17"/>
      <c r="F512" s="15"/>
    </row>
    <row r="513" spans="1:6" ht="14.95" customHeight="1" thickBot="1" x14ac:dyDescent="0.3">
      <c r="A513" s="49"/>
      <c r="B513" s="6"/>
      <c r="C513" s="43"/>
      <c r="D513" s="1"/>
      <c r="E513" s="17"/>
      <c r="F513" s="15"/>
    </row>
    <row r="514" spans="1:6" ht="14.95" customHeight="1" thickBot="1" x14ac:dyDescent="0.3">
      <c r="A514" s="49"/>
      <c r="B514" s="6"/>
      <c r="C514" s="7"/>
      <c r="D514" s="1"/>
      <c r="E514" s="17"/>
      <c r="F514" s="15"/>
    </row>
    <row r="515" spans="1:6" ht="14.95" customHeight="1" thickBot="1" x14ac:dyDescent="0.3">
      <c r="A515" s="49"/>
      <c r="B515" s="6"/>
      <c r="C515" s="7"/>
      <c r="D515" s="1"/>
      <c r="E515" s="17"/>
      <c r="F515" s="16"/>
    </row>
    <row r="516" spans="1:6" ht="14.95" customHeight="1" thickBot="1" x14ac:dyDescent="0.3">
      <c r="A516" s="49"/>
      <c r="B516" s="6"/>
      <c r="C516" s="7"/>
      <c r="D516" s="1"/>
      <c r="E516" s="17"/>
      <c r="F516" s="15"/>
    </row>
    <row r="517" spans="1:6" ht="14.95" customHeight="1" thickBot="1" x14ac:dyDescent="0.3">
      <c r="A517" s="8"/>
      <c r="B517" s="7"/>
      <c r="C517" s="7"/>
      <c r="D517" s="1"/>
      <c r="E517" s="17"/>
      <c r="F517" s="16"/>
    </row>
    <row r="518" spans="1:6" ht="14.95" customHeight="1" thickBot="1" x14ac:dyDescent="0.3">
      <c r="A518" s="49"/>
      <c r="B518" s="6"/>
      <c r="C518" s="7"/>
      <c r="D518" s="1"/>
      <c r="E518" s="17"/>
      <c r="F518" s="15"/>
    </row>
    <row r="519" spans="1:6" ht="14.95" customHeight="1" thickBot="1" x14ac:dyDescent="0.3">
      <c r="A519" s="49"/>
      <c r="B519" s="6"/>
      <c r="C519" s="7"/>
      <c r="D519" s="1"/>
      <c r="E519" s="17"/>
      <c r="F519" s="15"/>
    </row>
    <row r="520" spans="1:6" ht="14.95" customHeight="1" thickBot="1" x14ac:dyDescent="0.3">
      <c r="A520" s="8"/>
      <c r="B520" s="6"/>
      <c r="C520" s="7"/>
      <c r="D520" s="1"/>
      <c r="E520" s="17"/>
      <c r="F520" s="15"/>
    </row>
    <row r="521" spans="1:6" ht="14.95" customHeight="1" thickBot="1" x14ac:dyDescent="0.3">
      <c r="A521" s="8"/>
      <c r="B521" s="7"/>
      <c r="C521" s="7"/>
      <c r="D521" s="1"/>
      <c r="E521" s="17"/>
      <c r="F521" s="15"/>
    </row>
    <row r="522" spans="1:6" ht="14.95" customHeight="1" thickBot="1" x14ac:dyDescent="0.3">
      <c r="A522" s="49"/>
      <c r="B522" s="6"/>
      <c r="C522" s="7"/>
      <c r="D522" s="1"/>
      <c r="E522" s="17"/>
      <c r="F522" s="15"/>
    </row>
    <row r="523" spans="1:6" ht="14.95" customHeight="1" thickBot="1" x14ac:dyDescent="0.3">
      <c r="A523" s="8"/>
      <c r="B523" s="7"/>
      <c r="C523" s="7"/>
      <c r="D523" s="1"/>
      <c r="E523" s="17"/>
      <c r="F523" s="15"/>
    </row>
    <row r="524" spans="1:6" ht="14.95" customHeight="1" thickBot="1" x14ac:dyDescent="0.3">
      <c r="A524" s="49"/>
      <c r="B524" s="6"/>
      <c r="C524" s="7"/>
      <c r="D524" s="1"/>
      <c r="E524" s="17"/>
      <c r="F524" s="14"/>
    </row>
    <row r="525" spans="1:6" ht="14.95" customHeight="1" thickBot="1" x14ac:dyDescent="0.3">
      <c r="A525" s="49"/>
      <c r="B525" s="6"/>
      <c r="C525" s="7"/>
      <c r="D525" s="1"/>
      <c r="E525" s="17"/>
      <c r="F525" s="15"/>
    </row>
    <row r="526" spans="1:6" ht="14.95" customHeight="1" thickBot="1" x14ac:dyDescent="0.3">
      <c r="A526" s="49"/>
      <c r="B526" s="6"/>
      <c r="C526" s="7"/>
      <c r="D526" s="1"/>
      <c r="E526" s="17"/>
      <c r="F526" s="15"/>
    </row>
    <row r="527" spans="1:6" ht="14.95" customHeight="1" thickBot="1" x14ac:dyDescent="0.3">
      <c r="A527" s="8"/>
      <c r="B527" s="6"/>
      <c r="C527" s="7"/>
      <c r="D527" s="1"/>
      <c r="E527" s="17"/>
      <c r="F527" s="15"/>
    </row>
    <row r="528" spans="1:6" ht="14.95" customHeight="1" thickBot="1" x14ac:dyDescent="0.3">
      <c r="A528" s="49"/>
      <c r="B528" s="6"/>
      <c r="C528" s="7"/>
      <c r="D528" s="13"/>
      <c r="E528" s="17"/>
      <c r="F528" s="15"/>
    </row>
    <row r="529" spans="1:6" ht="14.95" customHeight="1" thickBot="1" x14ac:dyDescent="0.3">
      <c r="A529" s="49"/>
      <c r="B529" s="6"/>
      <c r="C529" s="7"/>
      <c r="D529" s="1"/>
      <c r="E529" s="17"/>
      <c r="F529" s="15"/>
    </row>
    <row r="530" spans="1:6" ht="14.95" customHeight="1" thickBot="1" x14ac:dyDescent="0.3">
      <c r="A530" s="49"/>
      <c r="B530" s="6"/>
      <c r="C530" s="7"/>
      <c r="D530" s="1"/>
      <c r="E530" s="17"/>
      <c r="F530" s="15"/>
    </row>
    <row r="531" spans="1:6" ht="14.95" customHeight="1" thickBot="1" x14ac:dyDescent="0.3">
      <c r="A531" s="49"/>
      <c r="B531" s="6"/>
      <c r="C531" s="7"/>
      <c r="D531" s="13"/>
      <c r="E531" s="15"/>
      <c r="F531" s="15"/>
    </row>
    <row r="532" spans="1:6" ht="14.95" customHeight="1" thickBot="1" x14ac:dyDescent="0.3">
      <c r="A532" s="49"/>
      <c r="B532" s="6"/>
      <c r="C532" s="7"/>
      <c r="D532" s="1"/>
      <c r="E532" s="17"/>
      <c r="F532" s="15"/>
    </row>
    <row r="533" spans="1:6" ht="14.95" customHeight="1" thickBot="1" x14ac:dyDescent="0.3">
      <c r="A533" s="49"/>
      <c r="B533" s="6"/>
      <c r="C533" s="7"/>
      <c r="D533" s="1"/>
      <c r="E533" s="17"/>
      <c r="F533" s="15"/>
    </row>
    <row r="534" spans="1:6" ht="14.95" customHeight="1" thickBot="1" x14ac:dyDescent="0.3">
      <c r="A534" s="49"/>
      <c r="B534" s="6"/>
      <c r="C534" s="7"/>
      <c r="D534" s="1"/>
      <c r="E534" s="17"/>
      <c r="F534" s="15"/>
    </row>
    <row r="535" spans="1:6" ht="14.95" customHeight="1" thickBot="1" x14ac:dyDescent="0.3">
      <c r="A535" s="49"/>
      <c r="B535" s="6"/>
      <c r="C535" s="7"/>
      <c r="D535" s="13"/>
      <c r="E535" s="17"/>
      <c r="F535" s="15"/>
    </row>
    <row r="536" spans="1:6" ht="14.95" customHeight="1" thickBot="1" x14ac:dyDescent="0.3">
      <c r="A536" s="8"/>
      <c r="B536" s="7"/>
      <c r="C536" s="7"/>
      <c r="D536" s="1"/>
      <c r="E536" s="17"/>
      <c r="F536" s="15"/>
    </row>
    <row r="537" spans="1:6" ht="14.95" customHeight="1" thickBot="1" x14ac:dyDescent="0.3">
      <c r="A537" s="49"/>
      <c r="B537" s="6"/>
      <c r="C537" s="7"/>
      <c r="D537" s="1"/>
      <c r="E537" s="17"/>
      <c r="F537" s="15"/>
    </row>
    <row r="538" spans="1:6" ht="14.95" customHeight="1" thickBot="1" x14ac:dyDescent="0.3">
      <c r="A538" s="49"/>
      <c r="B538" s="6"/>
      <c r="C538" s="7"/>
      <c r="D538" s="1"/>
      <c r="E538" s="17"/>
      <c r="F538" s="15"/>
    </row>
    <row r="539" spans="1:6" ht="14.95" customHeight="1" thickBot="1" x14ac:dyDescent="0.3">
      <c r="A539" s="49"/>
      <c r="B539" s="6"/>
      <c r="C539" s="7"/>
      <c r="D539" s="1"/>
      <c r="E539" s="17"/>
      <c r="F539" s="16"/>
    </row>
    <row r="540" spans="1:6" ht="14.95" customHeight="1" thickBot="1" x14ac:dyDescent="0.3">
      <c r="A540" s="49"/>
      <c r="B540" s="6"/>
      <c r="C540" s="7"/>
      <c r="D540" s="1"/>
      <c r="E540" s="17"/>
      <c r="F540" s="15"/>
    </row>
    <row r="541" spans="1:6" ht="14.95" customHeight="1" thickBot="1" x14ac:dyDescent="0.3">
      <c r="A541" s="49"/>
      <c r="B541" s="6"/>
      <c r="C541" s="7"/>
      <c r="D541" s="1"/>
      <c r="E541" s="17"/>
      <c r="F541" s="15"/>
    </row>
    <row r="542" spans="1:6" ht="14.95" customHeight="1" thickBot="1" x14ac:dyDescent="0.3">
      <c r="A542" s="49"/>
      <c r="B542" s="6"/>
      <c r="C542" s="7"/>
      <c r="D542" s="1"/>
      <c r="E542" s="17"/>
      <c r="F542" s="15"/>
    </row>
    <row r="543" spans="1:6" ht="14.95" customHeight="1" thickBot="1" x14ac:dyDescent="0.3">
      <c r="A543" s="49"/>
      <c r="B543" s="6"/>
      <c r="C543" s="5"/>
      <c r="D543" s="1"/>
      <c r="E543" s="17"/>
      <c r="F543" s="16"/>
    </row>
    <row r="544" spans="1:6" ht="14.95" customHeight="1" thickBot="1" x14ac:dyDescent="0.3">
      <c r="A544" s="8"/>
      <c r="B544" s="6"/>
      <c r="C544" s="7"/>
      <c r="D544" s="1"/>
      <c r="E544" s="17"/>
      <c r="F544" s="15"/>
    </row>
    <row r="545" spans="1:6" ht="14.95" customHeight="1" thickBot="1" x14ac:dyDescent="0.3">
      <c r="A545" s="49"/>
      <c r="B545" s="6"/>
      <c r="C545" s="7"/>
      <c r="D545" s="1"/>
      <c r="E545" s="17"/>
      <c r="F545" s="15"/>
    </row>
    <row r="546" spans="1:6" ht="14.95" customHeight="1" thickBot="1" x14ac:dyDescent="0.3">
      <c r="A546" s="49"/>
      <c r="B546" s="6"/>
      <c r="C546" s="7"/>
      <c r="D546" s="1"/>
      <c r="E546" s="17"/>
      <c r="F546" s="15"/>
    </row>
    <row r="547" spans="1:6" ht="14.95" customHeight="1" thickBot="1" x14ac:dyDescent="0.3">
      <c r="A547" s="49"/>
      <c r="B547" s="6"/>
      <c r="C547" s="43"/>
      <c r="D547" s="1"/>
      <c r="E547" s="17"/>
      <c r="F547" s="15"/>
    </row>
    <row r="548" spans="1:6" ht="14.95" customHeight="1" thickBot="1" x14ac:dyDescent="0.3">
      <c r="A548" s="49"/>
      <c r="B548" s="6"/>
      <c r="C548" s="7"/>
      <c r="D548" s="1"/>
      <c r="E548" s="17"/>
      <c r="F548" s="15"/>
    </row>
    <row r="549" spans="1:6" ht="14.95" customHeight="1" thickBot="1" x14ac:dyDescent="0.3">
      <c r="A549" s="49"/>
      <c r="B549" s="6"/>
      <c r="C549" s="7"/>
      <c r="D549" s="1"/>
      <c r="E549" s="17"/>
      <c r="F549" s="16"/>
    </row>
    <row r="550" spans="1:6" ht="14.95" customHeight="1" thickBot="1" x14ac:dyDescent="0.3">
      <c r="A550" s="49"/>
      <c r="B550" s="6"/>
      <c r="C550" s="7"/>
      <c r="D550" s="1"/>
      <c r="E550" s="17"/>
      <c r="F550" s="14"/>
    </row>
    <row r="551" spans="1:6" ht="14.95" customHeight="1" thickBot="1" x14ac:dyDescent="0.3">
      <c r="A551" s="49"/>
      <c r="B551" s="6"/>
      <c r="C551" s="43"/>
      <c r="D551" s="1"/>
      <c r="E551" s="17"/>
      <c r="F551" s="15"/>
    </row>
    <row r="552" spans="1:6" ht="14.95" customHeight="1" thickBot="1" x14ac:dyDescent="0.3">
      <c r="A552" s="49"/>
      <c r="B552" s="6"/>
      <c r="C552" s="7"/>
      <c r="D552" s="13"/>
      <c r="E552" s="17"/>
      <c r="F552" s="15"/>
    </row>
    <row r="553" spans="1:6" ht="14.95" customHeight="1" thickBot="1" x14ac:dyDescent="0.3">
      <c r="A553" s="49"/>
      <c r="B553" s="6"/>
      <c r="C553" s="7"/>
      <c r="D553" s="1"/>
      <c r="E553" s="17"/>
      <c r="F553" s="15"/>
    </row>
    <row r="554" spans="1:6" ht="14.95" customHeight="1" thickBot="1" x14ac:dyDescent="0.3">
      <c r="A554" s="49"/>
      <c r="B554" s="6"/>
      <c r="C554" s="7"/>
      <c r="D554" s="1"/>
      <c r="E554" s="17"/>
      <c r="F554" s="15"/>
    </row>
    <row r="555" spans="1:6" ht="14.95" customHeight="1" thickBot="1" x14ac:dyDescent="0.3">
      <c r="A555" s="49"/>
      <c r="B555" s="6"/>
      <c r="C555" s="5"/>
      <c r="D555" s="1"/>
      <c r="E555" s="17"/>
      <c r="F555" s="15"/>
    </row>
    <row r="556" spans="1:6" ht="14.95" customHeight="1" thickBot="1" x14ac:dyDescent="0.3">
      <c r="A556" s="8"/>
      <c r="B556" s="7"/>
      <c r="C556" s="7"/>
      <c r="D556" s="1"/>
      <c r="E556" s="17"/>
      <c r="F556" s="14"/>
    </row>
    <row r="557" spans="1:6" ht="14.95" customHeight="1" thickBot="1" x14ac:dyDescent="0.3">
      <c r="A557" s="49"/>
      <c r="B557" s="6"/>
      <c r="C557" s="7"/>
      <c r="D557" s="1"/>
      <c r="E557" s="17"/>
      <c r="F557" s="15"/>
    </row>
    <row r="558" spans="1:6" ht="14.95" customHeight="1" thickBot="1" x14ac:dyDescent="0.3">
      <c r="A558" s="49"/>
      <c r="B558" s="6"/>
      <c r="C558" s="7"/>
      <c r="D558" s="1"/>
      <c r="E558" s="17"/>
      <c r="F558" s="15"/>
    </row>
    <row r="559" spans="1:6" ht="14.95" customHeight="1" thickBot="1" x14ac:dyDescent="0.3">
      <c r="A559" s="8"/>
      <c r="B559" s="7"/>
      <c r="C559" s="7"/>
      <c r="D559" s="1"/>
      <c r="E559" s="17"/>
      <c r="F559" s="15"/>
    </row>
    <row r="560" spans="1:6" ht="14.95" customHeight="1" thickBot="1" x14ac:dyDescent="0.3">
      <c r="A560" s="8"/>
      <c r="B560" s="6"/>
      <c r="C560" s="7"/>
      <c r="D560" s="1"/>
      <c r="E560" s="17"/>
      <c r="F560" s="15"/>
    </row>
    <row r="561" spans="1:7" ht="14.95" customHeight="1" thickBot="1" x14ac:dyDescent="0.3">
      <c r="A561" s="49"/>
      <c r="B561" s="49"/>
      <c r="C561" s="5"/>
      <c r="D561" s="1"/>
      <c r="E561" s="17"/>
      <c r="F561" s="15"/>
    </row>
    <row r="562" spans="1:7" ht="14.95" customHeight="1" thickBot="1" x14ac:dyDescent="0.3">
      <c r="A562" s="8"/>
      <c r="B562" s="8"/>
      <c r="C562" s="7"/>
      <c r="D562" s="13"/>
      <c r="E562" s="17"/>
      <c r="F562" s="15"/>
    </row>
    <row r="563" spans="1:7" ht="14.95" customHeight="1" thickBot="1" x14ac:dyDescent="0.3">
      <c r="A563" s="49"/>
      <c r="B563" s="49"/>
      <c r="C563" s="7"/>
      <c r="D563" s="1"/>
      <c r="E563" s="17"/>
      <c r="F563" s="16"/>
    </row>
    <row r="564" spans="1:7" ht="14.95" customHeight="1" thickBot="1" x14ac:dyDescent="0.3">
      <c r="A564" s="8"/>
      <c r="B564" s="8"/>
      <c r="C564" s="7"/>
      <c r="D564" s="1"/>
      <c r="E564" s="17"/>
      <c r="F564" s="15"/>
    </row>
    <row r="565" spans="1:7" ht="14.95" customHeight="1" thickBot="1" x14ac:dyDescent="0.3">
      <c r="A565" s="49"/>
      <c r="B565" s="49"/>
      <c r="C565" s="7"/>
      <c r="D565" s="1"/>
      <c r="E565" s="17"/>
      <c r="F565" s="15"/>
    </row>
    <row r="566" spans="1:7" ht="14.95" customHeight="1" thickBot="1" x14ac:dyDescent="0.3">
      <c r="A566" s="49"/>
      <c r="B566" s="49"/>
      <c r="C566" s="7"/>
      <c r="D566" s="1"/>
      <c r="E566" s="1"/>
      <c r="F566" s="15"/>
    </row>
    <row r="567" spans="1:7" ht="14.95" customHeight="1" thickBot="1" x14ac:dyDescent="0.3">
      <c r="A567" s="49"/>
      <c r="B567" s="49"/>
      <c r="C567" s="7"/>
      <c r="D567" s="1"/>
      <c r="E567" s="1"/>
      <c r="F567" s="15"/>
    </row>
    <row r="568" spans="1:7" ht="14.95" customHeight="1" thickBot="1" x14ac:dyDescent="0.3">
      <c r="A568" s="49"/>
      <c r="B568" s="49"/>
      <c r="C568" s="7"/>
      <c r="D568" s="13"/>
      <c r="E568" s="1"/>
      <c r="F568" s="15"/>
    </row>
    <row r="569" spans="1:7" ht="14.95" customHeight="1" thickBot="1" x14ac:dyDescent="0.3">
      <c r="A569" s="49"/>
      <c r="B569" s="49"/>
      <c r="C569" s="7"/>
      <c r="D569" s="1"/>
      <c r="E569" s="1"/>
      <c r="F569" s="15"/>
    </row>
    <row r="570" spans="1:7" ht="14.95" customHeight="1" thickBot="1" x14ac:dyDescent="0.3">
      <c r="A570" s="49"/>
      <c r="B570" s="49"/>
      <c r="C570" s="7"/>
      <c r="D570" s="1"/>
      <c r="E570" s="1"/>
      <c r="F570" s="15"/>
    </row>
    <row r="571" spans="1:7" ht="14.95" customHeight="1" thickBot="1" x14ac:dyDescent="0.3">
      <c r="A571" s="49"/>
      <c r="B571" s="49"/>
      <c r="C571" s="7"/>
      <c r="D571" s="1"/>
      <c r="E571" s="1"/>
      <c r="F571" s="15"/>
    </row>
    <row r="572" spans="1:7" ht="14.95" customHeight="1" thickBot="1" x14ac:dyDescent="0.3">
      <c r="A572" s="49"/>
      <c r="B572" s="49"/>
      <c r="C572" s="7"/>
      <c r="D572" s="1"/>
      <c r="E572" s="1"/>
      <c r="F572" s="15"/>
    </row>
    <row r="573" spans="1:7" ht="14.95" customHeight="1" thickBot="1" x14ac:dyDescent="0.3">
      <c r="A573" s="49"/>
      <c r="B573" s="49"/>
      <c r="C573" s="7"/>
      <c r="D573" s="1"/>
      <c r="E573" s="1"/>
      <c r="F573" s="15"/>
    </row>
    <row r="574" spans="1:7" ht="14.95" customHeight="1" thickBot="1" x14ac:dyDescent="0.3">
      <c r="A574" s="49"/>
      <c r="B574" s="49"/>
      <c r="C574" s="7"/>
      <c r="D574" s="1"/>
      <c r="E574" s="1"/>
      <c r="F574" s="15"/>
      <c r="G574" s="123"/>
    </row>
    <row r="575" spans="1:7" ht="14.95" customHeight="1" thickBot="1" x14ac:dyDescent="0.3">
      <c r="A575" s="49"/>
      <c r="B575" s="49"/>
      <c r="C575" s="7"/>
      <c r="D575" s="1"/>
      <c r="E575" s="1"/>
      <c r="F575" s="15"/>
    </row>
    <row r="576" spans="1:7" ht="14.95" customHeight="1" thickBot="1" x14ac:dyDescent="0.3">
      <c r="A576" s="49"/>
      <c r="B576" s="49"/>
      <c r="C576" s="7"/>
      <c r="D576" s="1"/>
      <c r="E576" s="1"/>
      <c r="F576" s="16"/>
    </row>
    <row r="577" spans="1:6" ht="14.95" customHeight="1" thickBot="1" x14ac:dyDescent="0.3">
      <c r="A577" s="49"/>
      <c r="B577" s="49"/>
      <c r="C577" s="7"/>
      <c r="D577" s="1"/>
      <c r="E577" s="1"/>
      <c r="F577" s="15"/>
    </row>
    <row r="578" spans="1:6" ht="14.95" customHeight="1" thickBot="1" x14ac:dyDescent="0.3">
      <c r="A578" s="49"/>
      <c r="B578" s="49"/>
      <c r="C578" s="7"/>
      <c r="D578" s="1"/>
      <c r="E578" s="1"/>
      <c r="F578" s="15"/>
    </row>
    <row r="579" spans="1:6" ht="14.95" customHeight="1" thickBot="1" x14ac:dyDescent="0.3">
      <c r="A579" s="49"/>
      <c r="B579" s="49"/>
      <c r="C579" s="7"/>
      <c r="D579" s="1"/>
      <c r="E579" s="1"/>
      <c r="F579" s="15"/>
    </row>
    <row r="580" spans="1:6" ht="14.95" customHeight="1" thickBot="1" x14ac:dyDescent="0.3">
      <c r="A580" s="49"/>
      <c r="B580" s="49"/>
      <c r="C580" s="7"/>
      <c r="D580" s="1"/>
      <c r="E580" s="1"/>
      <c r="F580" s="16"/>
    </row>
    <row r="581" spans="1:6" ht="14.95" customHeight="1" thickBot="1" x14ac:dyDescent="0.3">
      <c r="A581" s="49"/>
      <c r="B581" s="49"/>
      <c r="C581" s="7"/>
      <c r="D581" s="1"/>
      <c r="E581" s="1"/>
      <c r="F581" s="15"/>
    </row>
    <row r="582" spans="1:6" ht="14.95" customHeight="1" thickBot="1" x14ac:dyDescent="0.3">
      <c r="A582" s="8"/>
      <c r="B582" s="8"/>
      <c r="C582" s="7"/>
      <c r="D582" s="13"/>
      <c r="E582" s="13"/>
      <c r="F582" s="15"/>
    </row>
    <row r="583" spans="1:6" ht="14.95" customHeight="1" thickBot="1" x14ac:dyDescent="0.3">
      <c r="A583" s="8"/>
      <c r="B583" s="8"/>
      <c r="C583" s="7"/>
      <c r="D583" s="1"/>
      <c r="E583" s="1"/>
      <c r="F583" s="15"/>
    </row>
    <row r="584" spans="1:6" ht="14.95" customHeight="1" thickBot="1" x14ac:dyDescent="0.3">
      <c r="A584" s="8"/>
      <c r="B584" s="49"/>
      <c r="C584" s="7"/>
      <c r="D584" s="1"/>
      <c r="E584" s="1"/>
      <c r="F584" s="15"/>
    </row>
    <row r="585" spans="1:6" ht="14.95" customHeight="1" thickBot="1" x14ac:dyDescent="0.3">
      <c r="A585" s="49"/>
      <c r="B585" s="49"/>
      <c r="C585" s="43"/>
      <c r="D585" s="1"/>
      <c r="E585" s="1"/>
      <c r="F585" s="15"/>
    </row>
    <row r="586" spans="1:6" ht="14.95" customHeight="1" thickBot="1" x14ac:dyDescent="0.3">
      <c r="A586" s="8"/>
      <c r="B586" s="49"/>
      <c r="C586" s="7"/>
      <c r="D586" s="1"/>
      <c r="E586" s="1"/>
      <c r="F586" s="15"/>
    </row>
    <row r="587" spans="1:6" ht="14.95" customHeight="1" thickBot="1" x14ac:dyDescent="0.3">
      <c r="A587" s="49"/>
      <c r="B587" s="49"/>
      <c r="C587" s="7"/>
      <c r="D587" s="1"/>
      <c r="E587" s="1"/>
      <c r="F587" s="15"/>
    </row>
    <row r="588" spans="1:6" ht="14.95" customHeight="1" thickBot="1" x14ac:dyDescent="0.3">
      <c r="A588" s="49"/>
      <c r="B588" s="49"/>
      <c r="C588" s="7"/>
      <c r="D588" s="1"/>
      <c r="E588" s="1"/>
      <c r="F588" s="15"/>
    </row>
    <row r="589" spans="1:6" ht="14.95" customHeight="1" thickBot="1" x14ac:dyDescent="0.3">
      <c r="A589" s="49"/>
      <c r="B589" s="49"/>
      <c r="C589" s="7"/>
      <c r="D589" s="1"/>
      <c r="E589" s="1"/>
      <c r="F589" s="15"/>
    </row>
    <row r="590" spans="1:6" ht="14.95" customHeight="1" thickBot="1" x14ac:dyDescent="0.3">
      <c r="A590" s="49"/>
      <c r="B590" s="49"/>
      <c r="C590" s="7"/>
      <c r="D590" s="1"/>
      <c r="E590" s="1"/>
      <c r="F590" s="15"/>
    </row>
    <row r="591" spans="1:6" ht="14.95" customHeight="1" thickBot="1" x14ac:dyDescent="0.3">
      <c r="A591" s="49"/>
      <c r="B591" s="49"/>
      <c r="C591" s="7"/>
      <c r="D591" s="1"/>
      <c r="E591" s="1"/>
      <c r="F591" s="15"/>
    </row>
    <row r="592" spans="1:6" ht="14.95" customHeight="1" thickBot="1" x14ac:dyDescent="0.3">
      <c r="A592" s="49"/>
      <c r="B592" s="49"/>
      <c r="C592" s="7"/>
      <c r="D592" s="1"/>
      <c r="E592" s="1"/>
      <c r="F592" s="16"/>
    </row>
    <row r="593" spans="1:7" ht="14.95" customHeight="1" thickBot="1" x14ac:dyDescent="0.3">
      <c r="A593" s="49"/>
      <c r="B593" s="49"/>
      <c r="C593" s="7"/>
      <c r="D593" s="1"/>
      <c r="E593" s="1"/>
      <c r="F593" s="15"/>
    </row>
    <row r="594" spans="1:7" ht="14.95" customHeight="1" thickBot="1" x14ac:dyDescent="0.3">
      <c r="A594" s="49"/>
      <c r="B594" s="49"/>
      <c r="C594" s="7"/>
      <c r="D594" s="1"/>
      <c r="E594" s="1"/>
      <c r="F594" s="15"/>
    </row>
    <row r="595" spans="1:7" ht="14.95" customHeight="1" thickBot="1" x14ac:dyDescent="0.3">
      <c r="A595" s="49"/>
      <c r="B595" s="49"/>
      <c r="C595" s="7"/>
      <c r="D595" s="1"/>
      <c r="E595" s="1"/>
      <c r="F595" s="15"/>
    </row>
    <row r="596" spans="1:7" ht="14.95" customHeight="1" thickBot="1" x14ac:dyDescent="0.3">
      <c r="A596" s="8"/>
      <c r="B596" s="8"/>
      <c r="C596" s="7"/>
      <c r="D596" s="1"/>
      <c r="E596" s="1"/>
      <c r="F596" s="16"/>
    </row>
    <row r="597" spans="1:7" ht="14.95" customHeight="1" thickBot="1" x14ac:dyDescent="0.3">
      <c r="A597" s="49"/>
      <c r="B597" s="49"/>
      <c r="C597" s="7"/>
      <c r="D597" s="1"/>
      <c r="E597" s="1"/>
      <c r="F597" s="15"/>
      <c r="G597" s="32"/>
    </row>
    <row r="598" spans="1:7" ht="14.95" customHeight="1" thickBot="1" x14ac:dyDescent="0.3">
      <c r="A598" s="49"/>
      <c r="B598" s="49"/>
      <c r="C598" s="7"/>
      <c r="D598" s="1"/>
      <c r="E598" s="1"/>
      <c r="F598" s="15"/>
      <c r="G598" s="32"/>
    </row>
    <row r="599" spans="1:7" ht="14.95" customHeight="1" thickBot="1" x14ac:dyDescent="0.3">
      <c r="A599" s="49"/>
      <c r="B599" s="49"/>
      <c r="C599" s="7"/>
      <c r="D599" s="1"/>
      <c r="E599" s="1"/>
      <c r="F599" s="15"/>
      <c r="G599" s="32"/>
    </row>
    <row r="600" spans="1:7" ht="14.95" customHeight="1" thickBot="1" x14ac:dyDescent="0.3">
      <c r="A600" s="49"/>
      <c r="B600" s="49"/>
      <c r="C600" s="7"/>
      <c r="D600" s="1"/>
      <c r="E600" s="1"/>
      <c r="F600" s="15"/>
      <c r="G600" s="32"/>
    </row>
    <row r="601" spans="1:7" ht="14.95" customHeight="1" thickBot="1" x14ac:dyDescent="0.3">
      <c r="A601" s="49"/>
      <c r="B601" s="49"/>
      <c r="C601" s="7"/>
      <c r="D601" s="1"/>
      <c r="E601" s="1"/>
      <c r="F601" s="15"/>
      <c r="G601" s="32"/>
    </row>
    <row r="602" spans="1:7" ht="14.95" customHeight="1" thickBot="1" x14ac:dyDescent="0.3">
      <c r="A602" s="49"/>
      <c r="B602" s="49"/>
      <c r="C602" s="43"/>
      <c r="D602" s="13"/>
      <c r="E602" s="13"/>
      <c r="F602" s="15"/>
      <c r="G602" s="32"/>
    </row>
    <row r="603" spans="1:7" ht="14.95" customHeight="1" thickBot="1" x14ac:dyDescent="0.3">
      <c r="A603" s="8"/>
      <c r="B603" s="49"/>
      <c r="C603" s="7"/>
      <c r="D603" s="1"/>
      <c r="E603" s="1"/>
      <c r="F603" s="15"/>
      <c r="G603" s="32"/>
    </row>
    <row r="604" spans="1:7" ht="14.95" customHeight="1" thickBot="1" x14ac:dyDescent="0.3">
      <c r="A604" s="49"/>
      <c r="B604" s="49"/>
      <c r="C604" s="5"/>
      <c r="D604" s="1"/>
      <c r="E604" s="1"/>
      <c r="F604" s="15"/>
      <c r="G604" s="32"/>
    </row>
    <row r="605" spans="1:7" ht="14.95" customHeight="1" thickBot="1" x14ac:dyDescent="0.3">
      <c r="A605" s="49"/>
      <c r="B605" s="49"/>
      <c r="C605" s="7"/>
      <c r="D605" s="1"/>
      <c r="E605" s="1"/>
      <c r="F605" s="15"/>
      <c r="G605" s="32"/>
    </row>
    <row r="606" spans="1:7" ht="14.95" customHeight="1" thickBot="1" x14ac:dyDescent="0.3">
      <c r="A606" s="8"/>
      <c r="B606" s="8"/>
      <c r="C606" s="7"/>
      <c r="D606" s="1"/>
      <c r="E606" s="1"/>
      <c r="F606" s="16"/>
      <c r="G606" s="32"/>
    </row>
    <row r="607" spans="1:7" ht="14.95" customHeight="1" thickBot="1" x14ac:dyDescent="0.3">
      <c r="A607" s="49"/>
      <c r="B607" s="49"/>
      <c r="C607" s="43"/>
      <c r="D607" s="1"/>
      <c r="E607" s="1"/>
      <c r="F607" s="15"/>
      <c r="G607" s="32"/>
    </row>
    <row r="608" spans="1:7" ht="14.95" customHeight="1" thickBot="1" x14ac:dyDescent="0.3">
      <c r="A608" s="49"/>
      <c r="B608" s="49"/>
      <c r="C608" s="7"/>
      <c r="D608" s="1"/>
      <c r="E608" s="1"/>
      <c r="F608" s="15"/>
      <c r="G608" s="32"/>
    </row>
    <row r="609" spans="1:7" ht="14.95" thickBot="1" x14ac:dyDescent="0.3">
      <c r="A609" s="49"/>
      <c r="B609" s="49"/>
      <c r="C609" s="7"/>
      <c r="D609" s="13"/>
      <c r="E609" s="1"/>
      <c r="F609" s="15"/>
      <c r="G609" s="32"/>
    </row>
    <row r="610" spans="1:7" ht="14.95" thickBot="1" x14ac:dyDescent="0.3">
      <c r="A610" s="49"/>
      <c r="B610" s="49"/>
      <c r="C610" s="7"/>
      <c r="D610" s="1"/>
      <c r="E610" s="1"/>
      <c r="F610" s="14"/>
      <c r="G610" s="32"/>
    </row>
    <row r="611" spans="1:7" ht="14.95" thickBot="1" x14ac:dyDescent="0.3">
      <c r="A611" s="49"/>
      <c r="B611" s="49"/>
      <c r="C611" s="7"/>
      <c r="D611" s="1"/>
      <c r="E611" s="1"/>
      <c r="F611" s="15"/>
    </row>
    <row r="612" spans="1:7" ht="14.95" thickBot="1" x14ac:dyDescent="0.3">
      <c r="A612" s="49"/>
      <c r="B612" s="49"/>
      <c r="C612" s="7"/>
      <c r="D612" s="13"/>
      <c r="E612" s="13"/>
      <c r="F612" s="15"/>
    </row>
    <row r="613" spans="1:7" ht="14.95" thickBot="1" x14ac:dyDescent="0.3">
      <c r="A613" s="49"/>
      <c r="B613" s="49"/>
      <c r="C613" s="7"/>
      <c r="D613" s="1"/>
      <c r="E613" s="1"/>
      <c r="F613" s="15"/>
    </row>
    <row r="614" spans="1:7" ht="14.95" thickBot="1" x14ac:dyDescent="0.3">
      <c r="A614" s="49"/>
      <c r="B614" s="49"/>
      <c r="C614" s="7"/>
      <c r="D614" s="1"/>
      <c r="E614" s="1"/>
      <c r="F614" s="16"/>
    </row>
    <row r="615" spans="1:7" ht="14.95" thickBot="1" x14ac:dyDescent="0.3">
      <c r="A615" s="49"/>
      <c r="B615" s="49"/>
      <c r="C615" s="7"/>
      <c r="D615" s="1"/>
      <c r="E615" s="1"/>
      <c r="F615" s="16"/>
    </row>
    <row r="616" spans="1:7" ht="14.95" thickBot="1" x14ac:dyDescent="0.3">
      <c r="A616" s="49"/>
      <c r="B616" s="49"/>
      <c r="C616" s="7"/>
      <c r="D616" s="1"/>
      <c r="E616" s="1"/>
      <c r="F616" s="15"/>
    </row>
    <row r="617" spans="1:7" ht="14.95" thickBot="1" x14ac:dyDescent="0.3">
      <c r="A617" s="49"/>
      <c r="B617" s="49"/>
      <c r="C617" s="7"/>
      <c r="D617" s="1"/>
      <c r="E617" s="1"/>
      <c r="F617" s="15"/>
    </row>
    <row r="618" spans="1:7" ht="14.95" thickBot="1" x14ac:dyDescent="0.3">
      <c r="A618" s="8"/>
      <c r="B618" s="8"/>
      <c r="C618" s="7"/>
      <c r="D618" s="1"/>
      <c r="E618" s="1"/>
      <c r="F618" s="15"/>
    </row>
    <row r="619" spans="1:7" ht="14.95" thickBot="1" x14ac:dyDescent="0.3">
      <c r="A619" s="49"/>
      <c r="B619" s="49"/>
      <c r="C619" s="7"/>
      <c r="D619" s="1"/>
      <c r="E619" s="1"/>
      <c r="F619" s="15"/>
    </row>
    <row r="620" spans="1:7" ht="14.95" thickBot="1" x14ac:dyDescent="0.3">
      <c r="A620" s="49"/>
      <c r="B620" s="49"/>
      <c r="C620" s="7"/>
      <c r="D620" s="1"/>
      <c r="E620" s="1"/>
      <c r="F620" s="15"/>
    </row>
    <row r="621" spans="1:7" ht="14.95" thickBot="1" x14ac:dyDescent="0.3">
      <c r="A621" s="49"/>
      <c r="B621" s="49"/>
      <c r="C621" s="43"/>
      <c r="D621" s="13"/>
      <c r="E621" s="13"/>
      <c r="F621" s="15"/>
    </row>
    <row r="622" spans="1:7" ht="14.95" thickBot="1" x14ac:dyDescent="0.3">
      <c r="A622" s="8"/>
      <c r="B622" s="8"/>
      <c r="C622" s="7"/>
      <c r="D622" s="1"/>
      <c r="E622" s="1"/>
      <c r="F622" s="14"/>
    </row>
    <row r="623" spans="1:7" ht="14.95" thickBot="1" x14ac:dyDescent="0.3">
      <c r="A623" s="8"/>
      <c r="B623" s="8"/>
      <c r="C623" s="7"/>
      <c r="D623" s="1"/>
      <c r="E623" s="1"/>
      <c r="F623" s="15"/>
    </row>
    <row r="624" spans="1:7" ht="14.95" thickBot="1" x14ac:dyDescent="0.3">
      <c r="A624" s="49"/>
      <c r="B624" s="49"/>
      <c r="C624" s="43"/>
      <c r="D624" s="1"/>
      <c r="E624" s="1"/>
      <c r="F624" s="15"/>
    </row>
    <row r="625" spans="1:6" ht="14.95" thickBot="1" x14ac:dyDescent="0.3">
      <c r="A625" s="10"/>
      <c r="B625" s="10"/>
      <c r="C625" s="5"/>
      <c r="D625" s="1"/>
      <c r="E625" s="1"/>
      <c r="F625" s="15"/>
    </row>
    <row r="626" spans="1:6" ht="14.95" thickBot="1" x14ac:dyDescent="0.3">
      <c r="A626" s="49"/>
      <c r="B626" s="49"/>
      <c r="C626" s="7"/>
      <c r="D626" s="1"/>
      <c r="E626" s="1"/>
      <c r="F626" s="16"/>
    </row>
    <row r="627" spans="1:6" ht="14.95" thickBot="1" x14ac:dyDescent="0.3">
      <c r="A627" s="49"/>
      <c r="B627" s="49"/>
      <c r="C627" s="7"/>
      <c r="D627" s="13"/>
      <c r="E627" s="13"/>
      <c r="F627" s="15"/>
    </row>
    <row r="628" spans="1:6" ht="14.95" thickBot="1" x14ac:dyDescent="0.3">
      <c r="A628" s="49"/>
      <c r="B628" s="49"/>
      <c r="C628" s="7"/>
      <c r="D628" s="1"/>
      <c r="E628" s="1"/>
      <c r="F628" s="15"/>
    </row>
    <row r="629" spans="1:6" ht="14.95" thickBot="1" x14ac:dyDescent="0.3">
      <c r="A629" s="49"/>
      <c r="B629" s="49"/>
      <c r="C629" s="7"/>
      <c r="D629" s="1"/>
      <c r="E629" s="1"/>
      <c r="F629" s="15"/>
    </row>
    <row r="630" spans="1:6" ht="14.95" thickBot="1" x14ac:dyDescent="0.3">
      <c r="A630" s="49"/>
      <c r="B630" s="49"/>
      <c r="C630" s="7"/>
      <c r="D630" s="1"/>
      <c r="E630" s="1"/>
      <c r="F630" s="15"/>
    </row>
    <row r="631" spans="1:6" ht="14.95" thickBot="1" x14ac:dyDescent="0.3">
      <c r="A631" s="49"/>
      <c r="B631" s="49"/>
      <c r="C631" s="7"/>
      <c r="D631" s="1"/>
      <c r="E631" s="1"/>
      <c r="F631" s="14"/>
    </row>
    <row r="632" spans="1:6" ht="14.95" thickBot="1" x14ac:dyDescent="0.3">
      <c r="A632" s="49"/>
      <c r="B632" s="49"/>
      <c r="C632" s="7"/>
      <c r="D632" s="1"/>
      <c r="E632" s="1"/>
      <c r="F632" s="15"/>
    </row>
    <row r="633" spans="1:6" ht="14.95" thickBot="1" x14ac:dyDescent="0.3">
      <c r="A633" s="49"/>
      <c r="B633" s="49"/>
      <c r="C633" s="7"/>
      <c r="D633" s="1"/>
      <c r="E633" s="1"/>
      <c r="F633" s="15"/>
    </row>
    <row r="634" spans="1:6" ht="14.95" thickBot="1" x14ac:dyDescent="0.3">
      <c r="A634" s="49"/>
      <c r="B634" s="49"/>
      <c r="C634" s="7"/>
      <c r="D634" s="1"/>
      <c r="E634" s="1"/>
      <c r="F634" s="15"/>
    </row>
    <row r="635" spans="1:6" ht="14.95" thickBot="1" x14ac:dyDescent="0.3">
      <c r="A635" s="49"/>
      <c r="B635" s="49"/>
      <c r="C635" s="7"/>
      <c r="D635" s="1"/>
      <c r="E635" s="1"/>
      <c r="F635" s="15"/>
    </row>
    <row r="636" spans="1:6" ht="14.95" thickBot="1" x14ac:dyDescent="0.3">
      <c r="A636" s="8"/>
      <c r="B636" s="8"/>
      <c r="C636" s="7"/>
      <c r="D636" s="1"/>
      <c r="E636" s="1"/>
      <c r="F636" s="15"/>
    </row>
    <row r="637" spans="1:6" ht="14.95" thickBot="1" x14ac:dyDescent="0.3">
      <c r="A637" s="8"/>
      <c r="B637" s="8"/>
      <c r="C637" s="7"/>
      <c r="D637" s="13"/>
      <c r="E637" s="13"/>
      <c r="F637" s="15"/>
    </row>
    <row r="638" spans="1:6" ht="14.95" thickBot="1" x14ac:dyDescent="0.3">
      <c r="A638" s="49"/>
      <c r="B638" s="49"/>
      <c r="C638" s="43"/>
      <c r="D638" s="1"/>
      <c r="E638" s="1"/>
      <c r="F638" s="15"/>
    </row>
    <row r="639" spans="1:6" ht="14.95" thickBot="1" x14ac:dyDescent="0.3">
      <c r="A639" s="10"/>
      <c r="B639" s="10"/>
      <c r="C639" s="7"/>
      <c r="D639" s="1"/>
      <c r="E639" s="1"/>
      <c r="F639" s="14"/>
    </row>
    <row r="640" spans="1:6" ht="14.8" customHeight="1" thickBot="1" x14ac:dyDescent="0.3">
      <c r="A640" s="49"/>
      <c r="B640" s="49"/>
      <c r="C640" s="7"/>
      <c r="D640" s="1"/>
      <c r="E640" s="1"/>
      <c r="F640" s="15"/>
    </row>
    <row r="641" spans="1:6" ht="14.95" thickBot="1" x14ac:dyDescent="0.3">
      <c r="A641" s="49"/>
      <c r="B641" s="49"/>
      <c r="C641" s="43"/>
      <c r="D641" s="13"/>
      <c r="E641" s="13"/>
      <c r="F641" s="15"/>
    </row>
    <row r="642" spans="1:6" ht="14.95" customHeight="1" thickBot="1" x14ac:dyDescent="0.3">
      <c r="A642" s="7" t="s">
        <v>11</v>
      </c>
      <c r="B642" s="7"/>
      <c r="C642" s="7">
        <f>SUM(C2:C641)</f>
        <v>628</v>
      </c>
      <c r="D642" s="1"/>
      <c r="E642" s="1"/>
      <c r="F642" s="16"/>
    </row>
    <row r="643" spans="1:6" ht="14.95" customHeight="1" thickBot="1" x14ac:dyDescent="0.3">
      <c r="A643" s="42" t="s">
        <v>20</v>
      </c>
      <c r="D643" s="1"/>
      <c r="E643" s="1"/>
      <c r="F643" s="15"/>
    </row>
    <row r="644" spans="1:6" ht="14.95" thickBot="1" x14ac:dyDescent="0.3">
      <c r="D644" s="1"/>
      <c r="E644" s="1"/>
      <c r="F644" s="15"/>
    </row>
    <row r="645" spans="1:6" ht="14.95" thickBot="1" x14ac:dyDescent="0.3">
      <c r="A645" s="32"/>
      <c r="B645" s="40"/>
      <c r="C645" s="32"/>
      <c r="D645" s="15" t="s">
        <v>11</v>
      </c>
      <c r="E645" s="15"/>
      <c r="F645" s="15">
        <f>SUM(F2:F644)</f>
        <v>4136</v>
      </c>
    </row>
    <row r="646" spans="1:6" x14ac:dyDescent="0.25">
      <c r="A646" s="32"/>
      <c r="B646" s="40"/>
      <c r="C646" s="32"/>
    </row>
    <row r="647" spans="1:6" x14ac:dyDescent="0.25">
      <c r="A647" s="32"/>
      <c r="B647" s="40"/>
      <c r="C647" s="32"/>
    </row>
    <row r="648" spans="1:6" x14ac:dyDescent="0.25">
      <c r="A648" s="32"/>
      <c r="B648" s="40"/>
      <c r="C648" s="32"/>
      <c r="D648" s="32"/>
      <c r="E648" s="40"/>
      <c r="F648" s="32"/>
    </row>
    <row r="649" spans="1:6" x14ac:dyDescent="0.25">
      <c r="A649" s="32"/>
      <c r="B649" s="40"/>
      <c r="C649" s="32"/>
      <c r="D649" s="32"/>
      <c r="E649" s="40"/>
      <c r="F649" s="32"/>
    </row>
    <row r="650" spans="1:6" ht="14.8" customHeight="1" x14ac:dyDescent="0.25">
      <c r="A650" s="32"/>
      <c r="B650" s="40"/>
      <c r="C650" s="32"/>
      <c r="D650" s="32"/>
      <c r="E650" s="40"/>
      <c r="F650" s="32"/>
    </row>
    <row r="651" spans="1:6" x14ac:dyDescent="0.25">
      <c r="A651" s="32"/>
      <c r="B651" s="40"/>
      <c r="C651" s="32"/>
      <c r="D651" s="32"/>
      <c r="E651" s="40"/>
      <c r="F651" s="32"/>
    </row>
    <row r="652" spans="1:6" ht="15.8" customHeight="1" x14ac:dyDescent="0.25">
      <c r="A652" s="32"/>
      <c r="B652" s="40"/>
      <c r="C652" s="32"/>
      <c r="D652" s="32"/>
      <c r="E652" s="40"/>
      <c r="F652" s="32"/>
    </row>
    <row r="653" spans="1:6" x14ac:dyDescent="0.25">
      <c r="A653" s="32"/>
      <c r="B653" s="40"/>
      <c r="C653" s="32"/>
      <c r="D653" s="32"/>
      <c r="E653" s="40"/>
      <c r="F653" s="32"/>
    </row>
    <row r="654" spans="1:6" ht="15.8" customHeight="1" x14ac:dyDescent="0.25">
      <c r="A654" s="32"/>
      <c r="B654" s="40"/>
      <c r="C654" s="32"/>
      <c r="D654" s="32"/>
      <c r="E654" s="40"/>
      <c r="F654" s="32"/>
    </row>
    <row r="655" spans="1:6" ht="14.95" customHeight="1" x14ac:dyDescent="0.25">
      <c r="A655" s="32"/>
      <c r="B655" s="40"/>
      <c r="C655" s="32"/>
      <c r="D655" s="32"/>
      <c r="E655" s="40"/>
      <c r="F655" s="32"/>
    </row>
    <row r="656" spans="1:6" ht="15.65" customHeight="1" x14ac:dyDescent="0.25">
      <c r="A656" s="32"/>
      <c r="B656" s="40"/>
      <c r="C656" s="32"/>
      <c r="D656" s="32"/>
      <c r="E656" s="40"/>
      <c r="F656" s="32"/>
    </row>
    <row r="657" spans="1:6" x14ac:dyDescent="0.25">
      <c r="A657" s="32"/>
      <c r="B657" s="40"/>
      <c r="C657" s="32"/>
      <c r="D657" s="32"/>
      <c r="E657" s="40"/>
      <c r="F657" s="32"/>
    </row>
    <row r="658" spans="1:6" x14ac:dyDescent="0.25">
      <c r="A658" s="32"/>
      <c r="B658" s="32"/>
      <c r="C658" s="32"/>
      <c r="D658" s="32"/>
      <c r="E658" s="40"/>
      <c r="F658" s="32"/>
    </row>
    <row r="659" spans="1:6" ht="14.3" customHeight="1" x14ac:dyDescent="0.25">
      <c r="D659" s="32"/>
      <c r="E659" s="40"/>
      <c r="F659" s="32"/>
    </row>
    <row r="660" spans="1:6" ht="14.8" customHeight="1" x14ac:dyDescent="0.25">
      <c r="D660" s="32"/>
      <c r="E660" s="40"/>
      <c r="F660" s="32"/>
    </row>
    <row r="661" spans="1:6" x14ac:dyDescent="0.25">
      <c r="D661" s="32"/>
      <c r="E661" s="32"/>
      <c r="F661" s="32"/>
    </row>
  </sheetData>
  <sortState xmlns:xlrd2="http://schemas.microsoft.com/office/spreadsheetml/2017/richdata2" ref="G2:K20">
    <sortCondition descending="1" ref="K2:K20"/>
    <sortCondition descending="1" ref="J2:J20"/>
  </sortState>
  <mergeCells count="4">
    <mergeCell ref="O1:Q1"/>
    <mergeCell ref="L1:N1"/>
    <mergeCell ref="O12:Q12"/>
    <mergeCell ref="L24:N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511</vt:i4>
      </vt:variant>
    </vt:vector>
  </HeadingPairs>
  <TitlesOfParts>
    <vt:vector size="517" baseType="lpstr">
      <vt:lpstr>BRI</vt:lpstr>
      <vt:lpstr>EXE</vt:lpstr>
      <vt:lpstr>GLO</vt:lpstr>
      <vt:lpstr>SAL</vt:lpstr>
      <vt:lpstr>SAR</vt:lpstr>
      <vt:lpstr>OVERALL</vt:lpstr>
      <vt:lpstr>Ackermannglopts</vt:lpstr>
      <vt:lpstr>Ackermannglotries</vt:lpstr>
      <vt:lpstr>Adams_Halesarptscorrect</vt:lpstr>
      <vt:lpstr>Adams_Halesartriescorrect</vt:lpstr>
      <vt:lpstr>Adejimisarpts</vt:lpstr>
      <vt:lpstr>Adejimisartries</vt:lpstr>
      <vt:lpstr>Adeolokunbripts</vt:lpstr>
      <vt:lpstr>Adeolokunbritries</vt:lpstr>
      <vt:lpstr>afoabripts</vt:lpstr>
      <vt:lpstr>afoabritries</vt:lpstr>
      <vt:lpstr>Alemannoglopts</vt:lpstr>
      <vt:lpstr>Alemannoglotries</vt:lpstr>
      <vt:lpstr>Armanddonpts</vt:lpstr>
      <vt:lpstr>Armanddontries</vt:lpstr>
      <vt:lpstr>Armstrongbripts</vt:lpstr>
      <vt:lpstr>Armstrongbritries</vt:lpstr>
      <vt:lpstr>Armstrongjakebripts</vt:lpstr>
      <vt:lpstr>Armstrongjakebritries</vt:lpstr>
      <vt:lpstr>Ascherlbripts</vt:lpstr>
      <vt:lpstr>Ascherlbritries</vt:lpstr>
      <vt:lpstr>atkinsliratt</vt:lpstr>
      <vt:lpstr>atkinslirgls</vt:lpstr>
      <vt:lpstr>Atkinson_Sglopts</vt:lpstr>
      <vt:lpstr>Atkinson_Sglotries</vt:lpstr>
      <vt:lpstr>Atkinsonglopts</vt:lpstr>
      <vt:lpstr>Atkinsonglotries</vt:lpstr>
      <vt:lpstr>Balmainglopts</vt:lpstr>
      <vt:lpstr>Balmainglotries</vt:lpstr>
      <vt:lpstr>Bartlettglopts</vt:lpstr>
      <vt:lpstr>Bartlettglotries</vt:lpstr>
      <vt:lpstr>Bartongloatt</vt:lpstr>
      <vt:lpstr>Bartonglogls</vt:lpstr>
      <vt:lpstr>Bartonglopts</vt:lpstr>
      <vt:lpstr>Bartonglotries</vt:lpstr>
      <vt:lpstr>Batesbripts</vt:lpstr>
      <vt:lpstr>Batesbritries</vt:lpstr>
      <vt:lpstr>Batleybriptscorrect</vt:lpstr>
      <vt:lpstr>Batleybritriescorrect</vt:lpstr>
      <vt:lpstr>Beatonsarpts</vt:lpstr>
      <vt:lpstr>Beatonsartries</vt:lpstr>
      <vt:lpstr>becconsallexeatt</vt:lpstr>
      <vt:lpstr>becconsallexegls</vt:lpstr>
      <vt:lpstr>bedlowbriatt</vt:lpstr>
      <vt:lpstr>Bedlowbrigls</vt:lpstr>
      <vt:lpstr>Bedlowbripts</vt:lpstr>
      <vt:lpstr>bedlowbritries</vt:lpstr>
      <vt:lpstr>Bentleyjonnypts</vt:lpstr>
      <vt:lpstr>Benz_Salomon_Jbripts</vt:lpstr>
      <vt:lpstr>Benz_Salomon_Jbritri</vt:lpstr>
      <vt:lpstr>Bevingtonbstpts</vt:lpstr>
      <vt:lpstr>Bevingtonbsttries</vt:lpstr>
      <vt:lpstr>Blakeglopts</vt:lpstr>
      <vt:lpstr>Blakeglotries</vt:lpstr>
      <vt:lpstr>Bradburybripts</vt:lpstr>
      <vt:lpstr>Bradburybritries</vt:lpstr>
      <vt:lpstr>BristolPts</vt:lpstr>
      <vt:lpstr>BristolTries</vt:lpstr>
      <vt:lpstr>Bryansarpts</vt:lpstr>
      <vt:lpstr>Bryansartries</vt:lpstr>
      <vt:lpstr>Burnsfreddiepts</vt:lpstr>
      <vt:lpstr>Burnsfreddietries</vt:lpstr>
      <vt:lpstr>Byrnebripts</vt:lpstr>
      <vt:lpstr>Byrnebritries</vt:lpstr>
      <vt:lpstr>Cairnsexepts</vt:lpstr>
      <vt:lpstr>Cairnsexetries</vt:lpstr>
      <vt:lpstr>Caldwellexepts</vt:lpstr>
      <vt:lpstr>Caldwellexetries</vt:lpstr>
      <vt:lpstr>Caponbripts</vt:lpstr>
      <vt:lpstr>Caponbritries</vt:lpstr>
      <vt:lpstr>Capstickexepts</vt:lpstr>
      <vt:lpstr>Capstickexetries</vt:lpstr>
      <vt:lpstr>Carrerasglopts</vt:lpstr>
      <vt:lpstr>Carrerasglotries</vt:lpstr>
      <vt:lpstr>Carrick_Smithexepts</vt:lpstr>
      <vt:lpstr>Carrick_Smithexetries</vt:lpstr>
      <vt:lpstr>Challengerbripts</vt:lpstr>
      <vt:lpstr>Challengerbritries</vt:lpstr>
      <vt:lpstr>chapmangloatt</vt:lpstr>
      <vt:lpstr>chapmanglogls</vt:lpstr>
      <vt:lpstr>Chapmanglopts</vt:lpstr>
      <vt:lpstr>Chapmanglotries</vt:lpstr>
      <vt:lpstr>Christiesarptscorrect</vt:lpstr>
      <vt:lpstr>Christiesartriescorrect</vt:lpstr>
      <vt:lpstr>Clareysarptscorrect</vt:lpstr>
      <vt:lpstr>Clareysartriescorrect</vt:lpstr>
      <vt:lpstr>Clarkglopts</vt:lpstr>
      <vt:lpstr>Clarkglotries</vt:lpstr>
      <vt:lpstr>Coetzerglopts</vt:lpstr>
      <vt:lpstr>Coetzerglotries</vt:lpstr>
      <vt:lpstr>Courtlipts</vt:lpstr>
      <vt:lpstr>Courtlitries</vt:lpstr>
      <vt:lpstr>Cowan_Dickie_Lukepts</vt:lpstr>
      <vt:lpstr>Cowan_Dickie_Luketries</vt:lpstr>
      <vt:lpstr>Cowanjimmypts</vt:lpstr>
      <vt:lpstr>Cowanjimmytries</vt:lpstr>
      <vt:lpstr>cranebripts</vt:lpstr>
      <vt:lpstr>Cranebritries</vt:lpstr>
      <vt:lpstr>dalysarattcorrect</vt:lpstr>
      <vt:lpstr>dalysarglscorrect</vt:lpstr>
      <vt:lpstr>Dalysarptscorrect</vt:lpstr>
      <vt:lpstr>Dalysartriescorrect</vt:lpstr>
      <vt:lpstr>Danielsbripts</vt:lpstr>
      <vt:lpstr>Danielsbritries</vt:lpstr>
      <vt:lpstr>Dansarpts</vt:lpstr>
      <vt:lpstr>Dansartries</vt:lpstr>
      <vt:lpstr>Davidsonglopts</vt:lpstr>
      <vt:lpstr>Davidsonglotries</vt:lpstr>
      <vt:lpstr>Daviesbripts</vt:lpstr>
      <vt:lpstr>Daviesbritries</vt:lpstr>
      <vt:lpstr>Daviessarptscorrect</vt:lpstr>
      <vt:lpstr>Daviessartriescorrect</vt:lpstr>
      <vt:lpstr>Davisexepoints</vt:lpstr>
      <vt:lpstr>Davisexetrie</vt:lpstr>
      <vt:lpstr>Dawidiukglopts</vt:lpstr>
      <vt:lpstr>Dawidiukglotries</vt:lpstr>
      <vt:lpstr>de_Haassarptscorrect</vt:lpstr>
      <vt:lpstr>de_Haassartriescorrect</vt:lpstr>
      <vt:lpstr>dehaassaratt</vt:lpstr>
      <vt:lpstr>dehaassargls</vt:lpstr>
      <vt:lpstr>Dentonglopts</vt:lpstr>
      <vt:lpstr>Dentonglotries</vt:lpstr>
      <vt:lpstr>Devotoexepts</vt:lpstr>
      <vt:lpstr>Devotoexetries</vt:lpstr>
      <vt:lpstr>Dorrianlipts</vt:lpstr>
      <vt:lpstr>Dorrianlitries</vt:lpstr>
      <vt:lpstr>Earlsarptscorrect</vt:lpstr>
      <vt:lpstr>Earlsartriescorrect</vt:lpstr>
      <vt:lpstr>Edenbripts</vt:lpstr>
      <vt:lpstr>Edenbritries</vt:lpstr>
      <vt:lpstr>Elliottsarpts</vt:lpstr>
      <vt:lpstr>Elliottsartries</vt:lpstr>
      <vt:lpstr>Elringtonglopts</vt:lpstr>
      <vt:lpstr>Elringtonglotries</vt:lpstr>
      <vt:lpstr>Evans_Lglopts</vt:lpstr>
      <vt:lpstr>Evans_Lglotries</vt:lpstr>
      <vt:lpstr>evanslgloatt</vt:lpstr>
      <vt:lpstr>evanslglogoals</vt:lpstr>
      <vt:lpstr>Ewersexepts</vt:lpstr>
      <vt:lpstr>Ewersexetries</vt:lpstr>
      <vt:lpstr>ExeterPts</vt:lpstr>
      <vt:lpstr>ExeterTries</vt:lpstr>
      <vt:lpstr>farrellsarattcorrect</vt:lpstr>
      <vt:lpstr>farrellsarglscorrect</vt:lpstr>
      <vt:lpstr>Farrellsarptscorrect</vt:lpstr>
      <vt:lpstr>farrellsartriescorrect</vt:lpstr>
      <vt:lpstr>Fenbylipts</vt:lpstr>
      <vt:lpstr>Fenbylitries</vt:lpstr>
      <vt:lpstr>Fenton_Wellsbripts</vt:lpstr>
      <vt:lpstr>Fenton_Wellsbritries</vt:lpstr>
      <vt:lpstr>Feyi_Wabosoexepts</vt:lpstr>
      <vt:lpstr>Feyi_Wabosoexetries</vt:lpstr>
      <vt:lpstr>fleetwoodsarpts</vt:lpstr>
      <vt:lpstr>Fleetwoodsartries</vt:lpstr>
      <vt:lpstr>Ford_Robinsonglopts</vt:lpstr>
      <vt:lpstr>Ford_Robinsonglotries</vt:lpstr>
      <vt:lpstr>Fowlielipts</vt:lpstr>
      <vt:lpstr>Fowlietomtries</vt:lpstr>
      <vt:lpstr>Frankslirpts</vt:lpstr>
      <vt:lpstr>Frankslirtries</vt:lpstr>
      <vt:lpstr>Frischbripts</vt:lpstr>
      <vt:lpstr>Frischbritries</vt:lpstr>
      <vt:lpstr>Frostexepts</vt:lpstr>
      <vt:lpstr>Frostexetries</vt:lpstr>
      <vt:lpstr>Galarzaglopts</vt:lpstr>
      <vt:lpstr>Galarzaglotries</vt:lpstr>
      <vt:lpstr>Georgesarptscorrect</vt:lpstr>
      <vt:lpstr>Georgesartriescorrect</vt:lpstr>
      <vt:lpstr>Geraghtypts</vt:lpstr>
      <vt:lpstr>GloucesterPts</vt:lpstr>
      <vt:lpstr>GloucesterTries</vt:lpstr>
      <vt:lpstr>GOODESARATTCORRECT</vt:lpstr>
      <vt:lpstr>goodesarglscorrect</vt:lpstr>
      <vt:lpstr>Goodesarptscorrect</vt:lpstr>
      <vt:lpstr>Goodesartriescorrect</vt:lpstr>
      <vt:lpstr>Grayexepts</vt:lpstr>
      <vt:lpstr>Grayexetries</vt:lpstr>
      <vt:lpstr>Gregsonsarpts</vt:lpstr>
      <vt:lpstr>Gregsonsartries</vt:lpstr>
      <vt:lpstr>Grondonaexepts</vt:lpstr>
      <vt:lpstr>Grondonaexetries</vt:lpstr>
      <vt:lpstr>Hainingbripts</vt:lpstr>
      <vt:lpstr>Hainingbritries</vt:lpstr>
      <vt:lpstr>Halaifonuaglopts</vt:lpstr>
      <vt:lpstr>Halaifonuaglotries</vt:lpstr>
      <vt:lpstr>Hardingbripts</vt:lpstr>
      <vt:lpstr>Hardingbritries</vt:lpstr>
      <vt:lpstr>Harrisglopts</vt:lpstr>
      <vt:lpstr>Harrisglotries</vt:lpstr>
      <vt:lpstr>harrisonsarpts</vt:lpstr>
      <vt:lpstr>Harrisonsartriesd</vt:lpstr>
      <vt:lpstr>Harrissarpts</vt:lpstr>
      <vt:lpstr>Harrissarptscorrect</vt:lpstr>
      <vt:lpstr>Harrissartries</vt:lpstr>
      <vt:lpstr>Harrissartriescorrect</vt:lpstr>
      <vt:lpstr>Hartleysarpts</vt:lpstr>
      <vt:lpstr>Hartleysartries</vt:lpstr>
      <vt:lpstr>Hearnlirpts</vt:lpstr>
      <vt:lpstr>Hearnlirtries</vt:lpstr>
      <vt:lpstr>Hendricksonexepts</vt:lpstr>
      <vt:lpstr>Hendricksonexetries</vt:lpstr>
      <vt:lpstr>Hendriksonexetries</vt:lpstr>
      <vt:lpstr>Hepburnexepts</vt:lpstr>
      <vt:lpstr>Hepburnexetries</vt:lpstr>
      <vt:lpstr>Hewardbripts</vt:lpstr>
      <vt:lpstr>Hewardbritries</vt:lpstr>
      <vt:lpstr>Hillman_Cooperglopts</vt:lpstr>
      <vt:lpstr>Hillman_Cooperglotries</vt:lpstr>
      <vt:lpstr>Hodgeexeatt</vt:lpstr>
      <vt:lpstr>Hodgeexegls</vt:lpstr>
      <vt:lpstr>Hodgeexepts</vt:lpstr>
      <vt:lpstr>Hodgeexetries</vt:lpstr>
      <vt:lpstr>Hoggexepts</vt:lpstr>
      <vt:lpstr>Hoggexetries</vt:lpstr>
      <vt:lpstr>Holmesexepts</vt:lpstr>
      <vt:lpstr>holmesexetries</vt:lpstr>
      <vt:lpstr>Hougaardsarpts</vt:lpstr>
      <vt:lpstr>Hougaardsartries</vt:lpstr>
      <vt:lpstr>Hudsonglopts</vt:lpstr>
      <vt:lpstr>Hudsonglotries</vt:lpstr>
      <vt:lpstr>Hughesbripts</vt:lpstr>
      <vt:lpstr>Hughesbritries</vt:lpstr>
      <vt:lpstr>Hunter_Hillsarptscorrect</vt:lpstr>
      <vt:lpstr>Hunter_Hillsartriescorrect</vt:lpstr>
      <vt:lpstr>Iosefa_Scottexepts</vt:lpstr>
      <vt:lpstr>Iosefa_Scottexetries</vt:lpstr>
      <vt:lpstr>Isiekwesarptscorrect</vt:lpstr>
      <vt:lpstr>Isiekwesartriescorrect</vt:lpstr>
      <vt:lpstr>Itojesarptscorrect</vt:lpstr>
      <vt:lpstr>Itojesartriescorrect</vt:lpstr>
      <vt:lpstr>Jacksonsarpts</vt:lpstr>
      <vt:lpstr>Jacksonsartries</vt:lpstr>
      <vt:lpstr>Jamespts</vt:lpstr>
      <vt:lpstr>jamestries</vt:lpstr>
      <vt:lpstr>Jeffriesbriptscorrect</vt:lpstr>
      <vt:lpstr>Jeffriesbritriescorrect</vt:lpstr>
      <vt:lpstr>Jenkins_Dexepts</vt:lpstr>
      <vt:lpstr>Jenkins_Dexetries</vt:lpstr>
      <vt:lpstr>Jenkins_Iexepts</vt:lpstr>
      <vt:lpstr>Jenkins_Iexetries</vt:lpstr>
      <vt:lpstr>Jenkinsbripts</vt:lpstr>
      <vt:lpstr>Jenkinsbritries</vt:lpstr>
      <vt:lpstr>jenkinsiexeatt</vt:lpstr>
      <vt:lpstr>jenkinsiexegls</vt:lpstr>
      <vt:lpstr>Keastexepts</vt:lpstr>
      <vt:lpstr>Keastexetries</vt:lpstr>
      <vt:lpstr>Kennyexepts</vt:lpstr>
      <vt:lpstr>Kennyexetries</vt:lpstr>
      <vt:lpstr>Kerrbripts</vt:lpstr>
      <vt:lpstr>Kerrbritries</vt:lpstr>
      <vt:lpstr>Kirstenexepts</vt:lpstr>
      <vt:lpstr>Kirstenexetries</vt:lpstr>
      <vt:lpstr>Knightgloptscorrect</vt:lpstr>
      <vt:lpstr>Knightglotriescorrect</vt:lpstr>
      <vt:lpstr>Krielglopts</vt:lpstr>
      <vt:lpstr>Krielglotries</vt:lpstr>
      <vt:lpstr>Lanebripts</vt:lpstr>
      <vt:lpstr>Lanebritries</vt:lpstr>
      <vt:lpstr>Laybripts</vt:lpstr>
      <vt:lpstr>Laybritries</vt:lpstr>
      <vt:lpstr>Lewingtonsarptscorrect</vt:lpstr>
      <vt:lpstr>Lewingtonsartriescorrect</vt:lpstr>
      <vt:lpstr>Lewingtontries</vt:lpstr>
      <vt:lpstr>Lewissarptscorrect</vt:lpstr>
      <vt:lpstr>Lewissartriescorrect</vt:lpstr>
      <vt:lpstr>Lloyd_Jbripts</vt:lpstr>
      <vt:lpstr>Lloyd_Jbritries</vt:lpstr>
      <vt:lpstr>LloydBriPts</vt:lpstr>
      <vt:lpstr>LloydBriTries</vt:lpstr>
      <vt:lpstr>Lloydlirpts</vt:lpstr>
      <vt:lpstr>Lloydlirtries</vt:lpstr>
      <vt:lpstr>Loaderlirpts</vt:lpstr>
      <vt:lpstr>Loaderlirtries</vt:lpstr>
      <vt:lpstr>Lowkierantries</vt:lpstr>
      <vt:lpstr>Lowlipts</vt:lpstr>
      <vt:lpstr>lozowskisarattcorrect</vt:lpstr>
      <vt:lpstr>Lozowskisarptscorrect</vt:lpstr>
      <vt:lpstr>Lozowskisartriescorrect</vt:lpstr>
      <vt:lpstr>Ludlowglopts</vt:lpstr>
      <vt:lpstr>Ludlowglotries</vt:lpstr>
      <vt:lpstr>MacGintybripts</vt:lpstr>
      <vt:lpstr>MacGintybritries</vt:lpstr>
      <vt:lpstr>Maitlandsarptscorrect</vt:lpstr>
      <vt:lpstr>Maitlandsartriescorrect</vt:lpstr>
      <vt:lpstr>Malinssarptscorrect</vt:lpstr>
      <vt:lpstr>Malinssartriescorrect</vt:lpstr>
      <vt:lpstr>Maraisglopts</vt:lpstr>
      <vt:lpstr>Maraisglotries</vt:lpstr>
      <vt:lpstr>Marshalllirpts</vt:lpstr>
      <vt:lpstr>Marshalllirtries</vt:lpstr>
      <vt:lpstr>Maunder_Sexepts</vt:lpstr>
      <vt:lpstr>Maunder_Sexetries</vt:lpstr>
      <vt:lpstr>Maunderexepts</vt:lpstr>
      <vt:lpstr>Maunderexetries</vt:lpstr>
      <vt:lpstr>Mawisarptscorrect</vt:lpstr>
      <vt:lpstr>Mawisartriescorrect</vt:lpstr>
      <vt:lpstr>Mayhewlipts</vt:lpstr>
      <vt:lpstr>Mayhewlitries</vt:lpstr>
      <vt:lpstr>McFarlandsarptscorrect</vt:lpstr>
      <vt:lpstr>McFarlandsartriescorrect</vt:lpstr>
      <vt:lpstr>McGuiganglopts</vt:lpstr>
      <vt:lpstr>McGuiganglotries</vt:lpstr>
      <vt:lpstr>McNallylirpts</vt:lpstr>
      <vt:lpstr>McNallylirtries</vt:lpstr>
      <vt:lpstr>Meehanglopts</vt:lpstr>
      <vt:lpstr>Meehanglotries</vt:lpstr>
      <vt:lpstr>Mooresarpts</vt:lpstr>
      <vt:lpstr>Mooresartries</vt:lpstr>
      <vt:lpstr>Morgan_Aglopts</vt:lpstr>
      <vt:lpstr>Morgan_Aglotries</vt:lpstr>
      <vt:lpstr>Morganbenpts</vt:lpstr>
      <vt:lpstr>Morganbentries</vt:lpstr>
      <vt:lpstr>Moriartyglopts</vt:lpstr>
      <vt:lpstr>Moriartyglotries</vt:lpstr>
      <vt:lpstr>Morrisglopts</vt:lpstr>
      <vt:lpstr>Morrisglotries</vt:lpstr>
      <vt:lpstr>morrisjgloatt</vt:lpstr>
      <vt:lpstr>Morrisjglogls</vt:lpstr>
      <vt:lpstr>Morrisjglopts</vt:lpstr>
      <vt:lpstr>Morrisjglotries</vt:lpstr>
      <vt:lpstr>Morrissarptscorrect</vt:lpstr>
      <vt:lpstr>Morrissartriescorrect</vt:lpstr>
      <vt:lpstr>Mulchronelipts</vt:lpstr>
      <vt:lpstr>MulchronelirtriesCORRECT</vt:lpstr>
      <vt:lpstr>Mulchronelitries</vt:lpstr>
      <vt:lpstr>Muldowneybripts</vt:lpstr>
      <vt:lpstr>Muldowneybritries</vt:lpstr>
      <vt:lpstr>Mummpts</vt:lpstr>
      <vt:lpstr>mummtries</vt:lpstr>
      <vt:lpstr>Noakeslipts</vt:lpstr>
      <vt:lpstr>Noakeslitries</vt:lpstr>
      <vt:lpstr>Noreyexepts</vt:lpstr>
      <vt:lpstr>Noreyexetries</vt:lpstr>
      <vt:lpstr>Nowellexepts</vt:lpstr>
      <vt:lpstr>Nowellexetries</vt:lpstr>
      <vt:lpstr>O_Brienexepts</vt:lpstr>
      <vt:lpstr>O_Brienexetries</vt:lpstr>
      <vt:lpstr>Palamobrispts</vt:lpstr>
      <vt:lpstr>Palamobristries</vt:lpstr>
      <vt:lpstr>Paulolirpts</vt:lpstr>
      <vt:lpstr>paulolirtries</vt:lpstr>
      <vt:lpstr>Pearsonexepts</vt:lpstr>
      <vt:lpstr>Pearsonexetries</vt:lpstr>
      <vt:lpstr>Penalty_Triesbripts</vt:lpstr>
      <vt:lpstr>Penalty_Triesbritries</vt:lpstr>
      <vt:lpstr>Penalty_Triesexepts</vt:lpstr>
      <vt:lpstr>Penalty_Triesexetries</vt:lpstr>
      <vt:lpstr>Penalty_Triesglopts</vt:lpstr>
      <vt:lpstr>Penalty_Triesglotries</vt:lpstr>
      <vt:lpstr>Penalty_Triessarptscorrect</vt:lpstr>
      <vt:lpstr>Penalty_Triessartriescorrect</vt:lpstr>
      <vt:lpstr>Penalty_Triessarwomentries</vt:lpstr>
      <vt:lpstr>penaltytriessarwomenpts</vt:lpstr>
      <vt:lpstr>Phillipsjamespts</vt:lpstr>
      <vt:lpstr>Phillipsjamestries</vt:lpstr>
      <vt:lpstr>Pifeletisarptscorrect</vt:lpstr>
      <vt:lpstr>Pifeletisartriescorrect</vt:lpstr>
      <vt:lpstr>Piutau_Cbritriescorrect</vt:lpstr>
      <vt:lpstr>Polledriglopts</vt:lpstr>
      <vt:lpstr>Polledriglotries</vt:lpstr>
      <vt:lpstr>Powellbripts</vt:lpstr>
      <vt:lpstr>Powellbritries</vt:lpstr>
      <vt:lpstr>Purdybripts</vt:lpstr>
      <vt:lpstr>Purdybritries</vt:lpstr>
      <vt:lpstr>Radradrabripts</vt:lpstr>
      <vt:lpstr>Radradrabritries</vt:lpstr>
      <vt:lpstr>Randallbripts</vt:lpstr>
      <vt:lpstr>Randallbritries</vt:lpstr>
      <vt:lpstr>Rapava_Ruskinglopts</vt:lpstr>
      <vt:lpstr>Rapava_Ruskinglotries</vt:lpstr>
      <vt:lpstr>Rees_Zammitglopts</vt:lpstr>
      <vt:lpstr>Rees_Zammitglotries</vt:lpstr>
      <vt:lpstr>Reevesglopts</vt:lpstr>
      <vt:lpstr>Reevesglotries</vt:lpstr>
      <vt:lpstr>Reffellsarptscorrect</vt:lpstr>
      <vt:lpstr>Reffellsartriescorrect</vt:lpstr>
      <vt:lpstr>Reltonexepts</vt:lpstr>
      <vt:lpstr>Reltonexetries</vt:lpstr>
      <vt:lpstr>Riccionisarptscorrect</vt:lpstr>
      <vt:lpstr>Riccionisartriescorrect</vt:lpstr>
      <vt:lpstr>Robinsonglopts</vt:lpstr>
      <vt:lpstr>Robinsonglotries</vt:lpstr>
      <vt:lpstr>Rugmanglopts</vt:lpstr>
      <vt:lpstr>Rugmanglotries</vt:lpstr>
      <vt:lpstr>Russellglopts</vt:lpstr>
      <vt:lpstr>Russellglotries</vt:lpstr>
      <vt:lpstr>Safeglopts</vt:lpstr>
      <vt:lpstr>Safeglotries</vt:lpstr>
      <vt:lpstr>Salomonbripts</vt:lpstr>
      <vt:lpstr>Salomonbritries</vt:lpstr>
      <vt:lpstr>Samudaglopts</vt:lpstr>
      <vt:lpstr>Samudaglotries</vt:lpstr>
      <vt:lpstr>Schickerlingexepts</vt:lpstr>
      <vt:lpstr>Schickerlingexetries</vt:lpstr>
      <vt:lpstr>schutzlersarpts</vt:lpstr>
      <vt:lpstr>Schutzlersartries</vt:lpstr>
      <vt:lpstr>scottglohpts</vt:lpstr>
      <vt:lpstr>Scottglohtries</vt:lpstr>
      <vt:lpstr>Seabrookglopts</vt:lpstr>
      <vt:lpstr>Seabrookglotries</vt:lpstr>
      <vt:lpstr>Segunsarptscorrect</vt:lpstr>
      <vt:lpstr>Segunsartriescorrect</vt:lpstr>
      <vt:lpstr>Simmonds_Sexepts</vt:lpstr>
      <vt:lpstr>Simmonds_Sexetries</vt:lpstr>
      <vt:lpstr>simmondsexeatt</vt:lpstr>
      <vt:lpstr>simmondsexegoals</vt:lpstr>
      <vt:lpstr>Simmondsexepts</vt:lpstr>
      <vt:lpstr>Simmondsexetries</vt:lpstr>
      <vt:lpstr>Simpson_Gsarpts</vt:lpstr>
      <vt:lpstr>Simpson_Gsartries</vt:lpstr>
      <vt:lpstr>Simpsonglopts</vt:lpstr>
      <vt:lpstr>Simpsonglotries</vt:lpstr>
      <vt:lpstr>Simsbripts</vt:lpstr>
      <vt:lpstr>Simsbritries</vt:lpstr>
      <vt:lpstr>Singglopts</vt:lpstr>
      <vt:lpstr>Singglotries</vt:lpstr>
      <vt:lpstr>Sioexepts</vt:lpstr>
      <vt:lpstr>Sioexetries</vt:lpstr>
      <vt:lpstr>Skinner_Hexepts</vt:lpstr>
      <vt:lpstr>Skinner_Hexetries</vt:lpstr>
      <vt:lpstr>Sladeexepts</vt:lpstr>
      <vt:lpstr>Sladeexetries</vt:lpstr>
      <vt:lpstr>Slaterglopts</vt:lpstr>
      <vt:lpstr>Slaterglotries</vt:lpstr>
      <vt:lpstr>smithglopts</vt:lpstr>
      <vt:lpstr>Smithglotries</vt:lpstr>
      <vt:lpstr>Socinoglopts</vt:lpstr>
      <vt:lpstr>Socinoglotries</vt:lpstr>
      <vt:lpstr>Southworthexepts</vt:lpstr>
      <vt:lpstr>Southworthexetries</vt:lpstr>
      <vt:lpstr>Stanleyglopts</vt:lpstr>
      <vt:lpstr>Stanleyglotries</vt:lpstr>
      <vt:lpstr>Streetexepts</vt:lpstr>
      <vt:lpstr>Streetexetries</vt:lpstr>
      <vt:lpstr>Swinsonsarptscorrect</vt:lpstr>
      <vt:lpstr>Swinsonsartriescorrect</vt:lpstr>
      <vt:lpstr>Tandyglopts</vt:lpstr>
      <vt:lpstr>Tandyglotries</vt:lpstr>
      <vt:lpstr>Taylorglopts</vt:lpstr>
      <vt:lpstr>Taylorglotries</vt:lpstr>
      <vt:lpstr>Taylorsarptscorrect</vt:lpstr>
      <vt:lpstr>Taylorsartriescorrect</vt:lpstr>
      <vt:lpstr>Terryglopts</vt:lpstr>
      <vt:lpstr>Terryglotries</vt:lpstr>
      <vt:lpstr>Thomasglopts</vt:lpstr>
      <vt:lpstr>Thomasglotries</vt:lpstr>
      <vt:lpstr>Thorleygloptscorrect</vt:lpstr>
      <vt:lpstr>Thorleyglotriescorrect</vt:lpstr>
      <vt:lpstr>Tompkinssarptscorrect2</vt:lpstr>
      <vt:lpstr>Tompkinssartriescorrect</vt:lpstr>
      <vt:lpstr>Townsendexepts</vt:lpstr>
      <vt:lpstr>Townsendexetries</vt:lpstr>
      <vt:lpstr>Trinderglopts</vt:lpstr>
      <vt:lpstr>Trindertriestries</vt:lpstr>
      <vt:lpstr>Tshiunzaexepts</vt:lpstr>
      <vt:lpstr>Tshiunzaexetries</vt:lpstr>
      <vt:lpstr>Tuimaexepts</vt:lpstr>
      <vt:lpstr>Tuimaexetries</vt:lpstr>
      <vt:lpstr>tuipulotuglopts</vt:lpstr>
      <vt:lpstr>Tuipulotuglotries</vt:lpstr>
      <vt:lpstr>twelvetreesatt</vt:lpstr>
      <vt:lpstr>Twelvetreesglopts</vt:lpstr>
      <vt:lpstr>Twelvetreesglotries</vt:lpstr>
      <vt:lpstr>twelvetreesgoals</vt:lpstr>
      <vt:lpstr>van_der_Sluysexepts</vt:lpstr>
      <vt:lpstr>van_der_Sluysexetries</vt:lpstr>
      <vt:lpstr>van_Heerdenexepts</vt:lpstr>
      <vt:lpstr>van_Heerdenexetries</vt:lpstr>
      <vt:lpstr>van_Zylsarptscorrect</vt:lpstr>
      <vt:lpstr>van_Zylsartriescorrect</vt:lpstr>
      <vt:lpstr>Vellacottglopts</vt:lpstr>
      <vt:lpstr>Vellacottglotries</vt:lpstr>
      <vt:lpstr>vennerglohpts</vt:lpstr>
      <vt:lpstr>Vennerglohtries</vt:lpstr>
      <vt:lpstr>Vinuezasarpts</vt:lpstr>
      <vt:lpstr>Vinuezasartries</vt:lpstr>
      <vt:lpstr>Visagieglopts</vt:lpstr>
      <vt:lpstr>Visagieglotries</vt:lpstr>
      <vt:lpstr>Vunipola__Makosarptscorrect</vt:lpstr>
      <vt:lpstr>Vunipola__Makosartriescorrect</vt:lpstr>
      <vt:lpstr>Vunipola__Manusarptscorrect</vt:lpstr>
      <vt:lpstr>Vunipola__Manusartriescorrect</vt:lpstr>
      <vt:lpstr>Vunipola_Bsarptscorrect</vt:lpstr>
      <vt:lpstr>Vunipola_Bsartriescorrect</vt:lpstr>
      <vt:lpstr>vunipolasarattcorrect</vt:lpstr>
      <vt:lpstr>vunipolasarglscorrect</vt:lpstr>
      <vt:lpstr>walkerglohpts</vt:lpstr>
      <vt:lpstr>Walkerglohtries</vt:lpstr>
      <vt:lpstr>Whittenpts</vt:lpstr>
      <vt:lpstr>Whittentries</vt:lpstr>
      <vt:lpstr>Wilkinsonbripts</vt:lpstr>
      <vt:lpstr>Wilkinsonbritries</vt:lpstr>
      <vt:lpstr>williamsbriatt</vt:lpstr>
      <vt:lpstr>williamsbrigls</vt:lpstr>
      <vt:lpstr>Williamsexepts</vt:lpstr>
      <vt:lpstr>Williamsexetries</vt:lpstr>
      <vt:lpstr>Wilsonsarpts</vt:lpstr>
      <vt:lpstr>Wilsonsartries</vt:lpstr>
      <vt:lpstr>wilsteadbriatt</vt:lpstr>
      <vt:lpstr>wilsteadbrigls</vt:lpstr>
      <vt:lpstr>Woodburnexepts</vt:lpstr>
      <vt:lpstr>Woodburnexetries</vt:lpstr>
      <vt:lpstr>Woodwardglopts</vt:lpstr>
      <vt:lpstr>Woodwardglotries</vt:lpstr>
      <vt:lpstr>Woolstencroftsarptscorrect</vt:lpstr>
      <vt:lpstr>Woolstencroftsartriescorrect</vt:lpstr>
      <vt:lpstr>worsleybriatt</vt:lpstr>
      <vt:lpstr>worsleybrigls</vt:lpstr>
      <vt:lpstr>Wraysarptscorrect</vt:lpstr>
      <vt:lpstr>Wraysartriescorrect</vt:lpstr>
      <vt:lpstr>Wyattexepts</vt:lpstr>
      <vt:lpstr>Wyattexetries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dcterms:created xsi:type="dcterms:W3CDTF">2012-08-28T10:26:03Z</dcterms:created>
  <dcterms:modified xsi:type="dcterms:W3CDTF">2023-11-14T09:25:27Z</dcterms:modified>
</cp:coreProperties>
</file>