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97d62a7607d3ee9b/Hillsport Media/PREM/2025-26/"/>
    </mc:Choice>
  </mc:AlternateContent>
  <xr:revisionPtr revIDLastSave="10742" documentId="8_{038774E9-348D-4260-868F-06F380B8E838}" xr6:coauthVersionLast="47" xr6:coauthVersionMax="47" xr10:uidLastSave="{03F57B6F-7CB0-4331-B05A-89BBE3B64682}"/>
  <bookViews>
    <workbookView xWindow="-109" yWindow="-109" windowWidth="26301" windowHeight="14169" tabRatio="952" activeTab="10" xr2:uid="{00000000-000D-0000-FFFF-FFFF00000000}"/>
  </bookViews>
  <sheets>
    <sheet name="BTH" sheetId="1" r:id="rId1"/>
    <sheet name="BRI" sheetId="6" r:id="rId2"/>
    <sheet name="EXE" sheetId="2" r:id="rId3"/>
    <sheet name="GLO" sheetId="3" r:id="rId4"/>
    <sheet name="HAR" sheetId="4" r:id="rId5"/>
    <sheet name="LEI" sheetId="5" r:id="rId6"/>
    <sheet name="NRB" sheetId="11" r:id="rId7"/>
    <sheet name="NOR" sheetId="9" r:id="rId8"/>
    <sheet name="SAL" sheetId="10" r:id="rId9"/>
    <sheet name="SAR" sheetId="14" r:id="rId10"/>
    <sheet name="PREM - OVERALL" sheetId="13" r:id="rId11"/>
    <sheet name="PREM CUP - OVERALL" sheetId="16" r:id="rId12"/>
  </sheets>
  <externalReferences>
    <externalReference r:id="rId13"/>
  </externalReferences>
  <definedNames>
    <definedName name="A_Wallerpts">NOR!$G$48</definedName>
    <definedName name="A_Wallertries">NOR!$B$48</definedName>
    <definedName name="Abbottjakepts">#REF!</definedName>
    <definedName name="Abbottjaketries">#REF!</definedName>
    <definedName name="Abendanonnickpts">BTH!#REF!</definedName>
    <definedName name="Abendanonnicktries">BTH!#REF!</definedName>
    <definedName name="Ackermannglopts">GLO!#REF!</definedName>
    <definedName name="Ackermannglotries">GLO!#REF!</definedName>
    <definedName name="Adams_Halesarpts">NRB!#REF!</definedName>
    <definedName name="Adams_Halesarptscorrect">SAR!#REF!</definedName>
    <definedName name="Adams_Halesartries">NRB!#REF!</definedName>
    <definedName name="Adams_Halesartriescorrect">SAR!#REF!</definedName>
    <definedName name="Adamsworpts">#REF!</definedName>
    <definedName name="Adamswortries">#REF!</definedName>
    <definedName name="Adderly_Jonesglopts">GLO!#REF!</definedName>
    <definedName name="Adderly_Jonesglotries">GLO!#REF!</definedName>
    <definedName name="Addisonsal2ndspellpts">SAL!#REF!</definedName>
    <definedName name="Addisonsal2ndspelltries">SAL!#REF!</definedName>
    <definedName name="Addisonsalpts">SAL!#REF!</definedName>
    <definedName name="Addisonsaltries">SAL!#REF!</definedName>
    <definedName name="adegbemilesarpremcuppts">SAR!$I$3</definedName>
    <definedName name="adegbemilesarpremcuptries">SAR!$D$3</definedName>
    <definedName name="Adejimisarpts">SAR!$G$3</definedName>
    <definedName name="Adejimisartries">SAR!$B$3</definedName>
    <definedName name="Adendorffnorpts">NOR!#REF!</definedName>
    <definedName name="Adendorffnortries">NOR!#REF!</definedName>
    <definedName name="Adeolokunbripts">BRI!#REF!</definedName>
    <definedName name="Adeolokunbritries">BRI!#REF!</definedName>
    <definedName name="afoabripts">BRI!#REF!</definedName>
    <definedName name="afoabritries">BRI!#REF!</definedName>
    <definedName name="Afoaglopts">GLO!#REF!</definedName>
    <definedName name="Afoaglotries">GLO!#REF!</definedName>
    <definedName name="Agullabatpts">BTH!#REF!</definedName>
    <definedName name="Agullabattries">BTH!#REF!</definedName>
    <definedName name="Agullapts">BTH!#REF!</definedName>
    <definedName name="Agullatries">BTH!#REF!</definedName>
    <definedName name="Ah_Younewpts">#REF!</definedName>
    <definedName name="Ah_Younewtries">#REF!</definedName>
    <definedName name="Aholeleiwelshpts">#REF!</definedName>
    <definedName name="Aholeleiwelshtries">#REF!</definedName>
    <definedName name="alemannoglopremcuppts">GLO!$I$3</definedName>
    <definedName name="alemannoglopremcuptries">GLO!$D$3</definedName>
    <definedName name="Alemannoglopts">GLO!$G$3</definedName>
    <definedName name="Alemannoglotries">GLO!$B$3</definedName>
    <definedName name="allanleipremcuppts">LEI!$I$3</definedName>
    <definedName name="allanleipremcuptries">LEI!$D$3</definedName>
    <definedName name="Allenanthonypts">LEI!#REF!</definedName>
    <definedName name="Allenanthonytries">LEI!#REF!</definedName>
    <definedName name="Allinsonbatpts">BTH!#REF!</definedName>
    <definedName name="Allinsonbattries">BTH!#REF!</definedName>
    <definedName name="allinsonliatt">BRI!$M$13</definedName>
    <definedName name="allinsonligoals">BRI!$L$13</definedName>
    <definedName name="Allinsonlipts">BRI!#REF!</definedName>
    <definedName name="Allinsonlitries">BRI!#REF!</definedName>
    <definedName name="Allinsonpts">BRI!#REF!</definedName>
    <definedName name="Allinsontries">BRI!#REF!</definedName>
    <definedName name="Allmannorpts">NOR!#REF!</definedName>
    <definedName name="Allmannortries">NOR!#REF!</definedName>
    <definedName name="Allportglopts">GLO!$G$4</definedName>
    <definedName name="Allportglotries">GLO!$B$4</definedName>
    <definedName name="Alofafartries">HAR!#REF!</definedName>
    <definedName name="Alofaharpts">HAR!#REF!</definedName>
    <definedName name="Aloworpts">#REF!</definedName>
    <definedName name="Alowortries">#REF!</definedName>
    <definedName name="andersonharpremcuppts">HAR!$I$3</definedName>
    <definedName name="andersonharpremcuptries">HAR!$D$3</definedName>
    <definedName name="Andersonharpts">HAR!$G$3</definedName>
    <definedName name="Andersonhartries">HAR!$B$3</definedName>
    <definedName name="Andrewssalpts">SAL!$G$3</definedName>
    <definedName name="Andrewssaltries">SAL!$B$3</definedName>
    <definedName name="Annettbthpts">BTH!#REF!</definedName>
    <definedName name="Annettbthtries">BTH!#REF!</definedName>
    <definedName name="anscombegloatt">GLO!#REF!</definedName>
    <definedName name="anscombeglogls">GLO!#REF!</definedName>
    <definedName name="Anscombeglopts">GLO!#REF!</definedName>
    <definedName name="Anscombeglotries">GLO!#REF!</definedName>
    <definedName name="Anyanwuharpts">HAR!#REF!</definedName>
    <definedName name="Anyanwuhartries">HAR!#REF!</definedName>
    <definedName name="Armanddonpts">EXE!$G$3</definedName>
    <definedName name="Armanddontries">EXE!$B$3</definedName>
    <definedName name="Armitageguytries">BRI!#REF!</definedName>
    <definedName name="Armitagewaspts">#REF!</definedName>
    <definedName name="Armitagewastries">#REF!</definedName>
    <definedName name="Armstrongbripts">BRI!#REF!</definedName>
    <definedName name="Armstrongbritries">BRI!#REF!</definedName>
    <definedName name="ArmstrongEXEpts">EXE!#REF!</definedName>
    <definedName name="ArmstrongEXEtries">EXE!#REF!</definedName>
    <definedName name="Armstrongjakebripts">BRI!#REF!</definedName>
    <definedName name="Armstrongjakebritries">BRI!#REF!</definedName>
    <definedName name="Armtageguypts">BRI!#REF!</definedName>
    <definedName name="Arnoldnewpts">NRB!$G$3</definedName>
    <definedName name="Arnoldnewtries">NRB!$B$3</definedName>
    <definedName name="Arnottexepts">EXE!#REF!</definedName>
    <definedName name="Arnottexetries">EXE!#REF!</definedName>
    <definedName name="Arscottbatpts">BTH!#REF!</definedName>
    <definedName name="Arscottbattries">BTH!#REF!</definedName>
    <definedName name="arscottbriatt">BRI!#REF!</definedName>
    <definedName name="Arscottbrigoals">BRI!#REF!</definedName>
    <definedName name="Arscottlukepts">EXE!#REF!</definedName>
    <definedName name="Arscottluketries">EXE!#REF!</definedName>
    <definedName name="arscottnewatt">#REF!</definedName>
    <definedName name="arscottnewgls">#REF!</definedName>
    <definedName name="Arscottnewpts">#REF!</definedName>
    <definedName name="Arscottnewptscorrect">NRB!#REF!</definedName>
    <definedName name="Arscottnewtries">#REF!</definedName>
    <definedName name="Arscottnewtriescorrect">NRB!#REF!</definedName>
    <definedName name="Arscottsalpts">SAL!#REF!</definedName>
    <definedName name="Arscottsaltries">SAL!#REF!</definedName>
    <definedName name="arscotttomatt">SAL!#REF!</definedName>
    <definedName name="arscotttomgoals">SAL!#REF!</definedName>
    <definedName name="Arscotttompts">SAL!#REF!</definedName>
    <definedName name="Arscotttomptscorrect">SAL!#REF!</definedName>
    <definedName name="Arscotttomtries">SAL!#REF!</definedName>
    <definedName name="Arundellirpts">#REF!</definedName>
    <definedName name="Arundellirtries">#REF!</definedName>
    <definedName name="Ascherlbripts">BRI!#REF!</definedName>
    <definedName name="Ascherlbritries">BRI!#REF!</definedName>
    <definedName name="Ashmansalpts">SAL!#REF!</definedName>
    <definedName name="Ashmansaltries">SAL!#REF!</definedName>
    <definedName name="Ashtonchrisptscorrect">NRB!#REF!</definedName>
    <definedName name="Ashtonchristriescorrect">NRB!#REF!</definedName>
    <definedName name="Ashtonpts">NRB!#REF!</definedName>
    <definedName name="Ashtonsalpts">SAL!#REF!</definedName>
    <definedName name="Ashtonsaltries">SAL!#REF!</definedName>
    <definedName name="ashtontries">NRB!#REF!</definedName>
    <definedName name="Ashtonworpts">#REF!</definedName>
    <definedName name="Ashtonwortries">#REF!</definedName>
    <definedName name="Atkinsbthatt">BTH!#REF!</definedName>
    <definedName name="Atkinsbthgls">BTH!#REF!</definedName>
    <definedName name="Atkinsbthpts">BTH!#REF!</definedName>
    <definedName name="Atkinsbthtries">BTH!#REF!</definedName>
    <definedName name="atkinsliratt">BRI!#REF!</definedName>
    <definedName name="atkinslirgls">BRI!#REF!</definedName>
    <definedName name="Atkinson_Cglopremcupatt">GLO!$M$32</definedName>
    <definedName name="Atkinson_Cglopremcupgls">GLO!$L$32</definedName>
    <definedName name="Atkinson_Cglopts">GLO!$G$5</definedName>
    <definedName name="Atkinson_Cglotries">GLO!$B$5</definedName>
    <definedName name="Atkinson_Sglopts">GLO!$G$6</definedName>
    <definedName name="Atkinson_Sglotries">GLO!$B$6</definedName>
    <definedName name="atkinsonCgloatt">GLO!$M$4</definedName>
    <definedName name="atkinsonCglogls">GLO!$L$4</definedName>
    <definedName name="atkinsoncglopremcuppts">GLO!$I$5</definedName>
    <definedName name="atkinsoncglopremcuptries">GLO!$D$5</definedName>
    <definedName name="Atkinsonglopts">GLO!#REF!</definedName>
    <definedName name="Atkinsonglotries">GLO!#REF!</definedName>
    <definedName name="atkinsonleicatt">LEI!#REF!</definedName>
    <definedName name="atkinsonleicgls">LEI!#REF!</definedName>
    <definedName name="atkinsonwasatt">#REF!</definedName>
    <definedName name="atkinsonwasgls">#REF!</definedName>
    <definedName name="Atkinsonwaspts">#REF!</definedName>
    <definedName name="Atkinsonwastries">#REF!</definedName>
    <definedName name="Atkinsonworpts">#REF!</definedName>
    <definedName name="Atkinsonwortries">#REF!</definedName>
    <definedName name="Attwooddavepts">BTH!#REF!</definedName>
    <definedName name="Attwooddavetries">BTH!#REF!</definedName>
    <definedName name="Attwoodpts">BTH!$G$39</definedName>
    <definedName name="attwoodtries">BTH!#REF!</definedName>
    <definedName name="Augustusnorpts">NOR!#REF!</definedName>
    <definedName name="Augustusnortries">NOR!#REF!</definedName>
    <definedName name="Aulikalipts">BRI!#REF!</definedName>
    <definedName name="Aulikalitries">BRI!#REF!</definedName>
    <definedName name="Aulikasalpts">SAL!#REF!</definedName>
    <definedName name="Aulikasaltries">SAL!#REF!</definedName>
    <definedName name="austinglopremcuppts">GLO!$I$7</definedName>
    <definedName name="austinglopremcuptries">GLO!$D$7</definedName>
    <definedName name="Austinglopts">GLO!$G$7</definedName>
    <definedName name="Austinglotries">GLO!$B$7</definedName>
    <definedName name="Autagavaiafaatoinapts">NOR!#REF!</definedName>
    <definedName name="Autagavaiafaatoinatries">NOR!#REF!</definedName>
    <definedName name="Auteracharpts">HAR!#REF!</definedName>
    <definedName name="Auterachartries">HAR!#REF!</definedName>
    <definedName name="Auteracnicbatpts">BTH!#REF!</definedName>
    <definedName name="auteracnicbattries">BTH!#REF!</definedName>
    <definedName name="Auteracnorpts">NOR!#REF!</definedName>
    <definedName name="Auteracnortries">NOR!#REF!</definedName>
    <definedName name="Awcockalanpts">#REF!</definedName>
    <definedName name="Awcockalantries">#REF!</definedName>
    <definedName name="Ayerzaleipts">LEI!#REF!</definedName>
    <definedName name="Ayerzaleitries">LEI!#REF!</definedName>
    <definedName name="Baileipts">LEI!#REF!</definedName>
    <definedName name="Baileitries">LEI!#REF!</definedName>
    <definedName name="baileybthatt">BTH!$M$4</definedName>
    <definedName name="Baileybthgls">BTH!$L$4</definedName>
    <definedName name="Baileybthpts">BTH!$G$3</definedName>
    <definedName name="Baileybthtries">BTH!$B$3</definedName>
    <definedName name="Baileyleipremcupatt">LEI!$M$32</definedName>
    <definedName name="Baileyleipremcupgls">LEI!$L$32</definedName>
    <definedName name="baileyleipremcuppts">LEI!$I$4</definedName>
    <definedName name="baileyleipremcuptries">LEI!$D$4</definedName>
    <definedName name="Bainessalpts">SAL!#REF!</definedName>
    <definedName name="Bainessaltries">SAL!#REF!</definedName>
    <definedName name="Bakerbripts">BRI!$G$3</definedName>
    <definedName name="Bakerbritries">BRI!$B$3</definedName>
    <definedName name="Baldwinharpts">HAR!#REF!</definedName>
    <definedName name="Baldwinhartries">HAR!#REF!</definedName>
    <definedName name="Balmainglopts">GLO!#REF!</definedName>
    <definedName name="Balmainglotries">GLO!#REF!</definedName>
    <definedName name="Balmainleipts">LEI!#REF!</definedName>
    <definedName name="Balmainleitries">LEI!#REF!</definedName>
    <definedName name="Balmainsarpts">SAR!$G$4</definedName>
    <definedName name="Balmainsartries">SAR!$B$4</definedName>
    <definedName name="bamberpremcuppts">SAL!$I$4</definedName>
    <definedName name="bamberpremcuptries">SAL!$D$4</definedName>
    <definedName name="BamberSALpts">SAL!$G$4</definedName>
    <definedName name="BamberSALtries">SAL!$B$4</definedName>
    <definedName name="banahanbatatt">BTH!#REF!</definedName>
    <definedName name="banahanbatgoals">BTH!#REF!</definedName>
    <definedName name="Banahanglopts">GLO!#REF!</definedName>
    <definedName name="Banahanglotries">GLO!#REF!</definedName>
    <definedName name="Banahanmatttries">BTH!#REF!</definedName>
    <definedName name="Banahanpts2">BTH!#REF!</definedName>
    <definedName name="Banahanptscorrect">BTH!#REF!</definedName>
    <definedName name="Banahantries">BTH!#REF!</definedName>
    <definedName name="banahantries2">BTH!#REF!</definedName>
    <definedName name="Banahantriescorrect">BTH!#REF!</definedName>
    <definedName name="banhanpts">BTH!#REF!</definedName>
    <definedName name="Barbearybthpts">BTH!$G$4</definedName>
    <definedName name="Barbearybthtries">BTH!$B$4</definedName>
    <definedName name="Barbearywaspts">#REF!</definedName>
    <definedName name="Barbearywastrie">#REF!</definedName>
    <definedName name="Barbierileipts">LEI!#REF!</definedName>
    <definedName name="Barbierileitries">LEI!#REF!</definedName>
    <definedName name="Barkerbripts">BRI!$G$4</definedName>
    <definedName name="Barkerbritries">BRI!$B$4</definedName>
    <definedName name="Barkleyollypts">#REF!</definedName>
    <definedName name="Barkleyollytries">#REF!</definedName>
    <definedName name="barkleywelatt">#REF!</definedName>
    <definedName name="barkleywelgoals">#REF!</definedName>
    <definedName name="Barnesharpts">HAR!#REF!</definedName>
    <definedName name="Barneshartries">HAR!#REF!</definedName>
    <definedName name="Barnesnewpts">#REF!</definedName>
    <definedName name="Barnesnewtries">#REF!</definedName>
    <definedName name="Barringtonrichardpts">NRB!#REF!</definedName>
    <definedName name="Barringtonrichardtries">NRB!#REF!</definedName>
    <definedName name="Barringtonsarptscorrect">SAR!#REF!</definedName>
    <definedName name="Barringtonsartriescorrect">SAR!#REF!</definedName>
    <definedName name="Barrittbradpts">NRB!$G$5</definedName>
    <definedName name="Barrittbradtries">NRB!$B$5</definedName>
    <definedName name="Barrownewpts">#REF!</definedName>
    <definedName name="Barrownewtries">#REF!</definedName>
    <definedName name="Barrownorpts">NOR!#REF!</definedName>
    <definedName name="Barrownortries">NOR!#REF!</definedName>
    <definedName name="Bartlettglopts">GLO!#REF!</definedName>
    <definedName name="Bartlettglotries">GLO!#REF!</definedName>
    <definedName name="Bartongloatt">GLO!$M$5</definedName>
    <definedName name="Bartonglogls">GLO!$L$5</definedName>
    <definedName name="Bartonglopremcupatt">GLO!$M$33</definedName>
    <definedName name="Bartonglopremcupgls">GLO!$L$33</definedName>
    <definedName name="bartonglopremcuppfts">GLO!$I$8</definedName>
    <definedName name="bartonglopremcuptries">GLO!$D$8</definedName>
    <definedName name="Bartonglopts">GLO!$G$8</definedName>
    <definedName name="Bartonglotries">GLO!$B$8</definedName>
    <definedName name="Bashamlirpts">#REF!</definedName>
    <definedName name="Bashamlirtries">#REF!</definedName>
    <definedName name="Bashamnewpts">#REF!</definedName>
    <definedName name="Bashamnewtries">#REF!</definedName>
    <definedName name="Bassettharpts">HAR!#REF!</definedName>
    <definedName name="BassettHartries">HAR!#REF!</definedName>
    <definedName name="bassettjoshtries">#REF!</definedName>
    <definedName name="BassettLEIpts">LEI!$G$4</definedName>
    <definedName name="BassettLEItries">LEI!$B$4</definedName>
    <definedName name="Bassettpts">#REF!</definedName>
    <definedName name="bassetttries">#REF!</definedName>
    <definedName name="Bassettwaspts">#REF!</definedName>
    <definedName name="Bassettwastries">#REF!</definedName>
    <definedName name="Batemangregpts">EXE!#REF!</definedName>
    <definedName name="Batemangregtries">EXE!#REF!</definedName>
    <definedName name="Batemanleipts">LEI!$G$3</definedName>
    <definedName name="Batemanleitries">LEI!$B$3</definedName>
    <definedName name="Batesbripts">BRI!$G$5</definedName>
    <definedName name="Batesbritries">BRI!$B$5</definedName>
    <definedName name="bathpentries">BTH!#REF!</definedName>
    <definedName name="bathpentriespts">BTH!#REF!</definedName>
    <definedName name="bathpentriesptscorrect">BTH!#REF!</definedName>
    <definedName name="bathpentriesptsthisone">BTH!$G$39</definedName>
    <definedName name="bathpentriestriescorrect">BTH!#REF!</definedName>
    <definedName name="bathpentriestriesthisone">BTH!$B$39</definedName>
    <definedName name="BathPts">BTH!$G$59</definedName>
    <definedName name="bathscorers">BTH!#REF!</definedName>
    <definedName name="BathTries">BTH!$B$59</definedName>
    <definedName name="Batleybripts">BRI!#REF!</definedName>
    <definedName name="Batleybriptscorrect">BRI!$G$6</definedName>
    <definedName name="Batleybritries">BRI!#REF!</definedName>
    <definedName name="Batleybritriescorrect">BRI!$B$6</definedName>
    <definedName name="Batleyworpts">#REF!</definedName>
    <definedName name="Batleywortries">#REF!</definedName>
    <definedName name="Battyrosspts">BTH!#REF!</definedName>
    <definedName name="Battyrosstries">BTH!#REF!</definedName>
    <definedName name="Baxterharpts">HAR!$G$4</definedName>
    <definedName name="Baxterhartries">HAR!$B$4</definedName>
    <definedName name="Baylissbthpts">BTH!$G$5</definedName>
    <definedName name="Baylissbthtries">BTH!$B$5</definedName>
    <definedName name="bazalgettebribriatt">BRI!#REF!</definedName>
    <definedName name="bazalgettebrigls">BRI!#REF!</definedName>
    <definedName name="Bazalgettebripts">BRI!#REF!</definedName>
    <definedName name="Bazalgettebritries">BRI!#REF!</definedName>
    <definedName name="Bealewaspts">#REF!</definedName>
    <definedName name="Bealewastries">#REF!</definedName>
    <definedName name="beardharatt">HAR!$M$4</definedName>
    <definedName name="beardhargls">HAR!$L$4</definedName>
    <definedName name="Beardharpts">HAR!$G$5</definedName>
    <definedName name="Beardhartries">HAR!$B$5</definedName>
    <definedName name="beatonsarpremcuppts">SAR!$I$7</definedName>
    <definedName name="beatonsarpremcuptries">SAR!$D$7</definedName>
    <definedName name="Beatonsarpts">SAR!$G$7</definedName>
    <definedName name="Beatonsartries">SAR!$B$7</definedName>
    <definedName name="Beaumontsalpts">SAL!#REF!</definedName>
    <definedName name="Beaumontsaltries">SAL!#REF!</definedName>
    <definedName name="becconsallexeatt">EXE!$M$4</definedName>
    <definedName name="becconsallexegls">EXE!$L$4</definedName>
    <definedName name="Beckworpts">#REF!</definedName>
    <definedName name="Beckwortries">#REF!</definedName>
    <definedName name="Bedlow_Jsalpts">SAL!$G$5</definedName>
    <definedName name="Bedlow_Jsaltries">SAL!$B$5</definedName>
    <definedName name="bedlowbriatt">BRI!#REF!</definedName>
    <definedName name="Bedlowbrigls">BRI!#REF!</definedName>
    <definedName name="Bedlowbripts">BRI!$G$7</definedName>
    <definedName name="bedlowbritries">BRI!$B$7</definedName>
    <definedName name="bedlowjoesalpremcuppts">SAL!$I$5</definedName>
    <definedName name="bedlowjoesalpremcuptries">SAL!$D$5</definedName>
    <definedName name="BedlowSAL_pts">SAL!$G$6</definedName>
    <definedName name="BedlowSAL_tries">SAL!$B$6</definedName>
    <definedName name="bedlowsalatt">SAL!#REF!</definedName>
    <definedName name="bedlowsalattcorrect">SAL!$M$4</definedName>
    <definedName name="Bedlowsalgls">SAL!#REF!</definedName>
    <definedName name="bedlowsalglscorrect">SAL!$L$4</definedName>
    <definedName name="BedlowSALPTS">SAL!#REF!</definedName>
    <definedName name="BedlowSALTRIES">SAL!#REF!</definedName>
    <definedName name="Beechcharliepts">BTH!#REF!</definedName>
    <definedName name="Beechcharlietries">BTH!#REF!</definedName>
    <definedName name="Beetsleicpts">LEI!$G$5</definedName>
    <definedName name="Beetsleictries">LEI!$B$5</definedName>
    <definedName name="Bell_C">#REF!</definedName>
    <definedName name="bellamyharatt">HAR!$M$5</definedName>
    <definedName name="bellamyhargls">HAR!$L$5</definedName>
    <definedName name="bellamyharpremcupatt">HAR!$M$29</definedName>
    <definedName name="bellamyharpremcupgls">HAR!$L$29</definedName>
    <definedName name="Bellamyharpremcuppts">HAR!$I$6</definedName>
    <definedName name="Bellamyharpremcuptries">HAR!$D$6</definedName>
    <definedName name="Bellamyharpts">HAR!$G$6</definedName>
    <definedName name="Bellamyhartries">HAR!$B$6</definedName>
    <definedName name="Bellchrispts">#REF!</definedName>
    <definedName name="Bellchristries">#REF!</definedName>
    <definedName name="belleaunoratt">NOR!$M$4</definedName>
    <definedName name="belleaunorgls">NOR!$L$4</definedName>
    <definedName name="Belleaunorpremcupatt">NOR!$M$31</definedName>
    <definedName name="Belleaunorpremcupgls">NOR!$L$31</definedName>
    <definedName name="Belleaunorpremcuppts">NOR!$I$3</definedName>
    <definedName name="Belleaunorpremcuptries">NOR!$D$3</definedName>
    <definedName name="bellleiatt">LEI!#REF!</definedName>
    <definedName name="Bellleigoals">LEI!#REF!</definedName>
    <definedName name="Bellleipts">LEI!#REF!</definedName>
    <definedName name="Bellleitries">LEI!#REF!</definedName>
    <definedName name="Bellonewpts">NRB!$G$4</definedName>
    <definedName name="Bellonewtries">NRB!$B$4</definedName>
    <definedName name="Belltommypts">#REF!</definedName>
    <definedName name="Belltommytries">#REF!</definedName>
    <definedName name="BenettonPts">[1]BEN!$F$54</definedName>
    <definedName name="BenettonTries">[1]BEN!$B$54</definedName>
    <definedName name="Benjaminleipts">LEI!#REF!</definedName>
    <definedName name="Benjaminleitries">LEI!#REF!</definedName>
    <definedName name="Benjaminmilespts">LEI!#REF!</definedName>
    <definedName name="Benjaminmilestries">LEI!#REF!</definedName>
    <definedName name="Bennettnorpts">NOR!#REF!</definedName>
    <definedName name="Bennettnortries">NOR!#REF!</definedName>
    <definedName name="bensonharatt">HAR!$M$6</definedName>
    <definedName name="bensonhargls">HAR!$L$6</definedName>
    <definedName name="Bensonharpremcupatt">HAR!$M$30</definedName>
    <definedName name="Bensonharpremcupgls">HAR!$L$30</definedName>
    <definedName name="bensonharpremcuppts">HAR!$I$7</definedName>
    <definedName name="bensonharpremcuptries">HAR!$D$7</definedName>
    <definedName name="Bensonharpts">HAR!$G$7</definedName>
    <definedName name="Bensonhartries">HAR!$B$7</definedName>
    <definedName name="bensonnorpremcuppts">NOR!$I$4</definedName>
    <definedName name="bensonnorpremcuptries">NOR!$D$4</definedName>
    <definedName name="Bensonnorpts">NOR!$G$4</definedName>
    <definedName name="Bensonnortries">NOR!$B$4</definedName>
    <definedName name="Bentleyjonnypts">GLO!#REF!</definedName>
    <definedName name="Benz_Salomon_Jbripts">BRI!#REF!</definedName>
    <definedName name="Benz_Salomon_Jbritri">BRI!#REF!</definedName>
    <definedName name="Bettencourtnewpts">#REF!</definedName>
    <definedName name="Bettencourtnewtries">#REF!</definedName>
    <definedName name="Bettysampts">#REF!</definedName>
    <definedName name="Bettysamtries">#REF!</definedName>
    <definedName name="bevanbripremcuppts">BRI!$I$8</definedName>
    <definedName name="bevanbripremcuptries">BRI!$D$8</definedName>
    <definedName name="Bevingtonbstpts">BRI!#REF!</definedName>
    <definedName name="Bevingtonbsttries">BRI!#REF!</definedName>
    <definedName name="Biggarnorpts">NOR!#REF!</definedName>
    <definedName name="Biggarnortries">NOR!#REF!</definedName>
    <definedName name="Biggstompts">BTH!#REF!</definedName>
    <definedName name="Biggstomtries">BTH!#REF!</definedName>
    <definedName name="Birchsalpts">SAL!$G$7</definedName>
    <definedName name="Birchsaltries">SAL!$B$7</definedName>
    <definedName name="blackettnewatt">NRB!#REF!</definedName>
    <definedName name="blackettnewgls">NRB!#REF!</definedName>
    <definedName name="Blackettnewpts">NRB!#REF!</definedName>
    <definedName name="Blackettnewtries">NRB!#REF!</definedName>
    <definedName name="Blackmoreglopts">GLO!$G$9</definedName>
    <definedName name="Blackmoreglotries">GLO!$B$9</definedName>
    <definedName name="Blackworpts">#REF!</definedName>
    <definedName name="Blackwortries">#REF!</definedName>
    <definedName name="Blairnewpts">#REF!</definedName>
    <definedName name="Blairpts">#REF!</definedName>
    <definedName name="Blairtries">#REF!</definedName>
    <definedName name="blakeglopremcuppts">GLO!$I$11</definedName>
    <definedName name="blakeglopremcuptries">GLO!$D$11</definedName>
    <definedName name="Blakeglopts">GLO!$G$11</definedName>
    <definedName name="Blakeglotries">GLO!$B$11</definedName>
    <definedName name="blamireleipremcuppts">LEI!$I$5</definedName>
    <definedName name="blamireleipremcuptries">LEI!$D$5</definedName>
    <definedName name="Blamirenewpts">#REF!</definedName>
    <definedName name="Blamirenewtries">#REF!</definedName>
    <definedName name="Bleulerglopts">GLO!$G$12</definedName>
    <definedName name="Bleulerglotries">GLO!$B$12</definedName>
    <definedName name="Blommetjiesleicpts">LEI!$G$9</definedName>
    <definedName name="Blommetjiesleictries">LEI!$B$9</definedName>
    <definedName name="Bodillyexepts">EXE!#REF!</definedName>
    <definedName name="Bodillyexetries">EXE!#REF!</definedName>
    <definedName name="boschatt">NRB!#REF!</definedName>
    <definedName name="Boschgoals">NRB!#REF!</definedName>
    <definedName name="Boschmarcelopts">NRB!$G$6</definedName>
    <definedName name="Boschmarcelotries">NRB!$B$6</definedName>
    <definedName name="boshoffbripremcuppts">BRI!$I$7</definedName>
    <definedName name="boshoffbripremcuptries">BRI!$D$7</definedName>
    <definedName name="Bothaexepts">EXE!#REF!</definedName>
    <definedName name="Bothaexetries">EXE!#REF!</definedName>
    <definedName name="Bothalirpts">#REF!</definedName>
    <definedName name="Bothalirtries">#REF!</definedName>
    <definedName name="Bothamouritzpts">NRB!#REF!</definedName>
    <definedName name="Bothamouritztries">NRB!#REF!</definedName>
    <definedName name="Bothmaharpts">HAR!#REF!</definedName>
    <definedName name="Bothmahartries">HAR!#REF!</definedName>
    <definedName name="boticaatt">HAR!#REF!</definedName>
    <definedName name="Boticabentries">HAR!#REF!</definedName>
    <definedName name="boticagoals">HAR!#REF!</definedName>
    <definedName name="Boticaharpts">HAR!#REF!</definedName>
    <definedName name="Boticapts">HAR!#REF!</definedName>
    <definedName name="Bowdendanpts">LEI!#REF!</definedName>
    <definedName name="Bowdendantries">LEI!#REF!</definedName>
    <definedName name="Bowdenpts">LEI!#REF!</definedName>
    <definedName name="bowdentries">LEI!#REF!</definedName>
    <definedName name="Boycebthpts">BTH!#REF!</definedName>
    <definedName name="Boycebthtries">BTH!#REF!</definedName>
    <definedName name="Boyceharpts">HAR!#REF!</definedName>
    <definedName name="Boycehartries">HAR!#REF!</definedName>
    <definedName name="Bracken_CSARPTS">SAR!$G$5</definedName>
    <definedName name="Bracken_CSARTRIES">SAR!$B$5</definedName>
    <definedName name="brackencsarpremcuppts">SAR!$I$5</definedName>
    <definedName name="brackencsarpremcuptries">SAR!$D$5</definedName>
    <definedName name="brackenjsarpremcuppts">SAR!$I$6</definedName>
    <definedName name="brackenjsarpremcuptries">SAR!$D$6</definedName>
    <definedName name="Brackensarpts">SAR!$G$6</definedName>
    <definedName name="Brackensartries">SAR!$B$6</definedName>
    <definedName name="Bradburybripts">BRI!#REF!</definedName>
    <definedName name="Bradburybritries">BRI!#REF!</definedName>
    <definedName name="bradleyharpremcuppts">HAR!$I$8</definedName>
    <definedName name="bradleyharpremcuptries">HAR!$D$8</definedName>
    <definedName name="Bradleyharpts">HAR!$G$8</definedName>
    <definedName name="Bradleyhartries">HAR!$B$8</definedName>
    <definedName name="Bradshawsalpremcuppts">SAL!$I$8</definedName>
    <definedName name="Bradshawsalpremcuptries">SAL!$D$8</definedName>
    <definedName name="Bradshawsalpts">SAL!$G$8</definedName>
    <definedName name="Bradshawsaltries">SAL!$B$8</definedName>
    <definedName name="Bradyleipts">LEI!#REF!</definedName>
    <definedName name="Bradyleitries">LEI!#REF!</definedName>
    <definedName name="Bradytompts">SAL!#REF!</definedName>
    <definedName name="Bradytomtries">SAL!#REF!</definedName>
    <definedName name="Braiddanpts">SAL!#REF!</definedName>
    <definedName name="Braiddantries">SAL!#REF!</definedName>
    <definedName name="Braidpts">SAL!#REF!</definedName>
    <definedName name="Braidtries">SAL!#REF!</definedName>
    <definedName name="braidworatt">#REF!</definedName>
    <definedName name="braidworgoals">#REF!</definedName>
    <definedName name="Braidworpts">#REF!</definedName>
    <definedName name="Braidwortries">#REF!</definedName>
    <definedName name="Braleyglopts">GLO!#REF!</definedName>
    <definedName name="Braleyglotries">GLO!#REF!</definedName>
    <definedName name="Braleynorpts">NOR!#REF!</definedName>
    <definedName name="Braleynorptscorrect">NOR!$G$3</definedName>
    <definedName name="Braleynortries">NOR!#REF!</definedName>
    <definedName name="Braleynortriescorrect">NOR!$B$3</definedName>
    <definedName name="Brantinghamsarpts">SAR!$G$8</definedName>
    <definedName name="Brantinghamsartries">SAR!$B$8</definedName>
    <definedName name="Bregvadzeworpts">#REF!</definedName>
    <definedName name="Bregvadzewortries">#REF!</definedName>
    <definedName name="Breslerworpts">#REF!</definedName>
    <definedName name="Breslerwortries">#REF!</definedName>
    <definedName name="Brewbthpts">BTH!#REF!</definedName>
    <definedName name="Brewbthtries">BTH!#REF!</definedName>
    <definedName name="Briggsleipts">LEI!#REF!</definedName>
    <definedName name="Briggsleitries">LEI!#REF!</definedName>
    <definedName name="Briggssalpts">SAL!#REF!</definedName>
    <definedName name="Briggssaltries">SAL!#REF!</definedName>
    <definedName name="BristolPts">BRI!$G$58</definedName>
    <definedName name="BristolTries">BRI!$B$58</definedName>
    <definedName name="Bristowleipts">LEI!#REF!</definedName>
    <definedName name="Bristowleitries">LEI!#REF!</definedName>
    <definedName name="Bristowsalpts">SAL!#REF!</definedName>
    <definedName name="Bristowsaltries">SAL!#REF!</definedName>
    <definedName name="Britspts">NRB!#REF!</definedName>
    <definedName name="britstris">NRB!#REF!</definedName>
    <definedName name="Brittonwelpts">#REF!</definedName>
    <definedName name="Brittonweltries">#REF!</definedName>
    <definedName name="Brookerglopts">GLO!#REF!</definedName>
    <definedName name="Brookerglotries">GLO!#REF!</definedName>
    <definedName name="Brookesnewpts">#REF!</definedName>
    <definedName name="Brookesnewtries">#REF!</definedName>
    <definedName name="Brookesnoprpts">NOR!#REF!</definedName>
    <definedName name="Brookesnortries">NOR!#REF!</definedName>
    <definedName name="Brookeswaspts">#REF!</definedName>
    <definedName name="Brookeswastries">#REF!</definedName>
    <definedName name="Brophy_Clewslirgoals">BRI!#REF!</definedName>
    <definedName name="Brophy_Clewslirpts">BRI!#REF!</definedName>
    <definedName name="Brophy_Clewslirtries">BRI!#REF!</definedName>
    <definedName name="brophyclewsliratt">BRI!#REF!</definedName>
    <definedName name="BrophyClewslirpts">BRI!#REF!</definedName>
    <definedName name="BrophyClewslirtries">BRI!#REF!</definedName>
    <definedName name="Brown">HAR!#REF!</definedName>
    <definedName name="Brown_Bampoeexepts">EXE!$G$5</definedName>
    <definedName name="Brown_Bampoeexetries">EXE!$B$5</definedName>
    <definedName name="brown2">HAR!#REF!</definedName>
    <definedName name="brownbampoeexepremcuppts">EXE!$I$5</definedName>
    <definedName name="brownbampoeexepremcuptries">EXE!$D$5</definedName>
    <definedName name="Brownedanielpts">#REF!</definedName>
    <definedName name="Brownedanieltries">#REF!</definedName>
    <definedName name="browneharpremcuppts">HAR!$I$9</definedName>
    <definedName name="browneharpremcuptries">HAR!$D$9</definedName>
    <definedName name="BrowneHARpts">HAR!$G$9</definedName>
    <definedName name="BrowneHARtries">HAR!$B$9</definedName>
    <definedName name="Brownepetepts">#REF!</definedName>
    <definedName name="Brownepetetries">#REF!</definedName>
    <definedName name="brownexepts">EXE!#REF!</definedName>
    <definedName name="brownexetries">EXE!#REF!</definedName>
    <definedName name="Brownharpts">HAR!#REF!</definedName>
    <definedName name="Brownhartries">HAR!#REF!</definedName>
    <definedName name="brownkellypts">NRB!#REF!</definedName>
    <definedName name="brownkellytries">NRB!#REF!</definedName>
    <definedName name="brownleipts">LEI!#REF!</definedName>
    <definedName name="brownleitries">LEI!#REF!</definedName>
    <definedName name="brownmikepts2">HAR!#REF!</definedName>
    <definedName name="Brownmiketries">HAR!#REF!</definedName>
    <definedName name="brownmiketriescorrect">HAR!#REF!</definedName>
    <definedName name="brownnewpts">NRB!#REF!</definedName>
    <definedName name="brownnewtries">NRB!#REF!</definedName>
    <definedName name="brownnorpremcuppts">NOR!$I$5</definedName>
    <definedName name="brownnorpremcuptries">NOR!$D$5</definedName>
    <definedName name="brownnorpts">NOR!$G$5</definedName>
    <definedName name="brownnortries">NOR!$B$5</definedName>
    <definedName name="brownsarpts">NRB!#REF!</definedName>
    <definedName name="brownsartries">NRB!#REF!</definedName>
    <definedName name="Brussownorpts">NOR!#REF!</definedName>
    <definedName name="Brussownortries">NOR!#REF!</definedName>
    <definedName name="Bryansarpts">SAR!$G$9</definedName>
    <definedName name="Bryansartries">SAR!$B$9</definedName>
    <definedName name="bryantleiatt">LEI!#REF!</definedName>
    <definedName name="Bryantleigoals">LEI!#REF!</definedName>
    <definedName name="Bryantleipts">LEI!#REF!</definedName>
    <definedName name="Bryantleitries">LEI!#REF!</definedName>
    <definedName name="Buchananpts">HAR!#REF!</definedName>
    <definedName name="buchanantries">HAR!#REF!</definedName>
    <definedName name="Buckleysalpts">SAL!#REF!</definedName>
    <definedName name="Buckleysaltries">SAL!#REF!</definedName>
    <definedName name="Burgerjacquespts">NRB!$G$9</definedName>
    <definedName name="Burgerjacquestries">NRB!$B$9</definedName>
    <definedName name="Burgesssampts">BTH!#REF!</definedName>
    <definedName name="Burgesssamtries">BTH!#REF!</definedName>
    <definedName name="Burkesarpremcupatt">SAR!$M$31</definedName>
    <definedName name="Burkesarpremcupgls">SAR!$L$31</definedName>
    <definedName name="Burnsbillypts">GLO!#REF!</definedName>
    <definedName name="Burnsbillytries">GLO!#REF!</definedName>
    <definedName name="burnsbthpts">BTH!#REF!</definedName>
    <definedName name="burnsbthtries">BTH!#REF!</definedName>
    <definedName name="burnsfreddieatt">GLO!#REF!</definedName>
    <definedName name="burnsfreddiegoals">GLO!#REF!</definedName>
    <definedName name="Burnsfreddiepts">GLO!#REF!</definedName>
    <definedName name="Burnsfreddietries">GLO!#REF!</definedName>
    <definedName name="burnsgloatt">GLO!#REF!</definedName>
    <definedName name="burnsglogoals">GLO!#REF!</definedName>
    <definedName name="Burnsharpts">HAR!#REF!</definedName>
    <definedName name="Burnshartries">HAR!#REF!</definedName>
    <definedName name="burnsleiatt">LEI!#REF!</definedName>
    <definedName name="Burnsleicpts">LEI!#REF!</definedName>
    <definedName name="Burnsleictries">LEI!#REF!</definedName>
    <definedName name="burnsleigoals">LEI!#REF!</definedName>
    <definedName name="Burnsleipts">LEI!#REF!</definedName>
    <definedName name="Burnsleitries">LEI!#REF!</definedName>
    <definedName name="Burrelllutherpts">NOR!#REF!</definedName>
    <definedName name="Burrellnewpts">NRB!$G$7</definedName>
    <definedName name="Burrellnewtries">NRB!$B$7</definedName>
    <definedName name="Burrellpts">NOR!#REF!</definedName>
    <definedName name="Burrelltries">NOR!#REF!</definedName>
    <definedName name="Burrelltriescorrect">NOR!#REF!</definedName>
    <definedName name="Burrowsalpts">SAL!$G$9</definedName>
    <definedName name="Burrowsaltries">SAL!$B$9</definedName>
    <definedName name="BurrowsEXEpts">EXE!$G$4</definedName>
    <definedName name="BurrowsEXEtries">EXE!$B$4</definedName>
    <definedName name="Burrowsnewpts">#REF!</definedName>
    <definedName name="Burrowsnewtries">#REF!</definedName>
    <definedName name="Butlerglopts">GLO!$G$15</definedName>
    <definedName name="Butlerglotries">GLO!$B$15</definedName>
    <definedName name="buttbthpremcuppts">BTH!$I$6</definedName>
    <definedName name="buttbthpremcuptries">BTH!$D$6</definedName>
    <definedName name="Buttbthpts">BTH!$G$6</definedName>
    <definedName name="Buttbthtries">BTH!$B$6</definedName>
    <definedName name="byrnebriatt">BRI!#REF!</definedName>
    <definedName name="Byrnebrigls">BRI!#REF!</definedName>
    <definedName name="Byrnebripts">BRI!#REF!</definedName>
    <definedName name="Byrnebritries">BRI!#REF!</definedName>
    <definedName name="Byrneglopremcupatt">GLO!$M$34</definedName>
    <definedName name="Byrneglopremcupgls">GLO!$L$34</definedName>
    <definedName name="byrneglopremcuppts">GLO!$I$14</definedName>
    <definedName name="byrneglopremcuptries">GLO!$D$14</definedName>
    <definedName name="Byrneglopts">GLO!$G$14</definedName>
    <definedName name="Byrneglotries">GLO!$B$14</definedName>
    <definedName name="Byrnehbripts">BRI!#REF!</definedName>
    <definedName name="Byrnehbritries">BRI!#REF!</definedName>
    <definedName name="Cahillshanepts">#REF!</definedName>
    <definedName name="Cahillshanetries">#REF!</definedName>
    <definedName name="cainesalpremcuppts">SAL!$I$10</definedName>
    <definedName name="cainesalpremcuptries">SAL!$E$10</definedName>
    <definedName name="Cainesalpts">SAL!$G$10</definedName>
    <definedName name="Cainesaltries">SAL!$B$10</definedName>
    <definedName name="Cairnsexepts">EXE!$G$6</definedName>
    <definedName name="Cairnsexetries">EXE!$B$6</definedName>
    <definedName name="Caldwellexepts">EXE!$G$7</definedName>
    <definedName name="Caldwellexetries">EXE!$B$7</definedName>
    <definedName name="Caluorisarpts">SAR!$G$10</definedName>
    <definedName name="Caluorisartries">SAR!$B$10</definedName>
    <definedName name="Camacholeipts">LEI!#REF!</definedName>
    <definedName name="Camacholeitries">LEI!#REF!</definedName>
    <definedName name="Campagnarowaspts">#REF!</definedName>
    <definedName name="Campagnarowastries">#REF!</definedName>
    <definedName name="Cannonwaspts">#REF!</definedName>
    <definedName name="Cannonwastries">#REF!</definedName>
    <definedName name="Caponbripts">BRI!$G$9</definedName>
    <definedName name="Caponbritries">BRI!$B$9</definedName>
    <definedName name="Capstickexepts">EXE!$G$7</definedName>
    <definedName name="Capstickexetries">EXE!$B$7</definedName>
    <definedName name="caqusaunorpremcuppts">NOR!$I$6</definedName>
    <definedName name="caqusaunorpremcuptries">NOR!$D$6</definedName>
    <definedName name="cardallnrbpremcuppts">NRB!$I$8</definedName>
    <definedName name="cardallnrbpremcuptries">NRB!$D$8</definedName>
    <definedName name="Cardallwaspts">#REF!</definedName>
    <definedName name="Cardallwastries">#REF!</definedName>
    <definedName name="CardiffPts">[1]CBL!$F$50</definedName>
    <definedName name="CardiffTries">[1]CBL!$B$50</definedName>
    <definedName name="Care" comment="constant">HAR!#REF!</definedName>
    <definedName name="Carepts">HAR!#REF!</definedName>
    <definedName name="caretries" comment="constant">HAR!#REF!</definedName>
    <definedName name="carlisleatt">#REF!</definedName>
    <definedName name="carlislegoals">#REF!</definedName>
    <definedName name="Carlislejoetries">#REF!</definedName>
    <definedName name="Carlislepts">#REF!</definedName>
    <definedName name="Carnduffleipts">LEI!$G$6</definedName>
    <definedName name="Carnduffleitries">LEI!$B$6</definedName>
    <definedName name="Carpentersalpts">SAL!$G$11</definedName>
    <definedName name="Carpentersaltries">SAL!$B$11</definedName>
    <definedName name="Carrerasbthpts">BTH!$G$7</definedName>
    <definedName name="Carrerasbthtries">BTH!$B$7</definedName>
    <definedName name="carrerasgloatt">GLO!#REF!</definedName>
    <definedName name="Carrerasglogls">GLO!#REF!</definedName>
    <definedName name="Carrerasglopts">GLO!$G$16</definedName>
    <definedName name="Carrerasglotries">GLO!$B$16</definedName>
    <definedName name="Carrerasnewpts">NRB!$G$8</definedName>
    <definedName name="Carrerasnewtries">NRB!$B$8</definedName>
    <definedName name="Carresarpts">SAR!$G$11</definedName>
    <definedName name="Carresartries">SAR!$B$11</definedName>
    <definedName name="Carrharpts">HAR!$G$10</definedName>
    <definedName name="Carrhartries">HAR!$B$10</definedName>
    <definedName name="Carrick_Smithexepts">EXE!#REF!</definedName>
    <definedName name="Carrick_Smithexetries">EXE!#REF!</definedName>
    <definedName name="carringtonbripremcuppts">BRI!$I$10</definedName>
    <definedName name="carringtonbripremcuptries">BRI!$D$10</definedName>
    <definedName name="Carrnwaspts">#REF!</definedName>
    <definedName name="Carrnwastries">#REF!</definedName>
    <definedName name="carrsmithbthpremcuppts">BTH!$I$8</definedName>
    <definedName name="carrsmithbthpremcuptries">BTH!$D$8</definedName>
    <definedName name="Carrwaspts">#REF!</definedName>
    <definedName name="Carrwastries">#REF!</definedName>
    <definedName name="Cassonharpts">HAR!#REF!</definedName>
    <definedName name="Cassonhartries">HAR!#REF!</definedName>
    <definedName name="Catonewpts">#REF!</definedName>
    <definedName name="Catonoahpts">#REF!</definedName>
    <definedName name="Catonoahtries">#REF!</definedName>
    <definedName name="Catrakilisharpts">HAR!#REF!</definedName>
    <definedName name="Catrakilishartries">HAR!#REF!</definedName>
    <definedName name="catterickatt">#REF!</definedName>
    <definedName name="catterickgoals">#REF!</definedName>
    <definedName name="Cattericknewtries">#REF!</definedName>
    <definedName name="Catterickpts">#REF!</definedName>
    <definedName name="Cattericktries">#REF!</definedName>
    <definedName name="Cattnathanpts">BTH!#REF!</definedName>
    <definedName name="Cattnathantries">BTH!#REF!</definedName>
    <definedName name="CaulfieldBRIpts">BRI!$G$10</definedName>
    <definedName name="CaulfieldBRItries">BRI!$B$10</definedName>
    <definedName name="cavenglopremcuppts">GLO!$I$16</definedName>
    <definedName name="cavenglopremcuptries">GLO!$D$16</definedName>
    <definedName name="Challengerbripts">BRI!$G$11</definedName>
    <definedName name="Challengerbritries">BRI!$B$11</definedName>
    <definedName name="Chamberlainnrbatt">NRB!$M$4</definedName>
    <definedName name="Chamberlainnrbgls">NRB!$L$4</definedName>
    <definedName name="Chamberlainnrbpremcupatt">NRB!$M$26</definedName>
    <definedName name="Chamberlainnrbpremcupgls">NRB!$L$26</definedName>
    <definedName name="chamberlainnrbpremcuppts">NRB!$I$9</definedName>
    <definedName name="chamberlainnrbpremcuptries">NRB!$D$9</definedName>
    <definedName name="chapmangloatt">GLO!$M$6</definedName>
    <definedName name="chapmanglogls">GLO!$L$6</definedName>
    <definedName name="Chapmanglopts">GLO!#REF!</definedName>
    <definedName name="Chapmanglotries">GLO!#REF!</definedName>
    <definedName name="Charlesbthpts">BTH!#REF!</definedName>
    <definedName name="Charlesbthtries">BTH!#REF!</definedName>
    <definedName name="Charterisbthpts">BTH!#REF!</definedName>
    <definedName name="Charterisbthtries">BTH!#REF!</definedName>
    <definedName name="Cheesemanharpts">HAR!#REF!</definedName>
    <definedName name="Cheesemanhartries">HAR!#REF!</definedName>
    <definedName name="CheetahsPts">[1]CHE!$E$62</definedName>
    <definedName name="CheetahsTries">[1]CHE!$B$62</definedName>
    <definedName name="Chessum_Lleipts">LEI!$G$7</definedName>
    <definedName name="Chessum_Lleitries">LEI!$B$7</definedName>
    <definedName name="Chessumleicpts">LEI!$G$8</definedName>
    <definedName name="Chessumleictries">LEI!$B$8</definedName>
    <definedName name="Chicknewpts">#REF!</definedName>
    <definedName name="Chicknewtries">#REF!</definedName>
    <definedName name="chicknorpremcuppts">NOR!$I$7</definedName>
    <definedName name="chicknorpremcuptries">NOR!$D$7</definedName>
    <definedName name="Chisanganewpts">#REF!</definedName>
    <definedName name="Chisanganewtries">#REF!</definedName>
    <definedName name="Chisholm_Jharpts">HAR!#REF!</definedName>
    <definedName name="Chisholm_Jhartries">HAR!#REF!</definedName>
    <definedName name="Chisholm_Rharpts">HAR!#REF!</definedName>
    <definedName name="Chisholm_Rhartries">HAR!#REF!</definedName>
    <definedName name="chisholmharatt">HAR!#REF!</definedName>
    <definedName name="chisholmhargls">HAR!#REF!</definedName>
    <definedName name="Chisholmjamesharpts">HAR!$G$11</definedName>
    <definedName name="Chisholmjameshartries">HAR!$B$11</definedName>
    <definedName name="Christienrbpremcuppts">NRB!$I$10</definedName>
    <definedName name="Christienrbpremcuptries">NRB!$D$10</definedName>
    <definedName name="Christienrbpts">NRB!$G$10</definedName>
    <definedName name="Christienrbtries">NRB!$B$10</definedName>
    <definedName name="Christiesarptscorrect">SAR!#REF!</definedName>
    <definedName name="Christiesartriescorrect">SAR!#REF!</definedName>
    <definedName name="Chudleybthpts">BTH!$G$6</definedName>
    <definedName name="Chudleybthtries">BTH!$B$6</definedName>
    <definedName name="Chudleyexepts">EXE!#REF!</definedName>
    <definedName name="Chudleyexetries">EXE!#REF!</definedName>
    <definedName name="Chudleyworpts">#REF!</definedName>
    <definedName name="Chudleywortries">#REF!</definedName>
    <definedName name="Cilliersleipts">LEI!#REF!</definedName>
    <definedName name="Cilliersleitries">LEI!#REF!</definedName>
    <definedName name="Cintilirpts">#REF!</definedName>
    <definedName name="Cintilirtries">#REF!</definedName>
    <definedName name="Cintisarpts">SAR!$G$12</definedName>
    <definedName name="Cintisartries">SAR!$B$12</definedName>
    <definedName name="ciprianiatt">SAL!#REF!</definedName>
    <definedName name="ciprianibthatt">BTH!#REF!</definedName>
    <definedName name="ciprianibthgls">BTH!#REF!</definedName>
    <definedName name="ciprianibthpts">BTH!$G$8</definedName>
    <definedName name="Ciprianibthtries">BTH!$B$8</definedName>
    <definedName name="Ciprianidannytries">SAL!#REF!</definedName>
    <definedName name="ciprianigloatt">GLO!#REF!</definedName>
    <definedName name="ciprianiglogls">GLO!#REF!</definedName>
    <definedName name="Ciprianiglopts">GLO!#REF!</definedName>
    <definedName name="Ciprianiglotries">GLO!#REF!</definedName>
    <definedName name="ciprianigoals">SAL!#REF!</definedName>
    <definedName name="Ciprianipts">SAL!#REF!</definedName>
    <definedName name="Ciprianisalpts">SAL!#REF!</definedName>
    <definedName name="ciprianitries">SAL!#REF!</definedName>
    <definedName name="Ciprianitriescorrect">SAL!#REF!</definedName>
    <definedName name="Ciprianiwaspts">#REF!</definedName>
    <definedName name="Ciprianiwastries">#REF!</definedName>
    <definedName name="Cittadiniwaspts">#REF!</definedName>
    <definedName name="Cittadiniwastries">#REF!</definedName>
    <definedName name="Civettanewpts">#REF!</definedName>
    <definedName name="Civettanewtries">#REF!</definedName>
    <definedName name="clareleipremcuppts">LEI!$I$9</definedName>
    <definedName name="clareleipremcuptries">LEI!$D$9</definedName>
    <definedName name="Clarenorpts">NOR!#REF!</definedName>
    <definedName name="Clarenortries">NOR!#REF!</definedName>
    <definedName name="Clareysarptscorrect">SAR!$G$13</definedName>
    <definedName name="Clareysartriescorrect">SAR!$B$13</definedName>
    <definedName name="Clarkbatpts">BTH!#REF!</definedName>
    <definedName name="Clarkbattries">BTH!#REF!</definedName>
    <definedName name="Clarkcalumpts">NOR!#REF!</definedName>
    <definedName name="Clarkcalumtries">NOR!#REF!</definedName>
    <definedName name="Clarkesarpremcuppts">SAR!$I$14</definedName>
    <definedName name="Clarkesarpremcuptries">SAR!$D$14</definedName>
    <definedName name="Clarkesarpts">SAR!$G$14</definedName>
    <definedName name="Clarkesartries">SAR!$B$14</definedName>
    <definedName name="Clarkglopts">GLO!$G$17</definedName>
    <definedName name="Clarkglotries">GLO!$B$17</definedName>
    <definedName name="Clarkmaxnewpremcuppts">NRB!$I$11</definedName>
    <definedName name="Clarkmaxnewpremcuptries">NRB!$D$11</definedName>
    <definedName name="Clarkmaxnewpts">NRB!$G$11</definedName>
    <definedName name="Clarkmaxnewtries">NRB!$B$11</definedName>
    <definedName name="Clarknewpts">NRB!$G$12</definedName>
    <definedName name="Clarknewtries">NRB!$B$12</definedName>
    <definedName name="cleavesharpremcuppts">HAR!$I$12</definedName>
    <definedName name="cleavesharpremcuptries">HAR!$D$12</definedName>
    <definedName name="Cleavesharpts">HAR!$G$12</definedName>
    <definedName name="Cleaveshartries">HAR!$B$12</definedName>
    <definedName name="cleggatt">#REF!</definedName>
    <definedName name="clegggoals">#REF!</definedName>
    <definedName name="Cleggnewpts">#REF!</definedName>
    <definedName name="Cleggpts">#REF!</definedName>
    <definedName name="cleggrorytries">#REF!</definedName>
    <definedName name="Cleggworpts">#REF!</definedName>
    <definedName name="Cleggwortries">#REF!</definedName>
    <definedName name="Clevernewpts">#REF!</definedName>
    <definedName name="Clevernewtries">#REF!</definedName>
    <definedName name="Cliffordharpts">HAR!#REF!</definedName>
    <definedName name="Cliffordhartries">HAR!#REF!</definedName>
    <definedName name="Cliffordjackpts">HAR!#REF!</definedName>
    <definedName name="Cliffordjacktries">HAR!#REF!</definedName>
    <definedName name="cliffsalatt">SAL!#REF!</definedName>
    <definedName name="Cliffsalgls">SAL!#REF!</definedName>
    <definedName name="Cliffsalpts">SAL!#REF!</definedName>
    <definedName name="Cliffsaltries">SAL!#REF!</definedName>
    <definedName name="Cliffwillsalpts">SAL!#REF!</definedName>
    <definedName name="Cliffwillsaltries">SAL!#REF!</definedName>
    <definedName name="Cobilassalpts">SAL!#REF!</definedName>
    <definedName name="Cobilassaltries">SAL!#REF!</definedName>
    <definedName name="Cochraneneilpts">#REF!</definedName>
    <definedName name="Cochraneneiltries">#REF!</definedName>
    <definedName name="Coenexepremcupatt">EXE!$M$32</definedName>
    <definedName name="Coenexepremcupgls">EXE!$L$32</definedName>
    <definedName name="Coenexepremcuppts">EXE!$I$9</definedName>
    <definedName name="Coenexepremcuptries">EXE!$D$9</definedName>
    <definedName name="Coenexepts">EXE!$G$9</definedName>
    <definedName name="Coenexetries">EXE!$B$9</definedName>
    <definedName name="Coetzeebthpts">BTH!#REF!</definedName>
    <definedName name="Coetzeebthtries">BTH!#REF!</definedName>
    <definedName name="Coetzeenrbpts">NRB!$G$13</definedName>
    <definedName name="Coetzeenrbtries">NRB!$B$13</definedName>
    <definedName name="Coetzerglopts">GLO!$G$18</definedName>
    <definedName name="Coetzerglotries">GLO!$B$18</definedName>
    <definedName name="Cokanasigabthpts">BTH!$G$9</definedName>
    <definedName name="Cokanasigabthtries">BTH!$B$9</definedName>
    <definedName name="CokanasigaLEIpts">LEI!#REF!</definedName>
    <definedName name="CokanasigaLEItries">LEI!#REF!</definedName>
    <definedName name="Cokanasigalirpts">BRI!#REF!</definedName>
    <definedName name="Cokanasigalirtries">BRI!#REF!</definedName>
    <definedName name="Cokanasigaplirpts">#REF!</definedName>
    <definedName name="Cokanasigaplirtries">#REF!</definedName>
    <definedName name="Coleleipts">LEI!#REF!</definedName>
    <definedName name="Coleleitries">LEI!#REF!</definedName>
    <definedName name="Colesnorpts">NOR!$G$8</definedName>
    <definedName name="Colesnortries">NOR!$B$8</definedName>
    <definedName name="Collettnewpts">#REF!</definedName>
    <definedName name="Collettnewtries">#REF!</definedName>
    <definedName name="Collierharpts">HAR!#REF!</definedName>
    <definedName name="Collierhartries">HAR!#REF!</definedName>
    <definedName name="Collinstompts">NOR!#REF!</definedName>
    <definedName name="Collinstomtries">NOR!#REF!</definedName>
    <definedName name="Comanlirpts">BRI!#REF!</definedName>
    <definedName name="Comanlirtries">BRI!#REF!</definedName>
    <definedName name="Conlonexepts">EXE!#REF!</definedName>
    <definedName name="Conlonexetries">EXE!#REF!</definedName>
    <definedName name="Conlonjoelpts">EXE!#REF!</definedName>
    <definedName name="Conlonjoeltries">EXE!#REF!</definedName>
    <definedName name="Conlonsarprts">NRB!#REF!</definedName>
    <definedName name="Conlonsartries">NRB!#REF!</definedName>
    <definedName name="ConnachtPts">[1]CON!$F$51</definedName>
    <definedName name="ConnachtTries">[1]CON!$B$51</definedName>
    <definedName name="connonnewatt">#REF!</definedName>
    <definedName name="connonnewgoals">#REF!</definedName>
    <definedName name="Connonnewpts">#REF!</definedName>
    <definedName name="Connonnewptscorrect">#REF!</definedName>
    <definedName name="Connonnewptscorrectthisone">NRB!$G$14</definedName>
    <definedName name="Connonnewtries">#REF!</definedName>
    <definedName name="Connonnewtriescorrect">#REF!</definedName>
    <definedName name="Connonnewtriescorrectthsione">NRB!$B$14</definedName>
    <definedName name="Connonnrbpremcupatt">NRB!$M$27</definedName>
    <definedName name="Connonnrbpremcupgls">NRB!$L$27</definedName>
    <definedName name="connonnrbpremcuppts">NRB!$I$14</definedName>
    <definedName name="connonnrbpremcuptries">NRB!$D$14</definedName>
    <definedName name="cookatt">GLO!#REF!</definedName>
    <definedName name="Cookbthpts">BTH!$G$10</definedName>
    <definedName name="Cookbthtries">BTH!$B$10</definedName>
    <definedName name="Cookchrispts">BTH!$G$10</definedName>
    <definedName name="Cookchristries">BTH!$B$10</definedName>
    <definedName name="Cookelirpts">#REF!</definedName>
    <definedName name="Cookelirtries">#REF!</definedName>
    <definedName name="Cookgoals">GLO!#REF!</definedName>
    <definedName name="Cookpts">GLO!#REF!</definedName>
    <definedName name="Cooktries">GLO!#REF!</definedName>
    <definedName name="Cooper_Woolleypts">#REF!</definedName>
    <definedName name="Cooper_Woolleysalpts">SAL!#REF!</definedName>
    <definedName name="Cooper_Woolleysaltries">SAL!#REF!</definedName>
    <definedName name="Cooper_Woolleytries">#REF!</definedName>
    <definedName name="Cooper_Woolleywaspts">#REF!</definedName>
    <definedName name="Cooper_Woolleywastries">#REF!</definedName>
    <definedName name="Coopernewpts">#REF!</definedName>
    <definedName name="Coopernewtries">#REF!</definedName>
    <definedName name="Cooperwelpts">#REF!</definedName>
    <definedName name="Cooperweltries">#REF!</definedName>
    <definedName name="Corbisieronorpts">NOR!#REF!</definedName>
    <definedName name="Corbisieronortries">NOR!#REF!</definedName>
    <definedName name="Corbisieropts">NOR!#REF!</definedName>
    <definedName name="Corbisierotries">NOR!#REF!</definedName>
    <definedName name="Corkermattpts">#REF!</definedName>
    <definedName name="Corkermatttries">#REF!</definedName>
    <definedName name="Cornishlirpts">#REF!</definedName>
    <definedName name="Cornishlirtries">#REF!</definedName>
    <definedName name="Cosgrovebripts">BRI!#REF!</definedName>
    <definedName name="Cosgrovebritries">BRI!#REF!</definedName>
    <definedName name="cotgreaveglopremcuppts">GLO!$I$19</definedName>
    <definedName name="cotgreaveglopremcuptries">GLO!$E$19</definedName>
    <definedName name="Cotgreaveglopts">GLO!$G$19</definedName>
    <definedName name="Cotgreaveglotries">GLO!$B$19</definedName>
    <definedName name="Courtlipts">BRI!$G$13</definedName>
    <definedName name="Courtlitries">BRI!$B$13</definedName>
    <definedName name="Cousinsnorpts">NOR!#REF!</definedName>
    <definedName name="Cousinsnortries">NOR!#REF!</definedName>
    <definedName name="Cowan_Dickie_Lukepts">EXE!#REF!</definedName>
    <definedName name="Cowan_Dickie_Luketries">EXE!#REF!</definedName>
    <definedName name="Cowan_Dickieleicpts">LEI!#REF!</definedName>
    <definedName name="Cowan_Dickieleictries">LEI!#REF!</definedName>
    <definedName name="Cowan_Dickiesalpts">SAL!$G$12</definedName>
    <definedName name="Cowan_Dickiesaltries">SAL!$B$12</definedName>
    <definedName name="Cowanblairtries">BRI!#REF!</definedName>
    <definedName name="cowanbthpremcuppts">BTH!$I$11</definedName>
    <definedName name="cowanbthpremcuptries">BTH!$D$11</definedName>
    <definedName name="Cowanbthpts">BTH!$G$11</definedName>
    <definedName name="Cowanbthtries">BTH!$B$11</definedName>
    <definedName name="Cowanjimmypts">GLO!$G$52</definedName>
    <definedName name="Cowanjimmytries">GLO!$B$52</definedName>
    <definedName name="Cowanlipts">BRI!#REF!</definedName>
    <definedName name="Cowanpts">BRI!#REF!</definedName>
    <definedName name="Cowansarpts">NRB!#REF!</definedName>
    <definedName name="Cowansartries">NRB!#REF!</definedName>
    <definedName name="Cowantries">BRI!#REF!</definedName>
    <definedName name="Coxlipts">BRI!#REF!</definedName>
    <definedName name="Coxlitries">BRI!#REF!</definedName>
    <definedName name="Coxmattpts">GLO!#REF!</definedName>
    <definedName name="Coxmatttries">GLO!#REF!</definedName>
    <definedName name="Coxworpts">#REF!</definedName>
    <definedName name="Coxwortries">#REF!</definedName>
    <definedName name="Cracknellleipts">LEI!$G$10</definedName>
    <definedName name="Cracknellleitries">LEI!$B$10</definedName>
    <definedName name="Craignorpts">NOR!#REF!</definedName>
    <definedName name="Craignortries">NOR!#REF!</definedName>
    <definedName name="cranebripts">BRI!$G$13</definedName>
    <definedName name="Cranebritries">BRI!$B$13</definedName>
    <definedName name="craneleiatt">LEI!#REF!</definedName>
    <definedName name="craneleigoals">LEI!#REF!</definedName>
    <definedName name="Cranepts">LEI!#REF!</definedName>
    <definedName name="Craneptscorrect">LEI!#REF!</definedName>
    <definedName name="Cranerhyspts">#REF!</definedName>
    <definedName name="Cranerhystries">#REF!</definedName>
    <definedName name="cranetries">LEI!#REF!</definedName>
    <definedName name="Cranetriescorrect">LEI!#REF!</definedName>
    <definedName name="Creansarpts">SAR!#REF!</definedName>
    <definedName name="Creansartries">SAR!#REF!</definedName>
    <definedName name="Creevyagustinpts">#REF!</definedName>
    <definedName name="Creevyagustintries">#REF!</definedName>
    <definedName name="Crippsbripts">BRI!$G$12</definedName>
    <definedName name="Crippsbritries">BRI!$B$12</definedName>
    <definedName name="Croallsalpts">SAL!#REF!</definedName>
    <definedName name="Croallsaltries">SAL!#REF!</definedName>
    <definedName name="Croftleipts">LEI!#REF!</definedName>
    <definedName name="Croftleitries">LEI!#REF!</definedName>
    <definedName name="Croninleipts">LEI!#REF!</definedName>
    <definedName name="Croninleitrie">LEI!#REF!</definedName>
    <definedName name="Crossdalesarpts">NRB!#REF!</definedName>
    <definedName name="Crossdalesarptscorrect">NRB!$G$15</definedName>
    <definedName name="Crossdalesartries">NRB!#REF!</definedName>
    <definedName name="Crossdalesartriescorrect">NRB!$B$15</definedName>
    <definedName name="Crossdalewaspts">#REF!</definedName>
    <definedName name="Crossdalewastrioes">#REF!</definedName>
    <definedName name="Crosslipts">BRI!#REF!</definedName>
    <definedName name="Crosslitries">BRI!#REF!</definedName>
    <definedName name="crowleyleipremcuppts">LEI!$I$11</definedName>
    <definedName name="crowleyleipremcuptries">LEI!$D$11</definedName>
    <definedName name="Crumptonharpts">HAR!#REF!</definedName>
    <definedName name="Crumptonhartries">HAR!#REF!</definedName>
    <definedName name="CruseNORpts">NOR!#REF!</definedName>
    <definedName name="CruseNORtries">NOR!#REF!</definedName>
    <definedName name="Crusewaspts">#REF!</definedName>
    <definedName name="Crusewastries">#REF!</definedName>
    <definedName name="Cuetopts">SAL!#REF!</definedName>
    <definedName name="Cuetosalpts">SAL!#REF!</definedName>
    <definedName name="Cuetosaltries">SAL!#REF!</definedName>
    <definedName name="cuetotries">SAL!#REF!</definedName>
    <definedName name="Cunningham_S_thlirpts">#REF!</definedName>
    <definedName name="Cunningham_S_thlirtries">#REF!</definedName>
    <definedName name="Cunningham_Sthharpts">HAR!$G$13</definedName>
    <definedName name="Cunningham_Sthhartries">HAR!$B$13</definedName>
    <definedName name="CUNNINGHAMSOUTHHARPREMCUPPTS">HAR!$I$13</definedName>
    <definedName name="CUNNINGHAMSOUTHHARPREMCUPTRIES">HAR!$D$13</definedName>
    <definedName name="Curry_Bsalpts">SAL!$G$13</definedName>
    <definedName name="Curry_Bsaltries">SAL!$B$13</definedName>
    <definedName name="Curry_Tsalpts">SAL!$G$14</definedName>
    <definedName name="Curry_Tsaltries">SAL!$B$14</definedName>
    <definedName name="Curtis_Harrislirpts">#REF!</definedName>
    <definedName name="Curtis_Harrislirtries">#REF!</definedName>
    <definedName name="CURTISSALATT">SAL!$M$5</definedName>
    <definedName name="CURTISSALGLS">SAL!$L$5</definedName>
    <definedName name="Curtissalpremcupatt">SAL!$M$28</definedName>
    <definedName name="Curtissalpremcupgls">SAL!$L$28</definedName>
    <definedName name="curtissalpremcuppts">SAL!$I$15</definedName>
    <definedName name="curtissalpremcuptries">SAL!$D$15</definedName>
    <definedName name="Curtissalpts">SAL!$G$15</definedName>
    <definedName name="Curtissaltries">SAL!$B$15</definedName>
    <definedName name="Curtiswaspts">#REF!</definedName>
    <definedName name="Curtiswastries">#REF!</definedName>
    <definedName name="Cusickbripts">BRI!#REF!</definedName>
    <definedName name="Cusickbritries">BRI!#REF!</definedName>
    <definedName name="Cusitersalpts">SAL!#REF!</definedName>
    <definedName name="Cusitersaltries">SAL!#REF!</definedName>
    <definedName name="Daltonnewpts">NRB!$G$16</definedName>
    <definedName name="Daltonnewtries">NRB!$B$16</definedName>
    <definedName name="Dalyelliotpts">#REF!</definedName>
    <definedName name="Dalyelliottries">#REF!</definedName>
    <definedName name="dalysarattcorrect">SAR!#REF!</definedName>
    <definedName name="dalysarglscorrect">SAR!#REF!</definedName>
    <definedName name="Dalysarptscorrect">SAR!$G$15</definedName>
    <definedName name="Dalysartriescorrect">SAR!$B$15</definedName>
    <definedName name="dalywasatt">#REF!</definedName>
    <definedName name="dalywasgoals">#REF!</definedName>
    <definedName name="Dalywaspts">#REF!</definedName>
    <definedName name="Danaherdeclanpts">BRI!#REF!</definedName>
    <definedName name="Danaherdeclantries">BRI!#REF!</definedName>
    <definedName name="danielsbriatt">BRI!#REF!</definedName>
    <definedName name="Danielsbrigls">BRI!#REF!</definedName>
    <definedName name="Danielsbripts">BRI!#REF!</definedName>
    <definedName name="Danielsbritries">BRI!#REF!</definedName>
    <definedName name="dansarpremcuppts">SAR!$I$16</definedName>
    <definedName name="dansarpremcuptries">SAR!$D$16</definedName>
    <definedName name="Dansarpts">SAR!$G$16</definedName>
    <definedName name="Dansartries">SAR!$B$16</definedName>
    <definedName name="dasdsa">NRB!#REF!</definedName>
    <definedName name="Davidharpts">HAR!$G$14</definedName>
    <definedName name="Davidhartries">HAR!$B$14</definedName>
    <definedName name="Davidsonglopts">GLO!#REF!</definedName>
    <definedName name="Davidsonglotries">GLO!#REF!</definedName>
    <definedName name="Davidsonnewpts">#REF!</definedName>
    <definedName name="Davidsonnewtries">#REF!</definedName>
    <definedName name="DavidsonNORpts">NOR!$G$9</definedName>
    <definedName name="DavidsonNORtries">NOR!$B$9</definedName>
    <definedName name="Davidsonsarpremcuppts">SAR!$I$17</definedName>
    <definedName name="Davidsonsarpremcuptries">SAR!$D$17</definedName>
    <definedName name="Davidsonsarpts">SAR!$G$17</definedName>
    <definedName name="Davidsonsartrie">SAR!$B$17</definedName>
    <definedName name="Davidworpts">#REF!</definedName>
    <definedName name="Davidwortries">#REF!</definedName>
    <definedName name="Davies_Bwaspts">#REF!</definedName>
    <definedName name="Davies_Bwsstries">#REF!</definedName>
    <definedName name="Davies_Cwaspts">#REF!</definedName>
    <definedName name="Davies_Cwastries">#REF!</definedName>
    <definedName name="Daviesalexpts">#REF!</definedName>
    <definedName name="Daviesalextries">#REF!</definedName>
    <definedName name="Daviesbripts">BRI!#REF!</definedName>
    <definedName name="Daviesbritries">BRI!#REF!</definedName>
    <definedName name="daviesbthatt">BTH!#REF!</definedName>
    <definedName name="daviesbthgls">BTH!#REF!</definedName>
    <definedName name="Daviesbthpts">BTH!#REF!</definedName>
    <definedName name="Daviesbthtries">BTH!#REF!</definedName>
    <definedName name="Daviescharliepts">#REF!</definedName>
    <definedName name="Daviescharlietries">#REF!</definedName>
    <definedName name="Davieselliottpts">#REF!</definedName>
    <definedName name="Davieselliotttries">#REF!</definedName>
    <definedName name="Daviesexepts">EXE!#REF!</definedName>
    <definedName name="Daviesexetries">EXE!#REF!</definedName>
    <definedName name="daviesglopremcuppts">GLO!$I$20</definedName>
    <definedName name="daviesglopremcuptries">GLO!$D$20</definedName>
    <definedName name="Daviesnewpts">#REF!</definedName>
    <definedName name="Daviesnewtries">#REF!</definedName>
    <definedName name="Daviesnorpts">NOR!#REF!</definedName>
    <definedName name="Daviesnortries">NOR!#REF!</definedName>
    <definedName name="daviessalpremcuppts">SAL!$I$16</definedName>
    <definedName name="daviessalpremcuptries">SAL!$D$16</definedName>
    <definedName name="Daviessarptscorrect">SAR!#REF!</definedName>
    <definedName name="Daviessartriescorrect">SAR!#REF!</definedName>
    <definedName name="davieswelatt">#REF!</definedName>
    <definedName name="davieswelgoals">#REF!</definedName>
    <definedName name="Davisbthpts">BTH!#REF!</definedName>
    <definedName name="Davisbthtries">BTH!#REF!</definedName>
    <definedName name="Davisexepoints">EXE!$G$8</definedName>
    <definedName name="Davisexepts">EXE!#REF!</definedName>
    <definedName name="Davisexetrie">EXE!$B$8</definedName>
    <definedName name="Davisexetries">EXE!#REF!</definedName>
    <definedName name="Davisnorpts">NOR!#REF!</definedName>
    <definedName name="Davisnortries">NOR!#REF!</definedName>
    <definedName name="Dawebripts">BRI!#REF!</definedName>
    <definedName name="Dawebritries">BRI!#REF!</definedName>
    <definedName name="Dawebstpts">BRI!#REF!</definedName>
    <definedName name="Dawebsttries">BRI!#REF!</definedName>
    <definedName name="Dawidiukglopts">GLO!#REF!</definedName>
    <definedName name="Dawidiukglotries">GLO!#REF!</definedName>
    <definedName name="Dawidiuklirpts">BRI!#REF!</definedName>
    <definedName name="Dawidiuklirtries">BRI!#REF!</definedName>
    <definedName name="Dawkinswaspts">#REF!</definedName>
    <definedName name="Dawkinswastries">#REF!</definedName>
    <definedName name="Day_Cnorpts">NOR!#REF!</definedName>
    <definedName name="Day_Cnortries">NOR!#REF!</definedName>
    <definedName name="Dayalexpts">NOR!#REF!</definedName>
    <definedName name="Dayalextries">NOR!#REF!</definedName>
    <definedName name="Daychristianpts">NOR!#REF!</definedName>
    <definedName name="Daychristiantries">NOR!#REF!</definedName>
    <definedName name="Daydompts">BTH!#REF!</definedName>
    <definedName name="Daydomtries">BTH!#REF!</definedName>
    <definedName name="de_Bruinnewpts">NRB!$G$17</definedName>
    <definedName name="de_Bruinnewtries">NRB!$B$17</definedName>
    <definedName name="De_Chavesleipts">LEI!#REF!</definedName>
    <definedName name="De_Chavesleitries">LEI!#REF!</definedName>
    <definedName name="de_ChavesNEWpts">NRB!$G$18</definedName>
    <definedName name="de_ChavesNEWtries">NRB!$B$18</definedName>
    <definedName name="de_Gl_villebthpremcupatt">BTH!$M$34</definedName>
    <definedName name="de_Gl_villebthpremcupgls">BTH!$L$34</definedName>
    <definedName name="de_Glanvillebthgls">BTH!$L$5</definedName>
    <definedName name="de_Haassarptscorrect">SAR!#REF!</definedName>
    <definedName name="de_Haassartriescorrect">SAR!#REF!</definedName>
    <definedName name="de_Jagersalpts">SAL!$G$16</definedName>
    <definedName name="de_Jagersaltries">SAL!$B$16</definedName>
    <definedName name="de_Jagersarpts">NRB!#REF!</definedName>
    <definedName name="de_Jagersartries">NRB!#REF!</definedName>
    <definedName name="de_Jonghwaspts">#REF!</definedName>
    <definedName name="de_Jonghwastries">#REF!</definedName>
    <definedName name="de_Klerksalgls">SAL!#REF!</definedName>
    <definedName name="de_Kockneilpts">NRB!#REF!</definedName>
    <definedName name="de_Kockneiltries">NRB!#REF!</definedName>
    <definedName name="De_Lucawaspts">#REF!</definedName>
    <definedName name="De_Lucawastries">#REF!</definedName>
    <definedName name="de_VilliersLEIPTS">LEI!#REF!</definedName>
    <definedName name="de_VilliersLEITRIES">LEI!#REF!</definedName>
    <definedName name="Deaconleipts">LEI!#REF!</definedName>
    <definedName name="Deaconleitries">LEI!#REF!</definedName>
    <definedName name="deglanvillebthatt">BTH!$M$5</definedName>
    <definedName name="deglanvillebthpremcuppts">BTH!$I$12</definedName>
    <definedName name="deglanvillebthpremcuptries">BTH!$D$12</definedName>
    <definedName name="dehaassaratt">SAR!#REF!</definedName>
    <definedName name="dehaassargls">SAR!#REF!</definedName>
    <definedName name="deklerksalatt">SAL!#REF!</definedName>
    <definedName name="Delmasbthpts">BTH!$G$12</definedName>
    <definedName name="Delmasbthtries">BTH!$B$12</definedName>
    <definedName name="Denmangarethpts">NOR!#REF!</definedName>
    <definedName name="Denmangarethtries">NOR!#REF!</definedName>
    <definedName name="Denmanglopts">GLO!#REF!</definedName>
    <definedName name="Denmanglotries">GLO!#REF!</definedName>
    <definedName name="Dennisexepts">EXE!#REF!</definedName>
    <definedName name="Dennisexetries">EXE!#REF!</definedName>
    <definedName name="Dentonglopts">GLO!$G$22</definedName>
    <definedName name="Dentonglotries">GLO!$B$22</definedName>
    <definedName name="Dentonleicpts">LEI!#REF!</definedName>
    <definedName name="Dentonleictries">LEI!#REF!</definedName>
    <definedName name="Dentonworpts">#REF!</definedName>
    <definedName name="Dentonwortries">#REF!</definedName>
    <definedName name="devotobatatt">BTH!#REF!</definedName>
    <definedName name="devotobatgoals">BTH!#REF!</definedName>
    <definedName name="Devotoexepts">EXE!#REF!</definedName>
    <definedName name="Devotoexetries">EXE!#REF!</definedName>
    <definedName name="Devotoolliepts">BTH!#REF!</definedName>
    <definedName name="Devotoollietries">BTH!#REF!</definedName>
    <definedName name="di_Marchisalpts">SAL!#REF!</definedName>
    <definedName name="di_Marchisaltries">SAL!#REF!</definedName>
    <definedName name="Diaz_Bonilla_Jleicpts">LEI!$G$12</definedName>
    <definedName name="Diaz_Bonilla_Jleictries">LEI!$B$12</definedName>
    <definedName name="Diaz_Bonillaleicgls">LEI!#REF!</definedName>
    <definedName name="diazbonillaleicatt">LEI!#REF!</definedName>
    <definedName name="Dickinsonsampts">NOR!#REF!</definedName>
    <definedName name="Dickinsonsamtries">NOR!#REF!</definedName>
    <definedName name="Dicksonglennpts">NOR!#REF!</definedName>
    <definedName name="dicksonglentries">NOR!#REF!</definedName>
    <definedName name="dicksongnoratt">NOR!#REF!</definedName>
    <definedName name="dicksongnorgoals">NOR!#REF!</definedName>
    <definedName name="Dicksonkarlpts">HAR!#REF!</definedName>
    <definedName name="Dicksonleepts">NOR!#REF!</definedName>
    <definedName name="Dicksonleeptscorrect">NOR!#REF!</definedName>
    <definedName name="Dicksonleetries">NOR!#REF!</definedName>
    <definedName name="dicksonleetriescorrect">NOR!#REF!</definedName>
    <definedName name="dicksontries">HAR!#REF!</definedName>
    <definedName name="Dingwallnorpts">NOR!$G$10</definedName>
    <definedName name="Dingwallnortries">NOR!$B$10</definedName>
    <definedName name="Dobsonmatthewpts">#REF!</definedName>
    <definedName name="Dobsonmatthewtries">#REF!</definedName>
    <definedName name="Doelworpts">#REF!</definedName>
    <definedName name="Doelwortries">#REF!</definedName>
    <definedName name="Dohertynewpts">NRB!$G$19</definedName>
    <definedName name="Dohertynewtries">NRB!$B$19</definedName>
    <definedName name="Dohertysalpts">SAL!#REF!</definedName>
    <definedName name="Dohertysaltries">SAL!#REF!</definedName>
    <definedName name="Dolannorpts">NOR!#REF!</definedName>
    <definedName name="Dolannortries">NOR!#REF!</definedName>
    <definedName name="dollmanatt">EXE!#REF!</definedName>
    <definedName name="Dollmanexepts">EXE!#REF!</definedName>
    <definedName name="Dollmanexetries">EXE!#REF!</definedName>
    <definedName name="Dollmangoals">EXE!#REF!</definedName>
    <definedName name="Dollmanpts">EXE!#REF!</definedName>
    <definedName name="dollmantries">EXE!#REF!</definedName>
    <definedName name="Dombrandtharpts">HAR!$G$16</definedName>
    <definedName name="Dombrandthartries">HAR!$B$16</definedName>
    <definedName name="Donnelllirpts">#REF!</definedName>
    <definedName name="Donnelllirtries">#REF!</definedName>
    <definedName name="Donoghuebthpts">BTH!$G$13</definedName>
    <definedName name="Donoghuebthtries">BTH!$B$13</definedName>
    <definedName name="Doran_Jonesglopts">GLO!#REF!</definedName>
    <definedName name="Doran_Jonesglotries">GLO!#REF!</definedName>
    <definedName name="Doran_Jonesharpts">HAR!#REF!</definedName>
    <definedName name="Doran_Joneshartries">HAR!#REF!</definedName>
    <definedName name="Dorrianlipts">BRI!#REF!</definedName>
    <definedName name="Dorrianlitries">BRI!#REF!</definedName>
    <definedName name="dorrianmylesatt">BRI!#REF!</definedName>
    <definedName name="Dorrianmylesgoals">BRI!#REF!</definedName>
    <definedName name="Dorrianpts">BRI!#REF!</definedName>
    <definedName name="Dorriantries">BRI!#REF!</definedName>
    <definedName name="Douglasbthpts">BTH!#REF!</definedName>
    <definedName name="Douglasbthtries">BTH!#REF!</definedName>
    <definedName name="DouglasNEWpts">NRB!#REF!</definedName>
    <definedName name="DouglasNEWtries">NRB!#REF!</definedName>
    <definedName name="Douglaswaspts">#REF!</definedName>
    <definedName name="Douglaswastries">#REF!</definedName>
    <definedName name="Downwelpts">#REF!</definedName>
    <definedName name="Downweltries">#REF!</definedName>
    <definedName name="Dowsettworatt">#REF!</definedName>
    <definedName name="Dowsettworgls">#REF!</definedName>
    <definedName name="Dowsettworpts">#REF!</definedName>
    <definedName name="Dowsettwortries">#REF!</definedName>
    <definedName name="Dowsonphilnorpts">NOR!#REF!</definedName>
    <definedName name="Dowsonphilptscorrect">NOR!#REF!</definedName>
    <definedName name="Dowsonphiltriescorrect">NOR!#REF!</definedName>
    <definedName name="Dowsonpts">NOR!#REF!</definedName>
    <definedName name="Dowsontries">NOR!#REF!</definedName>
    <definedName name="DragonsPts">[1]DRA!$F$55</definedName>
    <definedName name="DragonsTries">[1]DRA!$B$55</definedName>
    <definedName name="Drauniniupts">#REF!</definedName>
    <definedName name="Drauniniutries">#REF!</definedName>
    <definedName name="driscollharpremcuppts">HAR!$I$17</definedName>
    <definedName name="driscollharpremcuptries">HAR!$D$17</definedName>
    <definedName name="du_Plessissarpts">NRB!$G$20</definedName>
    <definedName name="du_Plessissartries">NRB!$B$20</definedName>
    <definedName name="du_Preez__JPsalpts">SAL!#REF!</definedName>
    <definedName name="du_Preez__JPsaltries">SAL!#REF!</definedName>
    <definedName name="du_Preez_Dsalpts">SAL!$G$17</definedName>
    <definedName name="du_Preez_Dsaltries">SAL!$B$17</definedName>
    <definedName name="du_Preez_J_Lsalpts">SAL!#REF!</definedName>
    <definedName name="du_Preez_J_Lsaltries">SAL!#REF!</definedName>
    <definedName name="du_Preez_Rsalpts">SAL!$G$18</definedName>
    <definedName name="du_Preez_Rsaltries">SAL!$B$18</definedName>
    <definedName name="du_Preezworpts">#REF!</definedName>
    <definedName name="du_Preezwortries">#REF!</definedName>
    <definedName name="du_Toitbthpts">BTH!$G$15</definedName>
    <definedName name="du_Toitbthtries">BTH!$B$15</definedName>
    <definedName name="dugdalealpremcuppts">SAL!$I$19</definedName>
    <definedName name="dugdalealpremcuptries">SAL!$D$19</definedName>
    <definedName name="Dugdalesalpts">SAL!$G$19</definedName>
    <definedName name="Dugdalesaltries">SAL!$B$19</definedName>
    <definedName name="Dunnbattries">BTH!$B$14</definedName>
    <definedName name="Dunnbtheurtries">BTH!#REF!</definedName>
    <definedName name="Dunneexepts">EXE!$G$10</definedName>
    <definedName name="Dunneexetries">EXE!$B$10</definedName>
    <definedName name="DunnGLOpts">GLO!#REF!</definedName>
    <definedName name="DunnGLOtries">GLO!#REF!</definedName>
    <definedName name="Dunntompts">BTH!$G$14</definedName>
    <definedName name="dupreezdpremcuppts">SAL!$I$17</definedName>
    <definedName name="dupreezdpremcuptries">SAL!$D$17</definedName>
    <definedName name="dupreezralpremcuppts">SAL!$I$18</definedName>
    <definedName name="dupreezralpremcuptries">SAL!$D$18</definedName>
    <definedName name="dupreezrsalpremcupatt">SAL!$M$29</definedName>
    <definedName name="dupreezrsalpremcupgls">SAL!$L$29</definedName>
    <definedName name="dupreezsalatt">SAL!$M$6</definedName>
    <definedName name="dupreezsalgls">SAL!$L$6</definedName>
    <definedName name="dupreezsalpts">SAL!$M$6</definedName>
    <definedName name="dwebaexepremcuppts">EXE!$I$10</definedName>
    <definedName name="dwebaexepremcuptries">EXE!$D$10</definedName>
    <definedName name="Dykeslirpts">#REF!</definedName>
    <definedName name="Dykeslirtries">#REF!</definedName>
    <definedName name="Earleharpts">HAR!#REF!</definedName>
    <definedName name="Earlehartries">HAR!#REF!</definedName>
    <definedName name="Earlenathanpts">NRB!#REF!</definedName>
    <definedName name="Earlenathantries">NRB!#REF!</definedName>
    <definedName name="Earlsarpts">NRB!#REF!</definedName>
    <definedName name="Earlsarptscorrect">SAR!$G$18</definedName>
    <definedName name="Earlsartries">NRB!#REF!</definedName>
    <definedName name="Earlsartriescorrect">SAR!$B$18</definedName>
    <definedName name="Eastermarkpts">SAL!#REF!</definedName>
    <definedName name="Eastermarktries">SAL!#REF!</definedName>
    <definedName name="Easternickpts">HAR!#REF!</definedName>
    <definedName name="Easternicktries">HAR!#REF!</definedName>
    <definedName name="Eastersalpts">SAL!#REF!</definedName>
    <definedName name="Eastersaltries">SAL!#REF!</definedName>
    <definedName name="Eastertries">HAR!#REF!</definedName>
    <definedName name="eastgatewasatt">#REF!</definedName>
    <definedName name="eastgatewasgoals">#REF!</definedName>
    <definedName name="Eastgatewaspts">#REF!</definedName>
    <definedName name="Eastgatewastries">#REF!</definedName>
    <definedName name="Eastmondkylepts">BTH!#REF!</definedName>
    <definedName name="Eastmondkyletries">BTH!#REF!</definedName>
    <definedName name="Eastmondleictries">LEI!#REF!</definedName>
    <definedName name="Eastmondlicpts">LEI!#REF!</definedName>
    <definedName name="Eastmondwaspts">#REF!</definedName>
    <definedName name="Eastmondwastries">#REF!</definedName>
    <definedName name="edenbriatt">BRI!#REF!</definedName>
    <definedName name="edenbriattcorrect">BRI!#REF!</definedName>
    <definedName name="Edenbrigls">BRI!#REF!</definedName>
    <definedName name="Edenbriglscorrect">BRI!#REF!</definedName>
    <definedName name="Edenbripts">BRI!#REF!</definedName>
    <definedName name="Edenbritries">BRI!#REF!</definedName>
    <definedName name="Edensarpts">SAR!#REF!</definedName>
    <definedName name="Edensartries">SAR!#REF!</definedName>
    <definedName name="edenworatt">#REF!</definedName>
    <definedName name="edenworgoals">#REF!</definedName>
    <definedName name="EdinburghPts">[1]EDI!$F$51</definedName>
    <definedName name="EdinburghTries">[1]EDI!$B$51</definedName>
    <definedName name="Edmondshuiapts">GLO!#REF!</definedName>
    <definedName name="Edmondshuiatries">GLO!#REF!</definedName>
    <definedName name="Edwards_Giraudglopts">GLO!$G$21</definedName>
    <definedName name="Edwards_Giraudglotries">GLO!$B$21</definedName>
    <definedName name="edwardsgiraudglopremcuppts">GLO!$I$21</definedName>
    <definedName name="edwardsgiraudglopremcuptries">GLO!$D$21</definedName>
    <definedName name="edwardsharatt">HAR!#REF!</definedName>
    <definedName name="edwardshargls">HAR!#REF!</definedName>
    <definedName name="Edwardsharpts">HAR!$G$17</definedName>
    <definedName name="Edwardshartries">HAR!$B$17</definedName>
    <definedName name="Edwardsleicpts">LEI!#REF!</definedName>
    <definedName name="Edwardsleictries">LEI!#REF!</definedName>
    <definedName name="Egertonharpts">HAR!#REF!</definedName>
    <definedName name="Egertonhartries">HAR!#REF!</definedName>
    <definedName name="Egertonnewpts">#REF!</definedName>
    <definedName name="Egertonnewtries">#REF!</definedName>
    <definedName name="eiteglopremcuppts">GLO!$I$22</definedName>
    <definedName name="eiteglopremcuptries">GLO!$D$22</definedName>
    <definedName name="Elderchrispts">#REF!</definedName>
    <definedName name="Elderchristries">#REF!</definedName>
    <definedName name="Eliaharpts">HAR!#REF!</definedName>
    <definedName name="Eliahartries">HAR!#REF!</definedName>
    <definedName name="elizaldebriatt">BRI!$M$4</definedName>
    <definedName name="elizaldebrigls">BRI!$L$4</definedName>
    <definedName name="elizaldebripremcuppts">BRI!$I$14</definedName>
    <definedName name="elizaldebripremcuptries">BRI!$D$14</definedName>
    <definedName name="Elizaldebritries">BRI!$B$14</definedName>
    <definedName name="Elizaldebtipts">BRI!$G$14</definedName>
    <definedName name="Ellerysarpts">NRB!#REF!</definedName>
    <definedName name="Ellerysartries">NRB!#REF!</definedName>
    <definedName name="Elliottjamiepts">NOR!#REF!</definedName>
    <definedName name="Elliottjamieptscorrect">NOR!#REF!</definedName>
    <definedName name="elliottjamietries">NOR!#REF!</definedName>
    <definedName name="Elliottjamietriescorrect">NOR!#REF!</definedName>
    <definedName name="elliottsaratt">SAR!$M$4</definedName>
    <definedName name="elliottsargls">SAR!$L$4</definedName>
    <definedName name="Elliottsarpts">SAR!$G$19</definedName>
    <definedName name="Elliottsartries">SAR!$B$19</definedName>
    <definedName name="Ellisgerardpts">BRI!#REF!</definedName>
    <definedName name="Ellisgerardtries">BRI!#REF!</definedName>
    <definedName name="Elringtonglopts">GLO!#REF!</definedName>
    <definedName name="Elringtonglotries">GLO!#REF!</definedName>
    <definedName name="Elsharpremcuppts">HAR!$I$18</definedName>
    <definedName name="Elsharpremcuptries">HAR!$D$18</definedName>
    <definedName name="emensbthatt">BTH!$M$8</definedName>
    <definedName name="emensbthgls">BTH!$L$8</definedName>
    <definedName name="Emensbthpremcupatt">BTH!$M$36</definedName>
    <definedName name="Emensbthpremcupgls">BTH!$L$36</definedName>
    <definedName name="emensbthpremcuppts">BTH!$I$16</definedName>
    <definedName name="emensbthpremcuptries">BTH!$D$16</definedName>
    <definedName name="Emensbthpts">BTH!$G$16</definedName>
    <definedName name="Emensbthtries">BTH!$B$16</definedName>
    <definedName name="EneSALpts">SAL!$G$20</definedName>
    <definedName name="EneSALtries">SAL!$B$20</definedName>
    <definedName name="englefieldgloatt">GLO!$M$7</definedName>
    <definedName name="englefieldglogls">GLO!$L$7</definedName>
    <definedName name="Englefieldglopremcupatt">GLO!$M$35</definedName>
    <definedName name="Englefieldglopremcupgls">GLO!$L$35</definedName>
    <definedName name="Englefieldglopts">GLO!$G$23</definedName>
    <definedName name="Englefieldglotries">GLO!$B$23</definedName>
    <definedName name="englefieldliratt">#REF!</definedName>
    <definedName name="Englefieldlirpts">#REF!</definedName>
    <definedName name="Englefieldlirtries">#REF!</definedName>
    <definedName name="Englefieldlrgls">#REF!</definedName>
    <definedName name="Estellesnorpts">NOR!#REF!</definedName>
    <definedName name="Estellesnortrioes">NOR!#REF!</definedName>
    <definedName name="esterhuizenharatt">HAR!#REF!</definedName>
    <definedName name="Esterhuizenhargls">HAR!#REF!</definedName>
    <definedName name="Esterhuizenharpts">HAR!#REF!</definedName>
    <definedName name="Esterhuizenhartries">HAR!#REF!</definedName>
    <definedName name="Evans_Jharpremcupatt">HAR!$M$31</definedName>
    <definedName name="Evans_Jharpremcupgls">HAR!$L$31</definedName>
    <definedName name="Evans_Jharpremcuppts">HAR!$I$19</definedName>
    <definedName name="Evans_Jharpremcuptries">HAR!$D$19</definedName>
    <definedName name="Evans_Jharpts">HAR!$B$19</definedName>
    <definedName name="Evans_Jharptscorrect">HAR!$G$19</definedName>
    <definedName name="Evans_Jhartries">HAR!$G$19</definedName>
    <definedName name="Evans_Jhartriescorrect">HAR!$B$19</definedName>
    <definedName name="Evans_Lglopts">GLO!$G$24</definedName>
    <definedName name="Evans_Lglotries">GLO!$B$24</definedName>
    <definedName name="Evans_Oharpts">HAR!$G$18</definedName>
    <definedName name="Evans_Ohartries">HAR!$B$18</definedName>
    <definedName name="Evansbrynpts">BRI!#REF!</definedName>
    <definedName name="Evansbryntries">BRI!#REF!</definedName>
    <definedName name="Evansbthpts">BTH!#REF!</definedName>
    <definedName name="Evansbthtries">BTH!#REF!</definedName>
    <definedName name="Evansgarethpts">GLO!#REF!</definedName>
    <definedName name="Evansgarethtries">GLO!#REF!</definedName>
    <definedName name="Evansharpts">HAR!#REF!</definedName>
    <definedName name="Evanshartries">HAR!$B$20</definedName>
    <definedName name="Evansleipts">LEI!#REF!</definedName>
    <definedName name="Evansleitries">LEI!#REF!</definedName>
    <definedName name="evanslgloatt">GLO!#REF!</definedName>
    <definedName name="evanslglogoals">GLO!#REF!</definedName>
    <definedName name="evansnickatt">HAR!#REF!</definedName>
    <definedName name="evansnickgoals">HAR!#REF!</definedName>
    <definedName name="Evansnickpts">HAR!#REF!</definedName>
    <definedName name="Evansnicktries">HAR!#REF!</definedName>
    <definedName name="Evanssalpts">SAL!#REF!</definedName>
    <definedName name="Evanssaltries">SAL!#REF!</definedName>
    <definedName name="Evanswharpts">HAR!$G$20</definedName>
    <definedName name="Evanswillharpts">HAR!$G$20</definedName>
    <definedName name="Everardmattpts">#REF!</definedName>
    <definedName name="Everardmatttries">#REF!</definedName>
    <definedName name="Everardwaspts">#REF!</definedName>
    <definedName name="Everardwastries">#REF!</definedName>
    <definedName name="Evesnorpts">NOR!#REF!</definedName>
    <definedName name="Evesnortries">NOR!#REF!</definedName>
    <definedName name="Ewelsbthpts">BTH!$G$17</definedName>
    <definedName name="ewelsbthtries">BTH!$B$17</definedName>
    <definedName name="Ewersexepts">EXE!#REF!</definedName>
    <definedName name="Ewersexetries">EXE!#REF!</definedName>
    <definedName name="Ewerspts">EXE!#REF!</definedName>
    <definedName name="Ewerstries">EXE!#REF!</definedName>
    <definedName name="ExeterPts">EXE!$G$50</definedName>
    <definedName name="ExeterTries">EXE!$B$50</definedName>
    <definedName name="Fa_asavalumauriepts">HAR!#REF!</definedName>
    <definedName name="Fa_asavalumaurietries">HAR!#REF!</definedName>
    <definedName name="Fa_aso_olirpts">#REF!</definedName>
    <definedName name="Fa_aso_olirtries">#REF!</definedName>
    <definedName name="Fa_osilivaalafotipts">BTH!#REF!</definedName>
    <definedName name="Fa_osilivaalafotitries">BTH!#REF!</definedName>
    <definedName name="Fainga_anukuofapts">#REF!</definedName>
    <definedName name="Fainga_anukuofatries">#REF!</definedName>
    <definedName name="Faingaalirpts">#REF!</definedName>
    <definedName name="Faingaalirtries">#REF!</definedName>
    <definedName name="Faletaubripts">BRI!#REF!</definedName>
    <definedName name="Faletaubritries">BRI!#REF!</definedName>
    <definedName name="Faletaubthpts">BTH!#REF!</definedName>
    <definedName name="Faletaubthtries">BTH!#REF!</definedName>
    <definedName name="Faosilivaworpts">#REF!</definedName>
    <definedName name="Faosilivawortries">#REF!</definedName>
    <definedName name="farrellatt">NRB!#REF!</definedName>
    <definedName name="farrellgoals">NRB!#REF!</definedName>
    <definedName name="Farrellowentries">NRB!$B$24</definedName>
    <definedName name="Farrellpts">NRB!#REF!</definedName>
    <definedName name="farrellsarattcorrect">SAR!$M$7</definedName>
    <definedName name="Farrellsarattsecondspell">SAR!$M$6</definedName>
    <definedName name="farrellsarglscorrect">SAR!$L$7</definedName>
    <definedName name="Farrellsarglssecondspell">SAR!$L$6</definedName>
    <definedName name="Farrellsarpts">NRB!$G$24</definedName>
    <definedName name="Farrellsarptscorrect">SAR!$G$20</definedName>
    <definedName name="Farrellsarptssecondspell">SAR!$G$21</definedName>
    <definedName name="Farrellsartries">SAR!$B$21</definedName>
    <definedName name="farrellsartriescorrect">SAR!$B$20</definedName>
    <definedName name="Farrellsartriessecondspell">SAR!$B$21</definedName>
    <definedName name="Fatialofaworpts">#REF!</definedName>
    <definedName name="Fatialofawortries">#REF!</definedName>
    <definedName name="Feaoleicpts">LEI!#REF!</definedName>
    <definedName name="Feaoleictries">LEI!#REF!</definedName>
    <definedName name="Fearnsalpts">SAL!#REF!</definedName>
    <definedName name="Fearnsaltries">SAL!#REF!</definedName>
    <definedName name="Fearnscarlpts">BTH!#REF!</definedName>
    <definedName name="Fearnscarltries">BTH!#REF!</definedName>
    <definedName name="Fearnsnewpts">NRB!#REF!</definedName>
    <definedName name="Fearnsnewtries">NRB!#REF!</definedName>
    <definedName name="Fenbylipts">BRI!$G$22</definedName>
    <definedName name="Fenbylitries">BRI!$B$22</definedName>
    <definedName name="Fenbypts">BRI!#REF!</definedName>
    <definedName name="Fenbysarpts">NRB!#REF!</definedName>
    <definedName name="Fenbysartries">NRB!#REF!</definedName>
    <definedName name="Fenbytries">BRI!#REF!</definedName>
    <definedName name="Fenton_Wellsbripts">BRI!#REF!</definedName>
    <definedName name="Fenton_Wellsbritries">BRI!#REF!</definedName>
    <definedName name="Fercusarpts">NRB!#REF!</definedName>
    <definedName name="Fercusarptscorrect">NRB!#REF!</definedName>
    <definedName name="Fercusartries">NRB!#REF!</definedName>
    <definedName name="Fercusartriescorrect">NRB!#REF!</definedName>
    <definedName name="Festucciacarlopts">#REF!</definedName>
    <definedName name="Festucciacarlotries">#REF!</definedName>
    <definedName name="Feyi_Wabosoexepts">EXE!$G$11</definedName>
    <definedName name="Feyi_Wabosoexetries">EXE!$B$11</definedName>
    <definedName name="Fifitawaspts">#REF!</definedName>
    <definedName name="Fifitawastries">#REF!</definedName>
    <definedName name="Figallosarpts">NRB!#REF!</definedName>
    <definedName name="Figallosartries">NRB!#REF!</definedName>
    <definedName name="Fihakiviliamipts">SAL!#REF!</definedName>
    <definedName name="Fihakiviliamitris">SAL!#REF!</definedName>
    <definedName name="Fischettilirpts">#REF!</definedName>
    <definedName name="Fischettilirtries">#REF!</definedName>
    <definedName name="Fischettinorpts">NOR!$G$11</definedName>
    <definedName name="Fischettinortries">NOR!$B$11</definedName>
    <definedName name="Fisherbrispts">BRI!#REF!</definedName>
    <definedName name="Fisherbristries">BRI!#REF!</definedName>
    <definedName name="Fisherlipts">BRI!#REF!</definedName>
    <definedName name="Fisherlitries">BRI!#REF!</definedName>
    <definedName name="Fishernorpts">NOR!#REF!</definedName>
    <definedName name="Fishernortries">NOR!#REF!</definedName>
    <definedName name="Fishnorpts">NOR!#REF!</definedName>
    <definedName name="Fishnortries">NOR!#REF!</definedName>
    <definedName name="Fisilau">EXE!$B$12</definedName>
    <definedName name="fisilauexepremcuppts">EXE!$I$12</definedName>
    <definedName name="fisilauexepremcuptries">EXE!$D$12</definedName>
    <definedName name="FisilauEXEpts">EXE!$G$12</definedName>
    <definedName name="FisilauEXEtries">EXE!$B$12</definedName>
    <definedName name="Fitzgerald__Leitries">LEI!#REF!</definedName>
    <definedName name="Fitzgeraldleipts">LEI!#REF!</definedName>
    <definedName name="Flamentwaspts">#REF!</definedName>
    <definedName name="Flamentwastries">#REF!</definedName>
    <definedName name="Flanagansarpts">NRB!#REF!</definedName>
    <definedName name="Flanagansartries">NRB!#REF!</definedName>
    <definedName name="fletchernrbpremcuppts">NRB!$I$21</definedName>
    <definedName name="fletchernrbpremcuptries">NRB!$D$21</definedName>
    <definedName name="floodatt">LEI!#REF!</definedName>
    <definedName name="floodgoals">LEI!#REF!</definedName>
    <definedName name="Floodnewpts">#REF!</definedName>
    <definedName name="Floodnewptscorrect">NRB!#REF!</definedName>
    <definedName name="Floodnewtries">#REF!</definedName>
    <definedName name="Floodnewtriescorrect">NRB!#REF!</definedName>
    <definedName name="Floodpts">LEI!#REF!</definedName>
    <definedName name="Floodtobypts">LEI!#REF!</definedName>
    <definedName name="Floodtobytries">LEI!#REF!</definedName>
    <definedName name="Flynnsalpts">SAL!#REF!</definedName>
    <definedName name="Flynnsaltries">SAL!#REF!</definedName>
    <definedName name="Fodenpts">NOR!#REF!</definedName>
    <definedName name="fodentries">NOR!#REF!</definedName>
    <definedName name="Fonualeipts">LEI!#REF!</definedName>
    <definedName name="Fonualeitries">LEI!#REF!</definedName>
    <definedName name="Fonualwepts">#REF!</definedName>
    <definedName name="Fonualwetries">#REF!</definedName>
    <definedName name="Fonuanewpts">#REF!</definedName>
    <definedName name="Fonuanewtries">#REF!</definedName>
    <definedName name="Ford_Jleicpts">LEI!#REF!</definedName>
    <definedName name="Ford_Jleictries">LEI!#REF!</definedName>
    <definedName name="Ford_Robinsonglopts">GLO!$G$25</definedName>
    <definedName name="Ford_Robinsonglotries">GLO!$B$25</definedName>
    <definedName name="Ford_Robinsonnorpts">NOR!#REF!</definedName>
    <definedName name="Ford_Robinsonnortries">NOR!#REF!</definedName>
    <definedName name="Fordgeorgeatt">BTH!#REF!</definedName>
    <definedName name="Fordgeorgebatpts">BTH!#REF!</definedName>
    <definedName name="Fordgeorgegoals">BTH!#REF!</definedName>
    <definedName name="fordgeorgepts">BTH!#REF!</definedName>
    <definedName name="Fordgeorgesalpts">SAL!$G$21</definedName>
    <definedName name="Fordgeorgesaltries">SAL!$B$21</definedName>
    <definedName name="Fordgroegetries">BTH!#REF!</definedName>
    <definedName name="fordjoeatt">SAL!#REF!</definedName>
    <definedName name="fordjoegoals">SAL!#REF!</definedName>
    <definedName name="Fordjoepts">SAL!#REF!</definedName>
    <definedName name="Fordjoeptscorrect">SAL!#REF!</definedName>
    <definedName name="fordleicpts">LEI!#REF!</definedName>
    <definedName name="fordleictries">LEI!#REF!</definedName>
    <definedName name="fordsalatt">SAL!$M$7</definedName>
    <definedName name="fordsalgls">SAL!$L$7</definedName>
    <definedName name="Fordsaltries">SAL!#REF!</definedName>
    <definedName name="Forsythandytries">SAL!#REF!</definedName>
    <definedName name="Forsythleipts">LEI!#REF!</definedName>
    <definedName name="Forsythleitries">LEI!#REF!</definedName>
    <definedName name="Forsythpts">SAL!#REF!</definedName>
    <definedName name="Forsythsalpts">SAL!#REF!</definedName>
    <definedName name="Forsythsaltries">SAL!#REF!</definedName>
    <definedName name="forsythtries">SAL!#REF!</definedName>
    <definedName name="Forsythtriescorrect">SAL!#REF!</definedName>
    <definedName name="Fosterwaspts">#REF!</definedName>
    <definedName name="Fosterwastries">#REF!</definedName>
    <definedName name="Fotuali_ibthatt">BTH!#REF!</definedName>
    <definedName name="Fotuali_ibthgls">BTH!#REF!</definedName>
    <definedName name="Fotuali_ibthpts">BTH!$G$18</definedName>
    <definedName name="Fotuali_ibthtries">BTH!$B$18</definedName>
    <definedName name="Fotuali_Ikahnpts">NOR!#REF!</definedName>
    <definedName name="Fotuali_Ikahntries">NOR!#REF!</definedName>
    <definedName name="Fowlessalpts">SAL!#REF!</definedName>
    <definedName name="Fowlessaltries">SAL!#REF!</definedName>
    <definedName name="Fowlielipts">BRI!#REF!</definedName>
    <definedName name="Fowlietompts">BRI!#REF!</definedName>
    <definedName name="Fowlietomtries">BRI!#REF!</definedName>
    <definedName name="francisbthatt">BTH!#REF!</definedName>
    <definedName name="Francisbthgls">BTH!#REF!</definedName>
    <definedName name="Francisexepts">EXE!#REF!</definedName>
    <definedName name="Francisexetries">EXE!#REF!</definedName>
    <definedName name="Francisnorpts">NOR!#REF!</definedName>
    <definedName name="Francisnortries">NOR!#REF!</definedName>
    <definedName name="Frankslirpts">BRI!#REF!</definedName>
    <definedName name="Frankslirtries">BRI!#REF!</definedName>
    <definedName name="Franksnorpts">NOR!#REF!</definedName>
    <definedName name="Franksnortries">NOR!#REF!</definedName>
    <definedName name="Frasersarpts">NRB!#REF!</definedName>
    <definedName name="Frasersartries">NRB!#REF!</definedName>
    <definedName name="Fraserwillpts">NRB!#REF!</definedName>
    <definedName name="Fraserwilltries">NRB!#REF!</definedName>
    <definedName name="Freemanexepts">EXE!#REF!</definedName>
    <definedName name="Freemanexetries">EXE!#REF!</definedName>
    <definedName name="Freemannorpts">NOR!$G$12</definedName>
    <definedName name="Freemannortries">NOR!$B$12</definedName>
    <definedName name="freemanpriceglopremcuppts">GLO!$I$26</definedName>
    <definedName name="freemanpriceglopremcuptries">GLO!$D$26</definedName>
    <definedName name="freemanpriceglopts">GLO!$G$26</definedName>
    <definedName name="freemanpriceglotries">GLO!$B$26</definedName>
    <definedName name="Frischbripts">BRI!$G$15</definedName>
    <definedName name="Frischbritries">BRI!$B$15</definedName>
    <definedName name="frostbthpremcuppts">BTH!$I$19</definedName>
    <definedName name="frostbthpremcuptries">BTH!$D$19</definedName>
    <definedName name="Frostexepts">EXE!#REF!</definedName>
    <definedName name="Frostexetries">EXE!#REF!</definedName>
    <definedName name="Frostnorpts">NOR!#REF!</definedName>
    <definedName name="Frostnortries">NOR!#REF!</definedName>
    <definedName name="Frostwaspts">#REF!</definedName>
    <definedName name="Frostwastries">#REF!</definedName>
    <definedName name="Frueanbatpts">BTH!#REF!</definedName>
    <definedName name="Frueanbattries">BTH!#REF!</definedName>
    <definedName name="Frynewpts">#REF!</definedName>
    <definedName name="Frynewtries">#REF!</definedName>
    <definedName name="furbanknoratt">NOR!$M$5</definedName>
    <definedName name="furbanknorgls">NOR!$L$5</definedName>
    <definedName name="furbanknorpremcupatt">NOR!$M$33</definedName>
    <definedName name="Furbanknorpremcupgls">NOR!$L$33</definedName>
    <definedName name="furbanknorpremcuppts">NOR!$I$13</definedName>
    <definedName name="furbanknorpremcuptries">NOR!$D$13</definedName>
    <definedName name="Furbanknorpts">NOR!#REF!</definedName>
    <definedName name="Furbanknorptscorrect">NOR!$G$13</definedName>
    <definedName name="Furbanknortries">NOR!#REF!</definedName>
    <definedName name="Furbanknortriescorrect">NOR!$B$13</definedName>
    <definedName name="Furnonewpts">#REF!</definedName>
    <definedName name="Furnonewtries">#REF!</definedName>
    <definedName name="Furynewpts">#REF!</definedName>
    <definedName name="Furywarrenpts">#REF!</definedName>
    <definedName name="Furywarrentries">#REF!</definedName>
    <definedName name="Fusernewpts">NRB!$G$21</definedName>
    <definedName name="Fusernewtries">NRB!$B$21</definedName>
    <definedName name="Galarzaglopts">GLO!$G$25</definedName>
    <definedName name="Galarzaglotries">GLO!$B$25</definedName>
    <definedName name="Galarzamarianopts">#REF!</definedName>
    <definedName name="Galarzamarianotries">#REF!</definedName>
    <definedName name="Gallaghersarpts">NRB!#REF!</definedName>
    <definedName name="Gallaghersartries">NRB!#REF!</definedName>
    <definedName name="Garrattbthpts">BTH!#REF!</definedName>
    <definedName name="Garrattbthtries">BTH!#REF!</definedName>
    <definedName name="Garside_Jnorpts">NOR!#REF!</definedName>
    <definedName name="Garside_Jnortries">NOR!#REF!</definedName>
    <definedName name="Garsidenorpts">NOR!#REF!</definedName>
    <definedName name="Garsidenortries">NOR!#REF!</definedName>
    <definedName name="Garveyglopts">GLO!#REF!</definedName>
    <definedName name="Garveyglotries">GLO!#REF!</definedName>
    <definedName name="Garveymattpts">BTH!$G$19</definedName>
    <definedName name="Garveymatttries">BTH!$B$19</definedName>
    <definedName name="Gaskelljamespts">SAL!#REF!</definedName>
    <definedName name="Gaskelljamestries">SAL!#REF!</definedName>
    <definedName name="Gaskellwaspts">#REF!</definedName>
    <definedName name="Gaskellwastries">#REF!</definedName>
    <definedName name="Georgejamieptscorrect">NRB!#REF!</definedName>
    <definedName name="Georgejamietriescorrect">NRB!#REF!</definedName>
    <definedName name="Georgepts">NRB!#REF!</definedName>
    <definedName name="Georgesarpts">NRB!$G$31</definedName>
    <definedName name="Georgesarptscorrect">SAR!$G$22</definedName>
    <definedName name="Georgesartries">NRB!$B$31</definedName>
    <definedName name="Georgesartriescorrect">SAR!$B$22</definedName>
    <definedName name="georgetries">NRB!#REF!</definedName>
    <definedName name="geraghtyatt">BRI!#REF!</definedName>
    <definedName name="geraghtybriatt">BRI!#REF!</definedName>
    <definedName name="geraghtybrigoals">BRI!#REF!</definedName>
    <definedName name="Geraghtybripts">BRI!#REF!</definedName>
    <definedName name="Geraghtybritries">BRI!#REF!</definedName>
    <definedName name="geraghtygoals">BRI!#REF!</definedName>
    <definedName name="Geraghtylipts">BRI!#REF!</definedName>
    <definedName name="Geraghtylitries">BRI!#REF!</definedName>
    <definedName name="Geraghtypts">BRI!$G$38</definedName>
    <definedName name="Geraghtyptscorrect">BRI!#REF!</definedName>
    <definedName name="Geraghtytries">BRI!#REF!</definedName>
    <definedName name="Geraghtytriescorrect">BRI!#REF!</definedName>
    <definedName name="gfordpts">BTH!#REF!</definedName>
    <definedName name="Ghiraldinileipts">LEI!#REF!</definedName>
    <definedName name="Ghiraldinileitries">LEI!#REF!</definedName>
    <definedName name="Gibsonjamiepts">LEI!#REF!</definedName>
    <definedName name="Gibsonjamietries">LEI!#REF!</definedName>
    <definedName name="Gibsonnorpts">NOR!#REF!</definedName>
    <definedName name="Gibsonnortries">NOR!#REF!</definedName>
    <definedName name="Gigenaleicpts">LEI!#REF!</definedName>
    <definedName name="Gigenaleictries">LEI!#REF!</definedName>
    <definedName name="Gigenalirpts">#REF!</definedName>
    <definedName name="Gigenalirtries">#REF!</definedName>
    <definedName name="Gilbertbatpts">BTH!#REF!</definedName>
    <definedName name="Gilbertbattries">BTH!#REF!</definedName>
    <definedName name="Gilbertmatpts">BTH!#REF!</definedName>
    <definedName name="Gilbertmattries">BTH!#REF!</definedName>
    <definedName name="Gildingjackpts">#REF!</definedName>
    <definedName name="Gildingjacktries">#REF!</definedName>
    <definedName name="Gillespienorpts">NOR!$G$15</definedName>
    <definedName name="Gillespienortries">NOR!$B$15</definedName>
    <definedName name="Gillsarpts">NRB!#REF!</definedName>
    <definedName name="Gillsartries">NRB!#REF!</definedName>
    <definedName name="Gilsenanlipts">BRI!#REF!</definedName>
    <definedName name="Gilsenanlirpts">#REF!</definedName>
    <definedName name="Gilsenanlirtries">#REF!</definedName>
    <definedName name="Gilsenanlitries">BRI!#REF!</definedName>
    <definedName name="Gjaltemaharpts">HAR!#REF!</definedName>
    <definedName name="Gjaltemahartries">HAR!#REF!</definedName>
    <definedName name="GlasgowPts">[1]GLA!$F$58</definedName>
    <definedName name="GlasgowTries">[1]GLA!$B$58</definedName>
    <definedName name="Gleavelirpts">BRI!#REF!</definedName>
    <definedName name="Gleavelirtries">BRI!#REF!</definedName>
    <definedName name="GlisterNORpts">NOR!$G$14</definedName>
    <definedName name="GlisterNORtries">NOR!$B$14</definedName>
    <definedName name="gloucesterpentriespts">GLO!#REF!</definedName>
    <definedName name="GloucesterPenTriestries">GLO!#REF!</definedName>
    <definedName name="GloucesterPts">GLO!$G$55</definedName>
    <definedName name="GloucesterTries">GLO!$B$55</definedName>
    <definedName name="godmanatt">#REF!</definedName>
    <definedName name="godmangoals">#REF!</definedName>
    <definedName name="Godmannewpts">#REF!</definedName>
    <definedName name="Godmanphiltries">#REF!</definedName>
    <definedName name="Godmanpts">#REF!</definedName>
    <definedName name="goneatries">LEI!#REF!</definedName>
    <definedName name="Gonevaleipts">LEI!#REF!</definedName>
    <definedName name="Gonevaleiptscorrect">LEI!#REF!</definedName>
    <definedName name="Gonevaleitries">LEI!#REF!</definedName>
    <definedName name="Gonevapts">LEI!#REF!</definedName>
    <definedName name="Gonevaptscorrect">LEI!#REF!</definedName>
    <definedName name="Gonevatriescorrect">LEI!#REF!</definedName>
    <definedName name="Gonzalezlirpts">#REF!</definedName>
    <definedName name="Gonzalezlirtries">#REF!</definedName>
    <definedName name="Gonzalezsarpts">SAR!$G$23</definedName>
    <definedName name="Gonzalezsartries">SAR!$B$23</definedName>
    <definedName name="goodealexatt">NRB!#REF!</definedName>
    <definedName name="goodealexgoals">NRB!#REF!</definedName>
    <definedName name="Goodealexpts">NRB!#REF!</definedName>
    <definedName name="goodealextries">NRB!#REF!</definedName>
    <definedName name="goodeandyatt">#REF!</definedName>
    <definedName name="goodeandygoals">#REF!</definedName>
    <definedName name="Goodeandypts">#REF!</definedName>
    <definedName name="Goodemewpts">#REF!</definedName>
    <definedName name="goodenewatt">#REF!</definedName>
    <definedName name="Goodenewgoals">#REF!</definedName>
    <definedName name="Goodenewtries">#REF!</definedName>
    <definedName name="Goodepts">#REF!</definedName>
    <definedName name="GOODESARATTCORRECT">SAR!#REF!</definedName>
    <definedName name="goodesarglscorrect">SAR!#REF!</definedName>
    <definedName name="Goodesarptscorrect">SAR!#REF!</definedName>
    <definedName name="Goodesartriescorrect">SAR!#REF!</definedName>
    <definedName name="Goodewaspts">#REF!</definedName>
    <definedName name="Goodewastries">#REF!</definedName>
    <definedName name="Goodhuecampts">#REF!</definedName>
    <definedName name="Goodhuecamtries">#REF!</definedName>
    <definedName name="GOODRICKCLARKEEXEPREMCUPPTS">EXE!$I$13</definedName>
    <definedName name="GOODRICKCLARKEEXEPREMCUPTRIES">EXE!$D$13</definedName>
    <definedName name="Gordonnewpts">NRB!$G$22</definedName>
    <definedName name="Gordonnewtries">NRB!$B$22</definedName>
    <definedName name="Graham__Guynewpts">#REF!</definedName>
    <definedName name="Graham__Guynewtries">#REF!</definedName>
    <definedName name="Grahambripts">BRI!#REF!</definedName>
    <definedName name="Grahambritries">BRI!#REF!</definedName>
    <definedName name="Grahambthpts">BTH!#REF!</definedName>
    <definedName name="Grahambthtres">BTH!#REF!</definedName>
    <definedName name="Grahamnewpts">#REF!</definedName>
    <definedName name="Grahamnewtries">#REF!</definedName>
    <definedName name="grahamnorpremcuppts">NOR!$I$15</definedName>
    <definedName name="grahamnorpremcuptries">NOR!$D$15</definedName>
    <definedName name="grahamslawbripremcuppts">BRI!$I$16</definedName>
    <definedName name="grahamslawbripremcuptries">BRI!$D$16</definedName>
    <definedName name="Grahamslawbripts">BRI!$G$16</definedName>
    <definedName name="Grahamslawbritries">BRI!$B$16</definedName>
    <definedName name="Grantbatpts">BTH!#REF!</definedName>
    <definedName name="Grantbattries">BTH!#REF!</definedName>
    <definedName name="Graybthpts">BTH!#REF!</definedName>
    <definedName name="Graybthtries">BTH!#REF!</definedName>
    <definedName name="graydannyatt">#REF!</definedName>
    <definedName name="graydannygoals">#REF!</definedName>
    <definedName name="Grayexeeurtries">EXE!$C$13</definedName>
    <definedName name="Grayexepts">EXE!$G$13</definedName>
    <definedName name="Grayexetries">EXE!$B$13</definedName>
    <definedName name="Grayharpts">HAR!#REF!</definedName>
    <definedName name="Grayhartries">HAR!#REF!</definedName>
    <definedName name="Grayjoeharpts">HAR!$G$21</definedName>
    <definedName name="Grayjoehartries">HAR!$B$21</definedName>
    <definedName name="Grayjoshglopts">GLO!#REF!</definedName>
    <definedName name="Grayjoshglotries">GLO!#REF!</definedName>
    <definedName name="Graypts">#REF!</definedName>
    <definedName name="Grayson_Enrbpremcupatt">NRB!$M$28</definedName>
    <definedName name="Grayson_Enrbpremcupgls">NRB!$L$28</definedName>
    <definedName name="graysonenrbpremcuppts">NRB!$I$23</definedName>
    <definedName name="graysonenrbpremcuptries">NRB!$D$23</definedName>
    <definedName name="Graysonnewatt">NRB!$M$6</definedName>
    <definedName name="Graysonnewgls">NRB!$L$6</definedName>
    <definedName name="Graysonnewpts">NRB!$G$23</definedName>
    <definedName name="Graysonnewtries">NRB!$B$23</definedName>
    <definedName name="graysonnoratt">NOR!#REF!</definedName>
    <definedName name="graysonnorgls">NOR!#REF!</definedName>
    <definedName name="Graysonnorpts">NOR!#REF!</definedName>
    <definedName name="Graysonnortries">NOR!#REF!</definedName>
    <definedName name="greenbthpremcuppts">BTH!$I$20</definedName>
    <definedName name="greenbthpremcuptries">BTH!$D$20</definedName>
    <definedName name="Greenbthpts">BTH!#REF!</definedName>
    <definedName name="Greenbthptscorrect">BTH!$G$20</definedName>
    <definedName name="Greenbthtries">BTH!#REF!</definedName>
    <definedName name="Greenbthtriescorrect">BTH!$B$20</definedName>
    <definedName name="Greenharpts">HAR!$G$23</definedName>
    <definedName name="Greenhartries">HAR!$B$23</definedName>
    <definedName name="greennorpremcuppts">NOR!$I$16</definedName>
    <definedName name="greennorpremcuptries">NOR!$D$16</definedName>
    <definedName name="Greennorpts">NOR!$G$16</definedName>
    <definedName name="Greennortries">NOR!$B$16</definedName>
    <definedName name="greenwoodnrbpremcuppts">NRB!$I$24</definedName>
    <definedName name="greenwoodnrbpremcuptries">NRB!$D$24</definedName>
    <definedName name="greenwoodnrbpts">NRB!$I$24</definedName>
    <definedName name="greenwoodnrbtries">NRB!$D$24</definedName>
    <definedName name="Griffinbthpts">BTH!$G$22</definedName>
    <definedName name="Griffinbthtries">BTH!$B$22</definedName>
    <definedName name="griffincbthpremcuppts">BTH!$I$23</definedName>
    <definedName name="griffincbthpremcuptries">BTH!$D$23</definedName>
    <definedName name="Griffinlipts">BRI!#REF!</definedName>
    <definedName name="Griffinlitries">BRI!#REF!</definedName>
    <definedName name="Griffithssarpts">NRB!#REF!</definedName>
    <definedName name="Griffithssartries">NRB!#REF!</definedName>
    <definedName name="Grimoldbyharpts">HAR!#REF!</definedName>
    <definedName name="Grimoldbyhartries">HAR!#REF!</definedName>
    <definedName name="Groblerglopts">GLO!#REF!</definedName>
    <definedName name="Groblerglotrie">GLO!#REF!</definedName>
    <definedName name="Grondona_Bbripts">BRI!$G$17</definedName>
    <definedName name="Grondona_Bbritries">BRI!$B$17</definedName>
    <definedName name="Grondona_Sbripts">BRI!$G$18</definedName>
    <definedName name="Grondona_Sbritries">BRI!$B$18</definedName>
    <definedName name="Grondonaexepts">EXE!#REF!</definedName>
    <definedName name="Grondonaexetries">EXE!#REF!</definedName>
    <definedName name="Groomnorpts">NOR!#REF!</definedName>
    <definedName name="Groomnortries">NOR!#REF!</definedName>
    <definedName name="Grovepts">#REF!</definedName>
    <definedName name="Grovetries">#REF!</definedName>
    <definedName name="Guestlipts">BRI!#REF!</definedName>
    <definedName name="Guestlitries">BRI!#REF!</definedName>
    <definedName name="Guesttompts">HAR!#REF!</definedName>
    <definedName name="Guesttomtris">HAR!#REF!</definedName>
    <definedName name="gulleyexepremcuppts">EXE!$G$14</definedName>
    <definedName name="gulleyexepremcupptscorrect">EXE!$I$14</definedName>
    <definedName name="gulleyexepremcuptries">EXE!$D$14</definedName>
    <definedName name="Gulleyexepts">EXE!$G$14</definedName>
    <definedName name="Gulleyexeptscorrect">EXE!$G$14</definedName>
    <definedName name="Gulleyexetries">EXE!$B$14</definedName>
    <definedName name="gwilliambripremcup">BRI!$D$19</definedName>
    <definedName name="gwilliambripremcuppts">BRI!$I$19</definedName>
    <definedName name="gwilliambripremcuptries">BRI!$D$19</definedName>
    <definedName name="Gwilliambripts">BRI!$G$19</definedName>
    <definedName name="Gwilliambritries">BRI!$B$19</definedName>
    <definedName name="gwynneglopremcuppts">GLO!$I$28</definedName>
    <definedName name="gwynneglopremcuptries">GLO!$D$28</definedName>
    <definedName name="Hadfieldsarpts">SAR!$G$24</definedName>
    <definedName name="Hadfieldsartries">SAR!$B$24</definedName>
    <definedName name="haffarleipremcuppts">LEI!$I$12</definedName>
    <definedName name="haffarleipremcuptries">LEI!$D$12</definedName>
    <definedName name="Haffarlirpts">#REF!</definedName>
    <definedName name="Haffarlirtries">#REF!</definedName>
    <definedName name="Haganjamiepts">BRI!#REF!</definedName>
    <definedName name="Haganjamietries">BRI!#REF!</definedName>
    <definedName name="Hainingbripts">BRI!$G$22</definedName>
    <definedName name="Hainingbritries">BRI!$B$22</definedName>
    <definedName name="Hala_ufiachrispts">BRI!#REF!</definedName>
    <definedName name="Hala_ufiachristries">BRI!#REF!</definedName>
    <definedName name="Halaifonuaglopts">GLO!$G$27</definedName>
    <definedName name="Halaifonuaglotries">GLO!$B$27</definedName>
    <definedName name="Halaiwaspts">#REF!</definedName>
    <definedName name="Halaiwastries">#REF!</definedName>
    <definedName name="Halavataulipts">BRI!#REF!</definedName>
    <definedName name="Halavataulitries">BRI!#REF!</definedName>
    <definedName name="Halavataupts">BRI!#REF!</definedName>
    <definedName name="Halavatautries">BRI!#REF!</definedName>
    <definedName name="Haleymikepts">SAL!#REF!</definedName>
    <definedName name="Haleymiketries">SAL!#REF!</definedName>
    <definedName name="halfpennyharatt">HAR!#REF!</definedName>
    <definedName name="Halfpennyhargls">HAR!#REF!</definedName>
    <definedName name="Halfpennyharpts">HAR!#REF!</definedName>
    <definedName name="Halfpennyhartries">HAR!#REF!</definedName>
    <definedName name="Halliwellbripts">BRI!$G$20</definedName>
    <definedName name="Halliwellbritries">BRI!$B$20</definedName>
    <definedName name="hallsarpremcuppts">SAR!$I$25</definedName>
    <definedName name="hallsarpremcuptries">SAR!$D$25</definedName>
    <definedName name="Hallsarpts">SAR!$G$25</definedName>
    <definedName name="Hallsartries">SAR!$B$25</definedName>
    <definedName name="Hamer_Webbleipts">LEI!$G$13</definedName>
    <definedName name="Hamer_Webbleitries">LEI!$B$13</definedName>
    <definedName name="hamerwebbleipremcuppts">LEI!$I$13</definedName>
    <definedName name="hamerwebbleipremcuptries">LEI!$D$13</definedName>
    <definedName name="Hamiltonleipts">LEI!#REF!</definedName>
    <definedName name="Hamiltonleitries">LEI!#REF!</definedName>
    <definedName name="Hamiltonsarpts">NRB!#REF!</definedName>
    <definedName name="Hamiltonsartries">NRB!#REF!</definedName>
    <definedName name="HammersleyEXEpts">EXE!$G$15</definedName>
    <definedName name="HammersleyEXEtries">EXE!$B$15</definedName>
    <definedName name="Hammersleynewpts">#REF!</definedName>
    <definedName name="Hammersleynewtries">#REF!</definedName>
    <definedName name="Hammersleysalpts">SAL!#REF!</definedName>
    <definedName name="Hammersleysaltries">SAL!#REF!</definedName>
    <definedName name="Hammicksarpts">SAR!$G$26</definedName>
    <definedName name="Hammicksartries">SAR!$B$26</definedName>
    <definedName name="Hammonddeanpts">#REF!</definedName>
    <definedName name="Hammonddeantries">#REF!</definedName>
    <definedName name="Hampsonwaspts">#REF!</definedName>
    <definedName name="Hampsonwasptscorrect">#REF!</definedName>
    <definedName name="Hampsonwastries">#REF!</definedName>
    <definedName name="Hampsonwastriescorrect">#REF!</definedName>
    <definedName name="Hancok__Connornrbpts">NRB!$G$25</definedName>
    <definedName name="Hancok__Connornrbtries">NRB!$B$25</definedName>
    <definedName name="Hankinmattpts">NRB!#REF!</definedName>
    <definedName name="Hankinmatttries">NRB!#REF!</definedName>
    <definedName name="hanrahannoratt">NOR!#REF!</definedName>
    <definedName name="Hanrahannorgoals">NOR!#REF!</definedName>
    <definedName name="Hanrahannorpts">NOR!#REF!</definedName>
    <definedName name="Hanrahannortries">NOR!#REF!</definedName>
    <definedName name="Hansonglopts">GLO!#REF!</definedName>
    <definedName name="Hansonglotries">GLO!#REF!</definedName>
    <definedName name="hansonsalpremcuppts">SAL!$I$22</definedName>
    <definedName name="hansonsalpremcuptries">SAL!$D$22</definedName>
    <definedName name="Hardingbripts">BRI!$G$21</definedName>
    <definedName name="Hardingbritries">BRI!$B$21</definedName>
    <definedName name="Hardingwaspts">#REF!</definedName>
    <definedName name="Hardingwastries">#REF!</definedName>
    <definedName name="hardwickleicatt">LEI!#REF!</definedName>
    <definedName name="hardwickleicgls">LEI!#REF!</definedName>
    <definedName name="Hardwickleipts">LEI!#REF!</definedName>
    <definedName name="Hardwickleitries">LEI!#REF!</definedName>
    <definedName name="Hargreavessarpts">NRB!#REF!</definedName>
    <definedName name="Hargreavessartries">NRB!#REF!</definedName>
    <definedName name="harisbthatt">BTH!$M$6</definedName>
    <definedName name="HarlequinsPts">HAR!$G$57</definedName>
    <definedName name="HarlequinsTries">HAR!$B$57</definedName>
    <definedName name="harpersalpremcuppts">SAL!$I$23</definedName>
    <definedName name="harpersalpremcuptries">SAL!$D$23</definedName>
    <definedName name="Harpersalpts">SAL!$G$23</definedName>
    <definedName name="Harpersaltries">SAL!$B$23</definedName>
    <definedName name="Harris_Bwaspts">#REF!</definedName>
    <definedName name="Harris_Bwastries">#REF!</definedName>
    <definedName name="Harrisbthgls">BTH!$L$6</definedName>
    <definedName name="Harrisbthpts">BTH!$G$25</definedName>
    <definedName name="Harrisbthtries">BTH!$B$25</definedName>
    <definedName name="Harrisglopts">GLO!#REF!</definedName>
    <definedName name="Harrisglotries">GLO!#REF!</definedName>
    <definedName name="Harrislipts">BRI!#REF!</definedName>
    <definedName name="Harrislitries">BRI!#REF!</definedName>
    <definedName name="Harrisnewpts">#REF!</definedName>
    <definedName name="Harrisnewtries">#REF!</definedName>
    <definedName name="Harrisonlirpts">#REF!</definedName>
    <definedName name="Harrisonlirtries">#REF!</definedName>
    <definedName name="Harrisonnorpts">NOR!#REF!</definedName>
    <definedName name="Harrisonnortries">NOR!#REF!</definedName>
    <definedName name="Harrisonsalpts">SAL!$G$22</definedName>
    <definedName name="Harrisonsaltris">SAL!$B$22</definedName>
    <definedName name="Harrisonsampts">LEI!$G$15</definedName>
    <definedName name="Harrisonsamtries">LEI!$B$15</definedName>
    <definedName name="Harrissarpts">SAR!#REF!</definedName>
    <definedName name="Harrissarptscorrect">SAR!#REF!</definedName>
    <definedName name="Harrissartries">SAR!#REF!</definedName>
    <definedName name="Harrissartriescorrect">SAR!#REF!</definedName>
    <definedName name="Hartleypts">NOR!#REF!</definedName>
    <definedName name="Hartleyptscorrect">NOR!#REF!</definedName>
    <definedName name="hartleysarpremcuppts">SAR!$I$27</definedName>
    <definedName name="hartleysarpremcuptries">SAR!$D$27</definedName>
    <definedName name="Hartleysarpts">SAR!$G$27</definedName>
    <definedName name="Hartleysartries">SAR!$B$27</definedName>
    <definedName name="hartleytries">NOR!#REF!</definedName>
    <definedName name="Hartleytriescorrect">NOR!#REF!</definedName>
    <definedName name="Hartleytriesthisiscorrect">NOR!#REF!</definedName>
    <definedName name="Hartleywaspts">#REF!</definedName>
    <definedName name="Hartleywasptscorrect">#REF!</definedName>
    <definedName name="Hartleywastries">#REF!</definedName>
    <definedName name="Hartleywastriescorrect">#REF!</definedName>
    <definedName name="Hartryscorers">HAR!$A$2:$E$57</definedName>
    <definedName name="Haskelljamespts">#REF!</definedName>
    <definedName name="Haskelljamestries">#REF!</definedName>
    <definedName name="Haskellnorpts">NOR!#REF!</definedName>
    <definedName name="Haskellnortries">NOR!#REF!</definedName>
    <definedName name="Hassell_CollinsLEIpts">LEI!$G$14</definedName>
    <definedName name="Hassell_CollinsLEItries">LEI!$B$14</definedName>
    <definedName name="Hassell_Collinslirpts">#REF!</definedName>
    <definedName name="Hassell_Collinslirtries">#REF!</definedName>
    <definedName name="hassellcollinsleipremcuppts">LEI!$I$14</definedName>
    <definedName name="hassellcollinsleipremcuptries">LEI!$D$14</definedName>
    <definedName name="hastingsbatatt">BTH!#REF!</definedName>
    <definedName name="hastingsbatgoals">BTH!#REF!</definedName>
    <definedName name="Hastingsbatpts">BTH!#REF!</definedName>
    <definedName name="Hastingsbattries">BTH!#REF!</definedName>
    <definedName name="hastingsgloatt">GLO!#REF!</definedName>
    <definedName name="Hastingsglogls">GLO!#REF!</definedName>
    <definedName name="hathawayglopremcuppts">GLO!$I$29</definedName>
    <definedName name="hathawayglopremcuptries">GLO!$D$29</definedName>
    <definedName name="HathawayGLOpts">GLO!$G$29</definedName>
    <definedName name="HathawayGLOtries">GLO!$B$29</definedName>
    <definedName name="HatherellLEIpts">LEI!#REF!</definedName>
    <definedName name="HatherellLEItries">LEI!#REF!</definedName>
    <definedName name="Hauptworpts">#REF!</definedName>
    <definedName name="Hauptwortries">#REF!</definedName>
    <definedName name="Hawkinsnewpts">#REF!</definedName>
    <definedName name="Hawkinsnewtries">#REF!</definedName>
    <definedName name="Haydon_Wexepremcupatt">EXE!$M$33</definedName>
    <definedName name="Haydon_Wexepremcupgls">EXE!$L$33</definedName>
    <definedName name="Haydon_WoodEXEtries">EXE!$B$16</definedName>
    <definedName name="Haydon_Woodnewgls">NRB!#REF!</definedName>
    <definedName name="Haydon_Woodnewpts">NRB!$G$26</definedName>
    <definedName name="Haydon_Woodnewtries">NRB!$B$26</definedName>
    <definedName name="HAYDONWOODEXEATT">EXE!$M$6</definedName>
    <definedName name="HAYDONWOODEXEGLS">EXE!$L$6</definedName>
    <definedName name="haydonwoodexepremcuppts">EXE!$I$16</definedName>
    <definedName name="haydonwoodexepremcuptries">EXE!$D$16</definedName>
    <definedName name="haydonwoodnewatt">NRB!#REF!</definedName>
    <definedName name="Hayterpts">#REF!</definedName>
    <definedName name="Haytertries">#REF!</definedName>
    <definedName name="Hayterwaspts">#REF!</definedName>
    <definedName name="Hayterwastries">#REF!</definedName>
    <definedName name="Haywood_WoodEXEpts">EXE!$G$16</definedName>
    <definedName name="Haywoodmikepts">NOR!#REF!</definedName>
    <definedName name="Haywoodmiketries">NOR!#REF!</definedName>
    <definedName name="Healynrbat">NRB!$M$7</definedName>
    <definedName name="Healynrbgls">NRB!$L$7</definedName>
    <definedName name="Healynrbpts">NRB!$G$27</definedName>
    <definedName name="Healynrbtries">NRB!$B$27</definedName>
    <definedName name="Heaneyworpts">#REF!</definedName>
    <definedName name="Heaneywortries">#REF!</definedName>
    <definedName name="HearleGLOpts">GLO!#REF!</definedName>
    <definedName name="HearleGLOtries">GLO!#REF!</definedName>
    <definedName name="Hearlenewpts">NRB!$G$28</definedName>
    <definedName name="Hearlenewtries">NRB!$B$28</definedName>
    <definedName name="hearlenrbpremcuppts">NRB!$I$28</definedName>
    <definedName name="hearlenrbpremcuptries">NRB!$D$28</definedName>
    <definedName name="Hearleworpts">#REF!</definedName>
    <definedName name="Hearlewortries">#REF!</definedName>
    <definedName name="Hearnlirpts">BRI!$G$28</definedName>
    <definedName name="Hearnlirtries">BRI!$B$28</definedName>
    <definedName name="heathcoteatt">BTH!#REF!</definedName>
    <definedName name="Heathcotegoals">BTH!#REF!</definedName>
    <definedName name="Heathcotepts">BTH!#REF!</definedName>
    <definedName name="Heathcoteptscorrect">BTH!#REF!</definedName>
    <definedName name="heavenexepremcuppts">EXE!$I$17</definedName>
    <definedName name="heavenexepremcuptries">EXE!$D$17</definedName>
    <definedName name="Heavenexepts">EXE!$G$17</definedName>
    <definedName name="Heavenexetries">EXE!$B$17</definedName>
    <definedName name="Heffernannorpts">NOR!#REF!</definedName>
    <definedName name="Heffernannortries">NOR!#REF!</definedName>
    <definedName name="Hegartyleicpts">LEI!#REF!</definedName>
    <definedName name="Hegartyleictries">LEI!#REF!</definedName>
    <definedName name="Heinzglopts">GLO!#REF!</definedName>
    <definedName name="Heinzglotries">GLO!#REF!</definedName>
    <definedName name="heinzworpts">#REF!</definedName>
    <definedName name="Heinzwortries">#REF!</definedName>
    <definedName name="Helleurnewpts">#REF!</definedName>
    <definedName name="Helleurnewtris">#REF!</definedName>
    <definedName name="Helupts">#REF!</definedName>
    <definedName name="Helutries">#REF!</definedName>
    <definedName name="Hendricksonexepts">EXE!#REF!</definedName>
    <definedName name="Hendricksonexetries">EXE!#REF!</definedName>
    <definedName name="Hendriksonexetries">EXE!#REF!</definedName>
    <definedName name="hendynorpremcuppts">NOR!$I$17</definedName>
    <definedName name="hendynorpremcuptries">NOR!$D$17</definedName>
    <definedName name="Hendynorpts">NOR!$G$17</definedName>
    <definedName name="Hendynortries">NOR!$B$17</definedName>
    <definedName name="hennesseybthpremcuppts">BTH!$I$26</definedName>
    <definedName name="hennesseybthpremcuptries">BTH!$D$26</definedName>
    <definedName name="HennesseyBTHpts">BTH!$G$26</definedName>
    <definedName name="HennesseyBTHtries">BTH!$B$26</definedName>
    <definedName name="Hennwelshpts">#REF!</definedName>
    <definedName name="Hennwelshtries">#REF!</definedName>
    <definedName name="henryleicatt">LEI!#REF!</definedName>
    <definedName name="Henryleicgls">LEI!#REF!</definedName>
    <definedName name="Henryleicpts">LEI!#REF!</definedName>
    <definedName name="Henryleictries">LEI!#REF!</definedName>
    <definedName name="hensongavinatt">BTH!#REF!</definedName>
    <definedName name="Hensongavingoals">BTH!#REF!</definedName>
    <definedName name="Hensongavinpts">BTH!#REF!</definedName>
    <definedName name="Hensongavintries">BTH!#REF!</definedName>
    <definedName name="Hepburnexepts">EXE!#REF!</definedName>
    <definedName name="Hepburnexetries">EXE!#REF!</definedName>
    <definedName name="Hepburnwaspts">#REF!</definedName>
    <definedName name="Hepburnwastries">#REF!</definedName>
    <definedName name="Hepetamaleipts">LEI!#REF!</definedName>
    <definedName name="Hepetamaleitries">LEI!#REF!</definedName>
    <definedName name="Herbstharpts">HAR!#REF!</definedName>
    <definedName name="Herbsthartries">HAR!#REF!</definedName>
    <definedName name="herronharatt">HAR!#REF!</definedName>
    <definedName name="Herronhargls">HAR!#REF!</definedName>
    <definedName name="Herronharpts">HAR!#REF!</definedName>
    <definedName name="Herronhartries">HAR!#REF!</definedName>
    <definedName name="Hewardbripts">BRI!$G$23</definedName>
    <definedName name="Hewardbritries">BRI!$B$23</definedName>
    <definedName name="Hibbardglopts">GLO!#REF!</definedName>
    <definedName name="Hibbardglotries">GLO!#REF!</definedName>
    <definedName name="Hicksglopts">GLO!#REF!</definedName>
    <definedName name="Hicksgloptscorrect">GLO!#REF!</definedName>
    <definedName name="Hicksglotries">GLO!#REF!</definedName>
    <definedName name="Hill_Jexepts">EXE!#REF!</definedName>
    <definedName name="Hill_Jexetries">EXE!#REF!</definedName>
    <definedName name="Hill_Jsalpts">SAL!$G$24</definedName>
    <definedName name="Hill_Jsaltries">SAL!$B$24</definedName>
    <definedName name="Hill_Samexetries">EXE!#REF!</definedName>
    <definedName name="Hill_Sexepts">EXE!#REF!</definedName>
    <definedName name="Hill_Ssamexepts">EXE!#REF!</definedName>
    <definedName name="Hillbthpts">BTH!$G$27</definedName>
    <definedName name="Hillbthtries">BTH!$B$27</definedName>
    <definedName name="Hillman_Cooperglopts">GLO!$G$30</definedName>
    <definedName name="Hillman_Cooperglotries">GLO!$B$30</definedName>
    <definedName name="Hillsampts">EXE!#REF!</definedName>
    <definedName name="Hillsamtries">EXE!#REF!</definedName>
    <definedName name="Hillworpts">#REF!</definedName>
    <definedName name="Hillwortries">#REF!</definedName>
    <definedName name="Hinessalpts">SAL!#REF!</definedName>
    <definedName name="Hinessaltries">SAL!#REF!</definedName>
    <definedName name="Hinkleyglopts">GLO!#REF!</definedName>
    <definedName name="Hinkleyglotries">GLO!#REF!</definedName>
    <definedName name="Hinkleynorpts">NOR!#REF!</definedName>
    <definedName name="Hinkleynortries">NOR!#REF!</definedName>
    <definedName name="Hobsonharpts">HAR!$G$24</definedName>
    <definedName name="Hobsonhartries">HAR!$B$24</definedName>
    <definedName name="Hodgeexeatt">EXE!$M$7</definedName>
    <definedName name="Hodgeexegls">EXE!$L$7</definedName>
    <definedName name="Hodgeexepremcupatt">EXE!$M$34</definedName>
    <definedName name="Hodgeexepremcupgls">EXE!$L$34</definedName>
    <definedName name="hodgeexepremcuppts">EXE!$I$18</definedName>
    <definedName name="hodgeexepremcuptries">EXE!$D$18</definedName>
    <definedName name="Hodgeexepts">EXE!$G$18</definedName>
    <definedName name="Hodgeexetries">EXE!$B$18</definedName>
    <definedName name="hodgsoncharlieatt">NRB!$M$5</definedName>
    <definedName name="Hodgsoncharliegoals">NRB!$L$5</definedName>
    <definedName name="Hodgsoncharliepts">NRB!#REF!</definedName>
    <definedName name="Hodgsoncharlietries">NRB!#REF!</definedName>
    <definedName name="hodgsonjoelatt">#REF!</definedName>
    <definedName name="Hodgsonjoelgoals">#REF!</definedName>
    <definedName name="Hodgsonjoelpts">#REF!</definedName>
    <definedName name="Hodgsonjoeltries">#REF!</definedName>
    <definedName name="Hodgsonnewatt">#REF!</definedName>
    <definedName name="hodgsonnewattcorrect">#REF!</definedName>
    <definedName name="Hodgsonnewgoals">#REF!</definedName>
    <definedName name="Hodgsonnewptscorrect">NRB!$G$30</definedName>
    <definedName name="Hodgsonnewtriescorrect">NRB!$B$30</definedName>
    <definedName name="hodgsonnoratt">NOR!#REF!</definedName>
    <definedName name="hodgsonnorgoals">NOR!#REF!</definedName>
    <definedName name="Hodgsonnorpts">NOR!#REF!</definedName>
    <definedName name="Hodgsonnortries">NOR!#REF!</definedName>
    <definedName name="hodgsonsargoals">NOR!#REF!</definedName>
    <definedName name="hoggexeatt">EXE!#REF!</definedName>
    <definedName name="hoggexegls">EXE!#REF!</definedName>
    <definedName name="Hoggexepts">EXE!#REF!</definedName>
    <definedName name="Hoggexetries">EXE!#REF!</definedName>
    <definedName name="Hoggnewpts">#REF!</definedName>
    <definedName name="Hoggnewtries">#REF!</definedName>
    <definedName name="Holensteinharpts">HAR!#REF!</definedName>
    <definedName name="Holensteinhartries">HAR!#REF!</definedName>
    <definedName name="Holmesexepts">EXE!$G$19</definedName>
    <definedName name="holmesexetries">EXE!$B$19</definedName>
    <definedName name="Holmesjonahpts">#REF!</definedName>
    <definedName name="Holmesjonahtries">#REF!</definedName>
    <definedName name="Holmesleicpts">LEI!$G$16</definedName>
    <definedName name="Holmesleictries">LEI!$B$16</definedName>
    <definedName name="Holmesnewpts">#REF!</definedName>
    <definedName name="Holmesnewtries">#REF!</definedName>
    <definedName name="Holmeswaspts">#REF!</definedName>
    <definedName name="Holmeswastries">#REF!</definedName>
    <definedName name="Holsey_Lwortries">#REF!</definedName>
    <definedName name="Holseyworpts">#REF!</definedName>
    <definedName name="Homer_Tombthgoals">BTH!#REF!</definedName>
    <definedName name="Homer_Tombthpts">BTH!#REF!</definedName>
    <definedName name="Homer_Tombthtries">BTH!#REF!</definedName>
    <definedName name="Homerbthpts">BTH!#REF!</definedName>
    <definedName name="Homerbthtries">BTH!#REF!</definedName>
    <definedName name="homerliatt">BRI!#REF!</definedName>
    <definedName name="homerligoals">BRI!#REF!</definedName>
    <definedName name="homertombthatt">BTH!#REF!</definedName>
    <definedName name="Homertompts">BRI!#REF!</definedName>
    <definedName name="Homertomtried">BRI!#REF!</definedName>
    <definedName name="hookgloatt">GLO!#REF!</definedName>
    <definedName name="hookglogoals">GLO!#REF!</definedName>
    <definedName name="Hookglopts">GLO!#REF!</definedName>
    <definedName name="Hookglotries">GLO!#REF!</definedName>
    <definedName name="hooleyatt">NOR!#REF!</definedName>
    <definedName name="hooleyexeatt">EXE!#REF!</definedName>
    <definedName name="Hooleyexegoals">EXE!#REF!</definedName>
    <definedName name="Hooleyexepts">EXE!#REF!</definedName>
    <definedName name="Hooleyexetries">EXE!#REF!</definedName>
    <definedName name="Hooleygoals">NOR!#REF!</definedName>
    <definedName name="Hooleywillpts">NOR!#REF!</definedName>
    <definedName name="Hooleywilltries">NOR!#REF!</definedName>
    <definedName name="Hooperstuartpts">BTH!#REF!</definedName>
    <definedName name="Hooperstuarttries">BTH!#REF!</definedName>
    <definedName name="Hopperpts">HAR!#REF!</definedName>
    <definedName name="Hoppertries">HAR!#REF!</definedName>
    <definedName name="Hornenorpts">NOR!#REF!</definedName>
    <definedName name="Hornenortries">NOR!#REF!</definedName>
    <definedName name="Horstmannexepts">EXE!#REF!</definedName>
    <definedName name="Horstmannexetries">EXE!#REF!</definedName>
    <definedName name="Hortonleipts">LEI!#REF!</definedName>
    <definedName name="Hortonleitries">LEI!#REF!</definedName>
    <definedName name="Horwillharpts">HAR!#REF!</definedName>
    <definedName name="Horwillhartries">HAR!#REF!</definedName>
    <definedName name="Hoskinslirpts">BRI!#REF!</definedName>
    <definedName name="Hoskinslirtries">BRI!#REF!</definedName>
    <definedName name="Hougaardsarpts">SAR!#REF!</definedName>
    <definedName name="Hougaardsartries">SAR!#REF!</definedName>
    <definedName name="Hougaardwaspts">#REF!</definedName>
    <definedName name="Hougaardwastries">#REF!</definedName>
    <definedName name="Hougaardworpts">#REF!</definedName>
    <definedName name="Hougaardwortries">#REF!</definedName>
    <definedName name="Houstonbatpts">BTH!#REF!</definedName>
    <definedName name="Houstonbattries">BTH!#REF!</definedName>
    <definedName name="Houstonleroypts">BTH!#REF!</definedName>
    <definedName name="Houstonleroytries">BTH!#REF!</definedName>
    <definedName name="Howardnorpts">NOR!#REF!</definedName>
    <definedName name="Howardnortries">NOR!#REF!</definedName>
    <definedName name="Howetompts">#REF!</definedName>
    <definedName name="Howetomtries">#REF!</definedName>
    <definedName name="Howewaspts">#REF!</definedName>
    <definedName name="Howewastries">#REF!</definedName>
    <definedName name="Howeworpts">#REF!</definedName>
    <definedName name="Howewortries">#REF!</definedName>
    <definedName name="Hudsonglopts">GLO!#REF!</definedName>
    <definedName name="Hudsonglotries">GLO!#REF!</definedName>
    <definedName name="Hudsonjamespts">GLO!#REF!</definedName>
    <definedName name="hudsonjamestries">GLO!#REF!</definedName>
    <definedName name="Hughesbripts">BRI!$G$24</definedName>
    <definedName name="Hughesbritries">BRI!$B$24</definedName>
    <definedName name="Hughesexepts">EXE!#REF!</definedName>
    <definedName name="Hughesexetries">EXE!#REF!</definedName>
    <definedName name="Hughesnathanpts">#REF!</definedName>
    <definedName name="Hughesnathantries">#REF!</definedName>
    <definedName name="Hugheswaspts">#REF!</definedName>
    <definedName name="Hugheswastries">#REF!</definedName>
    <definedName name="humphreysatt">BRI!#REF!</definedName>
    <definedName name="humphreysgoals">BRI!#REF!</definedName>
    <definedName name="Humphreysiantries">BRI!#REF!</definedName>
    <definedName name="Humphreyspts">BRI!#REF!</definedName>
    <definedName name="Humphreysworpts">#REF!</definedName>
    <definedName name="Humphreyswortries">#REF!</definedName>
    <definedName name="Hunter_Hillsarptscorrect">SAR!$G$28</definedName>
    <definedName name="Hunter_Hillsartriescorrect">SAR!$B$28</definedName>
    <definedName name="Hurdleicpts">LEI!$G$17</definedName>
    <definedName name="Hurdleictries">LEI!$B$17</definedName>
    <definedName name="Hurrellbstpts">BRI!#REF!</definedName>
    <definedName name="Hurrellbsttries">BRI!#REF!</definedName>
    <definedName name="hutchinsonnoratt">NOR!$M$6</definedName>
    <definedName name="hutchinsonnorgls">NOR!$L$6</definedName>
    <definedName name="Hutchinsonnorpts">NOR!$G$18</definedName>
    <definedName name="Hutchinsonnortries">NOR!$B$18</definedName>
    <definedName name="hutchinsonorpremcuppts">NOR!$I$18</definedName>
    <definedName name="hutchinsonorpremcuptries">NOR!$D$18</definedName>
    <definedName name="Hutchisonnrbpremcuppts">NRB!$I$29</definedName>
    <definedName name="Hutchisonnrbpremcuptries">NRB!$D$29</definedName>
    <definedName name="Hutchisonnrbpts">NRB!$G$29</definedName>
    <definedName name="Hutchisonnrbtries">NRB!$B$29</definedName>
    <definedName name="hydeharpremcuppts">HAR!$I$25</definedName>
    <definedName name="hydeharpremcuptries">HAR!$D$25</definedName>
    <definedName name="Hydeharpts">HAR!$G$25</definedName>
    <definedName name="Hydehartries">HAR!$B$25</definedName>
    <definedName name="ibitoyebriatt">BRI!$M$5</definedName>
    <definedName name="Ibitoyebrigls">BRI!$L$5</definedName>
    <definedName name="ibitoyebripremcuppts">BRI!$I$24</definedName>
    <definedName name="ibitoyebripremcuptries">BRI!$D$24</definedName>
    <definedName name="Ibitoyeharpts">HAR!$G$30</definedName>
    <definedName name="Ibitoyehartries">HAR!$B$30</definedName>
    <definedName name="Ibuanokpeharpts">HAR!#REF!</definedName>
    <definedName name="Ibuanokpehartries">HAR!#REF!</definedName>
    <definedName name="ilioneleipremcuppts">LEI!$I$18</definedName>
    <definedName name="ilioneleipremcuptries">LEI!$D$18</definedName>
    <definedName name="Ilioneleipts">LEI!$G$18</definedName>
    <definedName name="Ilioneleitries">LEI!$B$18</definedName>
    <definedName name="Ingallcharliepts">SAL!#REF!</definedName>
    <definedName name="Ingallcharlietries">SAL!#REF!</definedName>
    <definedName name="innardglopremcuptries">GLO!$D$30</definedName>
    <definedName name="innardglopremcuptriespts">GLO!$I$30</definedName>
    <definedName name="Ioanetjsalpts">SAL!#REF!</definedName>
    <definedName name="Ioanetjsaltries">SAL!#REF!</definedName>
    <definedName name="Iosefa_Scottexepts">EXE!$G$20</definedName>
    <definedName name="Iosefa_Scottexetries">EXE!$B$20</definedName>
    <definedName name="iosefascottexepremcuppts">EXE!$I$20</definedName>
    <definedName name="iosefascottexepremcuptries">EXE!$D$20</definedName>
    <definedName name="Irvinenorpts">NOR!$G$19</definedName>
    <definedName name="Irvinenortries">NOR!$B$19</definedName>
    <definedName name="Isaacsglopts">GLO!#REF!</definedName>
    <definedName name="Isaacsglotries">GLO!#REF!</definedName>
    <definedName name="Isgroharpts">HAR!$G$26</definedName>
    <definedName name="Isgrohartries">HAR!$B$26</definedName>
    <definedName name="isiekwenorpts">NOR!#REF!</definedName>
    <definedName name="Isiekwenortries">NOR!#REF!</definedName>
    <definedName name="Isiekwesarpts">NRB!#REF!</definedName>
    <definedName name="Isiekwesarptscorrect">SAR!$G$29</definedName>
    <definedName name="Isiekwesartries">NRB!#REF!</definedName>
    <definedName name="Isiekwesartriescorrect">SAR!$B$29</definedName>
    <definedName name="Itojesarpts">NRB!$G$40</definedName>
    <definedName name="Itojesarptscorrect">SAR!$G$30</definedName>
    <definedName name="Itojesartries">NRB!$B$40</definedName>
    <definedName name="Itojesartriescorrect">SAR!$B$30</definedName>
    <definedName name="Ivanishvilibripts">BRI!$G$25</definedName>
    <definedName name="Ivanishvilibritries">BRI!$B$25</definedName>
    <definedName name="Jackson_Ewaspts">#REF!</definedName>
    <definedName name="Jackson_Ewastries">#REF!</definedName>
    <definedName name="Jackson_Rwaspts">#REF!</definedName>
    <definedName name="Jackson_Rwastries">#REF!</definedName>
    <definedName name="Jacksonedpts">#REF!</definedName>
    <definedName name="jacksonedtries">#REF!</definedName>
    <definedName name="Jacksonharpts">HAR!#REF!</definedName>
    <definedName name="Jacksonhartries">HAR!#REF!</definedName>
    <definedName name="Jacksonlirpts">#REF!</definedName>
    <definedName name="Jacksonlirtries">#REF!</definedName>
    <definedName name="jacksonrwasatt">#REF!</definedName>
    <definedName name="jacksonrwasgoals">#REF!</definedName>
    <definedName name="jacksonsarpremcuppts">SAR!$I$31</definedName>
    <definedName name="jacksonsarpremcuptries">SAR!$D$31</definedName>
    <definedName name="Jacksonsarpts">SAR!$G$31</definedName>
    <definedName name="Jacksonsartries">SAR!$B$31</definedName>
    <definedName name="Jacobsbenpts">#REF!</definedName>
    <definedName name="Jacobsbentries">#REF!</definedName>
    <definedName name="Jacobswaspts">#REF!</definedName>
    <definedName name="Jacobswastries">#REF!</definedName>
    <definedName name="James_Lsalpts">SAL!$G$25</definedName>
    <definedName name="James_Lsaltries">SAL!$B$25</definedName>
    <definedName name="Jamesexepts">EXE!$G$21</definedName>
    <definedName name="Jamesexetries">EXE!$B$21</definedName>
    <definedName name="jamesgloppts">GLO!$G$31</definedName>
    <definedName name="jamesglopremcu">GLO!$G$31</definedName>
    <definedName name="jamesglopremcuppts">GLO!$I$31</definedName>
    <definedName name="jamesglopremcuptries">GLO!$D$31</definedName>
    <definedName name="jamesglotries">GLO!$B$31</definedName>
    <definedName name="jamesnoratt">NOR!$M$7</definedName>
    <definedName name="Jamesnorgls">NOR!$L$7</definedName>
    <definedName name="jamesnorpremcuppts">NOR!$I$20</definedName>
    <definedName name="jamesnorpremcuptries">NOR!$D$20</definedName>
    <definedName name="Jamesnorpts">NOR!$G$20</definedName>
    <definedName name="Jamesnortries">NOR!$B$20</definedName>
    <definedName name="Jamespaulpts">BTH!#REF!</definedName>
    <definedName name="Jamespaultries">BTH!#REF!</definedName>
    <definedName name="Jamespts">EXE!#REF!</definedName>
    <definedName name="Jamessalatt">SAL!#REF!</definedName>
    <definedName name="Jamessalgls">SAL!#REF!</definedName>
    <definedName name="Jamessalpts">SAL!$G$30</definedName>
    <definedName name="Jamessaltries">SAL!$B$30</definedName>
    <definedName name="jamestries">EXE!#REF!</definedName>
    <definedName name="jameswasatt">#REF!</definedName>
    <definedName name="jameswasgoals">#REF!</definedName>
    <definedName name="Jameswaspts">#REF!</definedName>
    <definedName name="Jameswastries">#REF!</definedName>
    <definedName name="Janse_v_Rensburglirpts">#REF!</definedName>
    <definedName name="Janse_v_Rensburglirtries">#REF!</definedName>
    <definedName name="Jansenleipts">LEI!$G$19</definedName>
    <definedName name="Jansenleitries">LEI!$B$19</definedName>
    <definedName name="Jansevanrensburgsalpts">SAL!#REF!</definedName>
    <definedName name="Jansevanrensburgsaltries">SAL!#REF!</definedName>
    <definedName name="jansevrensburgliratt">#REF!</definedName>
    <definedName name="jansevrensburglirgls">#REF!</definedName>
    <definedName name="jardinewasatt">#REF!</definedName>
    <definedName name="jardinewasgls">#REF!</definedName>
    <definedName name="Jardinewaspts">#REF!</definedName>
    <definedName name="Jardinewastries">#REF!</definedName>
    <definedName name="jarvisbriatt">BRI!#REF!</definedName>
    <definedName name="Jarvisbrigoals">BRI!#REF!</definedName>
    <definedName name="Jefferssalepts">SAL!#REF!</definedName>
    <definedName name="Jefferssaltries">SAL!#REF!</definedName>
    <definedName name="Jeffriesbripts">BRI!#REF!</definedName>
    <definedName name="Jeffriesbriptscorrect">BRI!$G$26</definedName>
    <definedName name="Jeffriesbritries">BRI!#REF!</definedName>
    <definedName name="Jeffriesbritriescorrect">BRI!$B$26</definedName>
    <definedName name="Jeffriesbstpts">BRI!#REF!</definedName>
    <definedName name="Jeffriesbsttries">BRI!#REF!</definedName>
    <definedName name="Jenkins_Dexepts">EXE!$G$22</definedName>
    <definedName name="Jenkins_Dexetries">EXE!$B$22</definedName>
    <definedName name="Jenkins_Iexepts">EXE!$G$23</definedName>
    <definedName name="Jenkins_Iexetries">EXE!$B$23</definedName>
    <definedName name="Jenkinsbripts">BRI!$G$27</definedName>
    <definedName name="Jenkinsbritries">BRI!$B$27</definedName>
    <definedName name="jenkinsiexeatt">EXE!$M$8</definedName>
    <definedName name="jenkinsiexegls">EXE!$L$8</definedName>
    <definedName name="jenkinsjbripremcuppts">BRI!$I$27</definedName>
    <definedName name="jenkinsjbripremcuptries">BRI!$D$27</definedName>
    <definedName name="Jenningsbthpts">BTH!#REF!</definedName>
    <definedName name="Jenningsbthtries">BTH!#REF!</definedName>
    <definedName name="jenningsliratt">#REF!</definedName>
    <definedName name="Jenningslirgls">#REF!</definedName>
    <definedName name="Jenningslirpts">#REF!</definedName>
    <definedName name="Jenningslirtries">#REF!</definedName>
    <definedName name="Jenningsnewatt">NRB!#REF!</definedName>
    <definedName name="Jenningsnewgls">NRB!#REF!</definedName>
    <definedName name="Jenningssalpts">SAL!#REF!</definedName>
    <definedName name="Jenningssaltries">SAL!#REF!</definedName>
    <definedName name="Jessexepts">EXE!#REF!</definedName>
    <definedName name="Jessexetries">EXE!#REF!</definedName>
    <definedName name="Jesspts">EXE!#REF!</definedName>
    <definedName name="Jesstries">EXE!#REF!</definedName>
    <definedName name="Jewellsebpts">#REF!</definedName>
    <definedName name="Jewellsebtries">#REF!</definedName>
    <definedName name="Jibuluharpts">HAR!#REF!</definedName>
    <definedName name="Jibuluhartries">HAR!#REF!</definedName>
    <definedName name="jibulusalpremcuppts">SAL!$I$26</definedName>
    <definedName name="jibulusalpremcuptries">SAL!$D$26</definedName>
    <definedName name="Jibulusalpts">SAL!$G$26</definedName>
    <definedName name="Jibulusaltries">SAL!$B$26</definedName>
    <definedName name="johnexepremcuppts">EXE!$I$24</definedName>
    <definedName name="johnexepremcuptries">EXE!$D$24</definedName>
    <definedName name="Johnexepts">EXE!$G$24</definedName>
    <definedName name="Johnexetries">EXE!$B$24</definedName>
    <definedName name="Johnsalpts">SAL!#REF!</definedName>
    <definedName name="Johnsaltries">SAL!#REF!</definedName>
    <definedName name="Johnsonashleypts">#REF!</definedName>
    <definedName name="johnsonashleytries">#REF!</definedName>
    <definedName name="Johnsonexepts">EXE!#REF!</definedName>
    <definedName name="Johnsonexetries">EXE!#REF!</definedName>
    <definedName name="Johnsonsarpremcupatt">SAR!$M$33</definedName>
    <definedName name="Johnsonsarpremcupgls">SAR!$L$33</definedName>
    <definedName name="johnsonsarpremcuppts">SAR!$I$32</definedName>
    <definedName name="johnsonsarpremcuptries">SAR!$D$32</definedName>
    <definedName name="Johnsonsarpts">SAR!$G$32</definedName>
    <definedName name="Johnsonsartries">SAR!$B$32</definedName>
    <definedName name="Johnsontompts">EXE!#REF!</definedName>
    <definedName name="Johnsontomtries">EXE!#REF!</definedName>
    <definedName name="Johnsonwaspts">#REF!</definedName>
    <definedName name="Johnsonwastries">#REF!</definedName>
    <definedName name="Johnsonworpts">#REF!</definedName>
    <definedName name="Johnsonwortries">#REF!</definedName>
    <definedName name="Johnstonjamespts">NRB!#REF!</definedName>
    <definedName name="Johnstonjamestries">NRB!#REF!</definedName>
    <definedName name="Johnstonwaspts">#REF!</definedName>
    <definedName name="Johnstonwasptscorrect">#REF!</definedName>
    <definedName name="Johnstonwastries">#REF!</definedName>
    <definedName name="jonathanjosephtries">BTH!#REF!</definedName>
    <definedName name="Jones_Jsalpts">SAL!#REF!</definedName>
    <definedName name="Jones_Jsaltries">SAL!#REF!</definedName>
    <definedName name="Jones_MGLOpts">GLO!#REF!</definedName>
    <definedName name="Jones_MGLOtries">GLO!#REF!</definedName>
    <definedName name="Jonesadamharpts">HAR!#REF!</definedName>
    <definedName name="Jonesadamhartries">HAR!#REF!</definedName>
    <definedName name="Joneschrispts">#REF!</definedName>
    <definedName name="joneschristries">#REF!</definedName>
    <definedName name="Jonesexepts">EXE!#REF!</definedName>
    <definedName name="Jonesexetries">EXE!#REF!</definedName>
    <definedName name="Jonesharpts">HAR!#REF!</definedName>
    <definedName name="Joneshartries">HAR!#REF!</definedName>
    <definedName name="JonesHharpts">HAR!#REF!</definedName>
    <definedName name="JonesHhartries">HAR!#REF!</definedName>
    <definedName name="Jonesmarcpts">SAL!#REF!</definedName>
    <definedName name="Jonesmarctries">SAL!#REF!</definedName>
    <definedName name="Jonessalpts">SAL!#REF!</definedName>
    <definedName name="Jonessaltries">SAL!#REF!</definedName>
    <definedName name="Jonessampts">#REF!</definedName>
    <definedName name="Jonessamtries">#REF!</definedName>
    <definedName name="jonesworatt">#REF!</definedName>
    <definedName name="Jonesworgls">#REF!</definedName>
    <definedName name="Jonesworpts">#REF!</definedName>
    <definedName name="Joneswortries">#REF!</definedName>
    <definedName name="Joneswynharpts">HAR!#REF!</definedName>
    <definedName name="Joneswynhartries">HAR!#REF!</definedName>
    <definedName name="Jonkerbthpts">BTH!#REF!</definedName>
    <definedName name="Jonkerbthtries">BTH!#REF!</definedName>
    <definedName name="jordanbriatt">BRI!$M$7</definedName>
    <definedName name="Jordanbrigls">BRI!$L$7</definedName>
    <definedName name="JordanBRIPTS">BRI!$G$29</definedName>
    <definedName name="JordanBRITRIES">BRI!$B$29</definedName>
    <definedName name="Josephbatpts">BTH!#REF!</definedName>
    <definedName name="Josephbattries">BTH!#REF!</definedName>
    <definedName name="josephbthatt">BTH!#REF!</definedName>
    <definedName name="Josephbthgls">BTH!#REF!</definedName>
    <definedName name="Josephglopts">GLO!$G$33</definedName>
    <definedName name="Josephglotries">GLO!$B$33</definedName>
    <definedName name="JosephHARPTS">HAR!#REF!</definedName>
    <definedName name="JosephHARtries">HAR!#REF!</definedName>
    <definedName name="Josephjonathanptscorrect">BTH!#REF!</definedName>
    <definedName name="Josephjonathantriescorrect">BTH!#REF!</definedName>
    <definedName name="Josephlirpts">#REF!</definedName>
    <definedName name="Josephlirtries">#REF!</definedName>
    <definedName name="josephpts">BTH!#REF!</definedName>
    <definedName name="Josephpts2">BTH!#REF!</definedName>
    <definedName name="Jouberternstpts">NRB!#REF!</definedName>
    <definedName name="Jouberternsttries">NRB!#REF!</definedName>
    <definedName name="Joussainleipts">LEI!#REF!</definedName>
    <definedName name="Joussainleitries">LEI!#REF!</definedName>
    <definedName name="Jubbtompts">NRB!#REF!</definedName>
    <definedName name="Jubbtomtries">NRB!#REF!</definedName>
    <definedName name="Judgebthpts">BTH!#REF!</definedName>
    <definedName name="Judgebthtries">BTH!#REF!</definedName>
    <definedName name="Judgesarpts">NRB!#REF!</definedName>
    <definedName name="Judgesartries">NRB!#REF!</definedName>
    <definedName name="Jureviciusharpts">HAR!$G$27</definedName>
    <definedName name="Jureviciushartries">HAR!$B$27</definedName>
    <definedName name="Kalamafonileipts">LEI!#REF!</definedName>
    <definedName name="Kalamafonileitries">LEI!#REF!</definedName>
    <definedName name="Kalamafonipts">GLO!#REF!</definedName>
    <definedName name="Kalamafonitries">GLO!#REF!</definedName>
    <definedName name="Kareaexepts">EXE!#REF!</definedName>
    <definedName name="Kareaexetries">EXE!#REF!</definedName>
    <definedName name="Kavasarpremcuppts">SAR!$I$33</definedName>
    <definedName name="Kavasarpremcuptries">SAR!$D$33</definedName>
    <definedName name="Kavasarpts">SAR!$G$33</definedName>
    <definedName name="Kavasartries">SAR!$B$33</definedName>
    <definedName name="Kearlwepts">#REF!</definedName>
    <definedName name="Kearlwetries">#REF!</definedName>
    <definedName name="Keastexepts">EXE!#REF!</definedName>
    <definedName name="Keastexetries">EXE!#REF!</definedName>
    <definedName name="Kellawaynorpts">NOR!#REF!</definedName>
    <definedName name="Kellawaynortries">NOR!#REF!</definedName>
    <definedName name="kellyleicatt">LEI!$M$4</definedName>
    <definedName name="Kellyleicgls">LEI!$L$4</definedName>
    <definedName name="Kellysalpts">SAL!$G$27</definedName>
    <definedName name="Kellysaltries">SAL!$B$27</definedName>
    <definedName name="Kemenynorpts">NOR!$G$21</definedName>
    <definedName name="Kemenynortries">NOR!$B$21</definedName>
    <definedName name="Kenninghamharpts">HAR!$G$28</definedName>
    <definedName name="Kenninghamhartries">HAR!$B$28</definedName>
    <definedName name="Kennyexepts">EXE!#REF!</definedName>
    <definedName name="Kennyexetries">EXE!#REF!</definedName>
    <definedName name="Kerrbripts">BRI!#REF!</definedName>
    <definedName name="Kerrbritries">BRI!#REF!</definedName>
    <definedName name="kerrharpremcupatt">HAR!$M$32</definedName>
    <definedName name="kerrharpremcupgls">HAR!$L$32</definedName>
    <definedName name="kerrharpremcuppts">HAR!$I$29</definedName>
    <definedName name="kerrharpremcuptries">HAR!$D$29</definedName>
    <definedName name="Kerrleicpts">LEI!#REF!</definedName>
    <definedName name="Kerrleictries">LEI!#REF!</definedName>
    <definedName name="Kerrodworpts">#REF!</definedName>
    <definedName name="Kerrodwortries">#REF!</definedName>
    <definedName name="Kessellnorpts">NOR!#REF!</definedName>
    <definedName name="Kessellnortries">NOR!#REF!</definedName>
    <definedName name="Keylocksarpremcuppts">SAR!$I$34</definedName>
    <definedName name="Keylocksarpremcuptries">SAR!$D$34</definedName>
    <definedName name="Keylocksarpts">SAR!$G$34</definedName>
    <definedName name="Keylocksartries">SAR!$B$34</definedName>
    <definedName name="Kibirigezachpts">#REF!</definedName>
    <definedName name="Kibirigezachtries">#REF!</definedName>
    <definedName name="Kilbridgewaspts">#REF!</definedName>
    <definedName name="Kilbridgewastries">#REF!</definedName>
    <definedName name="KingsPts">[1]SKG!$E$47</definedName>
    <definedName name="KingsTries">[1]SKG!$B$47</definedName>
    <definedName name="Kirkbthpts">BTH!$G$28</definedName>
    <definedName name="Kirkbthtries">BTH!$B$28</definedName>
    <definedName name="Kirstenexepts">EXE!#REF!</definedName>
    <definedName name="Kirstenexetries">EXE!#REF!</definedName>
    <definedName name="Kirwancarlpts">#REF!</definedName>
    <definedName name="Kirwancarltries">#REF!</definedName>
    <definedName name="Kitchenergrahamptscorrect">LEI!$G$20</definedName>
    <definedName name="Kitchenergrahamtriescorrect">LEI!$B$20</definedName>
    <definedName name="Kitchenerpts">LEI!#REF!</definedName>
    <definedName name="kitchenertries">LEI!#REF!</definedName>
    <definedName name="Kittoleipts">LEI!#REF!</definedName>
    <definedName name="Kittoleitries">LEI!#REF!</definedName>
    <definedName name="Knight_Cglopts">GLO!$G$34</definedName>
    <definedName name="Knight_Cglotries">GLO!$B$34</definedName>
    <definedName name="Knight_Wglopts">GLO!$G$36</definedName>
    <definedName name="Knight_Wglotries">GLO!$B$36</definedName>
    <definedName name="Knightciaranglopts">GLO!$G$35</definedName>
    <definedName name="Knightciaranglotries">GLO!$B$35</definedName>
    <definedName name="Knightglopts">BTH!#REF!</definedName>
    <definedName name="Knightgloptscorrect">GLO!$G$38</definedName>
    <definedName name="Knightglotries">BTH!#REF!</definedName>
    <definedName name="Knightglotriescorrect">GLO!$B$38</definedName>
    <definedName name="knightmglopremcuppts">GLO!$I$35</definedName>
    <definedName name="knightmglopremcuptries">GLO!$D$35</definedName>
    <definedName name="Knightpts">GLO!#REF!</definedName>
    <definedName name="KnightSARpts">SAR!$G$35</definedName>
    <definedName name="KnightSARtries">SAR!$B$35</definedName>
    <definedName name="Knighttries">GLO!#REF!</definedName>
    <definedName name="knightwglopts">GLO!$I$36</definedName>
    <definedName name="knightwglotries">GLO!$D$36</definedName>
    <definedName name="Kochsarptscorrect">SAR!#REF!</definedName>
    <definedName name="Kochsartriescorrect">SAR!#REF!</definedName>
    <definedName name="Koladeharpremcuppts">HAR!$I$31</definedName>
    <definedName name="Koladeharpremcuptries">HAR!$D$31</definedName>
    <definedName name="Koladeharpts">HAR!$G$31</definedName>
    <definedName name="Koladehartries">HAR!$B$31</definedName>
    <definedName name="Kolo_ofainewpts">#REF!</definedName>
    <definedName name="Kolo_ofainewtries">#REF!</definedName>
    <definedName name="Kpoku__Jonathansarpts">NRB!$G$44</definedName>
    <definedName name="Kpoku__Jonathansartries">NRB!$B$44</definedName>
    <definedName name="Kpokusarpts">NRB!#REF!</definedName>
    <definedName name="Kpokusartries">NRB!#REF!</definedName>
    <definedName name="Krielglopts">GLO!$G$32</definedName>
    <definedName name="Krielglotries">GLO!$B$32</definedName>
    <definedName name="Kruisgeorgepts">NRB!#REF!</definedName>
    <definedName name="Kruisgeorgetries">NRB!#REF!</definedName>
    <definedName name="Kuleminsalpts">SAL!#REF!</definedName>
    <definedName name="Kuleminsaltries">SAL!#REF!</definedName>
    <definedName name="Kunataniharpts">HAR!#REF!</definedName>
    <definedName name="Kunatanihartries">HAR!#REF!</definedName>
    <definedName name="Kvesicmattpts">GLO!#REF!</definedName>
    <definedName name="Kvesicmatttries">GLO!#REF!</definedName>
    <definedName name="Lahiffmaxbthpts">BTH!#REF!</definedName>
    <definedName name="lahiffmaxbthtries">BTH!#REF!</definedName>
    <definedName name="laidlawgloatt">GLO!#REF!</definedName>
    <definedName name="laidlawglogoals">GLO!#REF!</definedName>
    <definedName name="Laidlawglopts">GLO!#REF!</definedName>
    <definedName name="Laidlawglotries">GLO!#REF!</definedName>
    <definedName name="lambatt">LEI!#REF!</definedName>
    <definedName name="Lambertharpts">HAR!#REF!</definedName>
    <definedName name="Lamberthartries">HAR!#REF!</definedName>
    <definedName name="lambgoals">LEI!#REF!</definedName>
    <definedName name="Lambpts">LEI!#REF!</definedName>
    <definedName name="Lambptscorrect">LEI!#REF!</definedName>
    <definedName name="Lambripts">BRI!#REF!</definedName>
    <definedName name="Lambritries">BRI!#REF!</definedName>
    <definedName name="Lambryantries">#REF!</definedName>
    <definedName name="lambryanworatt">#REF!</definedName>
    <definedName name="Lambryanworgoals">#REF!</definedName>
    <definedName name="Lambryanworpts">#REF!</definedName>
    <definedName name="Lambworgoals">#REF!</definedName>
    <definedName name="Lamositeleharpts">HAR!$G$32</definedName>
    <definedName name="Lamositelehartries">HAR!$B$32</definedName>
    <definedName name="Lamositelesarpts">NRB!$G$47</definedName>
    <definedName name="Lamositelesartries">NRB!$B$47</definedName>
    <definedName name="lanceworatt">#REF!</definedName>
    <definedName name="lanceworgls">#REF!</definedName>
    <definedName name="Lanceworpts">#REF!</definedName>
    <definedName name="Lancewortries">#REF!</definedName>
    <definedName name="Landajoharpts">HAR!#REF!</definedName>
    <definedName name="Landajohartries">HAR!#REF!</definedName>
    <definedName name="Lanebatpts">BTH!#REF!</definedName>
    <definedName name="Lanebattris">BTH!#REF!</definedName>
    <definedName name="lanebriatt">BRI!$M$8</definedName>
    <definedName name="lanebrigls">BRI!$L$8</definedName>
    <definedName name="lanebripremcuppts">BRI!$I$32</definedName>
    <definedName name="lanebripremcuptries">BRI!$D$32</definedName>
    <definedName name="Lanebripts">BRI!$G$32</definedName>
    <definedName name="Lanebritries">BRI!$B$32</definedName>
    <definedName name="Lanerichardpts">BTH!#REF!</definedName>
    <definedName name="Lanerichardtries">BTH!#REF!</definedName>
    <definedName name="Lanerichardtriescorrect">BTH!#REF!</definedName>
    <definedName name="LangdonNORpts">NOR!$G$23</definedName>
    <definedName name="LangdonNORtries">NOR!$B$23</definedName>
    <definedName name="Langdonsalpts">SAL!#REF!</definedName>
    <definedName name="Langdonsaltries">SAL!#REF!</definedName>
    <definedName name="Langdonworpts">#REF!</definedName>
    <definedName name="Langdonwortries">#REF!</definedName>
    <definedName name="langharatt">HAR!#REF!</definedName>
    <definedName name="Langhargls">HAR!#REF!</definedName>
    <definedName name="Langharpts">HAR!#REF!</definedName>
    <definedName name="Langhartries">HAR!#REF!</definedName>
    <definedName name="Langleywaspts">#REF!</definedName>
    <definedName name="Langleywastries">#REF!</definedName>
    <definedName name="lanharatt">HAR!#REF!</definedName>
    <definedName name="lanhargoals">HAR!#REF!</definedName>
    <definedName name="lanharpts">HAR!#REF!</definedName>
    <definedName name="Lasikeharpts">HAR!#REF!</definedName>
    <definedName name="Lasikehartries">HAR!#REF!</definedName>
    <definedName name="Latunewpts">#REF!</definedName>
    <definedName name="Latunewtries">#REF!</definedName>
    <definedName name="Launchburypts">#REF!</definedName>
    <definedName name="launchburytries">#REF!</definedName>
    <definedName name="Launchburywaspts">#REF!</definedName>
    <definedName name="Launchburywastries">#REF!</definedName>
    <definedName name="Lavaninileicpts">LEI!#REF!</definedName>
    <definedName name="Lavaninileictries">LEI!#REF!</definedName>
    <definedName name="Lawdayexepts">EXE!#REF!</definedName>
    <definedName name="Lawdayexeptscorrect">EXE!#REF!</definedName>
    <definedName name="Lawdayexetries">EXE!#REF!</definedName>
    <definedName name="Lawdayexetriescorrect">EXE!#REF!</definedName>
    <definedName name="lawdayharpremcuppts">HAR!$I$33</definedName>
    <definedName name="lawdayharpremcuptries">HAR!$D$33</definedName>
    <definedName name="Lawesnorpts">NOR!#REF!</definedName>
    <definedName name="Lawesnortries">NOR!#REF!</definedName>
    <definedName name="Lawrencebthpts">BTH!$G$29</definedName>
    <definedName name="Lawrencebthtries">BTH!$B$29</definedName>
    <definedName name="Lawrencewaspts">#REF!</definedName>
    <definedName name="Lawrencewastries">#REF!</definedName>
    <definedName name="Lawrenceworpts">#REF!</definedName>
    <definedName name="Lawrencewortries">#REF!</definedName>
    <definedName name="Lawsonnewpts">#REF!</definedName>
    <definedName name="Lawsonnewtries">#REF!</definedName>
    <definedName name="Lawsonscottpts">#REF!</definedName>
    <definedName name="Lawsonscotttries">#REF!</definedName>
    <definedName name="Laybripts">BRI!$G$30</definedName>
    <definedName name="Laybritries">BRI!$B$30</definedName>
    <definedName name="Le_Bourgeoiswaspts">#REF!</definedName>
    <definedName name="Le_Bourgeoiswastries">#REF!</definedName>
    <definedName name="le_Rouxbthpts">BTH!$G$30</definedName>
    <definedName name="le_Rouxbthtries">BTH!$B$30</definedName>
    <definedName name="Le_Rouxwaspts">#REF!</definedName>
    <definedName name="Le_Rouxwastries">#REF!</definedName>
    <definedName name="Lee_Warnerbthpts">BTH!#REF!</definedName>
    <definedName name="Lee_Warnerbthtries">BTH!#REF!</definedName>
    <definedName name="Leesexepts">EXE!#REF!</definedName>
    <definedName name="Leesexetries">EXE!#REF!</definedName>
    <definedName name="LeicesterPts">LEI!$G$53</definedName>
    <definedName name="LeicesterTries">LEI!$B$53</definedName>
    <definedName name="leicspentriespts">LEI!$G$34</definedName>
    <definedName name="leicspentriestries">LEI!$B$34</definedName>
    <definedName name="LeinsterPts">[1]LEIN!$F$58</definedName>
    <definedName name="LeinsterTries">[1]LEIN!$B$58</definedName>
    <definedName name="Leiuaalapatiwaspts">#REF!</definedName>
    <definedName name="Leiuawaspts">#REF!</definedName>
    <definedName name="Leiuawasptscorrect">#REF!</definedName>
    <definedName name="Leiuawastries">#REF!</definedName>
    <definedName name="Lemipts">#REF!</definedName>
    <definedName name="lemitries">#REF!</definedName>
    <definedName name="Lennonbripts">BRI!$G$33</definedName>
    <definedName name="Lennonbritries">BRI!$B$33</definedName>
    <definedName name="Leolipts">BRI!#REF!</definedName>
    <definedName name="Leolitries">BRI!#REF!</definedName>
    <definedName name="Leotajohnnypts">SAL!#REF!</definedName>
    <definedName name="Leotajohnnytries">SAL!#REF!</definedName>
    <definedName name="Lewingtonalextries">BRI!#REF!</definedName>
    <definedName name="Lewingtonpts">BRI!#REF!</definedName>
    <definedName name="Lewingtonsarpts">NRB!#REF!</definedName>
    <definedName name="Lewingtonsarptscorrect">SAR!#REF!</definedName>
    <definedName name="Lewingtonsartries">NRB!#REF!</definedName>
    <definedName name="Lewingtonsartriescorrect">SAR!#REF!</definedName>
    <definedName name="Lewingtontries">BRI!$B$30</definedName>
    <definedName name="Lewis_">#REF!</definedName>
    <definedName name="Lewis_Robertssalpts">SAL!#REF!</definedName>
    <definedName name="Lewis_Robertssaltries">SAL!#REF!</definedName>
    <definedName name="lewisbthatt">BTH!#REF!</definedName>
    <definedName name="Lewisbthgls">BTH!#REF!</definedName>
    <definedName name="Lewisbthpts">BTH!#REF!</definedName>
    <definedName name="Lewisbthtries">BTH!#REF!</definedName>
    <definedName name="Lewisdaveharpts">HAR!$G$33</definedName>
    <definedName name="Lewisdavehartries">HAR!$B$33</definedName>
    <definedName name="Lewisdavepts">EXE!#REF!</definedName>
    <definedName name="Lewisdavetries">EXE!#REF!</definedName>
    <definedName name="Lewisharpts">HAR!#REF!</definedName>
    <definedName name="Lewishartries">HAR!#REF!</definedName>
    <definedName name="Lewisjamespts">#REF!</definedName>
    <definedName name="Lewisjamestries">#REF!</definedName>
    <definedName name="Lewisleicpts">LEI!#REF!</definedName>
    <definedName name="Lewisleictries">LEI!#REF!</definedName>
    <definedName name="Lewisrobpts">#REF!</definedName>
    <definedName name="Lewisrobtries">#REF!</definedName>
    <definedName name="Lewissarptscorrect">SAR!#REF!</definedName>
    <definedName name="Lewissartriescorrect">SAR!#REF!</definedName>
    <definedName name="Liebenbergleicpts">LEI!$G$22</definedName>
    <definedName name="Liebenbergleictries">LEI!$B$22</definedName>
    <definedName name="liebenbergleipremcuppts">LEI!$I$22</definedName>
    <definedName name="liebenbergleipremcuptries">LEI!$D$22</definedName>
    <definedName name="Lilleyexepts">EXE!$G$25</definedName>
    <definedName name="Lilleyexetries">EXE!$B$25</definedName>
    <definedName name="Lindsay_Haguenewpts">NRB!$G$32</definedName>
    <definedName name="Lindsay_Haguenewtries">NRB!$B$32</definedName>
    <definedName name="Lindsay_Hagueolliepts">HAR!#REF!</definedName>
    <definedName name="Lindsay_Hagueollietries">HAR!#REF!</definedName>
    <definedName name="Lindsaysarpts">NRB!#REF!</definedName>
    <definedName name="Lindsaysartries">NRB!#REF!</definedName>
    <definedName name="Lindsaywaspts">#REF!</definedName>
    <definedName name="Lindsaywastries">#REF!</definedName>
    <definedName name="Linegarbthpremcupatt">BTH!$M$37</definedName>
    <definedName name="Linegarbthpremcupgls">BTH!$L$37</definedName>
    <definedName name="linegarbthpremcuppts">BTH!$I$31</definedName>
    <definedName name="linegarbthpremcuptries">BTH!$D$31</definedName>
    <definedName name="Listonjessepts">#REF!</definedName>
    <definedName name="Listonjessetries">#REF!</definedName>
    <definedName name="Litchfieldjimmiepts">#REF!</definedName>
    <definedName name="Litchfieldjimmietries">#REF!</definedName>
    <definedName name="litchfieldnorpremcuppts">NOR!$I$24</definedName>
    <definedName name="litchfieldnorpremcuptries">NOR!$D$24</definedName>
    <definedName name="Litchfieldnorpts">NOR!$G$24</definedName>
    <definedName name="Litchfieldnortries">NOR!$B$24</definedName>
    <definedName name="llewellynglopremcuppts">GLO!$I$38</definedName>
    <definedName name="llewellynglopremcuptries">GLO!$D$38</definedName>
    <definedName name="Lloyd_Jbripts">BRI!#REF!</definedName>
    <definedName name="Lloyd_Jbritries">BRI!#REF!</definedName>
    <definedName name="LloydBriAtt">BRI!$M$6</definedName>
    <definedName name="LloydBriGls">BRI!$L$6</definedName>
    <definedName name="LloydBriPts">BRI!#REF!</definedName>
    <definedName name="LloydBriTries">BRI!#REF!</definedName>
    <definedName name="lloydjbriatt">BRI!#REF!</definedName>
    <definedName name="lloydjbrigls">BRI!#REF!</definedName>
    <definedName name="Lloydlirpts">BRI!$G$31</definedName>
    <definedName name="Lloydlirtries">BRI!$B$31</definedName>
    <definedName name="Loaderglopts">GLO!$G$39</definedName>
    <definedName name="Loaderglotries">GLO!$B$39</definedName>
    <definedName name="Loaderlirpts">BRI!#REF!</definedName>
    <definedName name="Loaderlirtries">BRI!#REF!</definedName>
    <definedName name="Loamanuleipts">LEI!#REF!</definedName>
    <definedName name="Loamanuleitries">LEI!#REF!</definedName>
    <definedName name="Lockettnorpts">NOR!$G$25</definedName>
    <definedName name="Lockettnortries">NOR!$B$25</definedName>
    <definedName name="lockwoodnrbpremcuppts">NRB!$I$32</definedName>
    <definedName name="lockwoodnrbpremcuptries">NRB!$D$32</definedName>
    <definedName name="Lokotuiglopts">GLO!#REF!</definedName>
    <definedName name="Lokotuiglotries">GLO!#REF!</definedName>
    <definedName name="Lomidzelirpts">BRI!#REF!</definedName>
    <definedName name="Lomidzelirtries">BRI!#REF!</definedName>
    <definedName name="londonirishpentriespts">BRI!#REF!</definedName>
    <definedName name="londonirishpentriestries">BRI!#REF!</definedName>
    <definedName name="LondonIrishPts">#REF!</definedName>
    <definedName name="LondonIrishTres">#REF!</definedName>
    <definedName name="LondonIrishTries">#REF!</definedName>
    <definedName name="Longbottomsalpts">SAL!#REF!</definedName>
    <definedName name="Longbottomsaltries">SAL!#REF!</definedName>
    <definedName name="Longbottomsarpts">NRB!#REF!</definedName>
    <definedName name="LongbottomsarptsCORRECT">NRB!#REF!</definedName>
    <definedName name="Longbottomsartries">NRB!#REF!</definedName>
    <definedName name="LongbottomsartriesCORRECT">NRB!#REF!</definedName>
    <definedName name="Lonsdaleexepts">EXE!#REF!</definedName>
    <definedName name="Lonsdaleexetries">EXE!#REF!</definedName>
    <definedName name="Louwfrancoispts">BTH!#REF!</definedName>
    <definedName name="Louwfrancoistris">BTH!#REF!</definedName>
    <definedName name="Loweharpts">HAR!#REF!</definedName>
    <definedName name="Lowehartries">HAR!#REF!</definedName>
    <definedName name="Lowkierantries">BRI!$B$30</definedName>
    <definedName name="Lowlipts">BRI!$G$30</definedName>
    <definedName name="Lowmoraypts">EXE!#REF!</definedName>
    <definedName name="Lowmoraytries">EXE!#REF!</definedName>
    <definedName name="Lowpts">BRI!#REF!</definedName>
    <definedName name="Lowptscorrect">BRI!#REF!</definedName>
    <definedName name="lowtries">BRI!#REF!</definedName>
    <definedName name="Lowtriescorrect">BRI!#REF!</definedName>
    <definedName name="Lozadawaspts">#REF!</definedName>
    <definedName name="Lozadawastries">#REF!</definedName>
    <definedName name="lozowksisarattcorrect">SAR!$M$8</definedName>
    <definedName name="lozowskisarattcorrect">SAR!#REF!</definedName>
    <definedName name="lozowskisarglscorrect">SAR!$L$8</definedName>
    <definedName name="Lozowskisarpremcupatt">SAR!$M$34</definedName>
    <definedName name="Lozowskisarpremcupgls">SAR!$L$34</definedName>
    <definedName name="lozowskisarpremcuppts">SAR!$I$36</definedName>
    <definedName name="lozowskisarpremcuptries">SAR!$D$36</definedName>
    <definedName name="Lozowskisarptscorrect">SAR!$G$36</definedName>
    <definedName name="Lozowskisartriescorrect">SAR!$B$36</definedName>
    <definedName name="lozowskiwasatt">#REF!</definedName>
    <definedName name="lozowskiwasgoals">#REF!</definedName>
    <definedName name="Lozowskiwaspts">#REF!</definedName>
    <definedName name="Lozowskiwastries">#REF!</definedName>
    <definedName name="Lucocknewpts">NRB!#REF!</definedName>
    <definedName name="Lucocknewtries">NRB!#REF!</definedName>
    <definedName name="Ludlamnorpts">NOR!#REF!</definedName>
    <definedName name="Ludlamnortries">NOR!#REF!</definedName>
    <definedName name="ludlowglopremcuppts">GLO!$I$40</definedName>
    <definedName name="ludlowglopremcuptries">GLO!$D$40</definedName>
    <definedName name="Ludlowglopts">GLO!$G$40</definedName>
    <definedName name="Ludlowglotries">GLO!$B$40</definedName>
    <definedName name="Lundsalpts">SAL!#REF!</definedName>
    <definedName name="Lundsaltries">SAL!#REF!</definedName>
    <definedName name="Lutuiglopts">GLO!#REF!</definedName>
    <definedName name="Lutuiglotries">GLO!#REF!</definedName>
    <definedName name="Lynaghharpts">HAR!#REF!</definedName>
    <definedName name="Lynaghhartries">HAR!#REF!</definedName>
    <definedName name="Ma_afuglopts">GLO!#REF!</definedName>
    <definedName name="Ma_afuglotries">GLO!#REF!</definedName>
    <definedName name="Ma_afunorpts">NOR!#REF!</definedName>
    <definedName name="Ma_afunortries">NOR!#REF!</definedName>
    <definedName name="Ma_afusalesipts">NOR!#REF!</definedName>
    <definedName name="Ma_afusalesitries">NOR!#REF!</definedName>
    <definedName name="Maafunorpts">NOR!#REF!</definedName>
    <definedName name="Maafunortries">NOR!#REF!</definedName>
    <definedName name="macgintybriatt">BRI!$M$9</definedName>
    <definedName name="MacGintybrigls">BRI!$L$9</definedName>
    <definedName name="MacGintybripremcupatt">BRI!$M$36</definedName>
    <definedName name="MacGintybripremcupgls">BRI!$L$36</definedName>
    <definedName name="macgintybripremcuppts">BRI!$I$35</definedName>
    <definedName name="macgintybripremcuptries">BRI!$D$35</definedName>
    <definedName name="MacGintybripts">BRI!$G$35</definedName>
    <definedName name="MacGintybritries">BRI!$B$35</definedName>
    <definedName name="Mackenwaspts">#REF!</definedName>
    <definedName name="Mackenwastries">#REF!</definedName>
    <definedName name="MacKenziephilpts">SAL!#REF!</definedName>
    <definedName name="MacKenziephiltries">SAL!#REF!</definedName>
    <definedName name="MacLeodnewpts">#REF!</definedName>
    <definedName name="MacLeodnewtries">#REF!</definedName>
    <definedName name="macleodnickatt">SAL!#REF!</definedName>
    <definedName name="macleodnickgoals">SAL!#REF!</definedName>
    <definedName name="MacLeodnickpts">SAL!#REF!</definedName>
    <definedName name="MacLeodnickptscorrect">SAL!#REF!</definedName>
    <definedName name="MacLeodsalpts">SAL!#REF!</definedName>
    <definedName name="MacLeodsaltries">SAL!#REF!</definedName>
    <definedName name="Mafibathtries">BTH!#REF!</definedName>
    <definedName name="Mafibthpts">BTH!#REF!</definedName>
    <definedName name="Mafilirpts">#REF!</definedName>
    <definedName name="Mafilirtries">#REF!</definedName>
    <definedName name="Mafinrbpts">NRB!$G$33</definedName>
    <definedName name="Mafinrbtries">NRB!$B$33</definedName>
    <definedName name="Mafipts">LEI!#REF!</definedName>
    <definedName name="Mafistevepts">LEI!#REF!</definedName>
    <definedName name="Mafistevetriescorrect">LEI!#REF!</definedName>
    <definedName name="mafitries">LEI!#REF!</definedName>
    <definedName name="Maitlandsarpts">NRB!#REF!</definedName>
    <definedName name="Maitlandsarptscorrect">SAR!#REF!</definedName>
    <definedName name="Maitlandsartries">NRB!#REF!</definedName>
    <definedName name="Maitlandsartriescorrect">SAR!#REF!</definedName>
    <definedName name="Makepeace_Cubittnoratt">NOR!#REF!</definedName>
    <definedName name="Makepeace_Cubittnorgls">NOR!#REF!</definedName>
    <definedName name="malinsbriatt">BRI!#REF!</definedName>
    <definedName name="Malinsbrigls">BRI!#REF!</definedName>
    <definedName name="Malinsbripts">BRI!#REF!</definedName>
    <definedName name="Malinsbritries">BRI!#REF!</definedName>
    <definedName name="malinssaratt">NRB!#REF!</definedName>
    <definedName name="malinssarattcorrect">SAR!#REF!</definedName>
    <definedName name="malinssargls">NRB!#REF!</definedName>
    <definedName name="malinssarglscorrect">SAR!#REF!</definedName>
    <definedName name="malinssarpremcuppts">SAR!$I$37</definedName>
    <definedName name="malinssarpremcuptries">SAR!$D$37</definedName>
    <definedName name="Malinssarpts">NRB!$G$50</definedName>
    <definedName name="malinssarpts2ndspell">SAR!$G$37</definedName>
    <definedName name="Malinssarptscorrect">SAR!#REF!</definedName>
    <definedName name="Malinssartries">NRB!$B$50</definedName>
    <definedName name="Malinssartries2ndspell">SAR!$B$37</definedName>
    <definedName name="Malinssartriescorrect">SAR!#REF!</definedName>
    <definedName name="mallindernoratt">NOR!#REF!</definedName>
    <definedName name="Mallindernorgoals">NOR!#REF!</definedName>
    <definedName name="Mallindernorpts">NOR!#REF!</definedName>
    <definedName name="Mallindernortries">NOR!#REF!</definedName>
    <definedName name="maloneyexepremcuppts">EXE!$I$26</definedName>
    <definedName name="maloneyexepremcuptries">EXE!$D$26</definedName>
    <definedName name="Maloneyexepts">EXE!$G$26</definedName>
    <definedName name="Maloneyexetries">EXE!$B$26</definedName>
    <definedName name="Maltonexepts">EXE!#REF!</definedName>
    <definedName name="Maltonexetries">EXE!#REF!</definedName>
    <definedName name="Mamukashvilisalpts">SAL!#REF!</definedName>
    <definedName name="Mamukashvilisaltries">SAL!#REF!</definedName>
    <definedName name="Manoanorpts">NOR!#REF!</definedName>
    <definedName name="Manoanortries">NOR!#REF!</definedName>
    <definedName name="Manoapts">NOR!#REF!</definedName>
    <definedName name="manoatries">NOR!#REF!</definedName>
    <definedName name="manzjleipremcuppts">LEI!$I$23</definedName>
    <definedName name="manzjleipremcuptries">LEI!$D$23</definedName>
    <definedName name="Manzleicpts">LEI!$G$24</definedName>
    <definedName name="Manzleictries">LEI!$B$24</definedName>
    <definedName name="Maraisglopts">GLO!$G$42</definedName>
    <definedName name="Maraisglotries">GLO!$B$42</definedName>
    <definedName name="marchantharatt">HAR!$M$7</definedName>
    <definedName name="Marchanthargls">HAR!$L$7</definedName>
    <definedName name="Marchantharpts">HAR!#REF!</definedName>
    <definedName name="Marchanthartries">HAR!#REF!</definedName>
    <definedName name="Marfoharpts">HAR!$G$34</definedName>
    <definedName name="Marfohartries">HAR!$B$34</definedName>
    <definedName name="Marlerharpts">HAR!#REF!</definedName>
    <definedName name="Marlerpts">HAR!#REF!</definedName>
    <definedName name="marlertries">HAR!#REF!</definedName>
    <definedName name="MarmionBRIpts">BRI!$G$36</definedName>
    <definedName name="MarmionBRItries">BRI!$B$36</definedName>
    <definedName name="Marshallglopts">GLO!#REF!</definedName>
    <definedName name="marshallliratt">BRI!#REF!</definedName>
    <definedName name="marshalllirgls">BRI!#REF!</definedName>
    <definedName name="Marshalllirpts">BRI!$G$34</definedName>
    <definedName name="Marshalllirtries">BRI!$B$34</definedName>
    <definedName name="Marshallnorpts">NOR!#REF!</definedName>
    <definedName name="Marshallnortries">NOR!#REF!</definedName>
    <definedName name="Marshalltomglo">GLO!#REF!</definedName>
    <definedName name="Martinleicpts">LEI!$G$25</definedName>
    <definedName name="Martinleictries">LEI!$B$25</definedName>
    <definedName name="martinnorpremcuppts">NOR!$I$26</definedName>
    <definedName name="martinnorpremcuptries">NOR!$D$26</definedName>
    <definedName name="Masiwaspts">#REF!</definedName>
    <definedName name="Masiwastries">#REF!</definedName>
    <definedName name="Masonbthpremcuppts">BTH!$I$32</definedName>
    <definedName name="Masonbthpremcuptries">BTH!$D$32</definedName>
    <definedName name="Masonbthpts">BTH!$G$32</definedName>
    <definedName name="Masonbthtries">BTH!$B$32</definedName>
    <definedName name="Matavesi__Joshnewpts">#REF!</definedName>
    <definedName name="Matavesi__JoshnewptsCORRECT">#REF!</definedName>
    <definedName name="Matavesi__Joshnewtries">#REF!</definedName>
    <definedName name="matavesibthatt">BTH!#REF!</definedName>
    <definedName name="Matavesibthgoals">BTH!#REF!</definedName>
    <definedName name="Matavesinewptscorrect">NRB!#REF!</definedName>
    <definedName name="Matavesinewtriescorrect">NRB!#REF!</definedName>
    <definedName name="matavesinoratt">NOR!#REF!</definedName>
    <definedName name="matavesinorgls">NOR!#REF!</definedName>
    <definedName name="Matavesipts">#REF!</definedName>
    <definedName name="matavesitries">#REF!</definedName>
    <definedName name="Matawalubthpts">BTH!#REF!</definedName>
    <definedName name="Matawalubthtries">BTH!#REF!</definedName>
    <definedName name="Matawaluexepts">EXE!#REF!</definedName>
    <definedName name="Matawaluexetries">EXE!#REF!</definedName>
    <definedName name="Materapablopts">LEI!#REF!</definedName>
    <definedName name="Materapablotries">LEI!#REF!</definedName>
    <definedName name="mathewswasatt">#REF!</definedName>
    <definedName name="mathewswasgls">#REF!</definedName>
    <definedName name="Matthewsharpts">HAR!#REF!</definedName>
    <definedName name="Matthewshartries">HAR!#REF!</definedName>
    <definedName name="Matthewsnorpts">NOR!$G$26</definedName>
    <definedName name="Matthewsnortries">NOR!$B$26</definedName>
    <definedName name="Matthewswaspts">#REF!</definedName>
    <definedName name="Matthewswastries">#REF!</definedName>
    <definedName name="Matu_uglopts">GLO!#REF!</definedName>
    <definedName name="Matu_uglotries">GLO!#REF!</definedName>
    <definedName name="Maunder_Sexepts">EXE!$G$27</definedName>
    <definedName name="Maunder_Sexetries">EXE!$B$27</definedName>
    <definedName name="Maunderexepts">EXE!#REF!</definedName>
    <definedName name="Maunderexetries">EXE!#REF!</definedName>
    <definedName name="Mawisarptscorrect">SAR!$G$38</definedName>
    <definedName name="Mawisartriescorrect">SAR!$B$38</definedName>
    <definedName name="Mayglopts">GLO!#REF!</definedName>
    <definedName name="Mayhewlipts">BRI!#REF!</definedName>
    <definedName name="Mayhewlitries">BRI!#REF!</definedName>
    <definedName name="Mayhewrichardpts">#REF!</definedName>
    <definedName name="Mayhewrichardtries">#REF!</definedName>
    <definedName name="Mayleicpts">LEI!$G$29</definedName>
    <definedName name="Mayleictries">LEI!$B$29</definedName>
    <definedName name="Maypts">GLO!#REF!</definedName>
    <definedName name="Maytompts">#REF!</definedName>
    <definedName name="Maytomtries">#REF!</definedName>
    <definedName name="Maytris">GLO!#REF!</definedName>
    <definedName name="McAllisterglopts">GLO!#REF!</definedName>
    <definedName name="McAllisterglotries">GLO!#REF!</definedName>
    <definedName name="McBurneyglopts">GLO!#REF!</definedName>
    <definedName name="McBurneyglotries">GLO!#REF!</definedName>
    <definedName name="McCabebripts">BRI!#REF!</definedName>
    <definedName name="McCabebritrie">BRI!#REF!</definedName>
    <definedName name="McCaffreywelshpts">#REF!</definedName>
    <definedName name="McCaffreywelshtries">#REF!</definedName>
    <definedName name="McCallumnewpts">NRB!$G$34</definedName>
    <definedName name="McCallumnewtries">NRB!$B$34</definedName>
    <definedName name="mccallumnrbpremcuppts">NRB!$I$34</definedName>
    <definedName name="mccallumnrbpremcuptries">NRB!$D$34</definedName>
    <definedName name="mccarthyleipremcuppts">LEI!$I$26</definedName>
    <definedName name="mccarthyleipremcuptries">LEI!$D$26</definedName>
    <definedName name="McCauleyexepts">EXE!#REF!</definedName>
    <definedName name="McCauleyexetries">EXE!#REF!</definedName>
    <definedName name="McCollgloptsd">GLO!#REF!</definedName>
    <definedName name="McCollglotries">GLO!#REF!</definedName>
    <definedName name="McConnochiebthpts">BTH!#REF!</definedName>
    <definedName name="McConnochiebthtries">BTH!#REF!</definedName>
    <definedName name="McCormackharpremcuppts">HAR!$I$35</definedName>
    <definedName name="McCormackharpremcuptries">HAR!$D$35</definedName>
    <definedName name="McCormackharpts">HAR!$G$35</definedName>
    <definedName name="McCormackhartries">HAR!$B$35</definedName>
    <definedName name="McCuskerlirpts">BRI!#REF!</definedName>
    <definedName name="McCuskerlirtries">BRI!#REF!</definedName>
    <definedName name="McDonaldNEWpts">NRB!$G$35</definedName>
    <definedName name="McDonaldNEWtries">NRB!$B$35</definedName>
    <definedName name="mcelroyalpremcuppts">SAL!$I$31</definedName>
    <definedName name="mcelroyalpremcuptries">SAL!$D$31</definedName>
    <definedName name="McElroysalpts">SAL!$G$31</definedName>
    <definedName name="McElroysaltries">SAL!$B$31</definedName>
    <definedName name="McFarlandsarptscorrect">SAR!$G$39</definedName>
    <definedName name="McFarlandsartriescorrect">SAR!$B$39</definedName>
    <definedName name="McGuiganexepts">EXE!#REF!</definedName>
    <definedName name="McGuiganexetries">EXE!#REF!</definedName>
    <definedName name="McGuiganglopts">GLO!#REF!</definedName>
    <definedName name="McGuiganglotries">GLO!#REF!</definedName>
    <definedName name="McGuigannewpts">#REF!</definedName>
    <definedName name="McGuigannewtries">#REF!</definedName>
    <definedName name="mcguigannrbpremcuppts">NRB!$I$35</definedName>
    <definedName name="mcguigannrbpremcuptries">NRB!$D$35</definedName>
    <definedName name="McGuiganpts">#REF!</definedName>
    <definedName name="mcguigansalatt">SAL!#REF!</definedName>
    <definedName name="McGuigansalgoals">SAL!#REF!</definedName>
    <definedName name="McGuigansalpts">SAL!#REF!</definedName>
    <definedName name="McGuigansaltries">SAL!#REF!</definedName>
    <definedName name="McGuigantries">#REF!</definedName>
    <definedName name="McIntyresalpts">SAL!$G$32</definedName>
    <definedName name="McIntyresaltries">SAL!$B$32</definedName>
    <definedName name="McIntyresimonpts">#REF!</definedName>
    <definedName name="McIntyresimontries">#REF!</definedName>
    <definedName name="McIntyrewastries">#REF!</definedName>
    <definedName name="McKenziefraserpts">#REF!</definedName>
    <definedName name="McKenziefrasertries">#REF!</definedName>
    <definedName name="mckibbinliratt">BRI!#REF!</definedName>
    <definedName name="mckibbinlirattcorrect">BRI!#REF!</definedName>
    <definedName name="mckibbinlirgls">BRI!#REF!</definedName>
    <definedName name="mckibbinlirgoals">BRI!#REF!</definedName>
    <definedName name="McKibbinlirgoalscorrect">BRI!#REF!</definedName>
    <definedName name="mckibbinlirishatt">BRI!#REF!</definedName>
    <definedName name="McKibbinlirpts">BRI!#REF!</definedName>
    <definedName name="McKibbinlirtries">BRI!#REF!</definedName>
    <definedName name="McLeanlirpts">BRI!#REF!</definedName>
    <definedName name="McLeanlirtries">BRI!#REF!</definedName>
    <definedName name="mcleansalatt">SAL!#REF!</definedName>
    <definedName name="mcleansalgoals">SAL!#REF!</definedName>
    <definedName name="McLeansalpts">SAL!#REF!</definedName>
    <definedName name="McLeansaltries">SAL!#REF!</definedName>
    <definedName name="Mcmillanlirpts">#REF!</definedName>
    <definedName name="Mcmillanlirtries">#REF!</definedName>
    <definedName name="McMillannorpts">NOR!#REF!</definedName>
    <definedName name="McMillannortries">NOR!#REF!</definedName>
    <definedName name="McNallybthpts">BTH!$G$33</definedName>
    <definedName name="McNallybthtries">BTH!$B$33</definedName>
    <definedName name="McNallyjoshpts">#REF!</definedName>
    <definedName name="McNallyjoshtries">#REF!</definedName>
    <definedName name="McNallylirpts">BRI!$G$37</definedName>
    <definedName name="McNallylirtries">BRI!$B$37</definedName>
    <definedName name="McNultyharpts">HAR!#REF!</definedName>
    <definedName name="McNultyhartries">HAR!#REF!</definedName>
    <definedName name="mcparlandnorpremcuppts">NOR!$I$27</definedName>
    <definedName name="mcparlandnorpremcuptries">NOR!$D$27</definedName>
    <definedName name="McParlandNORpts">NOR!$G$27</definedName>
    <definedName name="McParlandNORtries">NOR!$B$27</definedName>
    <definedName name="Mcphilipsleipts">LEI!#REF!</definedName>
    <definedName name="Mcphilipsleitries">LEI!#REF!</definedName>
    <definedName name="Meakesglopts">GLO!#REF!</definedName>
    <definedName name="Meakesglotries">GLO!#REF!</definedName>
    <definedName name="Meehanglopts">GLO!#REF!</definedName>
    <definedName name="Meehanglotries">GLO!#REF!</definedName>
    <definedName name="Mehsonwaspts">#REF!</definedName>
    <definedName name="Mehsonwastries">#REF!</definedName>
    <definedName name="Melcksarpts">NRB!#REF!</definedName>
    <definedName name="Melcksartries">NRB!#REF!</definedName>
    <definedName name="meleatt">LEI!#REF!</definedName>
    <definedName name="Meledavidpts">LEI!#REF!</definedName>
    <definedName name="Meledavidptscorrect">LEI!#REF!</definedName>
    <definedName name="Meledavidtries">LEI!#REF!</definedName>
    <definedName name="Meledaviestries">LEI!#REF!</definedName>
    <definedName name="melegoals">LEI!#REF!</definedName>
    <definedName name="Meleleipts">LEI!#REF!</definedName>
    <definedName name="Melepts">LEI!#REF!</definedName>
    <definedName name="meletries">LEI!#REF!</definedName>
    <definedName name="Meletriescorrect">LEI!#REF!</definedName>
    <definedName name="Meletriesthisiscorrect">LEI!#REF!</definedName>
    <definedName name="Mercer_Gbthpts">BTH!#REF!</definedName>
    <definedName name="Mercer_Gbthtries">BTH!#REF!</definedName>
    <definedName name="Mercerbatpts">BTH!#REF!</definedName>
    <definedName name="Mercerbattries">BTH!#REF!</definedName>
    <definedName name="Mercerguypts">BTH!#REF!</definedName>
    <definedName name="Mercerguyptscorrect">BTH!#REF!</definedName>
    <definedName name="Mercerpts">BTH!#REF!</definedName>
    <definedName name="Mercertries">BTH!#REF!</definedName>
    <definedName name="Mercertriescorrect">BTH!#REF!</definedName>
    <definedName name="Merceynorpts">NOR!#REF!</definedName>
    <definedName name="Merceynortries">NOR!#REF!</definedName>
    <definedName name="meredithleiatt">LEI!#REF!</definedName>
    <definedName name="meredithleigls">LEI!#REF!</definedName>
    <definedName name="Meredithleipts">LEI!$G$27</definedName>
    <definedName name="Meredithleitries">LEI!$B$27</definedName>
    <definedName name="Mermozleicpts">LEI!#REF!</definedName>
    <definedName name="Mermozleictries">LEI!#REF!</definedName>
    <definedName name="Mermoznewpts">#REF!</definedName>
    <definedName name="Mermoznewtries">#REF!</definedName>
    <definedName name="Merrickharpts">HAR!#REF!</definedName>
    <definedName name="Merrickhartries">HAR!#REF!</definedName>
    <definedName name="Merricknewpts">NRB!$G$38</definedName>
    <definedName name="Merricknewtries">NRB!$B$38</definedName>
    <definedName name="Metcalfnewpts">NRB!#REF!</definedName>
    <definedName name="Metcalfnewtries">NRB!#REF!</definedName>
    <definedName name="michelowsarpremcuppts">SAR!$I$41</definedName>
    <definedName name="michelowsarpremcuptries">SAR!$D$41</definedName>
    <definedName name="mieresatt">#REF!</definedName>
    <definedName name="mieresgoals">#REF!</definedName>
    <definedName name="Mierespts">#REF!</definedName>
    <definedName name="mierestries">#REF!</definedName>
    <definedName name="mikepts">HAR!#REF!</definedName>
    <definedName name="Milasinovichworpts">#REF!</definedName>
    <definedName name="Milasinovichwortries">#REF!</definedName>
    <definedName name="Millerrobpts">SAL!#REF!</definedName>
    <definedName name="Millerrobtries">SAL!#REF!</definedName>
    <definedName name="millersalatt">SAL!#REF!</definedName>
    <definedName name="millersalgoals">SAL!#REF!</definedName>
    <definedName name="millerwasatt">#REF!</definedName>
    <definedName name="millerwasgoals">#REF!</definedName>
    <definedName name="Millerwaspts">#REF!</definedName>
    <definedName name="Millerwastries">#REF!</definedName>
    <definedName name="Millerworpts">#REF!</definedName>
    <definedName name="Millerwortries">#REF!</definedName>
    <definedName name="Millsjonathanpts">SAL!#REF!</definedName>
    <definedName name="Millsjonathantries">SAL!#REF!</definedName>
    <definedName name="millsworatt">#REF!</definedName>
    <definedName name="millsworgoals">#REF!</definedName>
    <definedName name="Mitchellnorpts">NOR!$G$28</definedName>
    <definedName name="Mitchellnortries">NOR!$B$28</definedName>
    <definedName name="mitchellnoryratt">NOR!$M$8</definedName>
    <definedName name="Mitchellnoryrgls">NOR!$L$8</definedName>
    <definedName name="mitchellsalatt">SAL!#REF!</definedName>
    <definedName name="Mitchellsalgoals">SAL!#REF!</definedName>
    <definedName name="Mitchellsalpts">SAL!#REF!</definedName>
    <definedName name="Mitchellsaltries">SAL!#REF!</definedName>
    <definedName name="Moatesjacktries">#REF!</definedName>
    <definedName name="Moatespts">#REF!</definedName>
    <definedName name="Moatestries">#REF!</definedName>
    <definedName name="Moateswaspts">#REF!</definedName>
    <definedName name="Moateswastries">#REF!</definedName>
    <definedName name="Molenaartimpts">HAR!#REF!</definedName>
    <definedName name="Molenaartimtries">HAR!#REF!</definedName>
    <definedName name="Molenaarwelpts">#REF!</definedName>
    <definedName name="Molenaarweltries">#REF!</definedName>
    <definedName name="Monahanshanepts">GLO!#REF!</definedName>
    <definedName name="Monahanshanetries">GLO!#REF!</definedName>
    <definedName name="Montgomerynewpts">NRB!#REF!</definedName>
    <definedName name="Montgomerynewtries">NRB!#REF!</definedName>
    <definedName name="Montgomeryworpts">#REF!</definedName>
    <definedName name="Montgomerywortries">#REF!</definedName>
    <definedName name="Montoyaleicpts">LEI!$G$32</definedName>
    <definedName name="Montoyaleictries">LEI!$B$32</definedName>
    <definedName name="Monyeugopts">HAR!#REF!</definedName>
    <definedName name="Monyeugotries">HAR!#REF!</definedName>
    <definedName name="Moon_Anortries">NOR!#REF!</definedName>
    <definedName name="Moonnorpts">NOR!#REF!</definedName>
    <definedName name="Moore_Aionosarpts">SAR!$G$42</definedName>
    <definedName name="Moore_Aionosartries">SAR!$B$42</definedName>
    <definedName name="Moorenrbpremcuppts">NRB!$I$36</definedName>
    <definedName name="Moorenrbpremcuptries">NRB!$D$36</definedName>
    <definedName name="Moorenrbpts">NRB!$G$36</definedName>
    <definedName name="Moorenrbtries">NRB!$B$36</definedName>
    <definedName name="Mooresalpts">SAL!#REF!</definedName>
    <definedName name="Mooresaltries">SAL!#REF!</definedName>
    <definedName name="Mooresarpts">SAR!$G$40</definedName>
    <definedName name="Mooresartries">SAR!$B$40</definedName>
    <definedName name="Moorewaspts">#REF!</definedName>
    <definedName name="Moorewastries">#REF!</definedName>
    <definedName name="Mordtnilspts">NRB!#REF!</definedName>
    <definedName name="mordtsaratt">NRB!#REF!</definedName>
    <definedName name="mordtsargoals">NRB!#REF!</definedName>
    <definedName name="Mordtsartries">NRB!#REF!</definedName>
    <definedName name="Morgan_Aglopts">GLO!#REF!</definedName>
    <definedName name="Morgan_Aglotries">GLO!#REF!</definedName>
    <definedName name="Morganbenpts">GLO!#REF!</definedName>
    <definedName name="Morganbentries">GLO!#REF!</definedName>
    <definedName name="Moriartyglopts">GLO!#REF!</definedName>
    <definedName name="Moriartyglotries">GLO!#REF!</definedName>
    <definedName name="morleyexeatt">EXE!#REF!</definedName>
    <definedName name="Morleyexegls">EXE!#REF!</definedName>
    <definedName name="moroleipremcuppts">LEI!$I$29</definedName>
    <definedName name="moroleipremcuptries">LEI!$D$29</definedName>
    <definedName name="Moronileicpts">LEI!#REF!</definedName>
    <definedName name="Moronileictries">LEI!#REF!</definedName>
    <definedName name="Morrisbenwasgtries">#REF!</definedName>
    <definedName name="Morrisbenwaspts">#REF!</definedName>
    <definedName name="Morrisglopts">GLO!#REF!</definedName>
    <definedName name="Morrisglotries">GLO!#REF!</definedName>
    <definedName name="Morrisharpts">HAR!#REF!</definedName>
    <definedName name="Morrishartries">HAR!#REF!</definedName>
    <definedName name="morrisjgloatt">GLO!$M$8</definedName>
    <definedName name="Morrisjglogls">GLO!$L$8</definedName>
    <definedName name="Morrisjglopts">GLO!$G$43</definedName>
    <definedName name="Morrisjglotries">GLO!$B$43</definedName>
    <definedName name="Morrislwepts">#REF!</definedName>
    <definedName name="Morrislwetries">#REF!</definedName>
    <definedName name="Morrisniallpts">LEI!#REF!</definedName>
    <definedName name="Morrisnialltries">LEI!#REF!</definedName>
    <definedName name="Morrissarptscorrect">SAR!$G$41</definedName>
    <definedName name="Morrissartriescorrect">SAR!$B$41</definedName>
    <definedName name="Morriswaspts">#REF!</definedName>
    <definedName name="Morriswastries">#REF!</definedName>
    <definedName name="Morrisworpts">#REF!</definedName>
    <definedName name="Morriswortries">#REF!</definedName>
    <definedName name="Mortonsalpts">SAL!#REF!</definedName>
    <definedName name="Mortonsaltries">SAL!#REF!</definedName>
    <definedName name="Mudarikiworpts">#REF!</definedName>
    <definedName name="Mudarikiwortries">#REF!</definedName>
    <definedName name="Mugfordsalpts">SAL!#REF!</definedName>
    <definedName name="Mugfordsaltries">SAL!#REF!</definedName>
    <definedName name="muirbthpremcuppts">BTH!$I$35</definedName>
    <definedName name="muirbthpremcuptries">BTH!$D$35</definedName>
    <definedName name="Muirbthpts">BTH!$G$35</definedName>
    <definedName name="Muirbthtries">BTH!$B$35</definedName>
    <definedName name="Mujatisalpts">SAL!#REF!</definedName>
    <definedName name="Mujatisalptscorrect">SAL!#REF!</definedName>
    <definedName name="Mujatisaltries">SAL!#REF!</definedName>
    <definedName name="Mulchroneharpts">HAR!#REF!</definedName>
    <definedName name="Mulchronehartries">HAR!#REF!</definedName>
    <definedName name="Mulchronelipts">BRI!$G$38</definedName>
    <definedName name="MulchronelirtriesCORRECT">BRI!$B$38</definedName>
    <definedName name="Mulchronelitries">BRI!$B$38</definedName>
    <definedName name="Mulchronepts">BRI!#REF!</definedName>
    <definedName name="Mulchronetries">BRI!#REF!</definedName>
    <definedName name="Muldowneybripts">BRI!#REF!</definedName>
    <definedName name="Muldowneybritries">BRI!#REF!</definedName>
    <definedName name="mulipolaleicatt">LEI!#REF!</definedName>
    <definedName name="Mulipolaleicgls">LEI!#REF!</definedName>
    <definedName name="Mulipolaleipts">LEI!#REF!</definedName>
    <definedName name="Mulipolaleitries">LEI!#REF!</definedName>
    <definedName name="Mulipolanewpts">#REF!</definedName>
    <definedName name="Mulipolanewtries">#REF!</definedName>
    <definedName name="Mulipolapts">LEI!#REF!</definedName>
    <definedName name="Mulipolatries">LEI!#REF!</definedName>
    <definedName name="Mullanpts">#REF!</definedName>
    <definedName name="Mullantries">#REF!</definedName>
    <definedName name="Mullanwaspts">#REF!</definedName>
    <definedName name="Mullanwastries">#REF!</definedName>
    <definedName name="Mullennewpts">#REF!</definedName>
    <definedName name="Mullennewtries">#REF!</definedName>
    <definedName name="MullisGLOPTS">GLO!#REF!</definedName>
    <definedName name="MullisGLOTRIES">GLO!#REF!</definedName>
    <definedName name="Mummpts">EXE!#REF!</definedName>
    <definedName name="mummtries">EXE!#REF!</definedName>
    <definedName name="munganorpremcuppts">NOR!$I$29</definedName>
    <definedName name="munganorpremcuptries">NOR!$D$29</definedName>
    <definedName name="MungaNORpts">NOR!$G$29</definedName>
    <definedName name="MungaNORtries">NOR!$B$29</definedName>
    <definedName name="MunsterPts">[1]MUN!$F$55</definedName>
    <definedName name="MunsterTries">[1]MUN!$B$55</definedName>
    <definedName name="murleyharpremcuppts">HAR!$I$36</definedName>
    <definedName name="murleyharpremcuptries">HAR!$D$36</definedName>
    <definedName name="Murleyharpts">HAR!$G$36</definedName>
    <definedName name="Murleyhartries">HAR!$B$36</definedName>
    <definedName name="Murphydanpts">GLO!#REF!</definedName>
    <definedName name="Murphydantries">GLO!#REF!</definedName>
    <definedName name="Murphyharpts">HAR!#REF!</definedName>
    <definedName name="Murphyhartries">HAR!#REF!</definedName>
    <definedName name="murrayharpremcuppts">HAR!$I$37</definedName>
    <definedName name="murrayharpremcuptries">HAR!$D$37</definedName>
    <definedName name="Murrayharpts">HAR!$G$37</definedName>
    <definedName name="Murrayhartries">HAR!$B$37</definedName>
    <definedName name="muskharpremcuppts">HAR!$I$38</definedName>
    <definedName name="muskharpremcuptries">HAR!$D$38</definedName>
    <definedName name="Muskharpts">HAR!$G$38</definedName>
    <definedName name="Muskhartries">HAR!$B$38</definedName>
    <definedName name="Myallpts">#REF!</definedName>
    <definedName name="Myalltries">#REF!</definedName>
    <definedName name="myleratt">NOR!#REF!</definedName>
    <definedName name="mylergoals">NOR!#REF!</definedName>
    <definedName name="Mylerlirpts">#REF!</definedName>
    <definedName name="Mylerlirtries">#REF!</definedName>
    <definedName name="Mylernorpts">NOR!#REF!</definedName>
    <definedName name="Mylerpts">NOR!#REF!</definedName>
    <definedName name="Mylerstephentries">NOR!#REF!</definedName>
    <definedName name="Nagusanewpts">#REF!</definedName>
    <definedName name="Nagusanewtries">#REF!</definedName>
    <definedName name="Nahololirpts">#REF!</definedName>
    <definedName name="Nahololirtries">#REF!</definedName>
    <definedName name="Naiyaravoronorpts">NOR!#REF!</definedName>
    <definedName name="Naiyaravoronortries">NOR!#REF!</definedName>
    <definedName name="Nanaiworpts">#REF!</definedName>
    <definedName name="Nanaiwortries">#REF!</definedName>
    <definedName name="Naoupuharpts">HAR!#REF!</definedName>
    <definedName name="Naoupuhartries">HAR!#REF!</definedName>
    <definedName name="Naqelevukisirelipts">EXE!#REF!</definedName>
    <definedName name="Naqelevukisirelitries">EXE!#REF!</definedName>
    <definedName name="Narrawaylipts">BRI!$AG$44</definedName>
    <definedName name="Naysarpts">NRB!#REF!</definedName>
    <definedName name="Naysartries">NRB!#REF!</definedName>
    <definedName name="Nealwaspts">#REF!</definedName>
    <definedName name="Nealwastries">#REF!</definedName>
    <definedName name="Neildnewpts">NRB!$G$37</definedName>
    <definedName name="Neildnewtries">NRB!$B$37</definedName>
    <definedName name="Neildsalpts">SAL!$G$33</definedName>
    <definedName name="Neildsaltries">SAL!$B$33</definedName>
    <definedName name="Nelsonglopts">GLO!#REF!</definedName>
    <definedName name="Nelsonglotries">GLO!#REF!</definedName>
    <definedName name="Nelsonnewpts">#REF!</definedName>
    <definedName name="Nelsonnewtries">#REF!</definedName>
    <definedName name="Nemsadzebstpts">BRI!#REF!</definedName>
    <definedName name="Nemsadzebsttries">BRI!#REF!</definedName>
    <definedName name="newcastlepenaltytriespts">#REF!</definedName>
    <definedName name="newcastlepenaltytriestries">#REF!</definedName>
    <definedName name="Nixonexepts">EXE!#REF!</definedName>
    <definedName name="Nixonexetries">EXE!#REF!</definedName>
    <definedName name="noakesliatt">BRI!#REF!</definedName>
    <definedName name="noakesligoals">BRI!#REF!</definedName>
    <definedName name="Noakeslipts">BRI!#REF!</definedName>
    <definedName name="Noakeslitries">BRI!#REF!</definedName>
    <definedName name="Noguerabthpts">BTH!#REF!</definedName>
    <definedName name="Noguerabthtries">BTH!#REF!</definedName>
    <definedName name="Noonemichaelpts">LEI!#REF!</definedName>
    <definedName name="Noonemichaeltries">LEI!#REF!</definedName>
    <definedName name="noreyexepremcuppts">EXE!$I$28</definedName>
    <definedName name="noreyexepremcuptries">EXE!$D$28</definedName>
    <definedName name="Noreyexepts">EXE!$G$28</definedName>
    <definedName name="Noreyexetries">EXE!$B$28</definedName>
    <definedName name="NorthamptonPts">NOR!$G$50</definedName>
    <definedName name="NorthamptonTries">NOR!$B$50</definedName>
    <definedName name="Northcote_Greenbthpts">BTH!#REF!</definedName>
    <definedName name="Northcote_Greenbthtries">BTH!#REF!</definedName>
    <definedName name="northmoreharpremcuppts">HAR!$I$39</definedName>
    <definedName name="northmoreharpremcuptries">HAR!$D$39</definedName>
    <definedName name="Northmoreharpts">HAR!$G$39</definedName>
    <definedName name="Northmorehartries">HAR!$B$39</definedName>
    <definedName name="Northnorpts">NOR!#REF!</definedName>
    <definedName name="Northnortries">NOR!#REF!</definedName>
    <definedName name="Northpts">NOR!#REF!</definedName>
    <definedName name="Northtries">NOR!#REF!</definedName>
    <definedName name="Nortonlirpts">#REF!</definedName>
    <definedName name="Nortonlirtries">#REF!</definedName>
    <definedName name="Nottlirpts">#REF!</definedName>
    <definedName name="Nottlirtries">#REF!</definedName>
    <definedName name="Nottsalpts">SAL!#REF!</definedName>
    <definedName name="Nottsaltries">SAL!#REF!</definedName>
    <definedName name="Nowellexepts">EXE!#REF!</definedName>
    <definedName name="Nowellexetries">EXE!#REF!</definedName>
    <definedName name="Nutleybenpts">NOR!#REF!</definedName>
    <definedName name="Nutleybentries">NOR!#REF!</definedName>
    <definedName name="O_Brienexepts">EXE!#REF!</definedName>
    <definedName name="O_Brienexetries">EXE!#REF!</definedName>
    <definedName name="O_Connorjamespts">BRI!#REF!</definedName>
    <definedName name="O_Connorleipts">LEI!$G$30</definedName>
    <definedName name="O_Connorleitries">LEI!$B$30</definedName>
    <definedName name="O_Connorptssal">SAL!#REF!</definedName>
    <definedName name="O_Connortriessal">SAL!#REF!</definedName>
    <definedName name="O_Connorwaspts">#REF!</definedName>
    <definedName name="O_Connorwastries">#REF!</definedName>
    <definedName name="O_Donnellrobpts">#REF!</definedName>
    <definedName name="O_Donnellrobptscorrect">#REF!</definedName>
    <definedName name="O_Donnellrobtries">#REF!</definedName>
    <definedName name="O_Donoghuebthpts">BTH!#REF!</definedName>
    <definedName name="O_Donoghuebthtries">BTH!#REF!</definedName>
    <definedName name="O_Learylipts">BRI!#REF!</definedName>
    <definedName name="O_Learylitries">BRI!#REF!</definedName>
    <definedName name="O_Sullivanlirpts">#REF!</definedName>
    <definedName name="O_Sullivanlirtries">#REF!</definedName>
    <definedName name="O_Sullivanwaspts">#REF!</definedName>
    <definedName name="O_Sullivanwastries">#REF!</definedName>
    <definedName name="Obanobthpts">BTH!$G$36</definedName>
    <definedName name="Obanobthtries">BTH!$B$36</definedName>
    <definedName name="obatoyinbohnrbpremcuppts">NRB!$I$40</definedName>
    <definedName name="obatoyinbohnrbpremcuptries">NRB!$D$40</definedName>
    <definedName name="Obatoyinbonewpts">NRB!$G$39</definedName>
    <definedName name="Obatoyinbonewtries">NRB!$B$39</definedName>
    <definedName name="Obatoyinbosarptscorrect">SAR!#REF!</definedName>
    <definedName name="Obatoyinbosartriescorrect">SAR!#REF!</definedName>
    <definedName name="Obatoysarpts">NRB!#REF!</definedName>
    <definedName name="Obatoysartries">NRB!#REF!</definedName>
    <definedName name="Obonnanewpts">NRB!#REF!</definedName>
    <definedName name="Obonnanewtries">NRB!#REF!</definedName>
    <definedName name="oconnoratt">BRI!#REF!</definedName>
    <definedName name="oconnorgoals">BRI!#REF!</definedName>
    <definedName name="OConnorjamestries">BRI!#REF!</definedName>
    <definedName name="oconnorleipremcupatt">LEI!$M$33</definedName>
    <definedName name="oconnorleipremcupgls">LEI!$L$33</definedName>
    <definedName name="oconnorleipremcuppts">LEI!$I$30</definedName>
    <definedName name="oconnorleipremcuptries">LEI!$D$30</definedName>
    <definedName name="Odendaalnorpts">NOR!#REF!</definedName>
    <definedName name="Odendaalnortries">NOR!#REF!</definedName>
    <definedName name="Odendaalwaspts">#REF!</definedName>
    <definedName name="Odendaalwastries">#REF!</definedName>
    <definedName name="Odogwusalpts">SAL!#REF!</definedName>
    <definedName name="Odogwusaltries">SAL!#REF!</definedName>
    <definedName name="Odogwuwaspts">#REF!</definedName>
    <definedName name="Odogwuwastries">#REF!</definedName>
    <definedName name="odonoghuebthatt">BTH!$M$7</definedName>
    <definedName name="odonoghuebthgls">BTH!$L$7</definedName>
    <definedName name="offiahbthpremcuppts">BTH!$I$37</definedName>
    <definedName name="offiahbthpremcuptries">BTH!$D$37</definedName>
    <definedName name="Offiahbthpts">BTH!$G$37</definedName>
    <definedName name="Offiahbthtries">BTH!$B$37</definedName>
    <definedName name="oflahertysalpremcuppts">SAL!$I$33</definedName>
    <definedName name="oflahertysalpremcuptries">SAL!$D$33</definedName>
    <definedName name="oghrebripremcuppts">BRI!$I$39</definedName>
    <definedName name="oghrebripremcuptries">BRI!$D$39</definedName>
    <definedName name="Oghrebripts">BRI!$G$39</definedName>
    <definedName name="Oghrebritries">BRI!$B$39</definedName>
    <definedName name="ojomohbthpremcuppts">BTH!$I$38</definedName>
    <definedName name="ojomohbthpremcuptries">BTH!$D$38</definedName>
    <definedName name="OjomohBTHPTS">BTH!$G$38</definedName>
    <definedName name="OjomohBTHTRIES">BTH!$B$38</definedName>
    <definedName name="Ojotopsypts">BRI!#REF!</definedName>
    <definedName name="Ojotopsytries">BRI!#REF!</definedName>
    <definedName name="OLE_LINK1" localSheetId="0">BTH!#REF!</definedName>
    <definedName name="Olowofela_Jleicpts">LEI!#REF!</definedName>
    <definedName name="Olowofela_Jleictries">LEI!#REF!</definedName>
    <definedName name="olvernoratt">NOR!#REF!</definedName>
    <definedName name="olvernorgoals">NOR!#REF!</definedName>
    <definedName name="Olvernorpts">NOR!#REF!</definedName>
    <definedName name="Olvernortries">NOR!#REF!</definedName>
    <definedName name="Olvernortriescorrect">NOR!#REF!</definedName>
    <definedName name="olverworatt">#REF!</definedName>
    <definedName name="Olverworgls">#REF!</definedName>
    <definedName name="Olverworpts">#REF!</definedName>
    <definedName name="Olverwortries">#REF!</definedName>
    <definedName name="OosthuizenSALpts">SAL!$G$35</definedName>
    <definedName name="OosthuizenSALtries">SAL!$B$35</definedName>
    <definedName name="Oresanyaharpts">HAR!#REF!</definedName>
    <definedName name="Oresanyahartries">HAR!#REF!</definedName>
    <definedName name="Orlandibatpts">BTH!#REF!</definedName>
    <definedName name="Orlandibattries">BTH!#REF!</definedName>
    <definedName name="Orrglopts">GLO!#REF!</definedName>
    <definedName name="Orrglotries">GLO!#REF!</definedName>
    <definedName name="Osborneharpts">HAR!$G$40</definedName>
    <definedName name="Osbornehartries">HAR!$B$40</definedName>
    <definedName name="OspreysPts">[1]OSP!$F$50</definedName>
    <definedName name="OspreysTries">[1]OSP!$B$50</definedName>
    <definedName name="Ostrikovandreipts">SAL!#REF!</definedName>
    <definedName name="Ostrikovandreitries">SAL!$B$35</definedName>
    <definedName name="OStrikovsalpts">SAL!$G$35</definedName>
    <definedName name="Ovensjoshpts">BTH!#REF!</definedName>
    <definedName name="Ovensjoshtries">BTH!#REF!</definedName>
    <definedName name="owenbripremcuppts">BRI!$I$40</definedName>
    <definedName name="owenbripremcuptries">BRI!$D$40</definedName>
    <definedName name="OwenBRIpts">BRI!$G$40</definedName>
    <definedName name="OwenBRItries">BRI!$B$40</definedName>
    <definedName name="Owenleicpts">LEI!#REF!</definedName>
    <definedName name="Owenleictries">LEI!#REF!</definedName>
    <definedName name="Owennewptscorrect">NRB!#REF!</definedName>
    <definedName name="Owennewtriescorrect">NRB!#REF!</definedName>
    <definedName name="Packmanhowardpts">NOR!#REF!</definedName>
    <definedName name="Packmanhowardtries">NOR!#REF!</definedName>
    <definedName name="PaiceDavidpts">BRI!$AE$54</definedName>
    <definedName name="PaiceDavidptts">BRI!$AH$49</definedName>
    <definedName name="Painterexepts">EXE!$G$29</definedName>
    <definedName name="Painterexetries">EXE!$B$29</definedName>
    <definedName name="Painternorpts">NOR!#REF!</definedName>
    <definedName name="Painternortries">NOR!#REF!</definedName>
    <definedName name="Palamobrispts">BRI!$G$45</definedName>
    <definedName name="Palamobristries">BRI!$B$45</definedName>
    <definedName name="Palframannewpts">NRB!$G$41</definedName>
    <definedName name="Palframannewtries">NRB!$B$41</definedName>
    <definedName name="palframannrbpremcuppts">NRB!$I$41</definedName>
    <definedName name="palframannrbpremcuptries">NRB!$D$41</definedName>
    <definedName name="Palframanworpts">#REF!</definedName>
    <definedName name="Palframanwortries">#REF!</definedName>
    <definedName name="Palma_Newportpts">BTH!#REF!</definedName>
    <definedName name="palmanewporttries">BTH!#REF!</definedName>
    <definedName name="Palmerglopts">GLO!#REF!</definedName>
    <definedName name="Palmerglotries">GLO!#REF!</definedName>
    <definedName name="palmerleipremcuppts">LEI!$I$31</definedName>
    <definedName name="palmerleipremcuptries">LEI!$D$31</definedName>
    <definedName name="Palmerleipts">LEI!$G$31</definedName>
    <definedName name="Palmerleitries">LEI!$B$31</definedName>
    <definedName name="Palmerpts">#REF!</definedName>
    <definedName name="palmertomtries">#REF!</definedName>
    <definedName name="Parlingexepts">EXE!#REF!</definedName>
    <definedName name="Parlingexetries">EXE!#REF!</definedName>
    <definedName name="Parlinggeoffexepts">EXE!#REF!</definedName>
    <definedName name="Parlingleipts">LEI!$G$33</definedName>
    <definedName name="Parlingleitries">LEI!$B$33</definedName>
    <definedName name="Parrmattpts">BRI!#REF!</definedName>
    <definedName name="Parrmatttries">BRI!#REF!</definedName>
    <definedName name="Parrybthpts">BTH!#REF!</definedName>
    <definedName name="Parrybthtries">BTH!#REF!</definedName>
    <definedName name="Parsonsnewpts">NRB!$G$42</definedName>
    <definedName name="Parsonsnewtries">NRB!$B$42</definedName>
    <definedName name="parsonsnrbpremcuppts">NRB!$I$42</definedName>
    <definedName name="parsonsnrbpremcuptries">NRB!$D$42</definedName>
    <definedName name="PartonSARpts">SAR!#REF!</definedName>
    <definedName name="PartonSARtries">SAR!#REF!</definedName>
    <definedName name="Pasconorpts">NOR!$G$30</definedName>
    <definedName name="Pasconortries">NOR!$B$30</definedName>
    <definedName name="Pasqualileipts">LEI!#REF!</definedName>
    <definedName name="Pasqualileitries">LEI!#REF!</definedName>
    <definedName name="paternoratt">NOR!$M$9</definedName>
    <definedName name="paternorgls">NOR!$L$9</definedName>
    <definedName name="Paternorpremcupatt">NOR!$M$34</definedName>
    <definedName name="Paternorpremcupgls">NOR!$L$34</definedName>
    <definedName name="paternorpremcuppts">NOR!$I$31</definedName>
    <definedName name="paternorpremcuptries">NOR!$D$31</definedName>
    <definedName name="Paternorpts">NOR!$G$31</definedName>
    <definedName name="Paternortries">NOR!$B$31</definedName>
    <definedName name="Patersonmichaelpts">SAL!#REF!</definedName>
    <definedName name="Patersonmichaeltries">SAL!#REF!</definedName>
    <definedName name="Patersonnorpts">NOR!#REF!</definedName>
    <definedName name="Patersonnortries">NOR!#REF!</definedName>
    <definedName name="Paulolirpts">BRI!$G$49</definedName>
    <definedName name="paulolirtries">BRI!$B$49</definedName>
    <definedName name="pearcebripremcuppts">BRI!$I$41</definedName>
    <definedName name="pearcebripremcuptries">BRI!$D$41</definedName>
    <definedName name="Pearcebripts">BRI!$G$41</definedName>
    <definedName name="Pearcebritries">BRI!$B$41</definedName>
    <definedName name="Pearceleipts">LEI!#REF!</definedName>
    <definedName name="Pearceleitries">LEI!#REF!</definedName>
    <definedName name="Pearcesalpts">SAL!#REF!</definedName>
    <definedName name="Pearcesaltries">SAL!#REF!</definedName>
    <definedName name="pearsonexepremcuppts">EXE!$I$30</definedName>
    <definedName name="pearsonexepremcuptries">EXE!$D$30</definedName>
    <definedName name="Pearsonexepts">EXE!$G$30</definedName>
    <definedName name="Pearsonexetries">EXE!$B$30</definedName>
    <definedName name="pearsonleipremcuppts">LEI!$I$32</definedName>
    <definedName name="pearsonleipremcuptries">LEI!$D$32</definedName>
    <definedName name="Pearsonlirpts">#REF!</definedName>
    <definedName name="Pearsonlirtries">#REF!</definedName>
    <definedName name="PearsonNOR_pts">NOR!$G$32</definedName>
    <definedName name="PearsonNOR_tries">NOR!$B$32</definedName>
    <definedName name="PearsonNORpts">NOR!#REF!</definedName>
    <definedName name="PearsonNORtries">NOR!#REF!</definedName>
    <definedName name="Peeldwaynepts">SAL!#REF!</definedName>
    <definedName name="Peeldwaynetries">SAL!#REF!</definedName>
    <definedName name="Peeldwaynetriescorrect">SAL!#REF!</definedName>
    <definedName name="Penalty_Triesbath">BTH!$G$39</definedName>
    <definedName name="Penalty_Triesbripts">BRI!$G$42</definedName>
    <definedName name="Penalty_Triesbritries">BRI!$B$42</definedName>
    <definedName name="Penalty_Triesexepts">EXE!$G$31</definedName>
    <definedName name="Penalty_Triesexetries">EXE!$B$31</definedName>
    <definedName name="Penalty_Triesglopts">GLO!$G$44</definedName>
    <definedName name="Penalty_Triesglotries">GLO!$B$44</definedName>
    <definedName name="Penalty_Triesharpts">HAR!$G$41</definedName>
    <definedName name="Penalty_Trieshartries">HAR!$B$41</definedName>
    <definedName name="Penalty_Triesnewpts">#REF!</definedName>
    <definedName name="Penalty_Triesnewptscorrect">NRB!$G$43</definedName>
    <definedName name="Penalty_Triesnewtries">#REF!</definedName>
    <definedName name="Penalty_Triesnewtriescorrect">NRB!$B$43</definedName>
    <definedName name="Penalty_Triessaintspts">NOR!$G$33</definedName>
    <definedName name="Penalty_Triessaintstries">NOR!$B$33</definedName>
    <definedName name="Penalty_Triessalpts">SAL!$G$36</definedName>
    <definedName name="Penalty_Triessaltries">SAL!$B$36</definedName>
    <definedName name="Penalty_Triessarpts">NRB!#REF!</definedName>
    <definedName name="Penalty_Triessarptscorrect">SAR!$G$43</definedName>
    <definedName name="Penalty_Triessartries">NRB!#REF!</definedName>
    <definedName name="Penalty_Triessartriescorrect">SAR!$B$43</definedName>
    <definedName name="Penalty_Trieswaspts">#REF!</definedName>
    <definedName name="Penalty_Trieswastries">#REF!</definedName>
    <definedName name="Penalty_Triesworpts">#REF!</definedName>
    <definedName name="Penalty_Trieswortries">#REF!</definedName>
    <definedName name="penaltytriesleipremcuppts">LEI!$I$34</definedName>
    <definedName name="penaltytriesleipremcuptries">LEI!$D$34</definedName>
    <definedName name="penaltytriesnorpremcuppts">NOR!$I$33</definedName>
    <definedName name="penaltytriesnorpremcuptries">NOR!$D$33</definedName>
    <definedName name="pennellchrisatt">#REF!</definedName>
    <definedName name="Pennellchrisgoals">#REF!</definedName>
    <definedName name="Pennellchrispts">#REF!</definedName>
    <definedName name="Pennellchristries">#REF!</definedName>
    <definedName name="pennellworatt">#REF!</definedName>
    <definedName name="Pennellworgls">#REF!</definedName>
    <definedName name="Pennynewtries">#REF!</definedName>
    <definedName name="Pennytnewpts">NRB!#REF!</definedName>
    <definedName name="Pennytnewtries">NRB!#REF!</definedName>
    <definedName name="Pepper_MNEWpts">NRB!#REF!</definedName>
    <definedName name="Pepper_MNEWtries">NRB!#REF!</definedName>
    <definedName name="pepperbripremcuppts">BRI!$I$43</definedName>
    <definedName name="pepperbripremcuptries">BRI!$D$43</definedName>
    <definedName name="Pepperbthpts">BTH!$G$40</definedName>
    <definedName name="Pepperbthtries">BTH!$B$40</definedName>
    <definedName name="Peppernewpts">NRB!#REF!</definedName>
    <definedName name="Peppernewtries">NRB!#REF!</definedName>
    <definedName name="Pereniseanthonypts">BTH!#REF!</definedName>
    <definedName name="Perenisebthpts">BTH!#REF!</definedName>
    <definedName name="Perenisebthtries">BTH!#REF!</definedName>
    <definedName name="perenisepts">BTH!#REF!</definedName>
    <definedName name="Pereniseptscorrect">BTH!#REF!</definedName>
    <definedName name="perenisetries">BTH!#REF!</definedName>
    <definedName name="Perenisetriescorrect">BTH!#REF!</definedName>
    <definedName name="pereseleipremcuppts">LEI!$I$33</definedName>
    <definedName name="pereseleipremcuptries">LEI!$D$33</definedName>
    <definedName name="Perkinssarpts">NRB!#REF!</definedName>
    <definedName name="Perkinssartries">NRB!#REF!</definedName>
    <definedName name="Petchglopts">GLO!#REF!</definedName>
    <definedName name="Petchglotries">GLO!#REF!</definedName>
    <definedName name="Petelo_Mapunorpts">NOR!#REF!</definedName>
    <definedName name="Petelo_Mapunortries">NOR!#REF!</definedName>
    <definedName name="Petersnewpts">NRB!#REF!</definedName>
    <definedName name="Petersnewtries">NRB!#REF!</definedName>
    <definedName name="Phibbslipts">BRI!#REF!</definedName>
    <definedName name="Phibbslitries">BRI!#REF!</definedName>
    <definedName name="Phillipsbthpts">BTH!#REF!</definedName>
    <definedName name="Phillipsbthtries">BTH!#REF!</definedName>
    <definedName name="Phillipsjamespts">EXE!#REF!</definedName>
    <definedName name="Phillipsjamessalpts">SAL!#REF!</definedName>
    <definedName name="Phillipsjamessaltries">SAL!#REF!</definedName>
    <definedName name="Phillipsjamestries">EXE!#REF!</definedName>
    <definedName name="Phillipssalpts">SAL!#REF!</definedName>
    <definedName name="Phillipssaltries">SAL!#REF!</definedName>
    <definedName name="Phillipsworpts">#REF!</definedName>
    <definedName name="Phillipswortries">#REF!</definedName>
    <definedName name="Picamolesnorpts">NOR!#REF!</definedName>
    <definedName name="Picamolesnortries">NOR!#REF!</definedName>
    <definedName name="Pienaarbenpts">#REF!</definedName>
    <definedName name="Pienaarbentries">#REF!</definedName>
    <definedName name="Pietersenleipts">LEI!#REF!</definedName>
    <definedName name="Pietersenleitries">LEI!#REF!</definedName>
    <definedName name="Pifeletisarptscorrect">SAR!#REF!</definedName>
    <definedName name="Pifeletisartriescorrect">SAR!#REF!</definedName>
    <definedName name="Pincusbripts">BRI!#REF!</definedName>
    <definedName name="Pincusbritries">BRI!#REF!</definedName>
    <definedName name="Pisi_Gnorpts">NOR!#REF!</definedName>
    <definedName name="Pisi_Gnortries">NOR!#REF!</definedName>
    <definedName name="Pisibripts">BRI!#REF!</definedName>
    <definedName name="Pisibritries">BRI!#REF!</definedName>
    <definedName name="Pisigeorgepts">NOR!#REF!</definedName>
    <definedName name="Pisigeorgeptscorrect">NOR!#REF!</definedName>
    <definedName name="pisigeorgetries">NOR!#REF!</definedName>
    <definedName name="Pisigeorgetriescorrect">NOR!#REF!</definedName>
    <definedName name="Pisikenpts">NOR!#REF!</definedName>
    <definedName name="Pisikenptscorrect">NOR!#REF!</definedName>
    <definedName name="pisikentries">NOR!#REF!</definedName>
    <definedName name="Pisikentriescorrect">NOR!#REF!</definedName>
    <definedName name="Piutau_Cbritriescorrect">BRI!#REF!</definedName>
    <definedName name="Piutau_Swaspts">#REF!</definedName>
    <definedName name="Piutau_Swastries">#REF!</definedName>
    <definedName name="Piutaubripts">BRI!#REF!</definedName>
    <definedName name="Piutaubritries">BRI!#REF!</definedName>
    <definedName name="Piutauwaspts">#REF!</definedName>
    <definedName name="Piutauwastries">#REF!</definedName>
    <definedName name="pollardleicatt">LEI!#REF!</definedName>
    <definedName name="Pollardleicgls">LEI!#REF!</definedName>
    <definedName name="Polledriglopts">GLO!#REF!</definedName>
    <definedName name="Polledriglotries">GLO!#REF!</definedName>
    <definedName name="Pollocknorpts">NOR!$G$34</definedName>
    <definedName name="Pollocknortries">NOR!$B$34</definedName>
    <definedName name="Poreckilirpts">BRI!$G$51</definedName>
    <definedName name="Poreckilirptscorrect">#REF!</definedName>
    <definedName name="Poreckilirtries">BRI!$B$51</definedName>
    <definedName name="Poreckilirtriescorrect">#REF!</definedName>
    <definedName name="Porterharpts">HAR!$G$43</definedName>
    <definedName name="Porterhartries">HAR!$B$43</definedName>
    <definedName name="Porterleicpts">LEI!#REF!</definedName>
    <definedName name="Porterleictries">LEI!#REF!</definedName>
    <definedName name="PostlethwaiteEXEpts">EXE!$G$33</definedName>
    <definedName name="PostlethwaiteEXEtries">EXE!$B$33</definedName>
    <definedName name="Postlethwaitesalpts">SAL!#REF!</definedName>
    <definedName name="Postlethwaitesaltries">SAL!#REF!</definedName>
    <definedName name="Potgieterworpts">#REF!</definedName>
    <definedName name="Potgieterwortries">#REF!</definedName>
    <definedName name="Powelladampts">#REF!</definedName>
    <definedName name="Powelladamtries">#REF!</definedName>
    <definedName name="Powellbripts">BRI!#REF!</definedName>
    <definedName name="Powellbritries">BRI!#REF!</definedName>
    <definedName name="PowellLEIpts">LEI!#REF!</definedName>
    <definedName name="PowellLEItries">LEI!#REF!</definedName>
    <definedName name="Powelllirpts">#REF!</definedName>
    <definedName name="Powelllirtries">#REF!</definedName>
    <definedName name="priestlandbthatt">BTH!#REF!</definedName>
    <definedName name="Priestlandbthgoals">BTH!#REF!</definedName>
    <definedName name="Priestlandbthpts">BTH!#REF!</definedName>
    <definedName name="Priestlandbthtries">BTH!#REF!</definedName>
    <definedName name="priorharatt">HAR!#REF!</definedName>
    <definedName name="priorhargls">HAR!#REF!</definedName>
    <definedName name="Protheroebripts">BRI!#REF!</definedName>
    <definedName name="Protheroebritries">BRI!#REF!</definedName>
    <definedName name="Prydiebthpts">BTH!#REF!</definedName>
    <definedName name="Prydiebthtries">BTH!#REF!</definedName>
    <definedName name="pts">HAR!$AC$45</definedName>
    <definedName name="Puafisiglopts">GLO!#REF!</definedName>
    <definedName name="Puafisiglotries">GLO!#REF!</definedName>
    <definedName name="Purdybripts">BRI!#REF!</definedName>
    <definedName name="Purdybritries">BRI!#REF!</definedName>
    <definedName name="Purdyglospts">GLO!#REF!</definedName>
    <definedName name="Purdyglotries">GLO!#REF!</definedName>
    <definedName name="Qorowalenewpts">NRB!#REF!</definedName>
    <definedName name="Qorowalenewtries">NRB!#REF!</definedName>
    <definedName name="quinspentriespts">HAR!$G$41</definedName>
    <definedName name="quinspentriestries">HAR!$B$41</definedName>
    <definedName name="Quirkesalpts">SAL!$G$37</definedName>
    <definedName name="Quirkesaltries">SAL!$B$37</definedName>
    <definedName name="Radradrabripts">BRI!#REF!</definedName>
    <definedName name="Radradrabritries">BRI!#REF!</definedName>
    <definedName name="Radwanleipts">LEI!$G$35</definedName>
    <definedName name="Radwanleitries">LEI!$B$35</definedName>
    <definedName name="Radwannewpts">#REF!</definedName>
    <definedName name="Radwannewptscorrect">NRB!#REF!</definedName>
    <definedName name="Radwannewtries">#REF!</definedName>
    <definedName name="Radwannewtriescorrect">NRB!#REF!</definedName>
    <definedName name="Ramageleicpts">LEI!#REF!</definedName>
    <definedName name="Ramageleictries">LEI!#REF!</definedName>
    <definedName name="rammnorpremcuppts">NOR!$I$36</definedName>
    <definedName name="rammnorpremcuptries">NOR!$D$36</definedName>
    <definedName name="randallbripremcuppts">BRI!$I$45</definedName>
    <definedName name="randallbripremcuptries">BRI!$D$45</definedName>
    <definedName name="Randallbripts">BRI!$G$45</definedName>
    <definedName name="Randallbritries">BRI!$B$45</definedName>
    <definedName name="Ransombenpts">NRB!#REF!</definedName>
    <definedName name="Ransombentries">NRB!#REF!</definedName>
    <definedName name="Ransomlirpts">BRI!#REF!</definedName>
    <definedName name="Ransomlirtries">BRI!#REF!</definedName>
    <definedName name="Rapava_Ruskinglopts">GLO!$G$45</definedName>
    <definedName name="Rapava_Ruskinglotries">GLO!$B$45</definedName>
    <definedName name="Rapava_Ruskinworpts">#REF!</definedName>
    <definedName name="Rapava_Ruskinwortries">#REF!</definedName>
    <definedName name="Ratuniyarawanorpts">NOR!$G$36</definedName>
    <definedName name="Ratuniyarawanortries">NOR!$B$36</definedName>
    <definedName name="Ravouvoubripts">BRI!$G$46</definedName>
    <definedName name="Ravouvoufijtries">BRI!$B$46</definedName>
    <definedName name="Rawacasarpts">NRB!#REF!</definedName>
    <definedName name="Rawacasartries">NRB!#REF!</definedName>
    <definedName name="Readsalpts">SAL!$G$38</definedName>
    <definedName name="Readsaltries">SAL!$B$38</definedName>
    <definedName name="Reddishharpts">HAR!#REF!</definedName>
    <definedName name="Reddishhartries">HAR!#REF!</definedName>
    <definedName name="Redmondlirpts">#REF!</definedName>
    <definedName name="Redmondlirtries">#REF!</definedName>
    <definedName name="redpathbthatt">BTH!$M$10</definedName>
    <definedName name="Redpathbthpts">BTH!$G$41</definedName>
    <definedName name="Redpathbthtries">BTH!$B$41</definedName>
    <definedName name="redpathsalatt">SAL!#REF!</definedName>
    <definedName name="redpathsalegls">SAL!#REF!</definedName>
    <definedName name="Redpathsalpts">SAL!#REF!</definedName>
    <definedName name="Redpathsaltries">SAL!#REF!</definedName>
    <definedName name="redshawglopremcuppts">GLO!$I$46</definedName>
    <definedName name="redshawglopremcuptries">GLO!$D$46</definedName>
    <definedName name="reedsalpremcuppts">SAL!$I$38</definedName>
    <definedName name="reedsalpremcuptries">SAL!$D$38</definedName>
    <definedName name="Rees_Zammitbripts">BRI!$G$47</definedName>
    <definedName name="Rees_Zammitbritries">BRI!$B$47</definedName>
    <definedName name="Rees_Zammitglopts">GLO!#REF!</definedName>
    <definedName name="Rees_Zammitglotries">GLO!#REF!</definedName>
    <definedName name="reeszammitbripremcuppts">BRI!$I$47</definedName>
    <definedName name="reeszammitbripremcuptries">BRI!$D$47</definedName>
    <definedName name="Reevesglopts">GLO!$G$46</definedName>
    <definedName name="Reevesglotries">GLO!$B$46</definedName>
    <definedName name="Reevesrickypts">#REF!</definedName>
    <definedName name="Reevesrickytries">#REF!</definedName>
    <definedName name="reffellleipremcuppts">LEI!$I$36</definedName>
    <definedName name="reffellleipremcuptries">LEI!$D$36</definedName>
    <definedName name="Reffellsarpts">NRB!#REF!</definedName>
    <definedName name="Reffellsarptscorrect">SAR!#REF!</definedName>
    <definedName name="Reffellsartries">NRB!#REF!</definedName>
    <definedName name="Reffellsartriescorrect">SAR!#REF!</definedName>
    <definedName name="Reidleicatt">LEI!#REF!</definedName>
    <definedName name="Reidleicgls">LEI!#REF!</definedName>
    <definedName name="Reidleipts">LEI!#REF!</definedName>
    <definedName name="Reidleitries">LEI!#REF!</definedName>
    <definedName name="Reidlirpts">#REF!</definedName>
    <definedName name="Reidlirtries">#REF!</definedName>
    <definedName name="reinachnoratt">NOR!#REF!</definedName>
    <definedName name="reinachnorgls">NOR!#REF!</definedName>
    <definedName name="Reinachnorpts">NOR!#REF!</definedName>
    <definedName name="Reinachnortries">NOR!#REF!</definedName>
    <definedName name="Reltonexepts">EXE!$G$34</definedName>
    <definedName name="Reltonexetries">EXE!$B$34</definedName>
    <definedName name="repathbthgls">BTH!$L$10</definedName>
    <definedName name="rewcastlenewpremcuppts">NRB!$I$44</definedName>
    <definedName name="rewcastlenewpremcuptries">NRB!$D$44</definedName>
    <definedName name="Reynoldsnicpts">#REF!</definedName>
    <definedName name="Reynoldsnictries">#REF!</definedName>
    <definedName name="Reynoldsstefpts">GLO!#REF!</definedName>
    <definedName name="Reynoldssteftries">GLO!#REF!</definedName>
    <definedName name="Rhodessarpts">NRB!#REF!</definedName>
    <definedName name="Rhodessartries">NRB!#REF!</definedName>
    <definedName name="Ribbansnorpts">NOR!#REF!</definedName>
    <definedName name="Ribbansnortries">NOR!#REF!</definedName>
    <definedName name="Riccionisarptscorrect">SAR!$G$44</definedName>
    <definedName name="Riccionisartriescorrect">SAR!$B$44</definedName>
    <definedName name="Richardsbthpts">BTH!$G$43</definedName>
    <definedName name="Richardsbthtries">BTH!$B$43</definedName>
    <definedName name="Richardsonleicpts">LEI!#REF!</definedName>
    <definedName name="Richardsonleictries">LEI!#REF!</definedName>
    <definedName name="Ridgwaybthpremcuppts">BTH!$I$44</definedName>
    <definedName name="Ridgwaybthpremcuptries">BTH!$D$44</definedName>
    <definedName name="Ridgwaybthpts">BTH!$G$44</definedName>
    <definedName name="Ridgwaybthtries">BTH!$B$44</definedName>
    <definedName name="ridlexepremcuppts">EXE!$I$32</definedName>
    <definedName name="ridlexepremcuptries">EXE!$D$32</definedName>
    <definedName name="Ridlexepts">EXE!$G$32</definedName>
    <definedName name="Ridlexetries">EXE!$B$32</definedName>
    <definedName name="Riederwaspts">#REF!</definedName>
    <definedName name="Riederwastries">#REF!</definedName>
    <definedName name="riggexepremcuppts">EXE!$I$33</definedName>
    <definedName name="riggexepremcuptries">EXE!$D$33</definedName>
    <definedName name="rileyharpremcuppts">HAR!$I$44</definedName>
    <definedName name="rileyharpremcuptries">HAR!$D$44</definedName>
    <definedName name="Rileysalpts">SAL!$G$39</definedName>
    <definedName name="Rileysaltries">SAL!$B$39</definedName>
    <definedName name="Rimmercarlpts">EXE!#REF!</definedName>
    <definedName name="Rimmercarltries">EXE!#REF!</definedName>
    <definedName name="Ripper_Smithworpts">#REF!</definedName>
    <definedName name="Ripper_Smithwortries">#REF!</definedName>
    <definedName name="Rizzoleipts">LEI!#REF!</definedName>
    <definedName name="Rizzoleitries">LEI!#REF!</definedName>
    <definedName name="Robertsbthpts">BTH!$G$42</definedName>
    <definedName name="Robertsbthtries">BTH!$B$42</definedName>
    <definedName name="Robertsharpts">HAR!#REF!</definedName>
    <definedName name="Robertshartries">HAR!#REF!</definedName>
    <definedName name="Robertsmartinpts">BTH!#REF!</definedName>
    <definedName name="Robertsmartintruies">BTH!#REF!</definedName>
    <definedName name="Robertssalpremcuppts">SAL!$I$40</definedName>
    <definedName name="Robertssalpremcuptries">SAL!$D$40</definedName>
    <definedName name="Robertssalpts">SAL!$G$40</definedName>
    <definedName name="Robertssaltries">SAL!$B$40</definedName>
    <definedName name="Robertstristanpts">#REF!</definedName>
    <definedName name="Robertstristantries">#REF!</definedName>
    <definedName name="robertswelatt">#REF!</definedName>
    <definedName name="robertswelgoals">#REF!</definedName>
    <definedName name="Robinsonnewpts">#REF!</definedName>
    <definedName name="Robinsonnewtries">#REF!</definedName>
    <definedName name="robinsonwelatt">#REF!</definedName>
    <definedName name="robinsonwelgoals">#REF!</definedName>
    <definedName name="Robinsonwillpts">#REF!</definedName>
    <definedName name="Robinsonwilltries">#REF!</definedName>
    <definedName name="Robshawharpts">HAR!#REF!</definedName>
    <definedName name="Robshawhartries">HAR!#REF!</definedName>
    <definedName name="robsobwasgoals">#REF!</definedName>
    <definedName name="Robsonglopts">GLO!#REF!</definedName>
    <definedName name="Robsonglotries">GLO!#REF!</definedName>
    <definedName name="Robsonharpts">HAR!#REF!</definedName>
    <definedName name="Robsonhartries">HAR!#REF!</definedName>
    <definedName name="robsonwasatt">#REF!</definedName>
    <definedName name="Robsonwaspts">#REF!</definedName>
    <definedName name="Robsonwastries">#REF!</definedName>
    <definedName name="Roddsalpts">SAL!$G$41</definedName>
    <definedName name="Roddsaltries">SAL!$B$41</definedName>
    <definedName name="Roebucksalpts">SAL!$G$42</definedName>
    <definedName name="Roebucksaltries">SAL!$B$42</definedName>
    <definedName name="Roetssalpts">SAL!#REF!</definedName>
    <definedName name="Roetssaltries">SAL!#REF!</definedName>
    <definedName name="Rogersnewpts">#REF!</definedName>
    <definedName name="Rogersnewtries">#REF!</definedName>
    <definedName name="RogersonLEIpts">LEI!$G$37</definedName>
    <definedName name="RogersonLEItries">LEI!$B$37</definedName>
    <definedName name="Rokodugunibatpts">BTH!#REF!</definedName>
    <definedName name="Rokodugunibattries">BTH!#REF!</definedName>
    <definedName name="Rokodugunipts">BTH!#REF!</definedName>
    <definedName name="Rokoduguniptscorrect">BTH!#REF!</definedName>
    <definedName name="Rokodugunisemesapts">BTH!#REF!</definedName>
    <definedName name="Rokodugunisemesaptscorrect">BTH!#REF!</definedName>
    <definedName name="Rokodugunitries">BTH!#REF!</definedName>
    <definedName name="Rokodugunitriescorrect">BTH!#REF!</definedName>
    <definedName name="rootseexepremcuppts">EXE!$I$35</definedName>
    <definedName name="rootseexepremcuptries">EXE!$D$35</definedName>
    <definedName name="rootsjexepremcuppts">EXE!$I$34</definedName>
    <definedName name="rootsjexepremcuptries">EXE!$D$34</definedName>
    <definedName name="Rossgordonpts">#REF!</definedName>
    <definedName name="Rossgordontries">#REF!</definedName>
    <definedName name="Rosssalpts">SAL!#REF!</definedName>
    <definedName name="Rosssaltries">SAL!#REF!</definedName>
    <definedName name="rosswelatt">#REF!</definedName>
    <definedName name="rosswelgoals">#REF!</definedName>
    <definedName name="rouebthatt">BTH!$M$11</definedName>
    <definedName name="rouebthgls">BTH!$L$11</definedName>
    <definedName name="rouebthpremcupatt">BTH!$M$38</definedName>
    <definedName name="rouebthpremcupgls">BTH!$L$38</definedName>
    <definedName name="Rouebthpremcuppts">BTH!$I$45</definedName>
    <definedName name="Rouebthpremcuptries">BTH!$D$45</definedName>
    <definedName name="Rouebthpts">BTH!$G$45</definedName>
    <definedName name="Rouebthtries">BTH!$B$45</definedName>
    <definedName name="Rouselipts">BRI!#REF!</definedName>
    <definedName name="Rouselitries">BRI!#REF!</definedName>
    <definedName name="Rousepts">BRI!#REF!</definedName>
    <definedName name="rousetries">BRI!#REF!</definedName>
    <definedName name="Rouxbthprempts">BTH!$G$46</definedName>
    <definedName name="Rouxbthpremtries">BTH!$B$46</definedName>
    <definedName name="rouxbthtries">BTH!$C$46</definedName>
    <definedName name="Rowanglopts">GLO!#REF!</definedName>
    <definedName name="Rowanglotries">GLO!#REF!</definedName>
    <definedName name="Rowelirpts">#REF!</definedName>
    <definedName name="Rowelirtries">#REF!</definedName>
    <definedName name="rowernorpremcuppts">NOR!$I$37</definedName>
    <definedName name="rowernorpremcuptries">NOR!$D$37</definedName>
    <definedName name="Rowlandswaspts">#REF!</definedName>
    <definedName name="Rowlandswastries">#REF!</definedName>
    <definedName name="Rowleypaulpts">#REF!</definedName>
    <definedName name="Rowleypaultries">#REF!</definedName>
    <definedName name="Rubiolonewpts">NRB!#REF!</definedName>
    <definedName name="Rubiolonewtries">NRB!#REF!</definedName>
    <definedName name="Ruizlirpts">#REF!</definedName>
    <definedName name="Ruizlirtries">#REF!</definedName>
    <definedName name="Russellbthpts">BTH!$G$47</definedName>
    <definedName name="Russellbthtries">BTH!$B$47</definedName>
    <definedName name="Sackeypaulpts">HAR!#REF!</definedName>
    <definedName name="Sackeypaultries">HAR!#REF!</definedName>
    <definedName name="Safeglopts">GLO!#REF!</definedName>
    <definedName name="Safeglotries">GLO!#REF!</definedName>
    <definedName name="Salakaia_Lotonorpts">NOR!#REF!</definedName>
    <definedName name="Salakaia_Lotonortries">NOR!#REF!</definedName>
    <definedName name="SalePts">SAL!$G$51</definedName>
    <definedName name="Saletries">SAL!$B$51</definedName>
    <definedName name="Salmonexepts">EXE!#REF!</definedName>
    <definedName name="Salmonexetries">EXE!#REF!</definedName>
    <definedName name="Salomonbripts">BRI!$G$48</definedName>
    <definedName name="Salomonbritries">BRI!$B$48</definedName>
    <definedName name="Salvijulianpts">LEI!$G$36</definedName>
    <definedName name="Salvijuliantries">LEI!$B$36</definedName>
    <definedName name="Sandfordjamespts">#REF!</definedName>
    <definedName name="Sandfordjamestries">#REF!</definedName>
    <definedName name="saracenspenaltytriespts">NRB!#REF!</definedName>
    <definedName name="saracenspenaltytriestries">NRB!#REF!</definedName>
    <definedName name="SaracensPts">NRB!$G$52</definedName>
    <definedName name="SaracensTries">NRB!$B$52</definedName>
    <definedName name="Saullandypts">#REF!</definedName>
    <definedName name="Saullandytries">#REF!</definedName>
    <definedName name="Saulolirpts">BRI!#REF!</definedName>
    <definedName name="Saulolirtries">BRI!#REF!</definedName>
    <definedName name="Saumakileicpts">LEI!#REF!</definedName>
    <definedName name="Saumakileictries">LEI!#REF!</definedName>
    <definedName name="Saunderssarpts">NRB!#REF!</definedName>
    <definedName name="Saunderssartries">NRB!#REF!</definedName>
    <definedName name="Savageglopts">GLO!#REF!</definedName>
    <definedName name="Savageglotries">GLO!#REF!</definedName>
    <definedName name="savalanoratt">NOR!#REF!</definedName>
    <definedName name="Savalanorgls">NOR!#REF!</definedName>
    <definedName name="Savalanorpts">NOR!#REF!</definedName>
    <definedName name="Savalanortries">NOR!#REF!</definedName>
    <definedName name="ScarletsPts">[1]SCA!$F$56</definedName>
    <definedName name="ScarletsTries">[1]SCA!$B$56</definedName>
    <definedName name="Scaysbrookpts">EXE!#REF!</definedName>
    <definedName name="scaysbrooktries">EXE!#REF!</definedName>
    <definedName name="Schatzlirpts">BRI!#REF!</definedName>
    <definedName name="Schatzlirtries">BRI!#REF!</definedName>
    <definedName name="Schickerlingexepts">EXE!$G$35</definedName>
    <definedName name="Schickerlingexetries">EXE!$B$35</definedName>
    <definedName name="Schmidharpts">HAR!$G$45</definedName>
    <definedName name="Schmidhartries">HAR!$B$45</definedName>
    <definedName name="Schoeman_Tbthpts">BTH!#REF!</definedName>
    <definedName name="Schoeman_Tbthptscorrect">BTH!#REF!</definedName>
    <definedName name="Schoeman_Tbthtries">BTH!#REF!</definedName>
    <definedName name="schoemanbthatt">BTH!#REF!</definedName>
    <definedName name="Schoemanbthgls">BTH!#REF!</definedName>
    <definedName name="Schoemanbthpts">BTH!#REF!</definedName>
    <definedName name="Schoemanbthtries">BTH!#REF!</definedName>
    <definedName name="Schofieldwelpts">#REF!</definedName>
    <definedName name="Schofieldweltries">#REF!</definedName>
    <definedName name="Schonertsalpts">SAL!#REF!</definedName>
    <definedName name="Schonertsaltries">SAL!#REF!</definedName>
    <definedName name="Schreuderbthpts">BTH!#REF!</definedName>
    <definedName name="Schreuderbthtries">BTH!#REF!</definedName>
    <definedName name="scolanorpremcuppts">NOR!$I$38</definedName>
    <definedName name="scolanorpremcuptries">NOR!$D$38</definedName>
    <definedName name="Scolanorpts">NOR!$G$38</definedName>
    <definedName name="Scolanortries">NOR!$B$38</definedName>
    <definedName name="Scotland_W_sonharpts">HAR!$G$44</definedName>
    <definedName name="Scotland_W_sonhartries">HAR!$B$44</definedName>
    <definedName name="ScotlandWilliamsonchristianpts">#REF!</definedName>
    <definedName name="ScotlandWilliamsonchristiantries">#REF!</definedName>
    <definedName name="Scott_Youngnorpts">NOR!$G$37</definedName>
    <definedName name="Scott_Youngnortries">NOR!$B$37</definedName>
    <definedName name="Scottglopts">GLO!#REF!</definedName>
    <definedName name="Scottglotries">GLO!#REF!</definedName>
    <definedName name="Scottleicpts">LEI!#REF!</definedName>
    <definedName name="Scottleictries">LEI!#REF!</definedName>
    <definedName name="Scottnickpts">#REF!</definedName>
    <definedName name="Scottnicktries">#REF!</definedName>
    <definedName name="Scragglirpts">#REF!</definedName>
    <definedName name="Scragglirtries">#REF!</definedName>
    <definedName name="Scullyblainepts">LEI!#REF!</definedName>
    <definedName name="Scullyblainetries">LEI!#REF!</definedName>
    <definedName name="Scullypts">LEI!$G$20</definedName>
    <definedName name="scullytries">LEI!#REF!</definedName>
    <definedName name="Seabrookglopts">GLO!#REF!</definedName>
    <definedName name="Seabrookglotries">GLO!#REF!</definedName>
    <definedName name="SeabrookNORpts">NOR!#REF!</definedName>
    <definedName name="SeabrookNORtries">NOR!#REF!</definedName>
    <definedName name="searlebriatt">BRI!#REF!</definedName>
    <definedName name="searlebrigoals">BRI!#REF!</definedName>
    <definedName name="Searlebstpts">BRI!#REF!</definedName>
    <definedName name="Searlebsttries">BRI!#REF!</definedName>
    <definedName name="searlebthatt">BTH!$M$12</definedName>
    <definedName name="Searlebthgls">BTH!$L$12</definedName>
    <definedName name="Searlebthpts">BTH!#REF!</definedName>
    <definedName name="Searlebthtries">BTH!#REF!</definedName>
    <definedName name="searleleiatt">LEI!$M$6</definedName>
    <definedName name="Searleleigls">LEI!$L$6</definedName>
    <definedName name="Searleleipremcupatt">LEI!$M$34</definedName>
    <definedName name="Searleleipremcupgls">LEI!$L$34</definedName>
    <definedName name="searleleipremcuppts">LEI!$I$37</definedName>
    <definedName name="searleleipremcuptries">LEI!$D$37</definedName>
    <definedName name="searlewasatt">#REF!</definedName>
    <definedName name="Searlewasgls">#REF!</definedName>
    <definedName name="Searlewaspts">#REF!</definedName>
    <definedName name="Searlewastries">#REF!</definedName>
    <definedName name="searleworatt">#REF!</definedName>
    <definedName name="Searleworgls">#REF!</definedName>
    <definedName name="Searleworpts">#REF!</definedName>
    <definedName name="Searlewortris">#REF!</definedName>
    <definedName name="Searlswaspts">#REF!</definedName>
    <definedName name="Searlswastries">#REF!</definedName>
    <definedName name="segunsarpremcuppts">SAR!$I$45</definedName>
    <definedName name="segunsarpremcuptries">SAR!$D$45</definedName>
    <definedName name="Segunsarpts">NRB!#REF!</definedName>
    <definedName name="Segunsarptscorrect">SAR!$G$45</definedName>
    <definedName name="Segunsartries">NRB!#REF!</definedName>
    <definedName name="Segunsartriescorrect">SAR!$B$45</definedName>
    <definedName name="selabthpremcuppts">BTH!$I$48</definedName>
    <definedName name="selabthpremcuptries">BTH!$D$48</definedName>
    <definedName name="Selabthpts">BTH!$G$48</definedName>
    <definedName name="Selabthtries">BTH!$B$48</definedName>
    <definedName name="Sextonexepoints">EXE!#REF!</definedName>
    <definedName name="Sextonexetries">EXE!#REF!</definedName>
    <definedName name="Seymourdavidpts">SAL!#REF!</definedName>
    <definedName name="seymourdavidtries">SAL!#REF!</definedName>
    <definedName name="Seymourdavidtriescorrect">SAL!#REF!</definedName>
    <definedName name="Sharplesglopts">GLO!#REF!</definedName>
    <definedName name="Sharplesglotries">GLO!#REF!</definedName>
    <definedName name="Sharplespts">GLO!#REF!</definedName>
    <definedName name="Sharplestries">GLO!#REF!</definedName>
    <definedName name="Sheridaneamonnpts">BRI!#REF!</definedName>
    <definedName name="Sheridaneamonntries">BRI!#REF!</definedName>
    <definedName name="Sheriffsarpts">NRB!#REF!</definedName>
    <definedName name="Sheriffsartries">NRB!#REF!</definedName>
    <definedName name="Shervingtonwaspts">#REF!</definedName>
    <definedName name="Shervingtonwastries">#REF!</definedName>
    <definedName name="Shieldswaspts">#REF!</definedName>
    <definedName name="Shieldswastries">#REF!</definedName>
    <definedName name="Shiellsgrahambatpts">BTH!#REF!</definedName>
    <definedName name="Shiellsgrahambattries">BTH!#REF!</definedName>
    <definedName name="shillcockleicatt">LEI!$M$5</definedName>
    <definedName name="Shillcockleicgls">LEI!$L$5</definedName>
    <definedName name="ShillcockLEIpts">LEI!#REF!</definedName>
    <definedName name="ShillcockLEItries">LEI!#REF!</definedName>
    <definedName name="Shillcockworpts">#REF!</definedName>
    <definedName name="Shillcockwortries">#REF!</definedName>
    <definedName name="shilllcockworatt">#REF!</definedName>
    <definedName name="shilllcockworgoals">#REF!</definedName>
    <definedName name="Short_Alirpts">BRI!#REF!</definedName>
    <definedName name="Short_Alirtries">BRI!#REF!</definedName>
    <definedName name="Shortexepts">EXE!#REF!</definedName>
    <definedName name="Shortexetries">EXE!#REF!</definedName>
    <definedName name="Shortjamespts">#REF!</definedName>
    <definedName name="Shortjamestries">#REF!</definedName>
    <definedName name="Shortlandpts">#REF!</definedName>
    <definedName name="Shortlandryanpts">#REF!</definedName>
    <definedName name="Shortlandtries">#REF!</definedName>
    <definedName name="Shortlipts">BRI!#REF!</definedName>
    <definedName name="Shortlitries">BRI!#REF!</definedName>
    <definedName name="Simmonds_Sexepts">EXE!#REF!</definedName>
    <definedName name="Simmonds_Sexetries">EXE!#REF!</definedName>
    <definedName name="simmondsexeatt">EXE!#REF!</definedName>
    <definedName name="simmondsexegoals">EXE!#REF!</definedName>
    <definedName name="Simmondsexepts">EXE!#REF!</definedName>
    <definedName name="Simmondsexetries">EXE!#REF!</definedName>
    <definedName name="Simmonsleicpts">LEI!$G$38</definedName>
    <definedName name="Simmonsleictries">LEI!$B$38</definedName>
    <definedName name="Simmonslirpts">#REF!</definedName>
    <definedName name="Simmonslirtries">#REF!</definedName>
    <definedName name="Simpson_Danieljamespts">GLO!#REF!</definedName>
    <definedName name="Simpson_Danieljamestries">GLO!#REF!</definedName>
    <definedName name="Simpson_Gsarpts">SAR!$G$46</definedName>
    <definedName name="Simpson_Gsartries">SAR!$B$46</definedName>
    <definedName name="Simpsonbthpts">BTH!#REF!</definedName>
    <definedName name="Simpsonbthtries">BTH!#REF!</definedName>
    <definedName name="Simpsonglopts">GLO!#REF!</definedName>
    <definedName name="Simpsonglotries">GLO!#REF!</definedName>
    <definedName name="Simpsonjoepts">#REF!</definedName>
    <definedName name="Simpsonjoetries">#REF!</definedName>
    <definedName name="simpsonsarpremcuppts">SAR!$I$46</definedName>
    <definedName name="simpsonsarpremcuptries">SAR!$D$46</definedName>
    <definedName name="Simpsonwaspts">#REF!</definedName>
    <definedName name="Simpsonwastries">#REF!</definedName>
    <definedName name="Sincklerharpts">HAR!#REF!</definedName>
    <definedName name="Sincklerhartries">HAR!#REF!</definedName>
    <definedName name="Sinclairjebbpts">BRI!#REF!</definedName>
    <definedName name="Sinclairjebbtries">BRI!#REF!</definedName>
    <definedName name="Singletonsarpts">NRB!#REF!</definedName>
    <definedName name="Singletonsartries">NRB!#REF!</definedName>
    <definedName name="Singletonworpts">#REF!</definedName>
    <definedName name="Singletonwortries">#REF!</definedName>
    <definedName name="Sinotisinotipts">#REF!</definedName>
    <definedName name="Sinotisinotitries">#REF!</definedName>
    <definedName name="Sioexepts">EXE!$G$36</definedName>
    <definedName name="Sioexetries">EXE!$B$36</definedName>
    <definedName name="Sioleipts">LEI!#REF!</definedName>
    <definedName name="Sioleitries">LEI!#REF!</definedName>
    <definedName name="Sirkerwaspts">#REF!</definedName>
    <definedName name="Sirkerwastries">#REF!</definedName>
    <definedName name="Sisidavidpts">BTH!#REF!</definedName>
    <definedName name="Sisidavidtries">BTH!#REF!</definedName>
    <definedName name="Sisilirpts">BRI!#REF!</definedName>
    <definedName name="Sisilirtries">BRI!#REF!</definedName>
    <definedName name="Skeltonsarpts">NRB!#REF!</definedName>
    <definedName name="Skeltonsartries">NRB!#REF!</definedName>
    <definedName name="Skinner_Hexepts">EXE!$G$37</definedName>
    <definedName name="Skinner_Hexetries">EXE!$B$37</definedName>
    <definedName name="Skinnerexeatt">EXE!$M$10</definedName>
    <definedName name="Skinnerexegls">EXE!$L$10</definedName>
    <definedName name="Skinnerexepremcupatt">EXE!$M$36</definedName>
    <definedName name="Skinnerexepremcupgls">EXE!$L$36</definedName>
    <definedName name="skinnerexepremcuppts">EXE!$I$37</definedName>
    <definedName name="skinnerexepremcuptries">EXE!$D$37</definedName>
    <definedName name="Skinnerexepts">EXE!#REF!</definedName>
    <definedName name="Skinnerexetries">EXE!#REF!</definedName>
    <definedName name="Skivingtongeorgeli">BRI!#REF!</definedName>
    <definedName name="Skivingtongeorgepts">BRI!#REF!</definedName>
    <definedName name="Skivingtongeorgetries">BRI!#REF!</definedName>
    <definedName name="Skusebatpts">BTH!#REF!</definedName>
    <definedName name="Skusebattries">BTH!#REF!</definedName>
    <definedName name="sladeatt">EXE!$M$9</definedName>
    <definedName name="Sladeexepremcupatt">EXE!$M$37</definedName>
    <definedName name="Sladeexepremcupgls">EXE!$L$37</definedName>
    <definedName name="sladeexepremcuppts">EXE!$I$38</definedName>
    <definedName name="sladeexepremcuptries">EXE!$D$38</definedName>
    <definedName name="Sladeexepts">EXE!$G$38</definedName>
    <definedName name="Sladeexetries">EXE!$B$38</definedName>
    <definedName name="sladegoals">EXE!$L$9</definedName>
    <definedName name="Sladehenrypts">EXE!#REF!</definedName>
    <definedName name="Slaterglopts">GLO!#REF!</definedName>
    <definedName name="Slaterglotries">GLO!#REF!</definedName>
    <definedName name="Slaterpts">LEI!#REF!</definedName>
    <definedName name="Slaterptscorrect">LEI!#REF!</definedName>
    <definedName name="slatertries">LEI!#REF!</definedName>
    <definedName name="Slatertriescorrect">LEI!#REF!</definedName>
    <definedName name="Sleightholme_Fnorpts">NOR!#REF!</definedName>
    <definedName name="Sleightholme_Fnortries">NOR!#REF!</definedName>
    <definedName name="sleightholmenorpremcuppts">NOR!$I$39</definedName>
    <definedName name="sleightholmenorpremcuptries">NOR!$D$39</definedName>
    <definedName name="Sleightholmenorpts">NOR!$G$39</definedName>
    <definedName name="Sleightholmenortries">NOR!$B$39</definedName>
    <definedName name="sleveinharpremcupatt">HAR!$M$33</definedName>
    <definedName name="SlevinHARatt">HAR!$M$9</definedName>
    <definedName name="SlevinHARgls">HAR!$L$9</definedName>
    <definedName name="SlevinHARglsPERCENT">HAR!$N$9</definedName>
    <definedName name="Slevinharpremcupgls">HAR!$L$33</definedName>
    <definedName name="slevinharpremcuppts">HAR!$I$46</definedName>
    <definedName name="slevinharpremcuptries">HAR!$D$46</definedName>
    <definedName name="Slevinharpts">HAR!$G$46</definedName>
    <definedName name="Slevinhartries">HAR!$B$46</definedName>
    <definedName name="Sloanharrypts">HAR!#REF!</definedName>
    <definedName name="Sloanharrytries">HAR!#REF!</definedName>
    <definedName name="Slowikworpts">#REF!</definedName>
    <definedName name="Slowikwortries">#REF!</definedName>
    <definedName name="Smith_Rnorpts">NOR!$G$41</definedName>
    <definedName name="Smith_Rnortries">NOR!$B$41</definedName>
    <definedName name="Smithbripts">BRI!#REF!</definedName>
    <definedName name="Smithbritries">BRI!#REF!</definedName>
    <definedName name="smithharatt">HAR!$M$10</definedName>
    <definedName name="Smithhargls">HAR!$L$10</definedName>
    <definedName name="Smithharpts">HAR!$G$47</definedName>
    <definedName name="Smithhartries">HAR!$B$47</definedName>
    <definedName name="smithleeatt">#REF!</definedName>
    <definedName name="Smithleegoals">#REF!</definedName>
    <definedName name="Smithleepts">#REF!</definedName>
    <definedName name="Smithleicpts">LEI!$G$39</definedName>
    <definedName name="Smithleictries">LEI!$B$39</definedName>
    <definedName name="Smithleipts">LEI!#REF!</definedName>
    <definedName name="Smithleitries">LEI!#REF!</definedName>
    <definedName name="Smithnewtries">#REF!</definedName>
    <definedName name="smithnoratt">NOR!$M$10</definedName>
    <definedName name="Smithnorgls">NOR!$L$10</definedName>
    <definedName name="Smithrnewpts">NRB!$G$46</definedName>
    <definedName name="Smithrnewtries">NRB!$B$46</definedName>
    <definedName name="Smithrobbienewpts">NRB!$G$45</definedName>
    <definedName name="Smithrobbienewtries">NRB!$B$45</definedName>
    <definedName name="Smithsampts">HAR!#REF!</definedName>
    <definedName name="Smithsamtries">HAR!#REF!</definedName>
    <definedName name="Smithsarpts">NRB!#REF!</definedName>
    <definedName name="Smithsartries">NRB!#REF!</definedName>
    <definedName name="Smithwaspts">#REF!</definedName>
    <definedName name="Smithwastries">#REF!</definedName>
    <definedName name="smithworatt">#REF!</definedName>
    <definedName name="Smithworgls">#REF!</definedName>
    <definedName name="Smithworpts">#REF!</definedName>
    <definedName name="Smithwortries">#REF!</definedName>
    <definedName name="Snymanleicpts">LEI!#REF!</definedName>
    <definedName name="Snymanleictries">LEI!#REF!</definedName>
    <definedName name="Socino_Snewpts">#REF!</definedName>
    <definedName name="Socino_Snewtries">#REF!</definedName>
    <definedName name="socinogloatt">GLO!#REF!</definedName>
    <definedName name="Socinoglogls">GLO!#REF!</definedName>
    <definedName name="Socinoglopts">GLO!#REF!</definedName>
    <definedName name="Socinoglotries">GLO!#REF!</definedName>
    <definedName name="Socinoleicpts">LEI!#REF!</definedName>
    <definedName name="Socinoleictries">LEI!#REF!</definedName>
    <definedName name="socinonewatt">#REF!</definedName>
    <definedName name="socinonewgoals">#REF!</definedName>
    <definedName name="Socinonewpts">#REF!</definedName>
    <definedName name="Socinonewtries">#REF!</definedName>
    <definedName name="Solomonasalpts">SAL!#REF!</definedName>
    <definedName name="Solomonasaltries">SAL!#REF!</definedName>
    <definedName name="SopoagaGLSWAS">#REF!</definedName>
    <definedName name="SOPOAGAWASATT">#REF!</definedName>
    <definedName name="Sopoagawaspts">#REF!</definedName>
    <definedName name="Sopoagawastries">#REF!</definedName>
    <definedName name="Southworthexepts">EXE!#REF!</definedName>
    <definedName name="Southworthexetries">EXE!#REF!</definedName>
    <definedName name="Sowreynewpts">#REF!</definedName>
    <definedName name="Sowreynewtries">#REF!</definedName>
    <definedName name="spandlerbthpremcuppts">BTH!$I$49</definedName>
    <definedName name="spandlerbthpremcuptries">BTH!$D$49</definedName>
    <definedName name="Spandlerbthpts">BTH!$G$49</definedName>
    <definedName name="Spandlertbhtries">BTH!$B$49</definedName>
    <definedName name="spcncerbthgls">BTH!$L$13</definedName>
    <definedName name="Spencer_Bbthpts">BTH!$G$50</definedName>
    <definedName name="Spencer_Bbthtries">BTH!$B$50</definedName>
    <definedName name="Spencer_Wbthpts">BTH!#REF!</definedName>
    <definedName name="Spencer_Wbthtries">BTH!#REF!</definedName>
    <definedName name="spencerbenatt">NRB!#REF!</definedName>
    <definedName name="spencerbengoals">NRB!#REF!</definedName>
    <definedName name="Spencerbenpts">NRB!#REF!</definedName>
    <definedName name="Spencerbentries">NRB!#REF!</definedName>
    <definedName name="spencerbthatt">BTH!$M$13</definedName>
    <definedName name="Spencerleicpts">LEI!#REF!</definedName>
    <definedName name="Spencerleictries">LEI!#REF!</definedName>
    <definedName name="spencernrbpremcuppts">NRB!$I$46</definedName>
    <definedName name="spencernrbpremcuptries">NRB!$D$46</definedName>
    <definedName name="Spencersarpts">NRB!#REF!</definedName>
    <definedName name="Spencerwillpts">BTH!#REF!</definedName>
    <definedName name="Spencerwilltries">BTH!#REF!</definedName>
    <definedName name="spinksarpremcuppts">SAR!$I$47</definedName>
    <definedName name="spinksarpremcuptries">SAR!$D$47</definedName>
    <definedName name="Spurlingsarpts">NRB!#REF!</definedName>
    <definedName name="Spurlingsartries">NRB!#REF!</definedName>
    <definedName name="staddonbthpremcuppts">BTH!$I$51</definedName>
    <definedName name="staddonbthpremcuptries">BTH!$D$51</definedName>
    <definedName name="Stanleyglopts">GLO!$G$49</definedName>
    <definedName name="Stanleyglotries">GLO!$B$49</definedName>
    <definedName name="Staplesharpremcuppts">HAR!$I$48</definedName>
    <definedName name="Staplesharpremcuptries">HAR!$D$48</definedName>
    <definedName name="Staplesharpts">HAR!$G$48</definedName>
    <definedName name="Stapleshartries">HAR!$B$48</definedName>
    <definedName name="Stedmanolliepts">#REF!</definedName>
    <definedName name="Stedmanollietrie">#REF!</definedName>
    <definedName name="Steelelipts">BRI!$G$55</definedName>
    <definedName name="Steelelirpts">#REF!</definedName>
    <definedName name="Steelelirtries">#REF!</definedName>
    <definedName name="Steelelitries">BRI!$B$55</definedName>
    <definedName name="Steenson">EXE!#REF!</definedName>
    <definedName name="steensonatt">EXE!#REF!</definedName>
    <definedName name="Steensonexepts">EXE!#REF!</definedName>
    <definedName name="Steensonexetries">EXE!#REF!</definedName>
    <definedName name="steensongarethtries">EXE!#REF!</definedName>
    <definedName name="Steensongoals">EXE!#REF!</definedName>
    <definedName name="Steensonpts">EXE!#REF!</definedName>
    <definedName name="Stegmannsebpts">#REF!</definedName>
    <definedName name="Stegmannsebtries">#REF!</definedName>
    <definedName name="Stellingmaxpts">#REF!</definedName>
    <definedName name="Stellingmaxtries">#REF!</definedName>
    <definedName name="stellingworatt">#REF!</definedName>
    <definedName name="stellingworgoals">#REF!</definedName>
    <definedName name="Stephensonjamespts">#REF!</definedName>
    <definedName name="Stephensonjamestries">#REF!</definedName>
    <definedName name="Stephensontompts">NOR!#REF!</definedName>
    <definedName name="Stephensontomtries">NOR!#REF!</definedName>
    <definedName name="Stevensjimmypts">BRI!#REF!</definedName>
    <definedName name="Stevensjimmytries">BRI!#REF!</definedName>
    <definedName name="Stevensleicpts">LEI!$G$40</definedName>
    <definedName name="Stevensleictries">LEI!$B$40</definedName>
    <definedName name="Stevenslipts">BRI!#REF!</definedName>
    <definedName name="Stevenslitries">BRI!#REF!</definedName>
    <definedName name="Stevensmattpts">NRB!#REF!</definedName>
    <definedName name="Stevensonnewpts">#REF!</definedName>
    <definedName name="Stevensonnewtries">#REF!</definedName>
    <definedName name="Stevensonwaspts">#REF!</definedName>
    <definedName name="Stevensonwastries">#REF!</definedName>
    <definedName name="stevenstries">NRB!#REF!</definedName>
    <definedName name="stewardleicatt">LEI!$M$7</definedName>
    <definedName name="Stewardleicgls">LEI!$L$7</definedName>
    <definedName name="Stewartbthpts">BTH!$G$51</definedName>
    <definedName name="Stewartbthtries">BTH!$B$51</definedName>
    <definedName name="Stirzakerbripts">BRI!#REF!</definedName>
    <definedName name="Stirzakerbritries">BRI!#REF!</definedName>
    <definedName name="Stokeslirpts">#REF!</definedName>
    <definedName name="Stokeslirtries">#REF!</definedName>
    <definedName name="Stookebthpts">BTH!#REF!</definedName>
    <definedName name="Stookebthtries">BTH!#REF!</definedName>
    <definedName name="Stookeglotres">GLO!#REF!</definedName>
    <definedName name="Stookeglptd">GLO!#REF!</definedName>
    <definedName name="Stookepts">GLO!#REF!</definedName>
    <definedName name="Stooketries">GLO!#REF!</definedName>
    <definedName name="Stookewaspts">#REF!</definedName>
    <definedName name="Stookewastries">#REF!</definedName>
    <definedName name="Strainnewpts">#REF!</definedName>
    <definedName name="Strainnewtries">#REF!</definedName>
    <definedName name="Strangbripts">BRI!$G$50</definedName>
    <definedName name="Strangbritries">BRI!$B$50</definedName>
    <definedName name="Streathertimpts">NRB!#REF!</definedName>
    <definedName name="Streathertimtries">NRB!#REF!</definedName>
    <definedName name="Streetexepts">EXE!#REF!</definedName>
    <definedName name="Streetexetries">EXE!#REF!</definedName>
    <definedName name="Strettlepts">NRB!#REF!</definedName>
    <definedName name="Strettlesarpts">NRB!#REF!</definedName>
    <definedName name="Strettlesarptscorrect">NRB!#REF!</definedName>
    <definedName name="Strettlesartries">NRB!#REF!</definedName>
    <definedName name="strettletries">NRB!#REF!</definedName>
    <definedName name="Strettllesartries">NRB!#REF!</definedName>
    <definedName name="Stringerpeterpts">BTH!#REF!</definedName>
    <definedName name="Stringerpetertries">BTH!#REF!</definedName>
    <definedName name="Stringersalpts">SAL!#REF!</definedName>
    <definedName name="Stringersaltries">SAL!#REF!</definedName>
    <definedName name="Stringerworpts">#REF!</definedName>
    <definedName name="Stringerwortries">#REF!</definedName>
    <definedName name="Strongexepts">EXE!#REF!</definedName>
    <definedName name="Strongexetries">EXE!#REF!</definedName>
    <definedName name="Stuartbthpts">BTH!$G$52</definedName>
    <definedName name="Stuartbthtries">BTH!$B$52</definedName>
    <definedName name="Stuartharpts">HAR!#REF!</definedName>
    <definedName name="Stuarthartries">HAR!#REF!</definedName>
    <definedName name="stuartnewatt">#REF!</definedName>
    <definedName name="Stuartnewgls">#REF!</definedName>
    <definedName name="Stuartnewpts">#REF!</definedName>
    <definedName name="Stuartnewtries">#REF!</definedName>
    <definedName name="Stuartnrbpremcupatt">NRB!$M$29</definedName>
    <definedName name="Stuartnrbpremcupgls">NRB!$L$29</definedName>
    <definedName name="Stuartwaspts">#REF!</definedName>
    <definedName name="Stuartwastries">#REF!</definedName>
    <definedName name="Sturgessexepts">EXE!#REF!</definedName>
    <definedName name="Sturgessexetries">EXE!#REF!</definedName>
    <definedName name="suajeremypts">#REF!</definedName>
    <definedName name="suajeremytries">#REF!</definedName>
    <definedName name="Suniulawaspts">#REF!</definedName>
    <definedName name="Suniulawastries">#REF!</definedName>
    <definedName name="Sutherlandworpts">#REF!</definedName>
    <definedName name="Sutherlandwortries">#REF!</definedName>
    <definedName name="Swainstonharpts">HAR!#REF!</definedName>
    <definedName name="Swainstonhartries">HAR!#REF!</definedName>
    <definedName name="Swainstonwapts">#REF!</definedName>
    <definedName name="Swainstonwastries">#REF!</definedName>
    <definedName name="Sweeneyceripts">EXE!#REF!</definedName>
    <definedName name="Sweeneyceritries">EXE!#REF!</definedName>
    <definedName name="sweeneyexeatt">EXE!#REF!</definedName>
    <definedName name="sweeneyexegoals">EXE!#REF!</definedName>
    <definedName name="swielharatt">HAR!#REF!</definedName>
    <definedName name="Swielhargoals">HAR!#REF!</definedName>
    <definedName name="Swielharpts">HAR!#REF!</definedName>
    <definedName name="Swielhartries">HAR!#REF!</definedName>
    <definedName name="Swielnewatt">#REF!</definedName>
    <definedName name="Swielnewgls">#REF!</definedName>
    <definedName name="Swielnewpts">#REF!</definedName>
    <definedName name="Swielnewtries">#REF!</definedName>
    <definedName name="Swielsaratt">SAR!#REF!</definedName>
    <definedName name="Swielsargls">SAR!#REF!</definedName>
    <definedName name="Swielsarpts">SAR!#REF!</definedName>
    <definedName name="Swielsartries">SAR!#REF!</definedName>
    <definedName name="Swinsonsarptscorrect">SAR!$G$47</definedName>
    <definedName name="Swinsonsartriescorrect">SAR!$B$47</definedName>
    <definedName name="Sylvestersarpts">SAR!$G$48</definedName>
    <definedName name="Sylvestersartries">SAR!$B$48</definedName>
    <definedName name="Symonsandypts">#REF!</definedName>
    <definedName name="Symonsandytries">#REF!</definedName>
    <definedName name="Symonsharpts">HAR!#REF!</definedName>
    <definedName name="Symonshartries">HAR!#REF!</definedName>
    <definedName name="Symonslirpts">BRI!#REF!</definedName>
    <definedName name="Symonslirtries">BRI!#REF!</definedName>
    <definedName name="Symonsnorpts">NOR!#REF!</definedName>
    <definedName name="Symonsnortries">NOR!#REF!</definedName>
    <definedName name="Symonswaspts">#REF!</definedName>
    <definedName name="Symonswastries">#REF!</definedName>
    <definedName name="symonsworatt">#REF!</definedName>
    <definedName name="Symonsworgoals">#REF!</definedName>
    <definedName name="Tagicakibausailosipts">BRI!#REF!</definedName>
    <definedName name="Tagicakibausailositries">BRI!#REF!</definedName>
    <definedName name="Tagicakibausarpts">NRB!#REF!</definedName>
    <definedName name="Tagicakibausartries">NRB!#REF!</definedName>
    <definedName name="Tagicakibauwaspts">#REF!</definedName>
    <definedName name="Tagucakibauwastries">#REF!</definedName>
    <definedName name="Taioneexepts">EXE!#REF!</definedName>
    <definedName name="Taioneexetries">EXE!#REF!</definedName>
    <definedName name="Taitalexpts">#REF!</definedName>
    <definedName name="Taitalextries">#REF!</definedName>
    <definedName name="Taitmathewpts">LEI!#REF!</definedName>
    <definedName name="Taitmathewtries">LEI!#REF!</definedName>
    <definedName name="Taitnewpts">#REF!</definedName>
    <definedName name="Taitnewtris">#REF!</definedName>
    <definedName name="Takaluanewpts">#REF!</definedName>
    <definedName name="takaluanewtries">#REF!</definedName>
    <definedName name="takuluanewatt">#REF!</definedName>
    <definedName name="takuluanewgoals">#REF!</definedName>
    <definedName name="Tapuaibatpts">BTH!#REF!</definedName>
    <definedName name="Tapuaibattries">BTH!#REF!</definedName>
    <definedName name="tapuaibthatt">BTH!#REF!</definedName>
    <definedName name="tapuaibthgoals">BTH!#REF!</definedName>
    <definedName name="tapuaihargls">HAR!#REF!</definedName>
    <definedName name="tapuaiharglsatt">HAR!#REF!</definedName>
    <definedName name="tapuaiharglscorrect">HAR!#REF!</definedName>
    <definedName name="Tapuaiharpts">HAR!#REF!</definedName>
    <definedName name="Tapuaihartries">HAR!#REF!</definedName>
    <definedName name="Taufete_eworpts">#REF!</definedName>
    <definedName name="Taufete_ewortries">#REF!</definedName>
    <definedName name="Taulaniharpts">HAR!#REF!</definedName>
    <definedName name="Taulaniharptscorrect">HAR!#REF!</definedName>
    <definedName name="Taulanihartries">HAR!#REF!</definedName>
    <definedName name="Taulanihartriescorrect">HAR!#REF!</definedName>
    <definedName name="Taulavasemisipts">#REF!</definedName>
    <definedName name="Taulavasemisitries">#REF!</definedName>
    <definedName name="Taylor_Rglopts">GLO!#REF!</definedName>
    <definedName name="Taylor_Rglotries">GLO!#REF!</definedName>
    <definedName name="Taylorduncanpts">NRB!#REF!</definedName>
    <definedName name="Taylorduncantries">NRB!#REF!</definedName>
    <definedName name="Taylorglopts">GLO!#REF!</definedName>
    <definedName name="Taylorglotries">GLO!#REF!</definedName>
    <definedName name="Taylornathanpts">#REF!</definedName>
    <definedName name="Taylornathantries">#REF!</definedName>
    <definedName name="Taylornorpts">NOR!#REF!</definedName>
    <definedName name="Taylornortries">NOR!#REF!</definedName>
    <definedName name="Taylorsalpts">SAL!#REF!</definedName>
    <definedName name="Taylorsaltries">SAL!#REF!</definedName>
    <definedName name="Taylorsarpts">NRB!#REF!</definedName>
    <definedName name="Taylorsarptscorrect">SAR!#REF!</definedName>
    <definedName name="Taylorsartries">NRB!#REF!</definedName>
    <definedName name="Taylorsartriescorrect">SAR!#REF!</definedName>
    <definedName name="Taylortommywaspts">#REF!</definedName>
    <definedName name="Taylortommywastries">#REF!</definedName>
    <definedName name="Taylortsalpts">SAL!#REF!</definedName>
    <definedName name="Taylortsaltries">SAL!#REF!</definedName>
    <definedName name="Taylorwaspts">#REF!</definedName>
    <definedName name="Taylorwastries">#REF!</definedName>
    <definedName name="Taylorworpts">#REF!</definedName>
    <definedName name="Taylorwortries">#REF!</definedName>
    <definedName name="Temmnewpts">#REF!</definedName>
    <definedName name="Temmnewtries">#REF!</definedName>
    <definedName name="Terryglopts">GLO!$G$48</definedName>
    <definedName name="Terryglotries">GLO!$B$48</definedName>
    <definedName name="test">BTH!#REF!</definedName>
    <definedName name="Thacker_Cleicpts">LEI!#REF!</definedName>
    <definedName name="Thacker_Cleictries">LEI!#REF!</definedName>
    <definedName name="Thacker_Hleipts">LEI!#REF!</definedName>
    <definedName name="Thacker_Hleitries">LEI!#REF!</definedName>
    <definedName name="thamenorpremcuppts">NOR!$I$43</definedName>
    <definedName name="thamenorpremcuptries">NOR!$D$43</definedName>
    <definedName name="ThameNORpts">NOR!$G$43</definedName>
    <definedName name="ThameNORtries">NOR!$B$43</definedName>
    <definedName name="Theobald_Thomasleipts">LEI!$G$42</definedName>
    <definedName name="theobaldthomasleipremcuppts">LEI!$I$42</definedName>
    <definedName name="theobaldthomasleipremcuptries">LEI!$D$42</definedName>
    <definedName name="Theobold_Thomasleitries">LEI!$B$42</definedName>
    <definedName name="Thielsarpts">NRB!#REF!</definedName>
    <definedName name="Thielsartries">NRB!#REF!</definedName>
    <definedName name="Thomas_Dbripts">BRI!#REF!</definedName>
    <definedName name="Thomas_Dbritries">BRI!#REF!</definedName>
    <definedName name="Thomas_DBRITRIESCORRECT">BRI!#REF!</definedName>
    <definedName name="Thomas_Dglopts">GLO!#REF!</definedName>
    <definedName name="Thomas_Dglotriews">GLO!#REF!</definedName>
    <definedName name="Thomas_Yglopts">GLO!#REF!</definedName>
    <definedName name="Thomas_Yglotries">GLO!#REF!</definedName>
    <definedName name="thomasagloatt">GLO!#REF!</definedName>
    <definedName name="thomasaglogoals">GLO!#REF!</definedName>
    <definedName name="Thomasaledglopts">GLO!#REF!</definedName>
    <definedName name="Thomasaledglotries">GLO!#REF!</definedName>
    <definedName name="thomasalpremcuppts">SAL!$I$43</definedName>
    <definedName name="thomasalpremcuptries">SAL!$D$43</definedName>
    <definedName name="Thomasexepts">EXE!#REF!</definedName>
    <definedName name="Thomasexetries">EXE!#REF!</definedName>
    <definedName name="Thomasglopts">GLO!$G$50</definedName>
    <definedName name="Thomasglotries">GLO!$B$50</definedName>
    <definedName name="Thomashaydnpts">EXE!#REF!</definedName>
    <definedName name="Thomashaydntries">EXE!#REF!</definedName>
    <definedName name="Thomashenrybatpts">BTH!#REF!</definedName>
    <definedName name="Thomashenrybattries">BTH!#REF!</definedName>
    <definedName name="Thomashenrypts">SAL!#REF!</definedName>
    <definedName name="Thomashenrytries">SAL!#REF!</definedName>
    <definedName name="Thomasmartynpts">GLO!#REF!</definedName>
    <definedName name="Thomasmartyntries">GLO!#REF!</definedName>
    <definedName name="thomasnewatt">NRB!#REF!</definedName>
    <definedName name="thomasnewgls">NRB!#REF!</definedName>
    <definedName name="Thomasnewpts">NRB!#REF!</definedName>
    <definedName name="Thomasnewtries">NRB!#REF!</definedName>
    <definedName name="ThomasSALpts">SAL!$G$43</definedName>
    <definedName name="ThomasSALtries">SAL!$B$43</definedName>
    <definedName name="Thompson_Stringersarpts">NRB!#REF!</definedName>
    <definedName name="Thompson_Stringersartries">NRB!#REF!</definedName>
    <definedName name="Thompsonleicpts">LEI!#REF!</definedName>
    <definedName name="Thompsonleictries">LEI!#REF!</definedName>
    <definedName name="Thompsonleipts">LEI!$G$43</definedName>
    <definedName name="Thompsonleitries">LEI!$B$43</definedName>
    <definedName name="Thompsonnewpts">#REF!</definedName>
    <definedName name="Thompsonnewtries">#REF!</definedName>
    <definedName name="Thompsonpts">#REF!</definedName>
    <definedName name="Thompsontries">#REF!</definedName>
    <definedName name="Thompsonwaspts">#REF!</definedName>
    <definedName name="Thompsonwastries">#REF!</definedName>
    <definedName name="Thompstoneleipts">LEI!#REF!</definedName>
    <definedName name="Thompstoneleitries">LEI!#REF!</definedName>
    <definedName name="Thompstonepts">LEI!#REF!</definedName>
    <definedName name="Thompstoneptscorrect">LEI!#REF!</definedName>
    <definedName name="thompstonetries">LEI!$B$20</definedName>
    <definedName name="thorleyglopremcuppts">GLO!$I$51</definedName>
    <definedName name="thorleyglopremcuptries">GLO!$D$51</definedName>
    <definedName name="Thorleyglopts">GLO!#REF!</definedName>
    <definedName name="Thorleygloptscorrect">GLO!$G$51</definedName>
    <definedName name="Thorleyglotries">GLO!#REF!</definedName>
    <definedName name="Thorleyglotriescorrect">GLO!$B$51</definedName>
    <definedName name="Thornleipts">LEI!#REF!</definedName>
    <definedName name="Thornleitries">LEI!#REF!</definedName>
    <definedName name="Thorperichardpts">#REF!</definedName>
    <definedName name="Thorperichardtries">#REF!</definedName>
    <definedName name="threlfallleiatt">LEI!$M$8</definedName>
    <definedName name="threlfallleigls">LEI!$L$8</definedName>
    <definedName name="threlfallleipremcuppts">LEI!$I$44</definedName>
    <definedName name="threlfallleipremcuptries">LEI!$D$44</definedName>
    <definedName name="Threlfallleipts">LEI!$G$44</definedName>
    <definedName name="Threlfallleitries">LEI!$B$44</definedName>
    <definedName name="Tiesinewpts">#REF!</definedName>
    <definedName name="Tiesinewtries">#REF!</definedName>
    <definedName name="Tiffennewpts">NRB!$G$48</definedName>
    <definedName name="Tiffennewtries">NRB!$B$48</definedName>
    <definedName name="Tikoirotumaharpts">HAR!#REF!</definedName>
    <definedName name="Tikoirotumahartries">HAR!#REF!</definedName>
    <definedName name="Tikoirotumalirpts">BRI!#REF!</definedName>
    <definedName name="Tikoirotumalirtries">BRI!#REF!</definedName>
    <definedName name="Timminsbthpremcuppts">BTH!$I$53</definedName>
    <definedName name="Timminsbthpremcuptries">BTH!$D$53</definedName>
    <definedName name="Timminsbthpts">BTH!$G$53</definedName>
    <definedName name="Timminsbthtries">BTH!$B$53</definedName>
    <definedName name="Tincknelljamespts">#REF!</definedName>
    <definedName name="Tincknelljamestries">#REF!</definedName>
    <definedName name="tindallgloatt">GLO!#REF!</definedName>
    <definedName name="tindallglogoals">GLO!#REF!</definedName>
    <definedName name="Tindallmikepts">GLO!#REF!</definedName>
    <definedName name="Tindallmiketries">GLO!#REF!</definedName>
    <definedName name="Tipunanewpts">#REF!</definedName>
    <definedName name="Tipunanewtries">#REF!</definedName>
    <definedName name="titcombeleipremcupatt">LEI!$M$36</definedName>
    <definedName name="titcombeleipremcupgls">LEI!$L$36</definedName>
    <definedName name="titcombeleipremcuppts">LEI!$I$45</definedName>
    <definedName name="titcombeleipremcuptries">LEI!$D$45</definedName>
    <definedName name="Tizardsarpts">SAR!$G$49</definedName>
    <definedName name="Tizardsartries">SAR!$B$49</definedName>
    <definedName name="Todaronorpts">NOR!$G$42</definedName>
    <definedName name="Todaronortries">NOR!$B$42</definedName>
    <definedName name="Tolofuasarpts">NRB!#REF!</definedName>
    <definedName name="Tolofuasartries">NRB!#REF!</definedName>
    <definedName name="Tomaszczyknewpts">#REF!</definedName>
    <definedName name="Tomaszczyknewtries">#REF!</definedName>
    <definedName name="Tomesnewpts">#REF!</definedName>
    <definedName name="Tomesnewtries">#REF!</definedName>
    <definedName name="Tomkinsjoelpts">NRB!#REF!</definedName>
    <definedName name="tomkinstries">NRB!#REF!</definedName>
    <definedName name="Tompkinsnickpts">NRB!#REF!</definedName>
    <definedName name="Tompkinsnicktries">NRB!#REF!</definedName>
    <definedName name="tompkinssarpremcuppts">SAR!$I$50</definedName>
    <definedName name="tompkinssarpremcuptries">SAR!$D$50</definedName>
    <definedName name="Tompkinssarpts">NRB!#REF!</definedName>
    <definedName name="Tompkinssarptscorrect">NRB!#REF!</definedName>
    <definedName name="Tompkinssarptscorrect2">SAR!$G$50</definedName>
    <definedName name="Tompkinssartries">NRB!#REF!</definedName>
    <definedName name="Tompkinssartriescorrect">SAR!$B$50</definedName>
    <definedName name="Tonga_uihabstpts">BRI!#REF!</definedName>
    <definedName name="Tonga_uihabsttries">BRI!#REF!</definedName>
    <definedName name="Tonksliratt">BRI!#REF!</definedName>
    <definedName name="Tonkslirgoals">BRI!#REF!</definedName>
    <definedName name="Tonkslirpts">BRI!#REF!</definedName>
    <definedName name="Tonkslirtries">BRI!#REF!</definedName>
    <definedName name="Tonksnorpts">NOR!$G$40</definedName>
    <definedName name="Tonksnortries">NOR!$B$40</definedName>
    <definedName name="Toomaga_Allenwaspts">#REF!</definedName>
    <definedName name="Toomaga_Allenwastries">#REF!</definedName>
    <definedName name="toomualeicatt">LEI!#REF!</definedName>
    <definedName name="Toomualeicgls">LEI!#REF!</definedName>
    <definedName name="Toomualeipts">LEI!#REF!</definedName>
    <definedName name="Toomualeitries">LEI!#REF!</definedName>
    <definedName name="Townsendexepts">EXE!$G$39</definedName>
    <definedName name="Townsendexetries">EXE!$B$39</definedName>
    <definedName name="townsendharpremcuppts">HAR!$I$49</definedName>
    <definedName name="townsendharpremcuptries">HAR!$D$49</definedName>
    <definedName name="Trayfootharpts">HAR!#REF!</definedName>
    <definedName name="Trayfoothartries">HAR!#REF!</definedName>
    <definedName name="Trayfootlirpts">BRI!#REF!</definedName>
    <definedName name="Trayfootlirtries">BRI!#REF!</definedName>
    <definedName name="treadwellharpremcuppts">HAR!$I$50</definedName>
    <definedName name="treadwellharpremcuptries">HAR!$D$50</definedName>
    <definedName name="trenholmglopremcuppts">GLO!$I$52</definedName>
    <definedName name="trenholmglopremcuptries">GLO!$D$52</definedName>
    <definedName name="Trevettbripts">BRI!$G$52</definedName>
    <definedName name="Trevettbritries">BRI!$B$52</definedName>
    <definedName name="Trevettnathanpts">#REF!</definedName>
    <definedName name="Trevettnathantries">#REF!</definedName>
    <definedName name="Treviranuspts">BRI!#REF!</definedName>
    <definedName name="Treviranustries">BRI!#REF!</definedName>
    <definedName name="Trinderglopts">GLO!$G$52</definedName>
    <definedName name="Trinderhenrypts">GLO!#REF!</definedName>
    <definedName name="Trinderpts">GLO!#REF!</definedName>
    <definedName name="trindertries">GLO!#REF!</definedName>
    <definedName name="Trindertriestries">GLO!$B$52</definedName>
    <definedName name="Tshiunzaexepts">EXE!$G$40</definedName>
    <definedName name="Tshiunzaexetries">EXE!$B$40</definedName>
    <definedName name="Tuaexepts">EXE!$G$41</definedName>
    <definedName name="Tuaexetries">EXE!$B$41</definedName>
    <definedName name="Tualanorpts">NOR!#REF!</definedName>
    <definedName name="TualaNORTRIES">NOR!#REF!</definedName>
    <definedName name="Tuilagi__Alesananewgoals">#REF!</definedName>
    <definedName name="Tuilagi_Alesananewpts">#REF!</definedName>
    <definedName name="Tuilagi_Alesananewtries">#REF!</definedName>
    <definedName name="Tuilagi_Aniteleanewpts">#REF!</definedName>
    <definedName name="Tuilagi_Aniteleanewtries">#REF!</definedName>
    <definedName name="Tuilagi_Fleicpts">LEI!#REF!</definedName>
    <definedName name="Tuilagi_Fleictries">LEI!#REF!</definedName>
    <definedName name="tuilagialesananewatt">#REF!</definedName>
    <definedName name="Tuilagimanupts">LEI!#REF!</definedName>
    <definedName name="Tuilagimanutries">LEI!#REF!</definedName>
    <definedName name="tuimaexepremcuppts">EXE!$I$42</definedName>
    <definedName name="tuimaexepremcuptries">EXE!$D$42</definedName>
    <definedName name="Tuimaexepts">EXE!$G$42</definedName>
    <definedName name="Tuimaexetries">EXE!$B$42</definedName>
    <definedName name="tuipulotubthpremcuppts">BTH!$I$54</definedName>
    <definedName name="tuipulotubthpremcuptries">BTH!$D$54</definedName>
    <definedName name="Tuipulotubthpts">BTH!$G$54</definedName>
    <definedName name="Tuipulotubthtries">BTH!$B$54</definedName>
    <definedName name="Tuipulotusarpts">SAR!$G$51</definedName>
    <definedName name="Tuipulotusartries">SAR!$B$51</definedName>
    <definedName name="Tuitavakenorpts">NOR!#REF!</definedName>
    <definedName name="Tuitavakenortries">NOR!#REF!</definedName>
    <definedName name="Tuitupousampts">SAL!$G$44</definedName>
    <definedName name="Tuitupousamtries">SAL!$B$44</definedName>
    <definedName name="Tunneywaspts">#REF!</definedName>
    <definedName name="Tunneywastries">#REF!</definedName>
    <definedName name="Tuohybripts">BRI!#REF!</definedName>
    <definedName name="Tuohybritries">BRI!#REF!</definedName>
    <definedName name="Turner_Hallharpts">HAR!#REF!</definedName>
    <definedName name="Turner_Hallhartries">HAR!#REF!</definedName>
    <definedName name="Turnerexepts">EXE!#REF!</definedName>
    <definedName name="Turnerexetries">EXE!#REF!</definedName>
    <definedName name="TurnerHARPTS">HAR!$G$51</definedName>
    <definedName name="TurnerHARTRIES">HAR!$B$51</definedName>
    <definedName name="twelvetreesatt">GLO!#REF!</definedName>
    <definedName name="Twelvetreesglopts">GLO!#REF!</definedName>
    <definedName name="Twelvetreesglotries">GLO!#REF!</definedName>
    <definedName name="twelvetreesgoals">GLO!#REF!</definedName>
    <definedName name="Twelvetreespts">GLO!#REF!</definedName>
    <definedName name="Twelvetreestries">GLO!#REF!</definedName>
    <definedName name="Twomeyharpts">HAR!#REF!</definedName>
    <definedName name="Twomeyhartries">HAR!#REF!</definedName>
    <definedName name="ulcoqnorpremcuppts">NOR!$I$44</definedName>
    <definedName name="ulcoqnorpremcuptries">NOR!$D$44</definedName>
    <definedName name="UlsterPts">[1]ULS!$F$59</definedName>
    <definedName name="UlsterTries">[1]ULS!$B$59</definedName>
    <definedName name="umagawasatt">#REF!</definedName>
    <definedName name="umagawasgoals">#REF!</definedName>
    <definedName name="Umagawaspts">#REF!</definedName>
    <definedName name="Umagawastries">#REF!</definedName>
    <definedName name="Underhillbthpts">BTH!$G$55</definedName>
    <definedName name="Underhillbthtries">BTH!$B$55</definedName>
    <definedName name="UrenBRITRIES">BRI!#REF!</definedName>
    <definedName name="Uzokwenewpts">#REF!</definedName>
    <definedName name="Uzokwenewtries">#REF!</definedName>
    <definedName name="Vailanusarpts">NRB!#REF!</definedName>
    <definedName name="Vailanusartries">NRB!#REF!</definedName>
    <definedName name="Vailanuwaspts">#REF!</definedName>
    <definedName name="Vailanuwastries">#REF!</definedName>
    <definedName name="Vainikoloexepts">EXE!#REF!</definedName>
    <definedName name="Vainikoloexetries">EXE!#REF!</definedName>
    <definedName name="Vainikolopts">EXE!#REF!</definedName>
    <definedName name="Vainikolotries">EXE!#REF!</definedName>
    <definedName name="Van_Bredaworpts">#REF!</definedName>
    <definedName name="Van_Bredawortries">#REF!</definedName>
    <definedName name="van_der_Flierleipts">LEI!$G$46</definedName>
    <definedName name="van_der_Flierleitries">LEI!$B$46</definedName>
    <definedName name="van_der_Lindebthpts">BTH!$G$56</definedName>
    <definedName name="van_der_Lindebthtries">BTH!$B$56</definedName>
    <definedName name="Van_der_Merwe_Asalpts">SAL!#REF!</definedName>
    <definedName name="Van_der_Merwe_Asaltries">SAL!#REF!</definedName>
    <definedName name="van_der_Merwelirpts">#REF!</definedName>
    <definedName name="van_der_Merwelirtries">#REF!</definedName>
    <definedName name="van_der_Merweworpts">#REF!</definedName>
    <definedName name="van_der_Merwewortries">#REF!</definedName>
    <definedName name="van_der_Meschtnorpts">NOR!$G$45</definedName>
    <definedName name="van_der_Meschtnortries">NOR!$B$45</definedName>
    <definedName name="van_der_Sluysexepts">EXE!$G$43</definedName>
    <definedName name="van_der_Sluysexetries">EXE!$B$43</definedName>
    <definedName name="van_Heerdenexepts">EXE!#REF!</definedName>
    <definedName name="van_Heerdenexetries">EXE!#REF!</definedName>
    <definedName name="van_Poortvlietleicpts">LEI!$G$47</definedName>
    <definedName name="van_Poortvlietleictries">LEI!$B$47</definedName>
    <definedName name="van_Rensburgsalpts">SAL!#REF!</definedName>
    <definedName name="van_Rensburgsaltries">SAL!#REF!</definedName>
    <definedName name="van_Rooyenbthpts">BTH!#REF!</definedName>
    <definedName name="van_Rooyenbthtries">BTH!#REF!</definedName>
    <definedName name="van_Stadenleicpts">LEI!#REF!</definedName>
    <definedName name="van_Stadenleictries">LEI!#REF!</definedName>
    <definedName name="van_Velzebthpts">BTH!$G$57</definedName>
    <definedName name="van_Velzebthtries">BTH!$B$57</definedName>
    <definedName name="van_Velzegjpts">NOR!#REF!</definedName>
    <definedName name="van_Velzegjtries">NOR!#REF!</definedName>
    <definedName name="van_Vuurenbthpts">BTH!$G$58</definedName>
    <definedName name="van_Vuurenbthtries">BTH!$B$58</definedName>
    <definedName name="van_VuurenNEWpts">NRB!$G$49</definedName>
    <definedName name="van_VuurenNEWtries">NRB!$B$49</definedName>
    <definedName name="van_Wyk_Fleicpts">LEI!#REF!</definedName>
    <definedName name="van_Wyk_Fleictries">LEI!#REF!</definedName>
    <definedName name="van_Wykkobusleicpts">LEI!#REF!</definedName>
    <definedName name="van_Wykkobusleictries">LEI!#REF!</definedName>
    <definedName name="van_Wyknorpts">NOR!#REF!</definedName>
    <definedName name="van_Wyknortries">NOR!#REF!</definedName>
    <definedName name="van_Zyllirpts">BRI!#REF!</definedName>
    <definedName name="van_Zyllirtries">BRI!#REF!</definedName>
    <definedName name="van_Zylsarptscorrect">SAR!$G$52</definedName>
    <definedName name="van_Zylsartriescorrect">SAR!$B$52</definedName>
    <definedName name="vanbredaworatt">#REF!</definedName>
    <definedName name="vanbredaworgls">#REF!</definedName>
    <definedName name="vanderflierleipremcuppts">LEI!$I$46</definedName>
    <definedName name="vanderflierleipremcuptries">LEI!$D$46</definedName>
    <definedName name="vandermeschtnorpremcuppts">NOR!$I$45</definedName>
    <definedName name="vandermeschtnorpremcuptries">NOR!$D$45</definedName>
    <definedName name="Vanesleicpts">LEI!$G$45</definedName>
    <definedName name="Vanesleictries">LEI!$B$45</definedName>
    <definedName name="vanzylsarpremcuppts">SAR!$I$52</definedName>
    <definedName name="vanzylsarpremcuptries">SAR!$D$52</definedName>
    <definedName name="Varndelltompts">#REF!</definedName>
    <definedName name="Varndelltomtries">#REF!</definedName>
    <definedName name="varneyexepremcuppts">EXE!$I$43</definedName>
    <definedName name="varneyexepremcuptries">EXE!$D$43</definedName>
    <definedName name="varneygloatt">GLO!#REF!</definedName>
    <definedName name="Varneyglogls">GLO!#REF!</definedName>
    <definedName name="Veainuleipts">LEI!#REF!</definedName>
    <definedName name="Veainuleitries">LEI!#REF!</definedName>
    <definedName name="Veainusalpts">SAL!#REF!</definedName>
    <definedName name="Veainusaltries">SAL!#REF!</definedName>
    <definedName name="Veanewpts">#REF!</definedName>
    <definedName name="Veanewtries">#REF!</definedName>
    <definedName name="Veataionelwelshpts">#REF!</definedName>
    <definedName name="Veataionelwelshtries">#REF!</definedName>
    <definedName name="Veataionepts">#REF!</definedName>
    <definedName name="Veataionetroes">#REF!</definedName>
    <definedName name="Vellacottglopts">GLO!#REF!</definedName>
    <definedName name="Vellacottglotries">GLO!#REF!</definedName>
    <definedName name="Vellacottwaspts">#REF!</definedName>
    <definedName name="Vellacottwastries">#REF!</definedName>
    <definedName name="Vellanathanpts">#REF!</definedName>
    <definedName name="Vellanathantries">#REF!</definedName>
    <definedName name="Vendittinewpts">#REF!</definedName>
    <definedName name="Vendittinewtries">#REF!</definedName>
    <definedName name="VennerGLOPTS">GLO!#REF!</definedName>
    <definedName name="VennerGLOTRIES">GLO!#REF!</definedName>
    <definedName name="Ventersarptscorrect">SAR!#REF!</definedName>
    <definedName name="Ventersartriescorrect">SAR!#REF!</definedName>
    <definedName name="Venterworpts">#REF!</definedName>
    <definedName name="Venterwortries">#REF!</definedName>
    <definedName name="Verbakelnorpts">NOR!#REF!</definedName>
    <definedName name="Verbakelnortries">NOR!#REF!</definedName>
    <definedName name="Vermeulenexepts">EXE!#REF!</definedName>
    <definedName name="Vermeulenexetries">EXE!#REF!</definedName>
    <definedName name="Vermeulensalpts">SAL!$G$45</definedName>
    <definedName name="Vermeulensaltries">SAL!$B$45</definedName>
    <definedName name="Vickersnewpts">#REF!</definedName>
    <definedName name="Vickersnewtries">#REF!</definedName>
    <definedName name="Viljoen_EWleicatt">LEI!#REF!</definedName>
    <definedName name="Viljoen_EWleicgls">LEI!#REF!</definedName>
    <definedName name="vintcentexepremcuppts">EXE!$I$44</definedName>
    <definedName name="vintcentexepremcuptries">EXE!$D$44</definedName>
    <definedName name="Visagieglopts">GLO!#REF!</definedName>
    <definedName name="Visagieglotries">GLO!#REF!</definedName>
    <definedName name="Volavolaleiatt">LEI!#REF!</definedName>
    <definedName name="Volavolaleigls">LEI!#REF!</definedName>
    <definedName name="Volavolaleipts">LEI!#REF!</definedName>
    <definedName name="Volavolaleitries">LEI!#REF!</definedName>
    <definedName name="Vossleicpts">LEI!#REF!</definedName>
    <definedName name="Vossleictries">LEI!#REF!</definedName>
    <definedName name="Vuibripts">BRI!#REF!</definedName>
    <definedName name="Vuibritries">BRI!#REF!</definedName>
    <definedName name="Vukasinovicwaspts">#REF!</definedName>
    <definedName name="Vukasinovicwastries">#REF!</definedName>
    <definedName name="Vunabthpts">BTH!#REF!</definedName>
    <definedName name="Vunabthtries">BTH!#REF!</definedName>
    <definedName name="Vunipola__Makosarpts">NRB!#REF!</definedName>
    <definedName name="Vunipola__Makosarptscorrect">SAR!#REF!</definedName>
    <definedName name="Vunipola__Makosartries">NRB!#REF!</definedName>
    <definedName name="Vunipola__Makosartriescorrect">SAR!#REF!</definedName>
    <definedName name="Vunipola__Manusarptscorrect">SAR!#REF!</definedName>
    <definedName name="Vunipola__Manusartriescorrect">SAR!#REF!</definedName>
    <definedName name="Vunipola_Bsarpts">NRB!#REF!</definedName>
    <definedName name="Vunipola_Bsarptscorrect">SAR!#REF!</definedName>
    <definedName name="Vunipola_Bsartries">NRB!#REF!</definedName>
    <definedName name="Vunipola_Bsartriescorrect">SAR!#REF!</definedName>
    <definedName name="Vunipola_Msaratt">NRB!$M$8</definedName>
    <definedName name="Vunipola_Msargls">NRB!$L$8</definedName>
    <definedName name="Vunipola_Msarpts">NRB!#REF!</definedName>
    <definedName name="Vunipola_Msartries">NRB!#REF!</definedName>
    <definedName name="Vunipolabillypts">NRB!#REF!</definedName>
    <definedName name="vunipolabillytries">NRB!#REF!</definedName>
    <definedName name="Vunipolamakopts">NRB!#REF!</definedName>
    <definedName name="vunipolamakotries">NRB!#REF!</definedName>
    <definedName name="vunipolasarattcorrect">SAR!#REF!</definedName>
    <definedName name="vunipolasarglscorrect">SAR!#REF!</definedName>
    <definedName name="Vunisasarpts">NRB!#REF!</definedName>
    <definedName name="Vunisasartries">NRB!#REF!</definedName>
    <definedName name="Wacokecokenewpts">NRB!$G$51</definedName>
    <definedName name="Wacokecokenewtries">NRB!$B$51</definedName>
    <definedName name="Wadeglopts">GLO!#REF!</definedName>
    <definedName name="Wadeglotries">GLO!#REF!</definedName>
    <definedName name="Wadepts">#REF!</definedName>
    <definedName name="wadetries">#REF!</definedName>
    <definedName name="wadewasatt">#REF!</definedName>
    <definedName name="Wadewasgls">#REF!</definedName>
    <definedName name="Wadewaspts">#REF!</definedName>
    <definedName name="Wadewastries">#REF!</definedName>
    <definedName name="Waghornharpts">HAR!$G$52</definedName>
    <definedName name="Waghornhartries">HAR!$B$52</definedName>
    <definedName name="Waldoucklirpts">BRI!#REF!</definedName>
    <definedName name="Waldoucklirtries">BRI!#REF!</definedName>
    <definedName name="Waldoucknewpts">#REF!</definedName>
    <definedName name="Waldoucknewtries">#REF!</definedName>
    <definedName name="Waldoucknorpts">NOR!#REF!</definedName>
    <definedName name="Waldoucknortries">NOR!#REF!</definedName>
    <definedName name="Waldromexepts">EXE!#REF!</definedName>
    <definedName name="Waldromexetries">EXE!#REF!</definedName>
    <definedName name="Waldrompts">LEI!#REF!</definedName>
    <definedName name="Waldromptscorrect">LEI!#REF!</definedName>
    <definedName name="waldromtries">LEI!#REF!</definedName>
    <definedName name="Waldromtriescorrect">LEI!#REF!</definedName>
    <definedName name="Walkerbthpts">BTH!#REF!</definedName>
    <definedName name="Walkerbthtries">BTH!#REF!</definedName>
    <definedName name="Walkercharliehqtries">HAR!#REF!</definedName>
    <definedName name="Walkercharliepts">HAR!#REF!</definedName>
    <definedName name="walkerharpremcuppts">HAR!$I$53</definedName>
    <definedName name="walkerharpremcuptries">HAR!$D$53</definedName>
    <definedName name="Walkerharpts">HAR!$G$53</definedName>
    <definedName name="Walkerhartries">HAR!$B$53</definedName>
    <definedName name="Walkernewpts">NRB!#REF!</definedName>
    <definedName name="Walkernewtries">NRB!#REF!</definedName>
    <definedName name="walkernorpremcuppts">NOR!$I$46</definedName>
    <definedName name="walkernorpremcuptries">NOR!$D$46</definedName>
    <definedName name="Walkernorpts">NOR!$G$46</definedName>
    <definedName name="Walkernortries">NOR!$B$46</definedName>
    <definedName name="Wallacebriatt">BRI!#REF!</definedName>
    <definedName name="Wallacebrigls">BRI!#REF!</definedName>
    <definedName name="Wallacebripts">BRI!#REF!</definedName>
    <definedName name="Wallacebritries">BRI!#REF!</definedName>
    <definedName name="Wallacelukepts">HAR!#REF!</definedName>
    <definedName name="Wallaceluketries">HAR!#REF!</definedName>
    <definedName name="wallerethanpts">NOR!#REF!</definedName>
    <definedName name="wallerethantries">NOR!#REF!</definedName>
    <definedName name="Wallerworpts">#REF!</definedName>
    <definedName name="Wallerwortries">#REF!</definedName>
    <definedName name="Walshexegls">EXE!#REF!</definedName>
    <definedName name="walshleiatt">LEI!#REF!</definedName>
    <definedName name="walshleigls">LEI!#REF!</definedName>
    <definedName name="Walshleipts">LEI!$G$48</definedName>
    <definedName name="Walshleitries">LEI!$B$48</definedName>
    <definedName name="wandleipremcuppts">LEI!$I$48</definedName>
    <definedName name="wandleipremcuptries">LEI!$D$48</definedName>
    <definedName name="Warddavepts">HAR!#REF!</definedName>
    <definedName name="warddavetries">HAR!#REF!</definedName>
    <definedName name="Wardglopts">GLO!$G$53</definedName>
    <definedName name="Wardglotries">GLO!$B$53</definedName>
    <definedName name="WarrSALatt">SAL!$M$8</definedName>
    <definedName name="WarrSALgls">SAL!$L$8</definedName>
    <definedName name="Warrsalpts">SAL!$G$46</definedName>
    <definedName name="Warrsaltries">SAL!$B$46</definedName>
    <definedName name="warwickatt">#REF!</definedName>
    <definedName name="warwickgoals">#REF!</definedName>
    <definedName name="Warwickpaulpts">#REF!</definedName>
    <definedName name="Warwickpaultries">#REF!</definedName>
    <definedName name="waslhexeatt">EXE!#REF!</definedName>
    <definedName name="waspspenaltytriespts">#REF!</definedName>
    <definedName name="waspspenaltytriestries">#REF!</definedName>
    <definedName name="waspspentries">#REF!</definedName>
    <definedName name="Waspspentriespts">#REF!</definedName>
    <definedName name="WaspsPts">#REF!</definedName>
    <definedName name="WaspsTries">#REF!</definedName>
    <definedName name="Watersharpts">HAR!$G$55</definedName>
    <definedName name="Watershartries">HAR!$B$55</definedName>
    <definedName name="Waterswelpts">#REF!</definedName>
    <definedName name="Watersweltries">#REF!</definedName>
    <definedName name="Watsonanthonypts">BTH!#REF!</definedName>
    <definedName name="Watsonanthonytries">BTH!#REF!</definedName>
    <definedName name="Watsonleicpts">LEI!#REF!</definedName>
    <definedName name="Watsonleictries">LEI!#REF!</definedName>
    <definedName name="Watsonnewpts">#REF!</definedName>
    <definedName name="Watsonnewtriwes">#REF!</definedName>
    <definedName name="Watsonsarpts">NRB!#REF!</definedName>
    <definedName name="Watsonsartries">NRB!#REF!</definedName>
    <definedName name="Watsonwaspts">#REF!</definedName>
    <definedName name="Watsonwastries">#REF!</definedName>
    <definedName name="Webberpts">BTH!#REF!</definedName>
    <definedName name="Webberrobtries">BTH!#REF!</definedName>
    <definedName name="Webbersalpts">SAL!$G$48</definedName>
    <definedName name="Webbersaltries">SAL!$B$48</definedName>
    <definedName name="Webbertries">BTH!#REF!</definedName>
    <definedName name="Weepuwelshpts">#REF!</definedName>
    <definedName name="Weepuwelshtries">#REF!</definedName>
    <definedName name="Wehrsalpremcuppts">SAL!$I$47</definedName>
    <definedName name="Wehrsalpremcuptries">SAL!$D$47</definedName>
    <definedName name="Wehrsalpts">SAL!$G$47</definedName>
    <definedName name="Wehrsaltries">SAL!$B$47</definedName>
    <definedName name="Weimannnorpts">NOR!$G$47</definedName>
    <definedName name="Weimannnortries">NOR!$B$47</definedName>
    <definedName name="Weirworpts">#REF!</definedName>
    <definedName name="Weirwortries">#REF!</definedName>
    <definedName name="Welchdamianpts">EXE!#REF!</definedName>
    <definedName name="Welchdamiantries">EXE!#REF!</definedName>
    <definedName name="Welchexepts">EXE!#REF!</definedName>
    <definedName name="Welchexetries">EXE!#REF!</definedName>
    <definedName name="Welchwillpts">#REF!</definedName>
    <definedName name="Welchwilltries">#REF!</definedName>
    <definedName name="Wellsharrypts">LEI!#REF!</definedName>
    <definedName name="Wellsharrytries">LEI!#REF!</definedName>
    <definedName name="Wellsleicpts">LEI!$G$49</definedName>
    <definedName name="Wellsleictries">LEI!$B$49</definedName>
    <definedName name="Welshnewpts">#REF!</definedName>
    <definedName name="Welshnewtries">#REF!</definedName>
    <definedName name="Westbenpts">#REF!</definedName>
    <definedName name="Westbentries">#REF!</definedName>
    <definedName name="westonbriatt">BRI!$M$10</definedName>
    <definedName name="westonbrigls">BRI!$L$10</definedName>
    <definedName name="Westonbripremcupatt">BRI!$M$37</definedName>
    <definedName name="Westonbripremcupgls">BRI!$L$37</definedName>
    <definedName name="westonbripremcuppts">BRI!$I$53</definedName>
    <definedName name="westonbripremcuptries">BRI!$D$53</definedName>
    <definedName name="westsarpremcuppts">SAR!$I$53</definedName>
    <definedName name="westsarpremcuptries">SAR!$D$53</definedName>
    <definedName name="Westsarpts">SAR!$G$53</definedName>
    <definedName name="Westsartries">SAR!$B$53</definedName>
    <definedName name="Westwaspts">#REF!</definedName>
    <definedName name="Westwastries">#REF!</definedName>
    <definedName name="White_NexeptsCORRECT">EXE!#REF!</definedName>
    <definedName name="White_Nicexepts">EXE!#REF!</definedName>
    <definedName name="White_Nicexetries">EXE!#REF!</definedName>
    <definedName name="Whiteexepts">EXE!#REF!</definedName>
    <definedName name="Whiteharpts">HAR!#REF!</definedName>
    <definedName name="Whitehartries">HAR!#REF!</definedName>
    <definedName name="Whiteheadchrispts">EXE!#REF!</definedName>
    <definedName name="Whiteheadchristries">EXE!#REF!</definedName>
    <definedName name="Whiteleicpts">LEI!#REF!</definedName>
    <definedName name="Whiteleictries">LEI!#REF!</definedName>
    <definedName name="whiteleybriatt">BRI!#REF!</definedName>
    <definedName name="Whiteleybrigls">BRI!#REF!</definedName>
    <definedName name="Whiteleybripts">BRI!#REF!</definedName>
    <definedName name="Whiteleybritries">BRI!#REF!</definedName>
    <definedName name="whiteleyleiatt">LEI!$M$10</definedName>
    <definedName name="whiteleyleigls">LEI!$L$10</definedName>
    <definedName name="Whiteleyleipremcupatt">LEI!$M$37</definedName>
    <definedName name="Whiteleyleipremcupgls">LEI!$L$37</definedName>
    <definedName name="whiteleyleipremcuppts">LEI!$I$50</definedName>
    <definedName name="whiteleyleipremcuptries">LEI!$D$50</definedName>
    <definedName name="WhiteleyLEIpts">LEI!$G$50</definedName>
    <definedName name="WhiteleyLEItries">LEI!$B$50</definedName>
    <definedName name="whiteleysaratt">NRB!#REF!</definedName>
    <definedName name="Whiteleysargls">NRB!#REF!</definedName>
    <definedName name="Whiteleysarpts">NRB!#REF!</definedName>
    <definedName name="Whiteleysartries">NRB!#REF!</definedName>
    <definedName name="Whitelirpts">#REF!</definedName>
    <definedName name="Whitelirtries">#REF!</definedName>
    <definedName name="Whitepts">EXE!#REF!</definedName>
    <definedName name="whitetrie">EXE!#REF!</definedName>
    <definedName name="Whittenpts">EXE!$G$44</definedName>
    <definedName name="Whittentries">EXE!$B$44</definedName>
    <definedName name="Wieseleicpts">LEI!$G$51</definedName>
    <definedName name="Wieseleictries">LEI!$B$51</definedName>
    <definedName name="Wigglesworthleictries">LEI!#REF!</definedName>
    <definedName name="Wigglesworthlicpts">LEI!#REF!</definedName>
    <definedName name="Wigglesworthrichardpts">NRB!#REF!</definedName>
    <definedName name="Wigglesworthrichardtries">NRB!#REF!</definedName>
    <definedName name="wigglesworthsaratt">NRB!#REF!</definedName>
    <definedName name="Wigglesworthsargoals">NRB!#REF!</definedName>
    <definedName name="Wiliamsnewtries">#REF!</definedName>
    <definedName name="Wilkinsnorpts">NOR!$G$49</definedName>
    <definedName name="Wilkinsnortries">NOR!$B$49</definedName>
    <definedName name="wilkinsonleicatt">LEI!#REF!</definedName>
    <definedName name="Wilkinsonleicgls">LEI!#REF!</definedName>
    <definedName name="WilkinsonLEIpts">LEI!#REF!</definedName>
    <definedName name="WilkinsonLEItrie">LEI!#REF!</definedName>
    <definedName name="wilkinsonsalatt">SAL!#REF!</definedName>
    <definedName name="wilkinsonsalgls">SAL!#REF!</definedName>
    <definedName name="Wilkinsonsalpts">SAL!#REF!</definedName>
    <definedName name="Wilkinsonsaltries">SAL!#REF!</definedName>
    <definedName name="Willemsesarpts">NRB!#REF!</definedName>
    <definedName name="Willemsesartries">NRB!#REF!</definedName>
    <definedName name="Williams_Jbstpts">BRI!#REF!</definedName>
    <definedName name="Williams_Jbsttries">BRI!#REF!</definedName>
    <definedName name="Williams_Rbstpts">BRI!#REF!</definedName>
    <definedName name="Williams_Rbsttries">BRI!#REF!</definedName>
    <definedName name="Williamsbenpts">BTH!#REF!</definedName>
    <definedName name="Williamsbentries">BTH!#REF!</definedName>
    <definedName name="williamsbriatt">BRI!$M$11</definedName>
    <definedName name="williamsbrigls">BRI!$L$11</definedName>
    <definedName name="williamsbripremcuppts">BRI!$I$54</definedName>
    <definedName name="williamsbripremcuptries">BRI!$D$54</definedName>
    <definedName name="Williamsbripts">BRI!$G$54</definedName>
    <definedName name="Williamsbritries">BRI!$B$54</definedName>
    <definedName name="Williamsexepts">EXE!$G$45</definedName>
    <definedName name="Williamsexetries">EXE!$B$45</definedName>
    <definedName name="williamsgloatt">GLO!$M$9</definedName>
    <definedName name="Williamsglogls">GLO!$L$9</definedName>
    <definedName name="williamsglopts">GLO!#REF!</definedName>
    <definedName name="williamsglotries">GLO!#REF!</definedName>
    <definedName name="Williamsjohnnylirpts">BRI!#REF!</definedName>
    <definedName name="Williamsjohnnylirtries">BRI!#REF!</definedName>
    <definedName name="williamsleipremcuppts">LEI!$I$51</definedName>
    <definedName name="williamsleipremcuptries">LEI!$D$51</definedName>
    <definedName name="Williamsleipts">LEI!#REF!</definedName>
    <definedName name="Williamsleitries">LEI!#REF!</definedName>
    <definedName name="Williamsliamsarpts">SAR!#REF!</definedName>
    <definedName name="Williamsliamsartries">SAR!#REF!</definedName>
    <definedName name="Williamsmikepts">#REF!</definedName>
    <definedName name="Williamsmiketries">#REF!</definedName>
    <definedName name="Williamsmiketriescorrect">#REF!</definedName>
    <definedName name="williamsnewatt">#REF!</definedName>
    <definedName name="Williamsnewgls">#REF!</definedName>
    <definedName name="Williamsnewpts">#REF!</definedName>
    <definedName name="Williamsnorpts">NOR!#REF!</definedName>
    <definedName name="Williamsnortries">NOR!#REF!</definedName>
    <definedName name="williamsowenatt">LEI!#REF!</definedName>
    <definedName name="williamsowengoals">LEI!#REF!</definedName>
    <definedName name="Williamsowenpts">LEI!#REF!</definedName>
    <definedName name="Williamsowenptscorrect">LEI!#REF!</definedName>
    <definedName name="williamssalatt">SAL!#REF!</definedName>
    <definedName name="williamssalgls">SAL!#REF!</definedName>
    <definedName name="Williamssalpts">SAL!$G$50</definedName>
    <definedName name="Williamssaltries">SAL!$B$50</definedName>
    <definedName name="Williamssarpts">NRB!#REF!</definedName>
    <definedName name="Williamssartries">NRB!#REF!</definedName>
    <definedName name="Williamstomasglotries">GLO!$B$54</definedName>
    <definedName name="Williamstomosglopts">GLO!$G$54</definedName>
    <definedName name="Williamstompts">HAR!#REF!</definedName>
    <definedName name="Williamstomtries">HAR!#REF!</definedName>
    <definedName name="Williamstomtriescorrect">HAR!#REF!</definedName>
    <definedName name="williamsworatt">#REF!</definedName>
    <definedName name="Williamsworgls">#REF!</definedName>
    <definedName name="Williamsworpts">#REF!</definedName>
    <definedName name="Williamswortries">#REF!</definedName>
    <definedName name="Willis_Twaspts">#REF!</definedName>
    <definedName name="Willis_Twastries">#REF!</definedName>
    <definedName name="Willismewtries">#REF!</definedName>
    <definedName name="willisnewatt">#REF!</definedName>
    <definedName name="Willisnewgoals">#REF!</definedName>
    <definedName name="Willisnewpts">#REF!</definedName>
    <definedName name="Willisonbthpts">BTH!#REF!</definedName>
    <definedName name="Willisonbthtries">BTH!#REF!</definedName>
    <definedName name="Willisonworpts">#REF!</definedName>
    <definedName name="Willisonwortries">#REF!</definedName>
    <definedName name="willissarpremcuppts">SAR!$I$54</definedName>
    <definedName name="willissarpremcuptries">SAR!$D$54</definedName>
    <definedName name="Williswaspts">#REF!</definedName>
    <definedName name="Williswastries">#REF!</definedName>
    <definedName name="willssalpremcuppts">SAL!$I$48</definedName>
    <definedName name="willssalpremcuptries">SAL!$D$48</definedName>
    <definedName name="Wilson__Jamesbthgls">BTH!#REF!</definedName>
    <definedName name="Wilson__Jamesbthpts">BTH!#REF!</definedName>
    <definedName name="Wilson__Jamesbthptscorrect">BTH!#REF!</definedName>
    <definedName name="Wilson__Jamesbthtries">BTH!#REF!</definedName>
    <definedName name="Wilson__Jamesbthtriescorrect">BTH!#REF!</definedName>
    <definedName name="Wilson_Dnewpts">#REF!</definedName>
    <definedName name="Wilson_Dnewtries">#REF!</definedName>
    <definedName name="Wilson_Markpts">#REF!</definedName>
    <definedName name="Wilson_Marktries">#REF!</definedName>
    <definedName name="Wilson_Osarpts">SAR!$G$56</definedName>
    <definedName name="Wilson_Osartries">SAR!$B$56</definedName>
    <definedName name="Wilson_Snewpts">#REF!</definedName>
    <definedName name="Wilson_Snewtries">#REF!</definedName>
    <definedName name="Wilsonbatpts">BTH!#REF!</definedName>
    <definedName name="Wilsonbattries">BTH!#REF!</definedName>
    <definedName name="Wilsondavidpts">BTH!#REF!</definedName>
    <definedName name="Wilsondavidtries">BTH!#REF!</definedName>
    <definedName name="Wilsonjackpts">NRB!#REF!</definedName>
    <definedName name="Wilsonjacktries">NRB!#REF!</definedName>
    <definedName name="Wilsonjacktriescorr">NRB!#REF!</definedName>
    <definedName name="Wilsonjacktriescorrect">NRB!#REF!</definedName>
    <definedName name="wilsonjamesatt">NOR!#REF!</definedName>
    <definedName name="wilsonjamesbthatt">BTH!#REF!</definedName>
    <definedName name="wilsonjamesbthgls">BTH!#REF!</definedName>
    <definedName name="Wilsonjamesgoals">NOR!#REF!</definedName>
    <definedName name="Wilsonjamesnorpts">NOR!#REF!</definedName>
    <definedName name="Wilsonjamespts">NOR!#REF!</definedName>
    <definedName name="Wilsonjamesptscorrect">NOR!#REF!</definedName>
    <definedName name="wilsonjamestries">NOR!#REF!</definedName>
    <definedName name="Wilsonjamestriescorrect">NOR!#REF!</definedName>
    <definedName name="wilsonjbthatt">BTH!#REF!</definedName>
    <definedName name="Wilsonnewpts">NRB!#REF!</definedName>
    <definedName name="Wilsonnewtries">NRB!#REF!</definedName>
    <definedName name="wilsonsalpremcuppts">SAL!$I$49</definedName>
    <definedName name="wilsonsalpremcuptries">SAL!$D$49</definedName>
    <definedName name="Wilsonsalpts">SAL!$G$49</definedName>
    <definedName name="Wilsonsaltries">SAL!$B$49</definedName>
    <definedName name="Wilsonsarpts">SAR!$G$54</definedName>
    <definedName name="Wilsonsartries">SAR!$B$54</definedName>
    <definedName name="wilsteadbriatt">BRI!#REF!</definedName>
    <definedName name="wilsteadbrigls">BRI!#REF!</definedName>
    <definedName name="Wilsteadbripts">BRI!#REF!</definedName>
    <definedName name="Wilsteadbritries">BRI!#REF!</definedName>
    <definedName name="wimbushexepremcuppts">EXE!$I$45</definedName>
    <definedName name="wimbushexepremcuptries">EXE!$D$45</definedName>
    <definedName name="wintersbthpremcuppts">BTH!$I$58</definedName>
    <definedName name="wintersbthpremcuptriees">BTH!$D$58</definedName>
    <definedName name="Witheatnorpts">NOR!#REF!</definedName>
    <definedName name="Witheatnortries">NOR!#REF!</definedName>
    <definedName name="Wittyexepts">EXE!#REF!</definedName>
    <definedName name="Wittyexetries">EXE!#REF!</definedName>
    <definedName name="Wittynewpts">#REF!</definedName>
    <definedName name="Wittynewtries">#REF!</definedName>
    <definedName name="Wolstenholmebripts">BRI!$G$56</definedName>
    <definedName name="Wolstenholmebritries">BRI!$B$56</definedName>
    <definedName name="Wolstenholmewaspts">#REF!</definedName>
    <definedName name="Wolstenholmewastries">#REF!</definedName>
    <definedName name="Wolstenhomewaspts">#REF!</definedName>
    <definedName name="woodburnexepremcuppts">EXE!$I$46</definedName>
    <definedName name="woodburnexepremcuptries">EXE!$D$46</definedName>
    <definedName name="Woodburnexepts">EXE!$G$46</definedName>
    <definedName name="Woodburnexetries">EXE!$B$46</definedName>
    <definedName name="Woodburnollypts">BTH!#REF!</definedName>
    <definedName name="woodburnollytries">BTH!#REF!</definedName>
    <definedName name="Woodburnworpts">#REF!</definedName>
    <definedName name="Woodburnwortries">#REF!</definedName>
    <definedName name="Woodglopts">GLO!#REF!</definedName>
    <definedName name="Woodglotries">GLO!#REF!</definedName>
    <definedName name="Woodtompts">NOR!#REF!</definedName>
    <definedName name="Woodtomptscorrect">NOR!#REF!</definedName>
    <definedName name="woodtomtries">NOR!#REF!</definedName>
    <definedName name="Woodtomtriescorrect">NOR!#REF!</definedName>
    <definedName name="woodwardbriatt">BRI!#REF!</definedName>
    <definedName name="Woodwardbrigoals">BRI!#REF!</definedName>
    <definedName name="Woodwardbripts">BRI!#REF!</definedName>
    <definedName name="Woodwardbritries">BRI!#REF!</definedName>
    <definedName name="Woodwardglopts">GLO!#REF!</definedName>
    <definedName name="Woodwardglotries">GLO!#REF!</definedName>
    <definedName name="Woodwardleipremcupatt">LEI!$M$38</definedName>
    <definedName name="Woodwardleipremcupgls">LEI!$L$38</definedName>
    <definedName name="woodwardleipremcuppts">LEI!$I$52</definedName>
    <definedName name="woodwardleipremcuptries">LEI!$D$52</definedName>
    <definedName name="WoodwardLEIpts">LEI!$G$52</definedName>
    <definedName name="WoodwardLEItries">LEI!$B$52</definedName>
    <definedName name="Woolfordnorpts">NOR!#REF!</definedName>
    <definedName name="Woolfordnortries">NOR!#REF!</definedName>
    <definedName name="WoollettLEIpts">LEI!#REF!</definedName>
    <definedName name="WoollettLEItries">LEI!#REF!</definedName>
    <definedName name="Woolmoreexepts">EXE!#REF!</definedName>
    <definedName name="Woolmoreexetries">EXE!#REF!</definedName>
    <definedName name="WoolstencroftEurTries">SAR!$C$55</definedName>
    <definedName name="Woolstencroftsarpts">NRB!#REF!</definedName>
    <definedName name="Woolstencroftsarptscorrect">SAR!$G$55</definedName>
    <definedName name="Woolstencroftsartries">NRB!#REF!</definedName>
    <definedName name="Woolstencroftsartriescorrect">SAR!$B$55</definedName>
    <definedName name="Woolstencroftwaspts">#REF!</definedName>
    <definedName name="Woolstencroftwastries">#REF!</definedName>
    <definedName name="woratt">#REF!</definedName>
    <definedName name="worboysbthatt">BTH!#REF!</definedName>
    <definedName name="worboysbthgls">BTH!#REF!</definedName>
    <definedName name="Worboysbthpts">BTH!#REF!</definedName>
    <definedName name="WorboysBTHTRIES">BTH!#REF!</definedName>
    <definedName name="worcesterpentries">#REF!</definedName>
    <definedName name="worcesterpentriespts">#REF!</definedName>
    <definedName name="WorcesterPts">#REF!</definedName>
    <definedName name="WorcesterTries">#REF!</definedName>
    <definedName name="Worleynorpts">NOR!#REF!</definedName>
    <definedName name="Worleynortries">NOR!#REF!</definedName>
    <definedName name="worsleybriatt">BRI!$M$12</definedName>
    <definedName name="worsleybrigls">BRI!$L$12</definedName>
    <definedName name="Worsleybripremcupatt">BRI!$M$39</definedName>
    <definedName name="Worsleybripremcupgls">BRI!$L$39</definedName>
    <definedName name="Worsleybripremcuppts">BRI!$I$57</definedName>
    <definedName name="Worsleybripremcuptries">BRI!$D$57</definedName>
    <definedName name="Worsleybripts">BRI!$G$57</definedName>
    <definedName name="Worsleybritries">BRI!$B$57</definedName>
    <definedName name="worthleiatt">LEI!#REF!</definedName>
    <definedName name="worthleigoals">LEI!#REF!</definedName>
    <definedName name="Worthleipts">LEI!#REF!</definedName>
    <definedName name="Worthleitries">LEI!#REF!</definedName>
    <definedName name="Wrayjacksonpts">NRB!#REF!</definedName>
    <definedName name="Wrayjacksontries">NRB!#REF!</definedName>
    <definedName name="Wraysarptscorrect">SAR!#REF!</definedName>
    <definedName name="Wraysartriescorrect">SAR!#REF!</definedName>
    <definedName name="Wrightnewpts">NRB!#REF!</definedName>
    <definedName name="Wrightnewtries">NRB!#REF!</definedName>
    <definedName name="wrightnorpremcuppts">NOR!$I$49</definedName>
    <definedName name="wrightnorpremcuptries">NOR!$D$49</definedName>
    <definedName name="Wyattexepts">EXE!$G$47</definedName>
    <definedName name="Wyattexetries">EXE!$B$47</definedName>
    <definedName name="Wylespts">NRB!#REF!</definedName>
    <definedName name="wylestries">NRB!#REF!</definedName>
    <definedName name="Yappwaspts">#REF!</definedName>
    <definedName name="Yappwastries">#REF!</definedName>
    <definedName name="Yardeharpts">HAR!#REF!</definedName>
    <definedName name="Yardehartries">HAR!#REF!</definedName>
    <definedName name="Yardepts">BRI!#REF!</definedName>
    <definedName name="Yardesalpts">SAL!#REF!</definedName>
    <definedName name="Yardesaltries">SAL!#REF!</definedName>
    <definedName name="yardetries">BRI!#REF!</definedName>
    <definedName name="Yeandlejackpts">EXE!$G$48</definedName>
    <definedName name="Yeandlejacktries">EXE!$B$48</definedName>
    <definedName name="Yendleharpremcuppts">HAR!$I$56</definedName>
    <definedName name="Yendleharpremcuptries">HAR!$D$56</definedName>
    <definedName name="Yendleharpts">HAR!$G$56</definedName>
    <definedName name="Yendlehartries">HAR!$B$56</definedName>
    <definedName name="Yorkchrispts">#REF!</definedName>
    <definedName name="Yorkchristries">#REF!</definedName>
    <definedName name="Young_Gnewpts">#REF!</definedName>
    <definedName name="Young_Gnewtries">#REF!</definedName>
    <definedName name="Youngmickypts">BTH!#REF!</definedName>
    <definedName name="Youngmickytries">BTH!#REF!</definedName>
    <definedName name="youngsbatt">LEI!$M$11</definedName>
    <definedName name="Youngsbenpts">LEI!#REF!</definedName>
    <definedName name="Youngsbenptscorrect">LEI!#REF!</definedName>
    <definedName name="youngsbentries">LEI!#REF!</definedName>
    <definedName name="youngsbgoals">LEI!$L$11</definedName>
    <definedName name="youngstompts">LEI!#REF!</definedName>
    <definedName name="youngstomtries">LEI!#REF!</definedName>
    <definedName name="Youngwaspts">#REF!</definedName>
    <definedName name="Youngwastries">#REF!</definedName>
    <definedName name="Zamboninexepremcuppts">EXE!$I$49</definedName>
    <definedName name="Zamboninexepremcuptries">EXE!$D$49</definedName>
    <definedName name="Zamboninexepts">EXE!$G$49</definedName>
    <definedName name="Zamboninexetries">EXE!$B$49</definedName>
    <definedName name="ZebrePts">[1]ZEB!$F$49</definedName>
    <definedName name="ZebreTries">[1]ZEB!$B$49</definedName>
    <definedName name="Zhvaniawaspts">#REF!</definedName>
    <definedName name="Zhvaniawastries">#REF!</definedName>
  </definedNames>
  <calcPr calcId="191029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01" i="2" l="1"/>
  <c r="H101" i="2"/>
  <c r="G101" i="2"/>
  <c r="D101" i="2"/>
  <c r="C101" i="2"/>
  <c r="B101" i="2"/>
  <c r="J87" i="2"/>
  <c r="E86" i="2"/>
  <c r="J79" i="2"/>
  <c r="E77" i="2"/>
  <c r="J100" i="2"/>
  <c r="E100" i="2"/>
  <c r="J61" i="2"/>
  <c r="E59" i="2"/>
  <c r="J69" i="2"/>
  <c r="E68" i="2"/>
  <c r="J64" i="2"/>
  <c r="E62" i="2"/>
  <c r="J63" i="2"/>
  <c r="E61" i="2"/>
  <c r="J68" i="2"/>
  <c r="E67" i="2"/>
  <c r="J99" i="2"/>
  <c r="E99" i="2"/>
  <c r="J98" i="2"/>
  <c r="E98" i="2"/>
  <c r="J78" i="2"/>
  <c r="E76" i="2"/>
  <c r="J54" i="2"/>
  <c r="E57" i="2"/>
  <c r="J58" i="2"/>
  <c r="E66" i="2"/>
  <c r="J67" i="2"/>
  <c r="E65" i="2"/>
  <c r="J77" i="2"/>
  <c r="E75" i="2"/>
  <c r="J86" i="2"/>
  <c r="E85" i="2"/>
  <c r="J71" i="2"/>
  <c r="E69" i="2"/>
  <c r="J55" i="2"/>
  <c r="E54" i="2"/>
  <c r="J80" i="2"/>
  <c r="E84" i="2"/>
  <c r="J66" i="2"/>
  <c r="E64" i="2"/>
  <c r="J97" i="2"/>
  <c r="E97" i="2"/>
  <c r="J76" i="2"/>
  <c r="E74" i="2"/>
  <c r="J96" i="2"/>
  <c r="E96" i="2"/>
  <c r="J75" i="2"/>
  <c r="E73" i="2"/>
  <c r="J95" i="2"/>
  <c r="E95" i="2"/>
  <c r="J65" i="2"/>
  <c r="E63" i="2"/>
  <c r="J94" i="2"/>
  <c r="E94" i="2"/>
  <c r="J93" i="2"/>
  <c r="E93" i="2"/>
  <c r="J85" i="2"/>
  <c r="E83" i="2"/>
  <c r="J84" i="2"/>
  <c r="E82" i="2"/>
  <c r="J83" i="2"/>
  <c r="E81" i="2"/>
  <c r="J60" i="2"/>
  <c r="E72" i="2"/>
  <c r="J74" i="2"/>
  <c r="E71" i="2"/>
  <c r="J70" i="2"/>
  <c r="E80" i="2"/>
  <c r="J82" i="2"/>
  <c r="E79" i="2"/>
  <c r="J81" i="2"/>
  <c r="E78" i="2"/>
  <c r="J73" i="2"/>
  <c r="E70" i="2"/>
  <c r="J59" i="2"/>
  <c r="E58" i="2"/>
  <c r="J56" i="2"/>
  <c r="E55" i="2"/>
  <c r="J62" i="2"/>
  <c r="E60" i="2"/>
  <c r="J72" i="2"/>
  <c r="E92" i="2"/>
  <c r="J92" i="2"/>
  <c r="E91" i="2"/>
  <c r="J91" i="2"/>
  <c r="E90" i="2"/>
  <c r="J90" i="2"/>
  <c r="E89" i="2"/>
  <c r="J57" i="2"/>
  <c r="E56" i="2"/>
  <c r="J89" i="2"/>
  <c r="E88" i="2"/>
  <c r="J88" i="2"/>
  <c r="E87" i="2"/>
  <c r="F523" i="16"/>
  <c r="C523" i="16"/>
  <c r="F473" i="13"/>
  <c r="C473" i="13"/>
  <c r="I50" i="2"/>
  <c r="J49" i="2"/>
  <c r="H50" i="2"/>
  <c r="G50" i="2"/>
  <c r="D50" i="2"/>
  <c r="E49" i="2"/>
  <c r="C50" i="2"/>
  <c r="B50" i="2"/>
  <c r="I103" i="10"/>
  <c r="H103" i="10"/>
  <c r="G103" i="10"/>
  <c r="D103" i="10"/>
  <c r="C103" i="10"/>
  <c r="B103" i="10"/>
  <c r="J102" i="10"/>
  <c r="E102" i="10"/>
  <c r="J86" i="10"/>
  <c r="E85" i="10"/>
  <c r="J60" i="10"/>
  <c r="E58" i="10"/>
  <c r="J85" i="10"/>
  <c r="E84" i="10"/>
  <c r="J101" i="10"/>
  <c r="E101" i="10"/>
  <c r="J76" i="10"/>
  <c r="E74" i="10"/>
  <c r="J65" i="10"/>
  <c r="E62" i="10"/>
  <c r="J84" i="10"/>
  <c r="E83" i="10"/>
  <c r="J59" i="10"/>
  <c r="E57" i="10"/>
  <c r="J75" i="10"/>
  <c r="E73" i="10"/>
  <c r="J83" i="10"/>
  <c r="E82" i="10"/>
  <c r="J100" i="10"/>
  <c r="E100" i="10"/>
  <c r="J63" i="10"/>
  <c r="E60" i="10"/>
  <c r="J74" i="10"/>
  <c r="E72" i="10"/>
  <c r="J99" i="10"/>
  <c r="E99" i="10"/>
  <c r="J98" i="10"/>
  <c r="E98" i="10"/>
  <c r="J97" i="10"/>
  <c r="E97" i="10"/>
  <c r="J57" i="10"/>
  <c r="E55" i="10"/>
  <c r="J96" i="10"/>
  <c r="E96" i="10"/>
  <c r="J82" i="10"/>
  <c r="E81" i="10"/>
  <c r="J73" i="10"/>
  <c r="E71" i="10"/>
  <c r="J72" i="10"/>
  <c r="E70" i="10"/>
  <c r="J95" i="10"/>
  <c r="E95" i="10"/>
  <c r="J94" i="10"/>
  <c r="E94" i="10"/>
  <c r="J58" i="10"/>
  <c r="E56" i="10"/>
  <c r="J64" i="10"/>
  <c r="E61" i="10"/>
  <c r="J93" i="10"/>
  <c r="E93" i="10"/>
  <c r="J81" i="10"/>
  <c r="E80" i="10"/>
  <c r="J80" i="10"/>
  <c r="E79" i="10"/>
  <c r="J55" i="10"/>
  <c r="E92" i="10"/>
  <c r="J92" i="10"/>
  <c r="E91" i="10"/>
  <c r="J67" i="10"/>
  <c r="E65" i="10"/>
  <c r="J56" i="10"/>
  <c r="E64" i="10"/>
  <c r="J71" i="10"/>
  <c r="E69" i="10"/>
  <c r="J70" i="10"/>
  <c r="E68" i="10"/>
  <c r="J61" i="10"/>
  <c r="E78" i="10"/>
  <c r="J91" i="10"/>
  <c r="E90" i="10"/>
  <c r="J90" i="10"/>
  <c r="E89" i="10"/>
  <c r="J62" i="10"/>
  <c r="E59" i="10"/>
  <c r="J69" i="10"/>
  <c r="E67" i="10"/>
  <c r="J68" i="10"/>
  <c r="E66" i="10"/>
  <c r="J89" i="10"/>
  <c r="E88" i="10"/>
  <c r="J79" i="10"/>
  <c r="E77" i="10"/>
  <c r="J88" i="10"/>
  <c r="E87" i="10"/>
  <c r="J87" i="10"/>
  <c r="E86" i="10"/>
  <c r="J66" i="10"/>
  <c r="E63" i="10"/>
  <c r="J78" i="10"/>
  <c r="E76" i="10"/>
  <c r="J77" i="10"/>
  <c r="E75" i="10"/>
  <c r="E103" i="10" s="1"/>
  <c r="Q10" i="9"/>
  <c r="I101" i="9"/>
  <c r="H101" i="9"/>
  <c r="G101" i="9"/>
  <c r="D101" i="9"/>
  <c r="C101" i="9"/>
  <c r="B101" i="9"/>
  <c r="J78" i="9"/>
  <c r="E78" i="9"/>
  <c r="J100" i="9"/>
  <c r="E100" i="9"/>
  <c r="J99" i="9"/>
  <c r="E99" i="9"/>
  <c r="J92" i="9"/>
  <c r="E92" i="9"/>
  <c r="J68" i="9"/>
  <c r="E65" i="9"/>
  <c r="J91" i="9"/>
  <c r="E91" i="9"/>
  <c r="J74" i="9"/>
  <c r="E72" i="9"/>
  <c r="J59" i="9"/>
  <c r="E57" i="9"/>
  <c r="J90" i="9"/>
  <c r="E90" i="9"/>
  <c r="J55" i="9"/>
  <c r="E77" i="9"/>
  <c r="J61" i="9"/>
  <c r="E59" i="9"/>
  <c r="J89" i="9"/>
  <c r="E89" i="9"/>
  <c r="J88" i="9"/>
  <c r="E88" i="9"/>
  <c r="J67" i="9"/>
  <c r="E64" i="9"/>
  <c r="J98" i="9"/>
  <c r="E98" i="9"/>
  <c r="J60" i="9"/>
  <c r="E58" i="9"/>
  <c r="J75" i="9"/>
  <c r="E76" i="9"/>
  <c r="J65" i="9"/>
  <c r="E62" i="9"/>
  <c r="J63" i="9"/>
  <c r="E75" i="9"/>
  <c r="J97" i="9"/>
  <c r="E97" i="9"/>
  <c r="J87" i="9"/>
  <c r="E87" i="9"/>
  <c r="J73" i="9"/>
  <c r="E71" i="9"/>
  <c r="J57" i="9"/>
  <c r="E55" i="9"/>
  <c r="J86" i="9"/>
  <c r="E86" i="9"/>
  <c r="J85" i="9"/>
  <c r="E85" i="9"/>
  <c r="J64" i="9"/>
  <c r="E61" i="9"/>
  <c r="J84" i="9"/>
  <c r="E84" i="9"/>
  <c r="J96" i="9"/>
  <c r="E96" i="9"/>
  <c r="J66" i="9"/>
  <c r="E63" i="9"/>
  <c r="J83" i="9"/>
  <c r="E83" i="9"/>
  <c r="J95" i="9"/>
  <c r="E95" i="9"/>
  <c r="J76" i="9"/>
  <c r="E74" i="9"/>
  <c r="J58" i="9"/>
  <c r="E56" i="9"/>
  <c r="J82" i="9"/>
  <c r="E82" i="9"/>
  <c r="J81" i="9"/>
  <c r="E81" i="9"/>
  <c r="J94" i="9"/>
  <c r="E94" i="9"/>
  <c r="J69" i="9"/>
  <c r="E70" i="9"/>
  <c r="J56" i="9"/>
  <c r="E54" i="9"/>
  <c r="J71" i="9"/>
  <c r="E67" i="9"/>
  <c r="J72" i="9"/>
  <c r="E69" i="9"/>
  <c r="J93" i="9"/>
  <c r="E93" i="9"/>
  <c r="J62" i="9"/>
  <c r="E60" i="9"/>
  <c r="J70" i="9"/>
  <c r="E66" i="9"/>
  <c r="J77" i="9"/>
  <c r="E73" i="9"/>
  <c r="J80" i="9"/>
  <c r="E80" i="9"/>
  <c r="J79" i="9"/>
  <c r="E79" i="9"/>
  <c r="J54" i="9"/>
  <c r="E68" i="9"/>
  <c r="I119" i="1"/>
  <c r="H119" i="1"/>
  <c r="G119" i="1"/>
  <c r="D119" i="1"/>
  <c r="C119" i="1"/>
  <c r="B119" i="1"/>
  <c r="E119" i="1" s="1"/>
  <c r="J105" i="1"/>
  <c r="E103" i="1"/>
  <c r="J95" i="1"/>
  <c r="E94" i="1"/>
  <c r="J94" i="1"/>
  <c r="E93" i="1"/>
  <c r="J89" i="1"/>
  <c r="E86" i="1"/>
  <c r="J71" i="1"/>
  <c r="E68" i="1"/>
  <c r="J88" i="1"/>
  <c r="E85" i="1"/>
  <c r="J118" i="1"/>
  <c r="E118" i="1"/>
  <c r="J82" i="1"/>
  <c r="E78" i="1"/>
  <c r="J68" i="1"/>
  <c r="E77" i="1"/>
  <c r="J104" i="1"/>
  <c r="E102" i="1"/>
  <c r="J93" i="1"/>
  <c r="E92" i="1"/>
  <c r="J63" i="1"/>
  <c r="E91" i="1"/>
  <c r="J117" i="1"/>
  <c r="E117" i="1"/>
  <c r="J76" i="1"/>
  <c r="E116" i="1"/>
  <c r="J103" i="1"/>
  <c r="E101" i="1"/>
  <c r="J92" i="1"/>
  <c r="E90" i="1"/>
  <c r="J102" i="1"/>
  <c r="E100" i="1"/>
  <c r="J81" i="1"/>
  <c r="E76" i="1"/>
  <c r="J87" i="1"/>
  <c r="E84" i="1"/>
  <c r="J90" i="1"/>
  <c r="E89" i="1"/>
  <c r="J86" i="1"/>
  <c r="E83" i="1"/>
  <c r="J101" i="1"/>
  <c r="E99" i="1"/>
  <c r="J70" i="1"/>
  <c r="E67" i="1"/>
  <c r="J85" i="1"/>
  <c r="E82" i="1"/>
  <c r="J116" i="1"/>
  <c r="E115" i="1"/>
  <c r="J115" i="1"/>
  <c r="E114" i="1"/>
  <c r="J100" i="1"/>
  <c r="E98" i="1"/>
  <c r="J96" i="1"/>
  <c r="E113" i="1"/>
  <c r="J114" i="1"/>
  <c r="E112" i="1"/>
  <c r="J80" i="1"/>
  <c r="E75" i="1"/>
  <c r="J113" i="1"/>
  <c r="E111" i="1"/>
  <c r="J75" i="1"/>
  <c r="E71" i="1"/>
  <c r="J79" i="1"/>
  <c r="E74" i="1"/>
  <c r="J112" i="1"/>
  <c r="E110" i="1"/>
  <c r="J111" i="1"/>
  <c r="E109" i="1"/>
  <c r="J74" i="1"/>
  <c r="E70" i="1"/>
  <c r="J91" i="1"/>
  <c r="E88" i="1"/>
  <c r="J110" i="1"/>
  <c r="E108" i="1"/>
  <c r="J66" i="1"/>
  <c r="E65" i="1"/>
  <c r="J65" i="1"/>
  <c r="E64" i="1"/>
  <c r="J109" i="1"/>
  <c r="E107" i="1"/>
  <c r="J108" i="1"/>
  <c r="E106" i="1"/>
  <c r="J97" i="1"/>
  <c r="E97" i="1"/>
  <c r="J78" i="1"/>
  <c r="E73" i="1"/>
  <c r="J69" i="1"/>
  <c r="E66" i="1"/>
  <c r="J107" i="1"/>
  <c r="E105" i="1"/>
  <c r="J67" i="1"/>
  <c r="E81" i="1"/>
  <c r="J99" i="1"/>
  <c r="E96" i="1"/>
  <c r="J106" i="1"/>
  <c r="E104" i="1"/>
  <c r="J77" i="1"/>
  <c r="E72" i="1"/>
  <c r="J84" i="1"/>
  <c r="E80" i="1"/>
  <c r="J72" i="1"/>
  <c r="E87" i="1"/>
  <c r="J73" i="1"/>
  <c r="E69" i="1"/>
  <c r="J98" i="1"/>
  <c r="E95" i="1"/>
  <c r="J83" i="1"/>
  <c r="E79" i="1"/>
  <c r="J64" i="1"/>
  <c r="E63" i="1"/>
  <c r="I105" i="11"/>
  <c r="H105" i="11"/>
  <c r="G105" i="11"/>
  <c r="D105" i="11"/>
  <c r="C105" i="11"/>
  <c r="B105" i="11"/>
  <c r="J68" i="11"/>
  <c r="E66" i="11"/>
  <c r="J83" i="11"/>
  <c r="E82" i="11"/>
  <c r="J104" i="11"/>
  <c r="E104" i="11"/>
  <c r="J103" i="11"/>
  <c r="E103" i="11"/>
  <c r="J102" i="11"/>
  <c r="E102" i="11"/>
  <c r="J57" i="11"/>
  <c r="E56" i="11"/>
  <c r="J101" i="11"/>
  <c r="E101" i="11"/>
  <c r="J82" i="11"/>
  <c r="E81" i="11"/>
  <c r="J100" i="11"/>
  <c r="E100" i="11"/>
  <c r="J72" i="11"/>
  <c r="E70" i="11"/>
  <c r="J71" i="11"/>
  <c r="E69" i="11"/>
  <c r="J62" i="11"/>
  <c r="E61" i="11"/>
  <c r="J67" i="11"/>
  <c r="E65" i="11"/>
  <c r="J99" i="11"/>
  <c r="E99" i="11"/>
  <c r="J98" i="11"/>
  <c r="E98" i="11"/>
  <c r="J66" i="11"/>
  <c r="E64" i="11"/>
  <c r="J61" i="11"/>
  <c r="E60" i="11"/>
  <c r="J58" i="11"/>
  <c r="E57" i="11"/>
  <c r="J70" i="11"/>
  <c r="E68" i="11"/>
  <c r="J81" i="11"/>
  <c r="E80" i="11"/>
  <c r="J60" i="11"/>
  <c r="E59" i="11"/>
  <c r="J97" i="11"/>
  <c r="E97" i="11"/>
  <c r="J80" i="11"/>
  <c r="E79" i="11"/>
  <c r="J59" i="11"/>
  <c r="E58" i="11"/>
  <c r="J85" i="11"/>
  <c r="E96" i="11"/>
  <c r="J96" i="11"/>
  <c r="E95" i="11"/>
  <c r="J79" i="11"/>
  <c r="E78" i="11"/>
  <c r="J78" i="11"/>
  <c r="E77" i="11"/>
  <c r="J63" i="11"/>
  <c r="E76" i="11"/>
  <c r="J95" i="11"/>
  <c r="E94" i="11"/>
  <c r="J69" i="11"/>
  <c r="E67" i="11"/>
  <c r="J94" i="11"/>
  <c r="E93" i="11"/>
  <c r="J93" i="11"/>
  <c r="E92" i="11"/>
  <c r="J92" i="11"/>
  <c r="E91" i="11"/>
  <c r="J91" i="11"/>
  <c r="E90" i="11"/>
  <c r="J90" i="11"/>
  <c r="E89" i="11"/>
  <c r="J89" i="11"/>
  <c r="E88" i="11"/>
  <c r="J56" i="11"/>
  <c r="E87" i="11"/>
  <c r="J77" i="11"/>
  <c r="E75" i="11"/>
  <c r="J76" i="11"/>
  <c r="E74" i="11"/>
  <c r="J75" i="11"/>
  <c r="E73" i="11"/>
  <c r="J65" i="11"/>
  <c r="E63" i="11"/>
  <c r="J84" i="11"/>
  <c r="E86" i="11"/>
  <c r="J74" i="11"/>
  <c r="E72" i="11"/>
  <c r="J88" i="11"/>
  <c r="E85" i="11"/>
  <c r="J87" i="11"/>
  <c r="E84" i="11"/>
  <c r="J64" i="11"/>
  <c r="E62" i="11"/>
  <c r="J86" i="11"/>
  <c r="E83" i="11"/>
  <c r="J73" i="11"/>
  <c r="E71" i="11"/>
  <c r="I107" i="5"/>
  <c r="H107" i="5"/>
  <c r="G107" i="5"/>
  <c r="J107" i="5" s="1"/>
  <c r="D107" i="5"/>
  <c r="C107" i="5"/>
  <c r="B107" i="5"/>
  <c r="E107" i="5" s="1"/>
  <c r="J96" i="5"/>
  <c r="E106" i="5"/>
  <c r="J95" i="5"/>
  <c r="E94" i="5"/>
  <c r="J70" i="5"/>
  <c r="E73" i="5"/>
  <c r="J84" i="5"/>
  <c r="E83" i="5"/>
  <c r="J58" i="5"/>
  <c r="E57" i="5"/>
  <c r="J74" i="5"/>
  <c r="E72" i="5"/>
  <c r="J83" i="5"/>
  <c r="E82" i="5"/>
  <c r="J85" i="5"/>
  <c r="E105" i="5"/>
  <c r="J94" i="5"/>
  <c r="E93" i="5"/>
  <c r="J82" i="5"/>
  <c r="E81" i="5"/>
  <c r="J93" i="5"/>
  <c r="E92" i="5"/>
  <c r="J106" i="5"/>
  <c r="E104" i="5"/>
  <c r="J69" i="5"/>
  <c r="E66" i="5"/>
  <c r="J92" i="5"/>
  <c r="E91" i="5"/>
  <c r="J105" i="5"/>
  <c r="E103" i="5"/>
  <c r="J57" i="5"/>
  <c r="E60" i="5"/>
  <c r="J60" i="5"/>
  <c r="E59" i="5"/>
  <c r="J59" i="5"/>
  <c r="E58" i="5"/>
  <c r="J65" i="5"/>
  <c r="E71" i="5"/>
  <c r="J68" i="5"/>
  <c r="E65" i="5"/>
  <c r="J67" i="5"/>
  <c r="E64" i="5"/>
  <c r="J91" i="5"/>
  <c r="E90" i="5"/>
  <c r="J64" i="5"/>
  <c r="E89" i="5"/>
  <c r="J63" i="5"/>
  <c r="E62" i="5"/>
  <c r="J104" i="5"/>
  <c r="E102" i="5"/>
  <c r="J103" i="5"/>
  <c r="E101" i="5"/>
  <c r="J90" i="5"/>
  <c r="E88" i="5"/>
  <c r="J102" i="5"/>
  <c r="E100" i="5"/>
  <c r="J89" i="5"/>
  <c r="E87" i="5"/>
  <c r="J81" i="5"/>
  <c r="E80" i="5"/>
  <c r="J80" i="5"/>
  <c r="E79" i="5"/>
  <c r="J101" i="5"/>
  <c r="E99" i="5"/>
  <c r="J100" i="5"/>
  <c r="E98" i="5"/>
  <c r="J88" i="5"/>
  <c r="E86" i="5"/>
  <c r="J73" i="5"/>
  <c r="E70" i="5"/>
  <c r="J99" i="5"/>
  <c r="E97" i="5"/>
  <c r="J87" i="5"/>
  <c r="E85" i="5"/>
  <c r="J72" i="5"/>
  <c r="E69" i="5"/>
  <c r="J71" i="5"/>
  <c r="E68" i="5"/>
  <c r="J66" i="5"/>
  <c r="E63" i="5"/>
  <c r="J86" i="5"/>
  <c r="E84" i="5"/>
  <c r="J79" i="5"/>
  <c r="E78" i="5"/>
  <c r="J78" i="5"/>
  <c r="E77" i="5"/>
  <c r="J77" i="5"/>
  <c r="E76" i="5"/>
  <c r="J76" i="5"/>
  <c r="E75" i="5"/>
  <c r="J98" i="5"/>
  <c r="E96" i="5"/>
  <c r="J97" i="5"/>
  <c r="E95" i="5"/>
  <c r="J62" i="5"/>
  <c r="E61" i="5"/>
  <c r="J61" i="5"/>
  <c r="E67" i="5"/>
  <c r="J75" i="5"/>
  <c r="E74" i="5"/>
  <c r="Q10" i="4"/>
  <c r="I115" i="4"/>
  <c r="H115" i="4"/>
  <c r="G115" i="4"/>
  <c r="J115" i="4" s="1"/>
  <c r="D115" i="4"/>
  <c r="C115" i="4"/>
  <c r="B115" i="4"/>
  <c r="E115" i="4" s="1"/>
  <c r="J100" i="4"/>
  <c r="E100" i="4"/>
  <c r="J114" i="4"/>
  <c r="E114" i="4"/>
  <c r="J113" i="4"/>
  <c r="E113" i="4"/>
  <c r="J80" i="4"/>
  <c r="E77" i="4"/>
  <c r="J99" i="4"/>
  <c r="E99" i="4"/>
  <c r="J98" i="4"/>
  <c r="E98" i="4"/>
  <c r="J79" i="4"/>
  <c r="E76" i="4"/>
  <c r="J97" i="4"/>
  <c r="E97" i="4"/>
  <c r="J96" i="4"/>
  <c r="E96" i="4"/>
  <c r="J61" i="4"/>
  <c r="E69" i="4"/>
  <c r="J68" i="4"/>
  <c r="E95" i="4"/>
  <c r="J112" i="4"/>
  <c r="E112" i="4"/>
  <c r="J78" i="4"/>
  <c r="E75" i="4"/>
  <c r="J72" i="4"/>
  <c r="E68" i="4"/>
  <c r="J111" i="4"/>
  <c r="E111" i="4"/>
  <c r="J83" i="4"/>
  <c r="E94" i="4"/>
  <c r="J110" i="4"/>
  <c r="E110" i="4"/>
  <c r="J71" i="4"/>
  <c r="E67" i="4"/>
  <c r="J95" i="4"/>
  <c r="E93" i="4"/>
  <c r="J94" i="4"/>
  <c r="E92" i="4"/>
  <c r="J67" i="4"/>
  <c r="E64" i="4"/>
  <c r="J93" i="4"/>
  <c r="E91" i="4"/>
  <c r="J109" i="4"/>
  <c r="E109" i="4"/>
  <c r="J77" i="4"/>
  <c r="E74" i="4"/>
  <c r="J108" i="4"/>
  <c r="E108" i="4"/>
  <c r="J92" i="4"/>
  <c r="E90" i="4"/>
  <c r="J107" i="4"/>
  <c r="E107" i="4"/>
  <c r="J101" i="4"/>
  <c r="E106" i="4"/>
  <c r="J76" i="4"/>
  <c r="E73" i="4"/>
  <c r="J106" i="4"/>
  <c r="E105" i="4"/>
  <c r="J75" i="4"/>
  <c r="E72" i="4"/>
  <c r="J91" i="4"/>
  <c r="E89" i="4"/>
  <c r="J105" i="4"/>
  <c r="E104" i="4"/>
  <c r="J66" i="4"/>
  <c r="E63" i="4"/>
  <c r="J104" i="4"/>
  <c r="E103" i="4"/>
  <c r="J103" i="4"/>
  <c r="E102" i="4"/>
  <c r="J70" i="4"/>
  <c r="E66" i="4"/>
  <c r="J64" i="4"/>
  <c r="E88" i="4"/>
  <c r="J90" i="4"/>
  <c r="E87" i="4"/>
  <c r="J82" i="4"/>
  <c r="E80" i="4"/>
  <c r="J63" i="4"/>
  <c r="E61" i="4"/>
  <c r="J89" i="4"/>
  <c r="E86" i="4"/>
  <c r="J74" i="4"/>
  <c r="E71" i="4"/>
  <c r="J69" i="4"/>
  <c r="E65" i="4"/>
  <c r="J65" i="4"/>
  <c r="E62" i="4"/>
  <c r="J102" i="4"/>
  <c r="E101" i="4"/>
  <c r="J88" i="4"/>
  <c r="E85" i="4"/>
  <c r="J87" i="4"/>
  <c r="E84" i="4"/>
  <c r="J81" i="4"/>
  <c r="E79" i="4"/>
  <c r="J62" i="4"/>
  <c r="E78" i="4"/>
  <c r="J73" i="4"/>
  <c r="E70" i="4"/>
  <c r="J86" i="4"/>
  <c r="E83" i="4"/>
  <c r="J85" i="4"/>
  <c r="E82" i="4"/>
  <c r="J84" i="4"/>
  <c r="E81" i="4"/>
  <c r="N20" i="6"/>
  <c r="I117" i="6"/>
  <c r="H117" i="6"/>
  <c r="G117" i="6"/>
  <c r="D117" i="6"/>
  <c r="C117" i="6"/>
  <c r="B117" i="6"/>
  <c r="J62" i="6"/>
  <c r="E82" i="6"/>
  <c r="J116" i="6"/>
  <c r="E116" i="6"/>
  <c r="J115" i="6"/>
  <c r="E115" i="6"/>
  <c r="J70" i="6"/>
  <c r="E94" i="6"/>
  <c r="J96" i="6"/>
  <c r="E114" i="6"/>
  <c r="J114" i="6"/>
  <c r="E113" i="6"/>
  <c r="J113" i="6"/>
  <c r="E112" i="6"/>
  <c r="J112" i="6"/>
  <c r="E111" i="6"/>
  <c r="J111" i="6"/>
  <c r="E110" i="6"/>
  <c r="J95" i="6"/>
  <c r="E93" i="6"/>
  <c r="J69" i="6"/>
  <c r="E67" i="6"/>
  <c r="J65" i="6"/>
  <c r="E63" i="6"/>
  <c r="J94" i="6"/>
  <c r="E92" i="6"/>
  <c r="J110" i="6"/>
  <c r="E109" i="6"/>
  <c r="J85" i="6"/>
  <c r="E81" i="6"/>
  <c r="J109" i="6"/>
  <c r="E108" i="6"/>
  <c r="J93" i="6"/>
  <c r="E91" i="6"/>
  <c r="J76" i="6"/>
  <c r="E73" i="6"/>
  <c r="J64" i="6"/>
  <c r="E62" i="6"/>
  <c r="J84" i="6"/>
  <c r="E80" i="6"/>
  <c r="J73" i="6"/>
  <c r="E70" i="6"/>
  <c r="J66" i="6"/>
  <c r="E64" i="6"/>
  <c r="J77" i="6"/>
  <c r="E107" i="6"/>
  <c r="J92" i="6"/>
  <c r="E90" i="6"/>
  <c r="J108" i="6"/>
  <c r="E106" i="6"/>
  <c r="J83" i="6"/>
  <c r="E79" i="6"/>
  <c r="J91" i="6"/>
  <c r="E89" i="6"/>
  <c r="J107" i="6"/>
  <c r="E105" i="6"/>
  <c r="J63" i="6"/>
  <c r="E88" i="6"/>
  <c r="J106" i="6"/>
  <c r="E104" i="6"/>
  <c r="J90" i="6"/>
  <c r="E87" i="6"/>
  <c r="J75" i="6"/>
  <c r="E72" i="6"/>
  <c r="J89" i="6"/>
  <c r="E86" i="6"/>
  <c r="J72" i="6"/>
  <c r="E69" i="6"/>
  <c r="J68" i="6"/>
  <c r="E66" i="6"/>
  <c r="J105" i="6"/>
  <c r="E103" i="6"/>
  <c r="J67" i="6"/>
  <c r="E65" i="6"/>
  <c r="J104" i="6"/>
  <c r="E102" i="6"/>
  <c r="J74" i="6"/>
  <c r="E71" i="6"/>
  <c r="J82" i="6"/>
  <c r="E78" i="6"/>
  <c r="J88" i="6"/>
  <c r="E85" i="6"/>
  <c r="J87" i="6"/>
  <c r="E84" i="6"/>
  <c r="J81" i="6"/>
  <c r="E77" i="6"/>
  <c r="J80" i="6"/>
  <c r="E76" i="6"/>
  <c r="J103" i="6"/>
  <c r="E101" i="6"/>
  <c r="J102" i="6"/>
  <c r="E100" i="6"/>
  <c r="J101" i="6"/>
  <c r="E99" i="6"/>
  <c r="J79" i="6"/>
  <c r="E75" i="6"/>
  <c r="J100" i="6"/>
  <c r="E98" i="6"/>
  <c r="J86" i="6"/>
  <c r="E83" i="6"/>
  <c r="J71" i="6"/>
  <c r="E68" i="6"/>
  <c r="J78" i="6"/>
  <c r="E74" i="6"/>
  <c r="J99" i="6"/>
  <c r="E97" i="6"/>
  <c r="J98" i="6"/>
  <c r="E96" i="6"/>
  <c r="J97" i="6"/>
  <c r="E95" i="6"/>
  <c r="I115" i="14"/>
  <c r="H115" i="14"/>
  <c r="G115" i="14"/>
  <c r="J115" i="14" s="1"/>
  <c r="D115" i="14"/>
  <c r="C115" i="14"/>
  <c r="B115" i="14"/>
  <c r="E115" i="14" s="1"/>
  <c r="J114" i="14"/>
  <c r="E114" i="14"/>
  <c r="J113" i="14"/>
  <c r="E113" i="14"/>
  <c r="J79" i="14"/>
  <c r="E77" i="14"/>
  <c r="J98" i="14"/>
  <c r="E96" i="14"/>
  <c r="J88" i="14"/>
  <c r="E85" i="14"/>
  <c r="J112" i="14"/>
  <c r="E112" i="14"/>
  <c r="J70" i="14"/>
  <c r="E67" i="14"/>
  <c r="J74" i="14"/>
  <c r="E70" i="14"/>
  <c r="J111" i="14"/>
  <c r="E111" i="14"/>
  <c r="J87" i="14"/>
  <c r="E84" i="14"/>
  <c r="J97" i="14"/>
  <c r="E95" i="14"/>
  <c r="J66" i="14"/>
  <c r="E63" i="14"/>
  <c r="J110" i="14"/>
  <c r="E110" i="14"/>
  <c r="J73" i="14"/>
  <c r="E76" i="14"/>
  <c r="J86" i="14"/>
  <c r="E83" i="14"/>
  <c r="J85" i="14"/>
  <c r="E82" i="14"/>
  <c r="J109" i="14"/>
  <c r="E109" i="14"/>
  <c r="J78" i="14"/>
  <c r="E75" i="14"/>
  <c r="J96" i="14"/>
  <c r="E94" i="14"/>
  <c r="J65" i="14"/>
  <c r="E62" i="14"/>
  <c r="J80" i="14"/>
  <c r="E93" i="14"/>
  <c r="J108" i="14"/>
  <c r="E108" i="14"/>
  <c r="J95" i="14"/>
  <c r="E92" i="14"/>
  <c r="J94" i="14"/>
  <c r="E91" i="14"/>
  <c r="J63" i="14"/>
  <c r="E107" i="14"/>
  <c r="J69" i="14"/>
  <c r="E66" i="14"/>
  <c r="J107" i="14"/>
  <c r="E106" i="14"/>
  <c r="J93" i="14"/>
  <c r="E90" i="14"/>
  <c r="J106" i="14"/>
  <c r="E105" i="14"/>
  <c r="J77" i="14"/>
  <c r="E74" i="14"/>
  <c r="J105" i="14"/>
  <c r="E104" i="14"/>
  <c r="J84" i="14"/>
  <c r="E81" i="14"/>
  <c r="J76" i="14"/>
  <c r="E73" i="14"/>
  <c r="J72" i="14"/>
  <c r="E69" i="14"/>
  <c r="J104" i="14"/>
  <c r="E103" i="14"/>
  <c r="J61" i="14"/>
  <c r="E102" i="14"/>
  <c r="J75" i="14"/>
  <c r="E72" i="14"/>
  <c r="J103" i="14"/>
  <c r="E101" i="14"/>
  <c r="J83" i="14"/>
  <c r="E80" i="14"/>
  <c r="J92" i="14"/>
  <c r="E89" i="14"/>
  <c r="J68" i="14"/>
  <c r="E65" i="14"/>
  <c r="J102" i="14"/>
  <c r="E100" i="14"/>
  <c r="J91" i="14"/>
  <c r="E88" i="14"/>
  <c r="J101" i="14"/>
  <c r="E99" i="14"/>
  <c r="J82" i="14"/>
  <c r="E79" i="14"/>
  <c r="J90" i="14"/>
  <c r="E87" i="14"/>
  <c r="J62" i="14"/>
  <c r="E61" i="14"/>
  <c r="J64" i="14"/>
  <c r="E71" i="14"/>
  <c r="J100" i="14"/>
  <c r="E98" i="14"/>
  <c r="J89" i="14"/>
  <c r="E86" i="14"/>
  <c r="J67" i="14"/>
  <c r="E64" i="14"/>
  <c r="J71" i="14"/>
  <c r="E68" i="14"/>
  <c r="J99" i="14"/>
  <c r="E97" i="14"/>
  <c r="J81" i="14"/>
  <c r="E78" i="14"/>
  <c r="Q12" i="1"/>
  <c r="Q7" i="10"/>
  <c r="J18" i="10"/>
  <c r="N6" i="9"/>
  <c r="Q4" i="14"/>
  <c r="I111" i="3"/>
  <c r="H111" i="3"/>
  <c r="G111" i="3"/>
  <c r="J111" i="3" s="1"/>
  <c r="D111" i="3"/>
  <c r="C111" i="3"/>
  <c r="B111" i="3"/>
  <c r="E111" i="3" s="1"/>
  <c r="J94" i="3"/>
  <c r="E92" i="3"/>
  <c r="J80" i="3"/>
  <c r="E78" i="3"/>
  <c r="J71" i="3"/>
  <c r="E69" i="3"/>
  <c r="J66" i="3"/>
  <c r="E64" i="3"/>
  <c r="J70" i="3"/>
  <c r="E68" i="3"/>
  <c r="J110" i="3"/>
  <c r="E110" i="3"/>
  <c r="J109" i="3"/>
  <c r="E109" i="3"/>
  <c r="J108" i="3"/>
  <c r="E108" i="3"/>
  <c r="J62" i="3"/>
  <c r="E60" i="3"/>
  <c r="J93" i="3"/>
  <c r="E91" i="3"/>
  <c r="J107" i="3"/>
  <c r="E107" i="3"/>
  <c r="J106" i="3"/>
  <c r="E106" i="3"/>
  <c r="J105" i="3"/>
  <c r="E105" i="3"/>
  <c r="J104" i="3"/>
  <c r="E104" i="3"/>
  <c r="J79" i="3"/>
  <c r="E77" i="3"/>
  <c r="J92" i="3"/>
  <c r="E90" i="3"/>
  <c r="J91" i="3"/>
  <c r="E89" i="3"/>
  <c r="J103" i="3"/>
  <c r="E103" i="3"/>
  <c r="J69" i="3"/>
  <c r="E67" i="3"/>
  <c r="J68" i="3"/>
  <c r="E66" i="3"/>
  <c r="J90" i="3"/>
  <c r="E88" i="3"/>
  <c r="J63" i="3"/>
  <c r="E61" i="3"/>
  <c r="J78" i="3"/>
  <c r="E76" i="3"/>
  <c r="J77" i="3"/>
  <c r="E75" i="3"/>
  <c r="J89" i="3"/>
  <c r="E87" i="3"/>
  <c r="J65" i="3"/>
  <c r="E63" i="3"/>
  <c r="J88" i="3"/>
  <c r="E86" i="3"/>
  <c r="J102" i="3"/>
  <c r="E102" i="3"/>
  <c r="J87" i="3"/>
  <c r="E85" i="3"/>
  <c r="J101" i="3"/>
  <c r="E101" i="3"/>
  <c r="J76" i="3"/>
  <c r="E74" i="3"/>
  <c r="J100" i="3"/>
  <c r="E100" i="3"/>
  <c r="J86" i="3"/>
  <c r="E84" i="3"/>
  <c r="J75" i="3"/>
  <c r="E73" i="3"/>
  <c r="J85" i="3"/>
  <c r="E83" i="3"/>
  <c r="J84" i="3"/>
  <c r="E82" i="3"/>
  <c r="J64" i="3"/>
  <c r="E62" i="3"/>
  <c r="J74" i="3"/>
  <c r="E72" i="3"/>
  <c r="J83" i="3"/>
  <c r="E81" i="3"/>
  <c r="J99" i="3"/>
  <c r="E99" i="3"/>
  <c r="J59" i="3"/>
  <c r="E98" i="3"/>
  <c r="J98" i="3"/>
  <c r="E97" i="3"/>
  <c r="J82" i="3"/>
  <c r="E80" i="3"/>
  <c r="J73" i="3"/>
  <c r="E71" i="3"/>
  <c r="J97" i="3"/>
  <c r="E96" i="3"/>
  <c r="J96" i="3"/>
  <c r="E95" i="3"/>
  <c r="J60" i="3"/>
  <c r="E94" i="3"/>
  <c r="J72" i="3"/>
  <c r="E70" i="3"/>
  <c r="J81" i="3"/>
  <c r="E79" i="3"/>
  <c r="J61" i="3"/>
  <c r="E59" i="3"/>
  <c r="J95" i="3"/>
  <c r="E93" i="3"/>
  <c r="J67" i="3"/>
  <c r="E65" i="3"/>
  <c r="F146" i="13"/>
  <c r="C129" i="13"/>
  <c r="J12" i="3"/>
  <c r="E12" i="3"/>
  <c r="F206" i="13"/>
  <c r="C196" i="13"/>
  <c r="N10" i="2"/>
  <c r="F210" i="13"/>
  <c r="C316" i="13"/>
  <c r="J21" i="13"/>
  <c r="I21" i="13"/>
  <c r="K21" i="13" s="1"/>
  <c r="N7" i="11"/>
  <c r="J27" i="11"/>
  <c r="E27" i="11"/>
  <c r="F162" i="13"/>
  <c r="C147" i="13"/>
  <c r="J25" i="11"/>
  <c r="E25" i="11"/>
  <c r="Q9" i="2"/>
  <c r="N4" i="3"/>
  <c r="Q6" i="14"/>
  <c r="F127" i="13"/>
  <c r="C115" i="13"/>
  <c r="F147" i="16"/>
  <c r="C128" i="16"/>
  <c r="F215" i="16"/>
  <c r="C201" i="16"/>
  <c r="F101" i="16"/>
  <c r="C81" i="16"/>
  <c r="F146" i="16"/>
  <c r="C127" i="16"/>
  <c r="F150" i="16"/>
  <c r="C131" i="16"/>
  <c r="F187" i="16"/>
  <c r="C171" i="16"/>
  <c r="F209" i="16"/>
  <c r="C195" i="16"/>
  <c r="F195" i="16"/>
  <c r="C180" i="16"/>
  <c r="F392" i="13"/>
  <c r="C391" i="13"/>
  <c r="F411" i="13"/>
  <c r="C410" i="13"/>
  <c r="J44" i="1"/>
  <c r="E44" i="1"/>
  <c r="Q6" i="5"/>
  <c r="J31" i="5"/>
  <c r="E31" i="5"/>
  <c r="F115" i="16"/>
  <c r="C92" i="16"/>
  <c r="F166" i="16"/>
  <c r="C148" i="16"/>
  <c r="F138" i="16"/>
  <c r="C118" i="16"/>
  <c r="J41" i="16"/>
  <c r="I41" i="16"/>
  <c r="K41" i="16" s="1"/>
  <c r="J36" i="16"/>
  <c r="I36" i="16"/>
  <c r="J32" i="16"/>
  <c r="I32" i="16"/>
  <c r="J28" i="16"/>
  <c r="I28" i="16"/>
  <c r="K28" i="16" s="1"/>
  <c r="J27" i="16"/>
  <c r="I27" i="16"/>
  <c r="K27" i="16" s="1"/>
  <c r="N34" i="14"/>
  <c r="F129" i="16"/>
  <c r="C107" i="16"/>
  <c r="F180" i="16"/>
  <c r="C163" i="16"/>
  <c r="F154" i="16"/>
  <c r="C136" i="16"/>
  <c r="F145" i="16"/>
  <c r="C126" i="16"/>
  <c r="F208" i="16"/>
  <c r="C194" i="16"/>
  <c r="J28" i="3"/>
  <c r="E28" i="3"/>
  <c r="F185" i="16"/>
  <c r="C169" i="16"/>
  <c r="F179" i="16"/>
  <c r="C162" i="16"/>
  <c r="F71" i="16"/>
  <c r="C49" i="16"/>
  <c r="F188" i="16"/>
  <c r="C172" i="16"/>
  <c r="F211" i="16"/>
  <c r="C197" i="16"/>
  <c r="F181" i="16"/>
  <c r="C164" i="16"/>
  <c r="F128" i="16"/>
  <c r="C106" i="16"/>
  <c r="F228" i="16"/>
  <c r="C513" i="16"/>
  <c r="F133" i="16"/>
  <c r="C112" i="16"/>
  <c r="F113" i="16"/>
  <c r="C89" i="16"/>
  <c r="F192" i="16"/>
  <c r="C177" i="16"/>
  <c r="F76" i="16"/>
  <c r="C54" i="16"/>
  <c r="N38" i="6"/>
  <c r="Q11" i="6"/>
  <c r="F222" i="16"/>
  <c r="C209" i="16"/>
  <c r="F223" i="16"/>
  <c r="C210" i="16"/>
  <c r="F198" i="16"/>
  <c r="C183" i="16"/>
  <c r="J40" i="16"/>
  <c r="I40" i="16"/>
  <c r="K40" i="16" s="1"/>
  <c r="J39" i="13"/>
  <c r="I39" i="13"/>
  <c r="N29" i="4"/>
  <c r="F210" i="16"/>
  <c r="C196" i="16"/>
  <c r="F90" i="16"/>
  <c r="C68" i="16"/>
  <c r="F59" i="16"/>
  <c r="C73" i="16"/>
  <c r="F103" i="16"/>
  <c r="C83" i="16"/>
  <c r="J42" i="16"/>
  <c r="I42" i="16"/>
  <c r="N35" i="3"/>
  <c r="N32" i="3"/>
  <c r="Q4" i="3"/>
  <c r="F136" i="16"/>
  <c r="C115" i="16"/>
  <c r="F34" i="16"/>
  <c r="C86" i="16"/>
  <c r="F53" i="16"/>
  <c r="C34" i="16"/>
  <c r="F117" i="16"/>
  <c r="C95" i="16"/>
  <c r="F82" i="16"/>
  <c r="C59" i="16"/>
  <c r="F98" i="16"/>
  <c r="C78" i="16"/>
  <c r="F212" i="16"/>
  <c r="C198" i="16"/>
  <c r="J44" i="9"/>
  <c r="E44" i="9"/>
  <c r="F160" i="16"/>
  <c r="C142" i="16"/>
  <c r="F142" i="16"/>
  <c r="C123" i="16"/>
  <c r="Q5" i="11"/>
  <c r="F186" i="16"/>
  <c r="C170" i="16"/>
  <c r="N37" i="5"/>
  <c r="F206" i="16"/>
  <c r="C192" i="16"/>
  <c r="F31" i="16"/>
  <c r="C16" i="16"/>
  <c r="N31" i="14"/>
  <c r="F60" i="16"/>
  <c r="C151" i="16"/>
  <c r="F191" i="16"/>
  <c r="C176" i="16"/>
  <c r="F46" i="16"/>
  <c r="C27" i="16"/>
  <c r="J25" i="16"/>
  <c r="I25" i="16"/>
  <c r="K25" i="16" s="1"/>
  <c r="J43" i="13"/>
  <c r="I43" i="13"/>
  <c r="N36" i="1"/>
  <c r="F110" i="16"/>
  <c r="C84" i="16"/>
  <c r="F61" i="16"/>
  <c r="C467" i="16"/>
  <c r="F33" i="16"/>
  <c r="C18" i="16"/>
  <c r="F107" i="16"/>
  <c r="C174" i="16"/>
  <c r="F111" i="16"/>
  <c r="C85" i="16"/>
  <c r="F225" i="16"/>
  <c r="C213" i="16"/>
  <c r="F474" i="13"/>
  <c r="C474" i="13"/>
  <c r="J56" i="4"/>
  <c r="E56" i="4"/>
  <c r="I57" i="4"/>
  <c r="H57" i="4"/>
  <c r="G57" i="4"/>
  <c r="D57" i="4"/>
  <c r="C57" i="4"/>
  <c r="B57" i="4"/>
  <c r="J10" i="16"/>
  <c r="I10" i="16"/>
  <c r="J59" i="13"/>
  <c r="I59" i="13"/>
  <c r="N38" i="1"/>
  <c r="F203" i="16"/>
  <c r="C189" i="16"/>
  <c r="F22" i="16"/>
  <c r="F172" i="16"/>
  <c r="F56" i="16"/>
  <c r="C458" i="16"/>
  <c r="C155" i="16"/>
  <c r="C38" i="16"/>
  <c r="F418" i="13"/>
  <c r="F370" i="13"/>
  <c r="F441" i="13"/>
  <c r="C417" i="13"/>
  <c r="C367" i="13"/>
  <c r="C440" i="13"/>
  <c r="J45" i="1"/>
  <c r="E45" i="1"/>
  <c r="J32" i="1"/>
  <c r="E32" i="1"/>
  <c r="J53" i="1"/>
  <c r="E53" i="1"/>
  <c r="F118" i="16"/>
  <c r="C96" i="16"/>
  <c r="F235" i="13"/>
  <c r="C225" i="13"/>
  <c r="J8" i="10"/>
  <c r="E8" i="10"/>
  <c r="F120" i="16"/>
  <c r="C98" i="16"/>
  <c r="F86" i="16"/>
  <c r="C64" i="16"/>
  <c r="F183" i="16"/>
  <c r="C166" i="16"/>
  <c r="F175" i="16"/>
  <c r="F164" i="16"/>
  <c r="F37" i="16"/>
  <c r="C158" i="16"/>
  <c r="C146" i="16"/>
  <c r="C19" i="16"/>
  <c r="F372" i="13"/>
  <c r="F353" i="13"/>
  <c r="F229" i="13"/>
  <c r="C369" i="13"/>
  <c r="C350" i="13"/>
  <c r="C218" i="13"/>
  <c r="J35" i="4"/>
  <c r="E35" i="4"/>
  <c r="J31" i="4"/>
  <c r="E31" i="4"/>
  <c r="J6" i="4"/>
  <c r="E6" i="4"/>
  <c r="F220" i="16"/>
  <c r="C207" i="16"/>
  <c r="F99" i="16"/>
  <c r="C79" i="16"/>
  <c r="F162" i="16"/>
  <c r="C144" i="16"/>
  <c r="F343" i="13"/>
  <c r="C340" i="13"/>
  <c r="J33" i="14"/>
  <c r="E33" i="14"/>
  <c r="F68" i="16"/>
  <c r="C46" i="16"/>
  <c r="F89" i="16"/>
  <c r="C67" i="16"/>
  <c r="F94" i="16"/>
  <c r="C74" i="16"/>
  <c r="N28" i="11"/>
  <c r="F226" i="16"/>
  <c r="C333" i="16"/>
  <c r="F91" i="16"/>
  <c r="C69" i="16"/>
  <c r="F121" i="16"/>
  <c r="C99" i="16"/>
  <c r="F194" i="16"/>
  <c r="C179" i="16"/>
  <c r="F190" i="16"/>
  <c r="C175" i="16"/>
  <c r="F165" i="16"/>
  <c r="C147" i="16"/>
  <c r="F87" i="16"/>
  <c r="C65" i="16"/>
  <c r="C87" i="16"/>
  <c r="F112" i="16"/>
  <c r="F85" i="16"/>
  <c r="C63" i="16"/>
  <c r="J101" i="2" l="1"/>
  <c r="E101" i="2"/>
  <c r="K32" i="16"/>
  <c r="J103" i="10"/>
  <c r="J101" i="9"/>
  <c r="E101" i="9"/>
  <c r="J119" i="1"/>
  <c r="J105" i="11"/>
  <c r="E105" i="11"/>
  <c r="J117" i="6"/>
  <c r="E117" i="6"/>
  <c r="K10" i="16"/>
  <c r="K36" i="16"/>
  <c r="K42" i="16"/>
  <c r="J14" i="16" l="1"/>
  <c r="I14" i="16"/>
  <c r="F217" i="16"/>
  <c r="C203" i="16"/>
  <c r="F65" i="16"/>
  <c r="C43" i="16"/>
  <c r="F454" i="13"/>
  <c r="C453" i="13"/>
  <c r="J47" i="10"/>
  <c r="E47" i="10"/>
  <c r="N34" i="2"/>
  <c r="F13" i="16"/>
  <c r="C60" i="16"/>
  <c r="F178" i="16"/>
  <c r="C161" i="16"/>
  <c r="F159" i="16"/>
  <c r="C141" i="16"/>
  <c r="F79" i="16"/>
  <c r="C56" i="16"/>
  <c r="J17" i="16"/>
  <c r="I17" i="16"/>
  <c r="N33" i="5"/>
  <c r="F171" i="16"/>
  <c r="C154" i="16"/>
  <c r="F216" i="16"/>
  <c r="C202" i="16"/>
  <c r="F35" i="16"/>
  <c r="C167" i="16"/>
  <c r="F174" i="16"/>
  <c r="C157" i="16"/>
  <c r="F219" i="16"/>
  <c r="C206" i="16"/>
  <c r="F20" i="16"/>
  <c r="C11" i="16"/>
  <c r="K14" i="16" l="1"/>
  <c r="K17" i="16"/>
  <c r="F202" i="16" l="1"/>
  <c r="C187" i="16"/>
  <c r="F114" i="16"/>
  <c r="C90" i="16"/>
  <c r="F218" i="16"/>
  <c r="C204" i="16"/>
  <c r="F456" i="13"/>
  <c r="C455" i="13"/>
  <c r="J53" i="14"/>
  <c r="E53" i="14"/>
  <c r="J43" i="16"/>
  <c r="I43" i="16"/>
  <c r="J23" i="16"/>
  <c r="I23" i="16"/>
  <c r="AN29" i="11"/>
  <c r="N29" i="11"/>
  <c r="E28" i="11"/>
  <c r="J28" i="11"/>
  <c r="N26" i="11"/>
  <c r="F231" i="16"/>
  <c r="C261" i="16"/>
  <c r="F143" i="16"/>
  <c r="C124" i="16"/>
  <c r="C102" i="16"/>
  <c r="F124" i="16"/>
  <c r="F259" i="13"/>
  <c r="C250" i="13"/>
  <c r="J11" i="11"/>
  <c r="E11" i="11"/>
  <c r="N5" i="9"/>
  <c r="F72" i="13"/>
  <c r="C54" i="13"/>
  <c r="N5" i="3"/>
  <c r="J40" i="13"/>
  <c r="I40" i="13"/>
  <c r="AQ5" i="10"/>
  <c r="AH5" i="10"/>
  <c r="N14" i="10"/>
  <c r="N26" i="2"/>
  <c r="F152" i="16"/>
  <c r="C134" i="16"/>
  <c r="F321" i="13"/>
  <c r="C317" i="13"/>
  <c r="J17" i="2"/>
  <c r="E17" i="2"/>
  <c r="AT15" i="11"/>
  <c r="N15" i="11"/>
  <c r="N15" i="9"/>
  <c r="AD15" i="9"/>
  <c r="N21" i="5"/>
  <c r="F103" i="13"/>
  <c r="C88" i="13"/>
  <c r="F142" i="13"/>
  <c r="F173" i="13"/>
  <c r="C125" i="13"/>
  <c r="C160" i="13"/>
  <c r="J34" i="3"/>
  <c r="E34" i="3"/>
  <c r="F53" i="13"/>
  <c r="C36" i="13"/>
  <c r="F174" i="13"/>
  <c r="C161" i="13"/>
  <c r="F130" i="13"/>
  <c r="C118" i="13"/>
  <c r="F40" i="13"/>
  <c r="C133" i="13"/>
  <c r="N4" i="1"/>
  <c r="N11" i="6"/>
  <c r="N23" i="2"/>
  <c r="F333" i="13"/>
  <c r="C330" i="13"/>
  <c r="J21" i="2"/>
  <c r="E21" i="2"/>
  <c r="N13" i="11"/>
  <c r="N18" i="6"/>
  <c r="N17" i="4"/>
  <c r="N15" i="3"/>
  <c r="N25" i="2"/>
  <c r="N14" i="11"/>
  <c r="F284" i="16"/>
  <c r="C267" i="16"/>
  <c r="F97" i="13"/>
  <c r="C81" i="13"/>
  <c r="J10" i="11"/>
  <c r="E10" i="11"/>
  <c r="N16" i="3"/>
  <c r="N18" i="9"/>
  <c r="N19" i="1"/>
  <c r="N21" i="6"/>
  <c r="N16" i="4"/>
  <c r="N15" i="4"/>
  <c r="N20" i="5"/>
  <c r="N18" i="5"/>
  <c r="N13" i="14"/>
  <c r="N15" i="14"/>
  <c r="N15" i="10"/>
  <c r="N5" i="14"/>
  <c r="F170" i="13"/>
  <c r="C156" i="13"/>
  <c r="N6" i="10"/>
  <c r="F126" i="13"/>
  <c r="C114" i="13"/>
  <c r="F66" i="16"/>
  <c r="C44" i="16"/>
  <c r="F6" i="16"/>
  <c r="F144" i="16"/>
  <c r="C4" i="16"/>
  <c r="C125" i="16"/>
  <c r="J33" i="16"/>
  <c r="I33" i="16"/>
  <c r="N33" i="2"/>
  <c r="K23" i="16" l="1"/>
  <c r="K43" i="16"/>
  <c r="K33" i="16"/>
  <c r="J32" i="2" l="1"/>
  <c r="E32" i="2"/>
  <c r="J14" i="2"/>
  <c r="E14" i="2"/>
  <c r="F36" i="16"/>
  <c r="C132" i="16"/>
  <c r="F95" i="16"/>
  <c r="C75" i="16"/>
  <c r="F16" i="16"/>
  <c r="C7" i="16"/>
  <c r="F80" i="16" l="1"/>
  <c r="C57" i="16"/>
  <c r="F213" i="16"/>
  <c r="C199" i="16"/>
  <c r="F39" i="16"/>
  <c r="C21" i="16"/>
  <c r="F63" i="16"/>
  <c r="C41" i="16"/>
  <c r="F272" i="13"/>
  <c r="C264" i="13"/>
  <c r="F130" i="16"/>
  <c r="C108" i="16"/>
  <c r="J17" i="14"/>
  <c r="E17" i="14"/>
  <c r="F200" i="16" l="1"/>
  <c r="C185" i="16"/>
  <c r="F78" i="16"/>
  <c r="C120" i="16"/>
  <c r="J57" i="13"/>
  <c r="I57" i="13"/>
  <c r="J5" i="16"/>
  <c r="I5" i="16"/>
  <c r="J37" i="16"/>
  <c r="I37" i="16"/>
  <c r="N34" i="9"/>
  <c r="N33" i="9"/>
  <c r="J38" i="9"/>
  <c r="E38" i="9"/>
  <c r="J13" i="16"/>
  <c r="I13" i="16"/>
  <c r="N34" i="5"/>
  <c r="F64" i="16"/>
  <c r="C42" i="16"/>
  <c r="F104" i="16"/>
  <c r="C205" i="16"/>
  <c r="F7" i="16"/>
  <c r="C35" i="16"/>
  <c r="F49" i="16"/>
  <c r="C30" i="16"/>
  <c r="F163" i="16"/>
  <c r="C145" i="16"/>
  <c r="F125" i="16"/>
  <c r="C103" i="16"/>
  <c r="F204" i="16"/>
  <c r="C190" i="16"/>
  <c r="F45" i="16"/>
  <c r="C26" i="16"/>
  <c r="F347" i="13"/>
  <c r="C344" i="13"/>
  <c r="F260" i="13"/>
  <c r="C251" i="13"/>
  <c r="J34" i="14"/>
  <c r="E34" i="14"/>
  <c r="J14" i="14"/>
  <c r="E14" i="14"/>
  <c r="F18" i="16"/>
  <c r="C9" i="16"/>
  <c r="F182" i="16"/>
  <c r="C165" i="16"/>
  <c r="F205" i="16"/>
  <c r="C191" i="16"/>
  <c r="F432" i="13"/>
  <c r="C431" i="13"/>
  <c r="J48" i="4"/>
  <c r="E48" i="4"/>
  <c r="F70" i="16"/>
  <c r="C48" i="16"/>
  <c r="F54" i="16"/>
  <c r="C36" i="16"/>
  <c r="F155" i="16"/>
  <c r="C137" i="16"/>
  <c r="F48" i="16"/>
  <c r="C29" i="16"/>
  <c r="F168" i="16"/>
  <c r="C150" i="16"/>
  <c r="F327" i="13"/>
  <c r="F380" i="13"/>
  <c r="C324" i="13"/>
  <c r="C378" i="13"/>
  <c r="J29" i="11"/>
  <c r="E29" i="11"/>
  <c r="J36" i="11"/>
  <c r="E36" i="11"/>
  <c r="J24" i="16"/>
  <c r="I24" i="16"/>
  <c r="F229" i="16"/>
  <c r="C274" i="16"/>
  <c r="F261" i="13"/>
  <c r="C252" i="13"/>
  <c r="N32" i="2"/>
  <c r="J9" i="2"/>
  <c r="E9" i="2"/>
  <c r="J20" i="16"/>
  <c r="I20" i="16"/>
  <c r="N29" i="10"/>
  <c r="F176" i="16"/>
  <c r="C159" i="16"/>
  <c r="F43" i="16"/>
  <c r="C24" i="16"/>
  <c r="F42" i="16"/>
  <c r="C304" i="16"/>
  <c r="F69" i="16"/>
  <c r="F55" i="16"/>
  <c r="C37" i="16"/>
  <c r="F184" i="16"/>
  <c r="C168" i="16"/>
  <c r="F106" i="16"/>
  <c r="C117" i="16"/>
  <c r="F139" i="16"/>
  <c r="C119" i="16"/>
  <c r="F81" i="16"/>
  <c r="C58" i="16"/>
  <c r="F297" i="13"/>
  <c r="C292" i="13"/>
  <c r="J26" i="3"/>
  <c r="E26" i="3"/>
  <c r="F100" i="16"/>
  <c r="C80" i="16"/>
  <c r="F126" i="16"/>
  <c r="F83" i="16"/>
  <c r="C61" i="16"/>
  <c r="F332" i="13"/>
  <c r="C329" i="13"/>
  <c r="J31" i="3"/>
  <c r="E31" i="3"/>
  <c r="F207" i="16"/>
  <c r="C193" i="16"/>
  <c r="F149" i="16"/>
  <c r="C130" i="16"/>
  <c r="F415" i="13"/>
  <c r="C414" i="13"/>
  <c r="F197" i="16"/>
  <c r="C182" i="16"/>
  <c r="J40" i="10"/>
  <c r="E40" i="10"/>
  <c r="F221" i="16"/>
  <c r="C208" i="16"/>
  <c r="F464" i="13"/>
  <c r="C464" i="13"/>
  <c r="J49" i="10"/>
  <c r="E49" i="10"/>
  <c r="K20" i="16" l="1"/>
  <c r="K37" i="16"/>
  <c r="K5" i="16"/>
  <c r="K24" i="16"/>
  <c r="K13" i="16"/>
  <c r="J8" i="16" l="1"/>
  <c r="I8" i="16"/>
  <c r="N33" i="4"/>
  <c r="F23" i="16"/>
  <c r="C188" i="16"/>
  <c r="F75" i="16"/>
  <c r="C53" i="16"/>
  <c r="F156" i="16"/>
  <c r="C138" i="16"/>
  <c r="F73" i="16"/>
  <c r="C51" i="16"/>
  <c r="F11" i="16"/>
  <c r="C72" i="16"/>
  <c r="F199" i="16"/>
  <c r="C184" i="16"/>
  <c r="F119" i="16"/>
  <c r="C97" i="16"/>
  <c r="F140" i="16"/>
  <c r="C121" i="16"/>
  <c r="F394" i="13"/>
  <c r="C393" i="13"/>
  <c r="J31" i="9"/>
  <c r="E31" i="9"/>
  <c r="F27" i="16"/>
  <c r="C88" i="16"/>
  <c r="F77" i="16"/>
  <c r="C55" i="16"/>
  <c r="K8" i="16" l="1"/>
  <c r="J16" i="16"/>
  <c r="I16" i="16"/>
  <c r="F40" i="16"/>
  <c r="C22" i="16"/>
  <c r="F17" i="16"/>
  <c r="C8" i="16"/>
  <c r="F12" i="16"/>
  <c r="C6" i="16"/>
  <c r="F201" i="16"/>
  <c r="C186" i="16"/>
  <c r="F32" i="16"/>
  <c r="C17" i="16"/>
  <c r="F14" i="16"/>
  <c r="C111" i="16"/>
  <c r="N34" i="1"/>
  <c r="J30" i="16"/>
  <c r="I30" i="16"/>
  <c r="J31" i="16"/>
  <c r="I31" i="16"/>
  <c r="J65" i="13"/>
  <c r="I65" i="13"/>
  <c r="N37" i="6"/>
  <c r="F116" i="16"/>
  <c r="C94" i="16"/>
  <c r="F227" i="16"/>
  <c r="C511" i="16"/>
  <c r="F44" i="16"/>
  <c r="C25" i="16"/>
  <c r="J53" i="6"/>
  <c r="E53" i="6"/>
  <c r="J8" i="6"/>
  <c r="E8" i="6"/>
  <c r="F202" i="13"/>
  <c r="C192" i="13"/>
  <c r="K30" i="16" l="1"/>
  <c r="K16" i="16"/>
  <c r="K31" i="16"/>
  <c r="N7" i="2" l="1"/>
  <c r="F128" i="13"/>
  <c r="C116" i="13"/>
  <c r="F153" i="13"/>
  <c r="C137" i="13"/>
  <c r="F114" i="13"/>
  <c r="C99" i="13"/>
  <c r="F450" i="13"/>
  <c r="C449" i="13"/>
  <c r="F440" i="13"/>
  <c r="C439" i="13"/>
  <c r="F83" i="13"/>
  <c r="C66" i="13"/>
  <c r="F428" i="13"/>
  <c r="C427" i="13"/>
  <c r="F404" i="13"/>
  <c r="C403" i="13"/>
  <c r="F190" i="13"/>
  <c r="F189" i="13"/>
  <c r="C177" i="13"/>
  <c r="C176" i="13"/>
  <c r="F386" i="13"/>
  <c r="F385" i="13"/>
  <c r="C384" i="13"/>
  <c r="C383" i="13"/>
  <c r="F116" i="13"/>
  <c r="C101" i="13"/>
  <c r="F364" i="13"/>
  <c r="C361" i="13"/>
  <c r="F344" i="13"/>
  <c r="C341" i="13"/>
  <c r="F319" i="13"/>
  <c r="C314" i="13"/>
  <c r="F159" i="13"/>
  <c r="F301" i="13"/>
  <c r="C144" i="13"/>
  <c r="C296" i="13"/>
  <c r="F294" i="13"/>
  <c r="C288" i="13"/>
  <c r="F280" i="13"/>
  <c r="F278" i="13"/>
  <c r="F277" i="13"/>
  <c r="F275" i="13"/>
  <c r="C272" i="13"/>
  <c r="C270" i="13"/>
  <c r="C269" i="13"/>
  <c r="C267" i="13"/>
  <c r="C254" i="13"/>
  <c r="F246" i="13"/>
  <c r="C237" i="13"/>
  <c r="F230" i="13"/>
  <c r="C219" i="13"/>
  <c r="F216" i="13"/>
  <c r="C204" i="13"/>
  <c r="F185" i="13"/>
  <c r="F117" i="13"/>
  <c r="C172" i="13"/>
  <c r="C102" i="13"/>
  <c r="F152" i="13"/>
  <c r="J45" i="13"/>
  <c r="I45" i="13"/>
  <c r="C136" i="13"/>
  <c r="F107" i="13"/>
  <c r="F11" i="13"/>
  <c r="C92" i="13"/>
  <c r="J13" i="11"/>
  <c r="E13" i="11"/>
  <c r="J33" i="11"/>
  <c r="E33" i="11"/>
  <c r="F157" i="13" l="1"/>
  <c r="C141" i="13"/>
  <c r="N10" i="4"/>
  <c r="F177" i="13" l="1"/>
  <c r="C164" i="13"/>
  <c r="N12" i="1"/>
  <c r="AD34" i="5"/>
  <c r="AS27" i="5"/>
  <c r="AM27" i="5"/>
  <c r="AD27" i="5"/>
  <c r="N5" i="5" l="1"/>
  <c r="F60" i="13"/>
  <c r="C386" i="13"/>
  <c r="N10" i="9"/>
  <c r="F35" i="13" l="1"/>
  <c r="C21" i="13"/>
  <c r="F37" i="13"/>
  <c r="C23" i="13"/>
  <c r="N12" i="6"/>
  <c r="N6" i="4"/>
  <c r="J6" i="13"/>
  <c r="I6" i="13"/>
  <c r="N6" i="5"/>
  <c r="F52" i="13"/>
  <c r="C35" i="13"/>
  <c r="F20" i="13"/>
  <c r="C158" i="13"/>
  <c r="J34" i="13"/>
  <c r="I34" i="13"/>
  <c r="N11" i="5"/>
  <c r="N4" i="5"/>
  <c r="K6" i="13" l="1"/>
  <c r="K34" i="13"/>
  <c r="J19" i="13"/>
  <c r="I19" i="13"/>
  <c r="N9" i="6"/>
  <c r="N7" i="6"/>
  <c r="K19" i="13" l="1"/>
  <c r="N9" i="2" l="1"/>
  <c r="N4" i="9"/>
  <c r="F23" i="13"/>
  <c r="C11" i="13"/>
  <c r="J42" i="9"/>
  <c r="E42" i="9"/>
  <c r="J15" i="13"/>
  <c r="I15" i="13"/>
  <c r="N6" i="14"/>
  <c r="N4" i="14"/>
  <c r="F5" i="13"/>
  <c r="C287" i="13"/>
  <c r="J21" i="14"/>
  <c r="E21" i="14"/>
  <c r="F13" i="13"/>
  <c r="C4" i="13"/>
  <c r="J10" i="14"/>
  <c r="E10" i="14"/>
  <c r="J35" i="13"/>
  <c r="I35" i="13"/>
  <c r="AT13" i="11"/>
  <c r="K15" i="13" l="1"/>
  <c r="K35" i="13"/>
  <c r="N5" i="11" l="1"/>
  <c r="N4" i="11"/>
  <c r="N7" i="4"/>
  <c r="N5" i="1"/>
  <c r="N13" i="1"/>
  <c r="F194" i="13" l="1"/>
  <c r="C184" i="13"/>
  <c r="J48" i="1"/>
  <c r="E48" i="1"/>
  <c r="C232" i="13"/>
  <c r="F16" i="13"/>
  <c r="N6" i="3"/>
  <c r="F49" i="13" l="1"/>
  <c r="C32" i="13"/>
  <c r="C211" i="16"/>
  <c r="C486" i="16"/>
  <c r="C468" i="16"/>
  <c r="C409" i="16"/>
  <c r="C398" i="16"/>
  <c r="C382" i="16"/>
  <c r="C371" i="16"/>
  <c r="C314" i="16"/>
  <c r="C287" i="16"/>
  <c r="C278" i="16"/>
  <c r="C253" i="16"/>
  <c r="C93" i="16"/>
  <c r="C91" i="16"/>
  <c r="C230" i="16"/>
  <c r="F233" i="16"/>
  <c r="F232" i="16"/>
  <c r="F25" i="16"/>
  <c r="F230" i="16"/>
  <c r="F8" i="16"/>
  <c r="F105" i="16"/>
  <c r="F24" i="16"/>
  <c r="F224" i="16"/>
  <c r="F10" i="16"/>
  <c r="F214" i="16"/>
  <c r="F58" i="16"/>
  <c r="F57" i="16"/>
  <c r="F97" i="16"/>
  <c r="F96" i="16"/>
  <c r="F196" i="16"/>
  <c r="F193" i="16"/>
  <c r="C212" i="16"/>
  <c r="F51" i="16"/>
  <c r="C5" i="16"/>
  <c r="F50" i="16"/>
  <c r="C200" i="16"/>
  <c r="F189" i="16"/>
  <c r="C40" i="16"/>
  <c r="F93" i="16"/>
  <c r="C39" i="16"/>
  <c r="F92" i="16"/>
  <c r="C77" i="16"/>
  <c r="F88" i="16"/>
  <c r="C76" i="16"/>
  <c r="F177" i="16"/>
  <c r="C181" i="16"/>
  <c r="F173" i="16"/>
  <c r="C178" i="16"/>
  <c r="F170" i="16"/>
  <c r="C32" i="16"/>
  <c r="F169" i="16"/>
  <c r="C31" i="16"/>
  <c r="F167" i="16"/>
  <c r="C173" i="16"/>
  <c r="C71" i="16"/>
  <c r="F47" i="16"/>
  <c r="C70" i="16"/>
  <c r="F29" i="16"/>
  <c r="C66" i="16"/>
  <c r="F19" i="16"/>
  <c r="C160" i="16"/>
  <c r="F161" i="16"/>
  <c r="C156" i="16"/>
  <c r="F158" i="16"/>
  <c r="C153" i="16"/>
  <c r="F157" i="16"/>
  <c r="C152" i="16"/>
  <c r="F153" i="16"/>
  <c r="C149" i="16"/>
  <c r="F151" i="16"/>
  <c r="F148" i="16"/>
  <c r="C28" i="16"/>
  <c r="F141" i="16"/>
  <c r="C14" i="16"/>
  <c r="F137" i="16"/>
  <c r="C10" i="16"/>
  <c r="F135" i="16"/>
  <c r="C143" i="16"/>
  <c r="F134" i="16"/>
  <c r="C140" i="16"/>
  <c r="F132" i="16"/>
  <c r="C139" i="16"/>
  <c r="F131" i="16"/>
  <c r="C135" i="16"/>
  <c r="F74" i="16"/>
  <c r="C133" i="16"/>
  <c r="F127" i="16"/>
  <c r="C129" i="16"/>
  <c r="F72" i="16"/>
  <c r="C122" i="16"/>
  <c r="F123" i="16"/>
  <c r="C116" i="16"/>
  <c r="J21" i="16"/>
  <c r="I21" i="16"/>
  <c r="F122" i="16"/>
  <c r="C114" i="16"/>
  <c r="J18" i="16"/>
  <c r="I18" i="16"/>
  <c r="F67" i="16"/>
  <c r="C113" i="16"/>
  <c r="J39" i="16"/>
  <c r="I39" i="16"/>
  <c r="F15" i="16"/>
  <c r="C110" i="16"/>
  <c r="J38" i="16"/>
  <c r="I38" i="16"/>
  <c r="F109" i="16"/>
  <c r="C109" i="16"/>
  <c r="J9" i="16"/>
  <c r="I9" i="16"/>
  <c r="F108" i="16"/>
  <c r="C52" i="16"/>
  <c r="J34" i="16"/>
  <c r="I34" i="16"/>
  <c r="F9" i="16"/>
  <c r="C105" i="16"/>
  <c r="J26" i="16"/>
  <c r="I26" i="16"/>
  <c r="F26" i="16"/>
  <c r="C50" i="16"/>
  <c r="J19" i="16"/>
  <c r="I19" i="16"/>
  <c r="F102" i="16"/>
  <c r="C101" i="16"/>
  <c r="J6" i="16"/>
  <c r="I6" i="16"/>
  <c r="F21" i="16"/>
  <c r="C100" i="16"/>
  <c r="J22" i="16"/>
  <c r="I22" i="16"/>
  <c r="F52" i="16"/>
  <c r="C45" i="16"/>
  <c r="J15" i="16"/>
  <c r="I15" i="16"/>
  <c r="F30" i="16"/>
  <c r="C82" i="16"/>
  <c r="J35" i="16"/>
  <c r="I35" i="16"/>
  <c r="F28" i="16"/>
  <c r="C12" i="16"/>
  <c r="J7" i="16"/>
  <c r="I7" i="16"/>
  <c r="F38" i="16"/>
  <c r="C33" i="16"/>
  <c r="J11" i="16"/>
  <c r="I11" i="16"/>
  <c r="F62" i="16"/>
  <c r="C15" i="16"/>
  <c r="J12" i="16"/>
  <c r="I12" i="16"/>
  <c r="F5" i="16"/>
  <c r="C13" i="16"/>
  <c r="J29" i="16"/>
  <c r="I29" i="16"/>
  <c r="F4" i="16"/>
  <c r="C20" i="16"/>
  <c r="J4" i="16"/>
  <c r="I4" i="16"/>
  <c r="F41" i="16"/>
  <c r="C23" i="16"/>
  <c r="F419" i="13"/>
  <c r="C418" i="13"/>
  <c r="N7" i="10"/>
  <c r="J28" i="10"/>
  <c r="E28" i="10"/>
  <c r="J45" i="10"/>
  <c r="E45" i="10"/>
  <c r="J29" i="10"/>
  <c r="E29" i="10"/>
  <c r="N37" i="2"/>
  <c r="N37" i="1"/>
  <c r="K4" i="16" l="1"/>
  <c r="K6" i="16"/>
  <c r="K39" i="16"/>
  <c r="K22" i="16"/>
  <c r="K7" i="16"/>
  <c r="AE28" i="1"/>
  <c r="AE20" i="1"/>
  <c r="AE19" i="1"/>
  <c r="J31" i="1"/>
  <c r="E31" i="1"/>
  <c r="J34" i="1"/>
  <c r="E34" i="1"/>
  <c r="J24" i="1"/>
  <c r="E24" i="1"/>
  <c r="J23" i="1"/>
  <c r="E23" i="1"/>
  <c r="J21" i="1"/>
  <c r="E21" i="1"/>
  <c r="J7" i="1"/>
  <c r="E7" i="1"/>
  <c r="J56" i="1"/>
  <c r="E56" i="1"/>
  <c r="N38" i="5" l="1"/>
  <c r="J11" i="5"/>
  <c r="E11" i="5"/>
  <c r="J14" i="5"/>
  <c r="J13" i="5"/>
  <c r="J21" i="5"/>
  <c r="E21" i="5"/>
  <c r="J43" i="5"/>
  <c r="E43" i="5"/>
  <c r="J41" i="5"/>
  <c r="E41" i="5"/>
  <c r="F27" i="13"/>
  <c r="C14" i="13"/>
  <c r="J30" i="5"/>
  <c r="E30" i="5"/>
  <c r="E13" i="5"/>
  <c r="J28" i="5"/>
  <c r="E28" i="5"/>
  <c r="J23" i="5"/>
  <c r="E23" i="5"/>
  <c r="J26" i="5"/>
  <c r="E26" i="5"/>
  <c r="J15" i="4"/>
  <c r="E15" i="4"/>
  <c r="J54" i="4"/>
  <c r="E54" i="4"/>
  <c r="J22" i="4"/>
  <c r="E22" i="4"/>
  <c r="J49" i="4"/>
  <c r="E49" i="4"/>
  <c r="J51" i="4"/>
  <c r="E51" i="4"/>
  <c r="J42" i="4"/>
  <c r="E42" i="4"/>
  <c r="N31" i="4"/>
  <c r="K38" i="16" l="1"/>
  <c r="N31" i="9"/>
  <c r="AD23" i="9"/>
  <c r="AD16" i="9"/>
  <c r="J7" i="13"/>
  <c r="I7" i="13"/>
  <c r="J35" i="9"/>
  <c r="E35" i="9"/>
  <c r="J45" i="9"/>
  <c r="E45" i="9"/>
  <c r="J7" i="9"/>
  <c r="E7" i="9"/>
  <c r="J11" i="9"/>
  <c r="E11" i="9"/>
  <c r="J6" i="9"/>
  <c r="E6" i="9"/>
  <c r="J22" i="9"/>
  <c r="E22" i="9"/>
  <c r="AG5" i="14"/>
  <c r="AD24" i="14"/>
  <c r="AY15" i="14"/>
  <c r="AV15" i="14"/>
  <c r="AS15" i="14"/>
  <c r="AP15" i="14"/>
  <c r="AM15" i="14"/>
  <c r="AJ15" i="14"/>
  <c r="AG15" i="14"/>
  <c r="BE6" i="14"/>
  <c r="BB6" i="14"/>
  <c r="AY6" i="14"/>
  <c r="AV6" i="14"/>
  <c r="AS6" i="14"/>
  <c r="AP6" i="14"/>
  <c r="AM6" i="14"/>
  <c r="AJ6" i="14"/>
  <c r="AG6" i="14"/>
  <c r="K7" i="13" l="1"/>
  <c r="J37" i="14"/>
  <c r="E37" i="14"/>
  <c r="N39" i="6"/>
  <c r="J57" i="6"/>
  <c r="J56" i="6"/>
  <c r="J55" i="6"/>
  <c r="J54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E57" i="6"/>
  <c r="E56" i="6"/>
  <c r="E55" i="6"/>
  <c r="E54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F84" i="16" l="1"/>
  <c r="C62" i="16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3" i="3"/>
  <c r="E32" i="3"/>
  <c r="E30" i="3"/>
  <c r="E29" i="3"/>
  <c r="E27" i="3"/>
  <c r="E25" i="3"/>
  <c r="E24" i="3"/>
  <c r="E23" i="3"/>
  <c r="E22" i="3"/>
  <c r="E21" i="3"/>
  <c r="E20" i="3"/>
  <c r="E19" i="3"/>
  <c r="C104" i="16" s="1"/>
  <c r="E18" i="3"/>
  <c r="E17" i="3"/>
  <c r="E16" i="3"/>
  <c r="E15" i="3"/>
  <c r="E14" i="3"/>
  <c r="E13" i="3"/>
  <c r="E11" i="3"/>
  <c r="E10" i="3"/>
  <c r="E9" i="3"/>
  <c r="E8" i="3"/>
  <c r="E7" i="3"/>
  <c r="E6" i="3"/>
  <c r="E5" i="3"/>
  <c r="E4" i="3"/>
  <c r="E3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3" i="3"/>
  <c r="J32" i="3"/>
  <c r="J30" i="3"/>
  <c r="J29" i="3"/>
  <c r="J27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1" i="3"/>
  <c r="J10" i="3"/>
  <c r="J9" i="3"/>
  <c r="J8" i="3"/>
  <c r="J7" i="3"/>
  <c r="J6" i="3"/>
  <c r="J5" i="3"/>
  <c r="J4" i="3"/>
  <c r="N36" i="6"/>
  <c r="AE19" i="6"/>
  <c r="AE29" i="10"/>
  <c r="AE28" i="10"/>
  <c r="AE15" i="10"/>
  <c r="J26" i="10"/>
  <c r="E26" i="10"/>
  <c r="N33" i="14"/>
  <c r="AD23" i="14"/>
  <c r="N36" i="5"/>
  <c r="N32" i="5"/>
  <c r="K18" i="16" l="1"/>
  <c r="N32" i="4"/>
  <c r="N30" i="4"/>
  <c r="J29" i="4"/>
  <c r="E29" i="4"/>
  <c r="N27" i="11"/>
  <c r="N36" i="2" l="1"/>
  <c r="AD34" i="2"/>
  <c r="AD17" i="2"/>
  <c r="N34" i="3"/>
  <c r="AE33" i="3"/>
  <c r="AE32" i="3"/>
  <c r="AE24" i="3"/>
  <c r="AE14" i="3"/>
  <c r="AD30" i="4"/>
  <c r="AD28" i="4"/>
  <c r="AD17" i="4"/>
  <c r="Q27" i="11"/>
  <c r="AE14" i="11" l="1"/>
  <c r="F455" i="13" l="1"/>
  <c r="C454" i="13"/>
  <c r="J47" i="9"/>
  <c r="E47" i="9"/>
  <c r="J66" i="13" l="1"/>
  <c r="I66" i="13"/>
  <c r="J64" i="13"/>
  <c r="I64" i="13"/>
  <c r="J63" i="13"/>
  <c r="I63" i="13"/>
  <c r="J62" i="13"/>
  <c r="I62" i="13"/>
  <c r="J61" i="13"/>
  <c r="I61" i="13"/>
  <c r="J60" i="13"/>
  <c r="I60" i="13"/>
  <c r="J58" i="13"/>
  <c r="I58" i="13"/>
  <c r="J56" i="13"/>
  <c r="I56" i="13"/>
  <c r="J53" i="13"/>
  <c r="I53" i="13"/>
  <c r="J33" i="13"/>
  <c r="I33" i="13"/>
  <c r="J51" i="13"/>
  <c r="I51" i="13"/>
  <c r="J48" i="13"/>
  <c r="I48" i="13"/>
  <c r="J46" i="13"/>
  <c r="I46" i="13"/>
  <c r="J31" i="13"/>
  <c r="I31" i="13"/>
  <c r="K31" i="13" s="1"/>
  <c r="J42" i="13"/>
  <c r="I42" i="13"/>
  <c r="J13" i="13"/>
  <c r="I13" i="13"/>
  <c r="J38" i="13"/>
  <c r="I38" i="13"/>
  <c r="J37" i="13"/>
  <c r="I37" i="13"/>
  <c r="J36" i="13"/>
  <c r="I36" i="13"/>
  <c r="J18" i="13"/>
  <c r="I18" i="13"/>
  <c r="K18" i="13" l="1"/>
  <c r="K13" i="13"/>
  <c r="K33" i="13"/>
  <c r="J27" i="13"/>
  <c r="I27" i="13"/>
  <c r="J49" i="13"/>
  <c r="I49" i="13"/>
  <c r="F361" i="13"/>
  <c r="C358" i="13"/>
  <c r="J25" i="2"/>
  <c r="E25" i="2"/>
  <c r="K27" i="13" l="1"/>
  <c r="F148" i="13"/>
  <c r="C131" i="13"/>
  <c r="J5" i="14"/>
  <c r="E5" i="14"/>
  <c r="J52" i="13" l="1"/>
  <c r="I52" i="13"/>
  <c r="F306" i="13" l="1"/>
  <c r="C301" i="13"/>
  <c r="J16" i="9"/>
  <c r="E16" i="9"/>
  <c r="F105" i="13"/>
  <c r="C90" i="13"/>
  <c r="J22" i="1"/>
  <c r="E22" i="1"/>
  <c r="J41" i="13" l="1"/>
  <c r="I41" i="13"/>
  <c r="J67" i="13"/>
  <c r="I67" i="13"/>
  <c r="J25" i="13" l="1"/>
  <c r="I25" i="13"/>
  <c r="J55" i="13"/>
  <c r="I55" i="13"/>
  <c r="J47" i="13"/>
  <c r="I47" i="13"/>
  <c r="J20" i="13"/>
  <c r="I20" i="13"/>
  <c r="J44" i="13"/>
  <c r="I44" i="13"/>
  <c r="J50" i="13"/>
  <c r="I50" i="13"/>
  <c r="J30" i="13"/>
  <c r="I30" i="13"/>
  <c r="K30" i="13" s="1"/>
  <c r="J5" i="13"/>
  <c r="I5" i="13"/>
  <c r="J23" i="13"/>
  <c r="I23" i="13"/>
  <c r="K23" i="13" s="1"/>
  <c r="J8" i="13"/>
  <c r="I8" i="13"/>
  <c r="K25" i="13" l="1"/>
  <c r="K5" i="13"/>
  <c r="K20" i="13"/>
  <c r="K8" i="13"/>
  <c r="F366" i="13"/>
  <c r="C363" i="13"/>
  <c r="J26" i="2"/>
  <c r="E26" i="2"/>
  <c r="F207" i="13"/>
  <c r="C197" i="13"/>
  <c r="F129" i="13" l="1"/>
  <c r="C117" i="13"/>
  <c r="K26" i="16"/>
  <c r="F263" i="13"/>
  <c r="C255" i="13"/>
  <c r="F231" i="13" l="1"/>
  <c r="C220" i="13"/>
  <c r="J4" i="9"/>
  <c r="E4" i="9"/>
  <c r="J42" i="11"/>
  <c r="E42" i="11"/>
  <c r="F247" i="13"/>
  <c r="C238" i="13"/>
  <c r="J6" i="5"/>
  <c r="E6" i="5"/>
  <c r="J52" i="4"/>
  <c r="E52" i="4"/>
  <c r="F393" i="13"/>
  <c r="C392" i="13"/>
  <c r="J30" i="9"/>
  <c r="E30" i="9"/>
  <c r="F349" i="13"/>
  <c r="C346" i="13"/>
  <c r="J28" i="1"/>
  <c r="E28" i="1"/>
  <c r="F463" i="13" l="1"/>
  <c r="C463" i="13"/>
  <c r="I57" i="14"/>
  <c r="J56" i="14"/>
  <c r="H57" i="14"/>
  <c r="G57" i="14"/>
  <c r="D57" i="14"/>
  <c r="E56" i="14"/>
  <c r="C57" i="14"/>
  <c r="B57" i="14"/>
  <c r="F214" i="13" l="1"/>
  <c r="C202" i="13"/>
  <c r="F358" i="13"/>
  <c r="C355" i="13"/>
  <c r="J30" i="1"/>
  <c r="E30" i="1"/>
  <c r="F265" i="13"/>
  <c r="C257" i="13"/>
  <c r="J11" i="1"/>
  <c r="E11" i="1"/>
  <c r="F281" i="13"/>
  <c r="C273" i="13"/>
  <c r="J13" i="1"/>
  <c r="E13" i="1"/>
  <c r="K12" i="16"/>
  <c r="F448" i="13"/>
  <c r="C447" i="13"/>
  <c r="J51" i="14"/>
  <c r="E51" i="14"/>
  <c r="K21" i="16"/>
  <c r="F323" i="13"/>
  <c r="C319" i="13"/>
  <c r="J24" i="4"/>
  <c r="E24" i="4"/>
  <c r="F345" i="13" l="1"/>
  <c r="C342" i="13"/>
  <c r="J27" i="10"/>
  <c r="E27" i="10"/>
  <c r="K29" i="16"/>
  <c r="F241" i="13"/>
  <c r="C231" i="13"/>
  <c r="N33" i="3"/>
  <c r="K11" i="16"/>
  <c r="J11" i="13" l="1"/>
  <c r="I11" i="13"/>
  <c r="J12" i="11"/>
  <c r="E12" i="11"/>
  <c r="J35" i="5"/>
  <c r="E35" i="5"/>
  <c r="K11" i="13" l="1"/>
  <c r="F452" i="13"/>
  <c r="C451" i="13"/>
  <c r="J46" i="9"/>
  <c r="E46" i="9"/>
  <c r="F446" i="13" l="1"/>
  <c r="C445" i="13"/>
  <c r="J41" i="2"/>
  <c r="E41" i="2"/>
  <c r="AJ31" i="14" l="1"/>
  <c r="AG31" i="14"/>
  <c r="C132" i="13" l="1"/>
  <c r="F233" i="13" l="1"/>
  <c r="C223" i="13"/>
  <c r="J46" i="1" l="1"/>
  <c r="E46" i="1"/>
  <c r="J32" i="13"/>
  <c r="I32" i="13"/>
  <c r="K32" i="13" l="1"/>
  <c r="F435" i="13"/>
  <c r="C434" i="13"/>
  <c r="J48" i="14"/>
  <c r="E48" i="14"/>
  <c r="F240" i="13" l="1"/>
  <c r="C230" i="13"/>
  <c r="J9" i="10"/>
  <c r="E9" i="10"/>
  <c r="F359" i="13" l="1"/>
  <c r="C356" i="13"/>
  <c r="F313" i="13"/>
  <c r="C308" i="13"/>
  <c r="J26" i="14"/>
  <c r="E26" i="14"/>
  <c r="F64" i="13"/>
  <c r="C44" i="13"/>
  <c r="J6" i="14"/>
  <c r="E6" i="14"/>
  <c r="F311" i="13"/>
  <c r="C306" i="13"/>
  <c r="J25" i="14"/>
  <c r="E25" i="14"/>
  <c r="F120" i="13"/>
  <c r="C105" i="13"/>
  <c r="J42" i="14"/>
  <c r="E42" i="14"/>
  <c r="F238" i="13"/>
  <c r="C228" i="13"/>
  <c r="J5" i="9"/>
  <c r="E5" i="9"/>
  <c r="F439" i="13"/>
  <c r="C438" i="13"/>
  <c r="J44" i="5"/>
  <c r="E44" i="5"/>
  <c r="F451" i="13"/>
  <c r="C450" i="13"/>
  <c r="J46" i="5"/>
  <c r="E46" i="5"/>
  <c r="F352" i="13"/>
  <c r="C349" i="13"/>
  <c r="F388" i="13"/>
  <c r="C387" i="13"/>
  <c r="J37" i="1"/>
  <c r="E37" i="1"/>
  <c r="F104" i="13"/>
  <c r="C89" i="13"/>
  <c r="J20" i="1"/>
  <c r="E20" i="1"/>
  <c r="F15" i="13" l="1"/>
  <c r="C199" i="13"/>
  <c r="F287" i="13"/>
  <c r="C279" i="13"/>
  <c r="J14" i="6"/>
  <c r="E14" i="6"/>
  <c r="K34" i="16"/>
  <c r="K19" i="16"/>
  <c r="F422" i="13"/>
  <c r="C421" i="13"/>
  <c r="J45" i="4"/>
  <c r="E45" i="4"/>
  <c r="F328" i="13"/>
  <c r="C325" i="13"/>
  <c r="J25" i="4"/>
  <c r="E25" i="4"/>
  <c r="F290" i="13"/>
  <c r="C282" i="13"/>
  <c r="J16" i="1"/>
  <c r="E16" i="1"/>
  <c r="F429" i="13"/>
  <c r="C428" i="13"/>
  <c r="J49" i="1"/>
  <c r="E49" i="1"/>
  <c r="F525" i="16"/>
  <c r="N28" i="10"/>
  <c r="F414" i="13"/>
  <c r="C413" i="13"/>
  <c r="J39" i="10"/>
  <c r="E39" i="10"/>
  <c r="F373" i="13"/>
  <c r="C370" i="13"/>
  <c r="J31" i="10"/>
  <c r="E31" i="10"/>
  <c r="K15" i="16" l="1"/>
  <c r="K9" i="16"/>
  <c r="K35" i="16"/>
  <c r="F73" i="13" l="1"/>
  <c r="C55" i="13"/>
  <c r="J26" i="4"/>
  <c r="E26" i="4"/>
  <c r="F42" i="13" l="1"/>
  <c r="C26" i="13"/>
  <c r="J5" i="2"/>
  <c r="E5" i="2"/>
  <c r="E9" i="9" l="1"/>
  <c r="J23" i="11"/>
  <c r="E23" i="11"/>
  <c r="J4" i="13" l="1"/>
  <c r="I4" i="13"/>
  <c r="J12" i="13"/>
  <c r="I12" i="13"/>
  <c r="J54" i="13"/>
  <c r="I54" i="13"/>
  <c r="J14" i="13"/>
  <c r="I14" i="13"/>
  <c r="J26" i="13"/>
  <c r="I26" i="13"/>
  <c r="F112" i="13"/>
  <c r="C97" i="13"/>
  <c r="J21" i="9"/>
  <c r="E21" i="9"/>
  <c r="K26" i="13" l="1"/>
  <c r="K4" i="13"/>
  <c r="K12" i="13"/>
  <c r="K14" i="13"/>
  <c r="AY26" i="14"/>
  <c r="AS26" i="14"/>
  <c r="AM26" i="14"/>
  <c r="AJ23" i="14"/>
  <c r="AV17" i="14"/>
  <c r="AP17" i="14"/>
  <c r="AJ17" i="14"/>
  <c r="AG14" i="14"/>
  <c r="AG8" i="14" l="1"/>
  <c r="C68" i="13"/>
  <c r="F85" i="13"/>
  <c r="J49" i="14"/>
  <c r="E49" i="14"/>
  <c r="C226" i="13"/>
  <c r="F236" i="13"/>
  <c r="J8" i="14"/>
  <c r="E8" i="14"/>
  <c r="F149" i="13"/>
  <c r="J11" i="14"/>
  <c r="E11" i="14"/>
  <c r="F217" i="13"/>
  <c r="C205" i="13"/>
  <c r="J4" i="14"/>
  <c r="E4" i="14"/>
  <c r="F341" i="13"/>
  <c r="C338" i="13"/>
  <c r="J32" i="14"/>
  <c r="E32" i="14"/>
  <c r="AH29" i="10" l="1"/>
  <c r="AH28" i="10"/>
  <c r="AH23" i="10"/>
  <c r="AH15" i="10"/>
  <c r="AH6" i="10"/>
  <c r="F273" i="13"/>
  <c r="C265" i="13"/>
  <c r="F226" i="13"/>
  <c r="C215" i="13"/>
  <c r="J5" i="10"/>
  <c r="E5" i="10"/>
  <c r="F140" i="13"/>
  <c r="C123" i="13"/>
  <c r="J3" i="10"/>
  <c r="E3" i="10"/>
  <c r="I51" i="10"/>
  <c r="H51" i="10"/>
  <c r="G51" i="10"/>
  <c r="D51" i="10"/>
  <c r="C51" i="10"/>
  <c r="B51" i="10"/>
  <c r="AG17" i="9" l="1"/>
  <c r="AG10" i="9"/>
  <c r="AG6" i="9"/>
  <c r="AG5" i="9"/>
  <c r="AH27" i="11" l="1"/>
  <c r="AH14" i="11"/>
  <c r="AH5" i="11"/>
  <c r="J22" i="11" l="1"/>
  <c r="E22" i="11"/>
  <c r="J37" i="11"/>
  <c r="E37" i="11"/>
  <c r="J17" i="11"/>
  <c r="E17" i="11"/>
  <c r="J19" i="11"/>
  <c r="E19" i="11"/>
  <c r="I52" i="11"/>
  <c r="H52" i="11"/>
  <c r="G52" i="11"/>
  <c r="D52" i="11"/>
  <c r="C52" i="11"/>
  <c r="B52" i="11"/>
  <c r="J3" i="11"/>
  <c r="E3" i="11"/>
  <c r="J41" i="11"/>
  <c r="E41" i="11"/>
  <c r="AG7" i="5" l="1"/>
  <c r="F213" i="13"/>
  <c r="C201" i="13"/>
  <c r="C75" i="13"/>
  <c r="F63" i="13" l="1"/>
  <c r="C43" i="13"/>
  <c r="J5" i="5"/>
  <c r="E5" i="5"/>
  <c r="AG34" i="4" l="1"/>
  <c r="AG22" i="4"/>
  <c r="AG17" i="4"/>
  <c r="AG10" i="4"/>
  <c r="F355" i="13"/>
  <c r="C352" i="13"/>
  <c r="J32" i="4"/>
  <c r="E32" i="4"/>
  <c r="F58" i="13"/>
  <c r="AH33" i="3" l="1"/>
  <c r="AH17" i="3"/>
  <c r="AH15" i="3"/>
  <c r="AH14" i="3"/>
  <c r="AH5" i="3"/>
  <c r="AH4" i="3"/>
  <c r="F460" i="13"/>
  <c r="C460" i="13"/>
  <c r="I55" i="3"/>
  <c r="H55" i="3"/>
  <c r="G55" i="3"/>
  <c r="D55" i="3"/>
  <c r="C55" i="3"/>
  <c r="B55" i="3"/>
  <c r="AG36" i="2" l="1"/>
  <c r="AG18" i="2"/>
  <c r="AG10" i="2"/>
  <c r="AG9" i="2"/>
  <c r="E33" i="2"/>
  <c r="AH19" i="6" l="1"/>
  <c r="F309" i="13"/>
  <c r="C304" i="13"/>
  <c r="J19" i="6"/>
  <c r="E19" i="6"/>
  <c r="F218" i="13"/>
  <c r="C206" i="13"/>
  <c r="J3" i="6"/>
  <c r="E3" i="6"/>
  <c r="F395" i="13"/>
  <c r="C394" i="13"/>
  <c r="F444" i="13"/>
  <c r="C443" i="13"/>
  <c r="F312" i="13"/>
  <c r="C307" i="13"/>
  <c r="J20" i="6"/>
  <c r="E20" i="6"/>
  <c r="F160" i="13"/>
  <c r="C145" i="13"/>
  <c r="F308" i="13"/>
  <c r="C303" i="13"/>
  <c r="J18" i="6"/>
  <c r="E18" i="6"/>
  <c r="J17" i="6"/>
  <c r="E17" i="6"/>
  <c r="F304" i="13"/>
  <c r="C299" i="13"/>
  <c r="J16" i="6"/>
  <c r="E16" i="6"/>
  <c r="F467" i="13"/>
  <c r="C467" i="13"/>
  <c r="F19" i="13"/>
  <c r="C8" i="13"/>
  <c r="F266" i="13"/>
  <c r="C258" i="13"/>
  <c r="J12" i="6"/>
  <c r="E12" i="6"/>
  <c r="F220" i="13"/>
  <c r="C208" i="13"/>
  <c r="J4" i="6"/>
  <c r="E4" i="6"/>
  <c r="F201" i="13" l="1"/>
  <c r="C191" i="13"/>
  <c r="J54" i="1"/>
  <c r="E54" i="1"/>
  <c r="F78" i="13"/>
  <c r="C61" i="13"/>
  <c r="J40" i="1"/>
  <c r="E40" i="1"/>
  <c r="AH28" i="1" l="1"/>
  <c r="F155" i="13" l="1"/>
  <c r="C139" i="13"/>
  <c r="J13" i="4"/>
  <c r="E13" i="4"/>
  <c r="F292" i="13" l="1"/>
  <c r="C284" i="13"/>
  <c r="F340" i="13" l="1"/>
  <c r="C337" i="13"/>
  <c r="J24" i="2"/>
  <c r="E24" i="2"/>
  <c r="I58" i="6"/>
  <c r="H58" i="6"/>
  <c r="G58" i="6"/>
  <c r="D58" i="6"/>
  <c r="C58" i="6"/>
  <c r="B58" i="6"/>
  <c r="AV22" i="4" l="1"/>
  <c r="AP22" i="4"/>
  <c r="AJ22" i="4"/>
  <c r="F438" i="13" l="1"/>
  <c r="C437" i="13"/>
  <c r="J42" i="5"/>
  <c r="E42" i="5"/>
  <c r="F106" i="13" l="1"/>
  <c r="C91" i="13"/>
  <c r="J24" i="14"/>
  <c r="E24" i="14"/>
  <c r="AW4" i="10" l="1"/>
  <c r="J34" i="11"/>
  <c r="E34" i="11"/>
  <c r="J4" i="11"/>
  <c r="E4" i="11"/>
  <c r="F12" i="13" l="1"/>
  <c r="C77" i="13"/>
  <c r="J3" i="9"/>
  <c r="E3" i="9"/>
  <c r="F70" i="13" l="1"/>
  <c r="C52" i="13"/>
  <c r="J10" i="2"/>
  <c r="E10" i="2"/>
  <c r="F66" i="13"/>
  <c r="C47" i="13"/>
  <c r="J12" i="10"/>
  <c r="E12" i="10"/>
  <c r="F256" i="13" l="1"/>
  <c r="C247" i="13"/>
  <c r="J12" i="14"/>
  <c r="E12" i="14"/>
  <c r="E20" i="10"/>
  <c r="J20" i="10"/>
  <c r="AQ19" i="1"/>
  <c r="AN19" i="1"/>
  <c r="AK19" i="1"/>
  <c r="AT12" i="1"/>
  <c r="AQ12" i="1"/>
  <c r="AN12" i="1"/>
  <c r="AK12" i="1"/>
  <c r="F22" i="13" l="1"/>
  <c r="C10" i="13"/>
  <c r="J43" i="9" l="1"/>
  <c r="J41" i="9"/>
  <c r="J40" i="9"/>
  <c r="J39" i="9"/>
  <c r="J37" i="9"/>
  <c r="J36" i="9"/>
  <c r="J34" i="9"/>
  <c r="J33" i="9"/>
  <c r="J32" i="9"/>
  <c r="J29" i="9"/>
  <c r="J28" i="9"/>
  <c r="J27" i="9"/>
  <c r="E43" i="9"/>
  <c r="E37" i="9"/>
  <c r="E36" i="9"/>
  <c r="E34" i="9"/>
  <c r="E33" i="9"/>
  <c r="E32" i="9"/>
  <c r="E29" i="9"/>
  <c r="E28" i="9"/>
  <c r="E27" i="9"/>
  <c r="J14" i="9"/>
  <c r="J12" i="9"/>
  <c r="J10" i="9"/>
  <c r="J9" i="9"/>
  <c r="E14" i="9"/>
  <c r="F459" i="13"/>
  <c r="C459" i="13"/>
  <c r="F131" i="13"/>
  <c r="C119" i="13"/>
  <c r="F442" i="13"/>
  <c r="C441" i="13"/>
  <c r="F87" i="13"/>
  <c r="C70" i="13"/>
  <c r="F198" i="13"/>
  <c r="C188" i="13"/>
  <c r="F424" i="13"/>
  <c r="C423" i="13"/>
  <c r="F138" i="13"/>
  <c r="C178" i="13"/>
  <c r="F396" i="13"/>
  <c r="C395" i="13"/>
  <c r="F76" i="13"/>
  <c r="C58" i="13"/>
  <c r="F368" i="13"/>
  <c r="F367" i="13"/>
  <c r="C365" i="13"/>
  <c r="C364" i="13"/>
  <c r="F326" i="13"/>
  <c r="F165" i="13"/>
  <c r="C323" i="13"/>
  <c r="C150" i="13"/>
  <c r="F310" i="13"/>
  <c r="C305" i="13"/>
  <c r="F151" i="13"/>
  <c r="C135" i="13"/>
  <c r="F257" i="13"/>
  <c r="F54" i="13"/>
  <c r="C248" i="13"/>
  <c r="C38" i="13"/>
  <c r="F176" i="13"/>
  <c r="J17" i="13"/>
  <c r="I17" i="13"/>
  <c r="C163" i="13"/>
  <c r="J50" i="5"/>
  <c r="J37" i="5"/>
  <c r="E37" i="5"/>
  <c r="K17" i="13" l="1"/>
  <c r="F33" i="13"/>
  <c r="C19" i="13"/>
  <c r="J23" i="14"/>
  <c r="E23" i="14"/>
  <c r="F122" i="13"/>
  <c r="C107" i="13"/>
  <c r="J43" i="4"/>
  <c r="E43" i="4"/>
  <c r="F391" i="13" l="1"/>
  <c r="C390" i="13"/>
  <c r="J29" i="2"/>
  <c r="E29" i="2"/>
  <c r="F7" i="13"/>
  <c r="C181" i="13"/>
  <c r="J47" i="1"/>
  <c r="E47" i="1"/>
  <c r="F242" i="13" l="1"/>
  <c r="C233" i="13"/>
  <c r="AS10" i="4" l="1"/>
  <c r="AP10" i="4"/>
  <c r="AM10" i="4"/>
  <c r="AJ10" i="4"/>
  <c r="F44" i="13"/>
  <c r="C285" i="13"/>
  <c r="J19" i="4"/>
  <c r="E19" i="4"/>
  <c r="J9" i="13"/>
  <c r="I9" i="13"/>
  <c r="F62" i="13"/>
  <c r="C42" i="13"/>
  <c r="J4" i="1"/>
  <c r="E4" i="1"/>
  <c r="K9" i="13" l="1"/>
  <c r="F41" i="13"/>
  <c r="F351" i="13"/>
  <c r="C348" i="13"/>
  <c r="E35" i="14"/>
  <c r="J35" i="14"/>
  <c r="J43" i="10"/>
  <c r="E43" i="10"/>
  <c r="J34" i="10"/>
  <c r="E34" i="10"/>
  <c r="F291" i="13"/>
  <c r="C283" i="13"/>
  <c r="F227" i="13"/>
  <c r="C216" i="13"/>
  <c r="J6" i="10"/>
  <c r="E6" i="10"/>
  <c r="F219" i="13"/>
  <c r="C207" i="13"/>
  <c r="J4" i="10"/>
  <c r="E4" i="10"/>
  <c r="F200" i="13"/>
  <c r="C190" i="13"/>
  <c r="C13" i="13"/>
  <c r="F26" i="13"/>
  <c r="F382" i="13"/>
  <c r="C380" i="13"/>
  <c r="F39" i="13"/>
  <c r="C25" i="13"/>
  <c r="F175" i="13"/>
  <c r="C162" i="13"/>
  <c r="E23" i="9"/>
  <c r="J23" i="9"/>
  <c r="F299" i="13"/>
  <c r="C294" i="13"/>
  <c r="F276" i="13"/>
  <c r="C268" i="13"/>
  <c r="J49" i="11"/>
  <c r="E49" i="11"/>
  <c r="J35" i="11"/>
  <c r="E35" i="11"/>
  <c r="J18" i="11"/>
  <c r="E18" i="11"/>
  <c r="F469" i="13"/>
  <c r="C469" i="13"/>
  <c r="J52" i="5"/>
  <c r="E52" i="5"/>
  <c r="F132" i="13"/>
  <c r="C120" i="13"/>
  <c r="E50" i="5"/>
  <c r="F6" i="13"/>
  <c r="C182" i="13"/>
  <c r="F163" i="13"/>
  <c r="C148" i="13"/>
  <c r="E14" i="5"/>
  <c r="F59" i="13"/>
  <c r="C76" i="13"/>
  <c r="J4" i="5"/>
  <c r="E4" i="5"/>
  <c r="J50" i="4"/>
  <c r="E50" i="4"/>
  <c r="F239" i="13"/>
  <c r="C229" i="13"/>
  <c r="E9" i="4"/>
  <c r="J9" i="4"/>
  <c r="F164" i="13"/>
  <c r="C149" i="13"/>
  <c r="F412" i="13"/>
  <c r="C411" i="13"/>
  <c r="J33" i="2"/>
  <c r="F320" i="13"/>
  <c r="C315" i="13"/>
  <c r="J16" i="2"/>
  <c r="E16" i="2"/>
  <c r="F161" i="13"/>
  <c r="C146" i="13"/>
  <c r="E15" i="2"/>
  <c r="J15" i="2"/>
  <c r="F31" i="13"/>
  <c r="C17" i="13"/>
  <c r="J12" i="2"/>
  <c r="E12" i="2"/>
  <c r="F228" i="13"/>
  <c r="C217" i="13"/>
  <c r="J4" i="2"/>
  <c r="E4" i="2"/>
  <c r="F188" i="13"/>
  <c r="C175" i="13"/>
  <c r="F38" i="13"/>
  <c r="C24" i="13"/>
  <c r="F150" i="13"/>
  <c r="C134" i="13"/>
  <c r="J10" i="6"/>
  <c r="E10" i="6"/>
  <c r="F109" i="13"/>
  <c r="C94" i="13"/>
  <c r="J26" i="1"/>
  <c r="E26" i="1"/>
  <c r="AJ34" i="14"/>
  <c r="AK29" i="10"/>
  <c r="AK23" i="10"/>
  <c r="AK22" i="10"/>
  <c r="AK6" i="10"/>
  <c r="AJ33" i="9"/>
  <c r="AJ10" i="9"/>
  <c r="AJ6" i="9"/>
  <c r="AK5" i="11"/>
  <c r="AJ34" i="4"/>
  <c r="AJ17" i="4"/>
  <c r="AK34" i="3"/>
  <c r="AJ36" i="2"/>
  <c r="AJ18" i="2"/>
  <c r="AJ10" i="2"/>
  <c r="C20" i="13"/>
  <c r="AK27" i="6"/>
  <c r="AK19" i="6"/>
  <c r="F425" i="13" l="1"/>
  <c r="C424" i="13"/>
  <c r="F141" i="13"/>
  <c r="C124" i="13"/>
  <c r="F143" i="13"/>
  <c r="C126" i="13"/>
  <c r="F74" i="13"/>
  <c r="C56" i="13"/>
  <c r="F9" i="13"/>
  <c r="AK13" i="1" l="1"/>
  <c r="F317" i="13" l="1"/>
  <c r="C312" i="13"/>
  <c r="J27" i="14"/>
  <c r="E27" i="14"/>
  <c r="F204" i="13" l="1"/>
  <c r="C194" i="13"/>
  <c r="J57" i="1"/>
  <c r="E57" i="1"/>
  <c r="F222" i="13"/>
  <c r="C211" i="13"/>
  <c r="J4" i="4"/>
  <c r="E4" i="4"/>
  <c r="F243" i="13" l="1"/>
  <c r="C234" i="13"/>
  <c r="J6" i="2"/>
  <c r="E6" i="2"/>
  <c r="F8" i="13" l="1"/>
  <c r="C289" i="13"/>
  <c r="J21" i="10"/>
  <c r="E21" i="10"/>
  <c r="F110" i="13" l="1"/>
  <c r="C95" i="13"/>
  <c r="J23" i="6"/>
  <c r="E23" i="6"/>
  <c r="F67" i="13"/>
  <c r="C48" i="13"/>
  <c r="J16" i="14"/>
  <c r="E16" i="14"/>
  <c r="F374" i="13" l="1"/>
  <c r="C372" i="13"/>
  <c r="J32" i="10"/>
  <c r="E32" i="10"/>
  <c r="F324" i="13" l="1"/>
  <c r="C321" i="13"/>
  <c r="J24" i="10"/>
  <c r="E24" i="10"/>
  <c r="J6" i="6" l="1"/>
  <c r="E6" i="6"/>
  <c r="F338" i="13"/>
  <c r="C335" i="13"/>
  <c r="F18" i="13" l="1"/>
  <c r="C7" i="13"/>
  <c r="J11" i="2"/>
  <c r="E11" i="2"/>
  <c r="F331" i="13" l="1"/>
  <c r="C328" i="13"/>
  <c r="J19" i="9"/>
  <c r="E19" i="9"/>
  <c r="F197" i="13"/>
  <c r="C187" i="13"/>
  <c r="E41" i="9"/>
  <c r="AK8" i="3" l="1"/>
  <c r="AK5" i="3"/>
  <c r="F362" i="13" l="1"/>
  <c r="C359" i="13"/>
  <c r="F215" i="13"/>
  <c r="C203" i="13"/>
  <c r="J3" i="4"/>
  <c r="E3" i="4"/>
  <c r="F315" i="13"/>
  <c r="C310" i="13"/>
  <c r="J25" i="1"/>
  <c r="E25" i="1"/>
  <c r="F337" i="13"/>
  <c r="C334" i="13"/>
  <c r="F336" i="13"/>
  <c r="C333" i="13"/>
  <c r="J23" i="2"/>
  <c r="E23" i="2"/>
  <c r="J22" i="2"/>
  <c r="E22" i="2"/>
  <c r="F251" i="13"/>
  <c r="C242" i="13"/>
  <c r="J8" i="2"/>
  <c r="E8" i="2"/>
  <c r="F195" i="13" l="1"/>
  <c r="C185" i="13"/>
  <c r="J36" i="2"/>
  <c r="E36" i="2"/>
  <c r="J10" i="10" l="1"/>
  <c r="E10" i="10"/>
  <c r="C47" i="16" s="1"/>
  <c r="C525" i="16" s="1"/>
  <c r="F91" i="13"/>
  <c r="C458" i="13"/>
  <c r="J46" i="14"/>
  <c r="E46" i="14"/>
  <c r="J24" i="5" l="1"/>
  <c r="E24" i="5"/>
  <c r="J29" i="1" l="1"/>
  <c r="E29" i="1"/>
  <c r="F166" i="13"/>
  <c r="C151" i="13"/>
  <c r="J27" i="1"/>
  <c r="E27" i="1"/>
  <c r="F420" i="13" l="1"/>
  <c r="C419" i="13"/>
  <c r="F363" i="13"/>
  <c r="C360" i="13"/>
  <c r="J25" i="9"/>
  <c r="E25" i="9"/>
  <c r="J16" i="13" l="1"/>
  <c r="I16" i="13"/>
  <c r="C111" i="13"/>
  <c r="K16" i="13" l="1"/>
  <c r="J28" i="13"/>
  <c r="I28" i="13"/>
  <c r="K28" i="13" l="1"/>
  <c r="F286" i="13"/>
  <c r="C278" i="13"/>
  <c r="J19" i="14"/>
  <c r="E19" i="14"/>
  <c r="F51" i="13" l="1"/>
  <c r="C34" i="13"/>
  <c r="F461" i="13"/>
  <c r="F376" i="13"/>
  <c r="C461" i="13"/>
  <c r="C374" i="13"/>
  <c r="J54" i="14"/>
  <c r="E54" i="14"/>
  <c r="J40" i="14"/>
  <c r="E40" i="14"/>
  <c r="F98" i="13" l="1"/>
  <c r="C82" i="13"/>
  <c r="F384" i="13"/>
  <c r="C382" i="13"/>
  <c r="J38" i="4" l="1"/>
  <c r="E38" i="4"/>
  <c r="I59" i="1"/>
  <c r="H59" i="1"/>
  <c r="G59" i="1"/>
  <c r="D59" i="1"/>
  <c r="C59" i="1"/>
  <c r="B59" i="1"/>
  <c r="AW27" i="6"/>
  <c r="AQ27" i="6"/>
  <c r="AZ19" i="6"/>
  <c r="AT19" i="6"/>
  <c r="F135" i="13" l="1"/>
  <c r="C221" i="13"/>
  <c r="F383" i="13"/>
  <c r="C381" i="13"/>
  <c r="F427" i="13"/>
  <c r="C426" i="13"/>
  <c r="F234" i="13"/>
  <c r="C224" i="13"/>
  <c r="F248" i="13"/>
  <c r="C239" i="13"/>
  <c r="F390" i="13"/>
  <c r="C389" i="13"/>
  <c r="J37" i="4"/>
  <c r="E37" i="4"/>
  <c r="J46" i="4"/>
  <c r="E46" i="4"/>
  <c r="J8" i="4"/>
  <c r="E8" i="4"/>
  <c r="J10" i="4"/>
  <c r="E10" i="4"/>
  <c r="J40" i="4"/>
  <c r="E40" i="4"/>
  <c r="F375" i="13"/>
  <c r="C373" i="13"/>
  <c r="F90" i="13"/>
  <c r="C73" i="13"/>
  <c r="F172" i="13"/>
  <c r="C159" i="13"/>
  <c r="F168" i="13"/>
  <c r="C154" i="13"/>
  <c r="J19" i="5"/>
  <c r="E19" i="5"/>
  <c r="J18" i="5"/>
  <c r="E18" i="5"/>
  <c r="J27" i="5"/>
  <c r="E27" i="5"/>
  <c r="J48" i="5"/>
  <c r="E48" i="5"/>
  <c r="F253" i="13"/>
  <c r="C244" i="13"/>
  <c r="J7" i="5"/>
  <c r="E7" i="5"/>
  <c r="J39" i="11" l="1"/>
  <c r="E39" i="11"/>
  <c r="F445" i="13" l="1"/>
  <c r="C444" i="13"/>
  <c r="J40" i="2"/>
  <c r="E40" i="2"/>
  <c r="F100" i="13" l="1"/>
  <c r="C84" i="13" l="1"/>
  <c r="J10" i="5"/>
  <c r="E10" i="5"/>
  <c r="F209" i="13" l="1"/>
  <c r="C371" i="13"/>
  <c r="J24" i="13"/>
  <c r="I24" i="13"/>
  <c r="AM8" i="14"/>
  <c r="AN22" i="10"/>
  <c r="AN6" i="10"/>
  <c r="AM24" i="9"/>
  <c r="AM7" i="5"/>
  <c r="AM23" i="4"/>
  <c r="AN15" i="3"/>
  <c r="AM10" i="2"/>
  <c r="AM7" i="2"/>
  <c r="AN20" i="1"/>
  <c r="AN13" i="1"/>
  <c r="F199" i="13"/>
  <c r="C189" i="13"/>
  <c r="J51" i="1"/>
  <c r="E51" i="1"/>
  <c r="F379" i="13"/>
  <c r="C377" i="13"/>
  <c r="J27" i="2"/>
  <c r="E27" i="2"/>
  <c r="J48" i="11"/>
  <c r="E48" i="11"/>
  <c r="F125" i="13"/>
  <c r="C113" i="13"/>
  <c r="F99" i="13"/>
  <c r="C83" i="13"/>
  <c r="J12" i="4"/>
  <c r="E12" i="4"/>
  <c r="E40" i="9"/>
  <c r="F314" i="13"/>
  <c r="C309" i="13"/>
  <c r="F96" i="13"/>
  <c r="C80" i="13"/>
  <c r="F212" i="13"/>
  <c r="C200" i="13"/>
  <c r="F29" i="13"/>
  <c r="C45" i="13"/>
  <c r="J3" i="14"/>
  <c r="E3" i="14"/>
  <c r="J9" i="14"/>
  <c r="E9" i="14"/>
  <c r="J23" i="10"/>
  <c r="E23" i="10"/>
  <c r="J11" i="10"/>
  <c r="E11" i="10"/>
  <c r="F171" i="13"/>
  <c r="C157" i="13"/>
  <c r="J31" i="14"/>
  <c r="E31" i="14"/>
  <c r="J45" i="5"/>
  <c r="E45" i="5"/>
  <c r="J45" i="11"/>
  <c r="E45" i="11"/>
  <c r="F356" i="13"/>
  <c r="C353" i="13"/>
  <c r="F208" i="13"/>
  <c r="C198" i="13"/>
  <c r="J53" i="4"/>
  <c r="E53" i="4"/>
  <c r="F322" i="13"/>
  <c r="C318" i="13"/>
  <c r="F387" i="13"/>
  <c r="C385" i="13"/>
  <c r="J28" i="2"/>
  <c r="E28" i="2"/>
  <c r="F124" i="13"/>
  <c r="C109" i="13"/>
  <c r="J43" i="1"/>
  <c r="E43" i="1"/>
  <c r="I29" i="13"/>
  <c r="J29" i="13"/>
  <c r="F471" i="13"/>
  <c r="C471" i="13"/>
  <c r="J49" i="9"/>
  <c r="E49" i="9"/>
  <c r="F252" i="13"/>
  <c r="C243" i="13"/>
  <c r="J11" i="6"/>
  <c r="E11" i="6"/>
  <c r="F397" i="13"/>
  <c r="C396" i="13"/>
  <c r="J30" i="2"/>
  <c r="E30" i="2"/>
  <c r="F416" i="13"/>
  <c r="C415" i="13"/>
  <c r="J35" i="2"/>
  <c r="E35" i="2"/>
  <c r="F224" i="13"/>
  <c r="C213" i="13"/>
  <c r="J7" i="14"/>
  <c r="E7" i="14"/>
  <c r="F423" i="13"/>
  <c r="F365" i="13"/>
  <c r="F71" i="13"/>
  <c r="F17" i="13"/>
  <c r="F10" i="13"/>
  <c r="F4" i="13"/>
  <c r="F184" i="13"/>
  <c r="F102" i="13"/>
  <c r="F136" i="13"/>
  <c r="F43" i="13"/>
  <c r="F14" i="13"/>
  <c r="F426" i="13"/>
  <c r="F249" i="13"/>
  <c r="F101" i="13"/>
  <c r="F298" i="13"/>
  <c r="F46" i="13"/>
  <c r="F118" i="13"/>
  <c r="F183" i="13"/>
  <c r="F121" i="13"/>
  <c r="F123" i="13"/>
  <c r="F193" i="13"/>
  <c r="F92" i="13"/>
  <c r="F24" i="13"/>
  <c r="F225" i="13"/>
  <c r="F254" i="13"/>
  <c r="F65" i="13"/>
  <c r="F371" i="13"/>
  <c r="F377" i="13"/>
  <c r="F182" i="13"/>
  <c r="F401" i="13"/>
  <c r="F282" i="13"/>
  <c r="F223" i="13"/>
  <c r="F267" i="13"/>
  <c r="F137" i="13"/>
  <c r="F330" i="13"/>
  <c r="F369" i="13"/>
  <c r="F115" i="13"/>
  <c r="F187" i="13"/>
  <c r="F434" i="13"/>
  <c r="F86" i="13"/>
  <c r="F457" i="13"/>
  <c r="F453" i="13"/>
  <c r="F462" i="13"/>
  <c r="F61" i="13"/>
  <c r="F400" i="13"/>
  <c r="F398" i="13"/>
  <c r="F221" i="13"/>
  <c r="F244" i="13"/>
  <c r="F264" i="13"/>
  <c r="F269" i="13"/>
  <c r="F156" i="13"/>
  <c r="F296" i="13"/>
  <c r="F34" i="13"/>
  <c r="F316" i="13"/>
  <c r="F329" i="13"/>
  <c r="F169" i="13"/>
  <c r="F180" i="13"/>
  <c r="F334" i="13"/>
  <c r="F335" i="13"/>
  <c r="F339" i="13"/>
  <c r="F354" i="13"/>
  <c r="F178" i="13"/>
  <c r="F181" i="13"/>
  <c r="F75" i="13"/>
  <c r="F378" i="13"/>
  <c r="F119" i="13"/>
  <c r="F191" i="13"/>
  <c r="F406" i="13"/>
  <c r="F81" i="13"/>
  <c r="F408" i="13"/>
  <c r="F409" i="13"/>
  <c r="F30" i="13"/>
  <c r="F437" i="13"/>
  <c r="F84" i="13"/>
  <c r="F55" i="13"/>
  <c r="F447" i="13"/>
  <c r="F93" i="13"/>
  <c r="F139" i="13"/>
  <c r="F144" i="13"/>
  <c r="F147" i="13"/>
  <c r="F232" i="13"/>
  <c r="F145" i="13"/>
  <c r="F94" i="13"/>
  <c r="F237" i="13"/>
  <c r="F95" i="13"/>
  <c r="F245" i="13"/>
  <c r="F250" i="13"/>
  <c r="F255" i="13"/>
  <c r="F258" i="13"/>
  <c r="F154" i="13"/>
  <c r="F25" i="13"/>
  <c r="F262" i="13"/>
  <c r="F285" i="13"/>
  <c r="F268" i="13"/>
  <c r="F270" i="13"/>
  <c r="F271" i="13"/>
  <c r="F274" i="13"/>
  <c r="F279" i="13"/>
  <c r="F68" i="13"/>
  <c r="F283" i="13"/>
  <c r="F284" i="13"/>
  <c r="F69" i="13"/>
  <c r="F288" i="13"/>
  <c r="F289" i="13"/>
  <c r="F45" i="13"/>
  <c r="F293" i="13"/>
  <c r="F295" i="13"/>
  <c r="F158" i="13"/>
  <c r="F303" i="13"/>
  <c r="F302" i="13"/>
  <c r="F307" i="13"/>
  <c r="F300" i="13"/>
  <c r="F305" i="13"/>
  <c r="F32" i="13"/>
  <c r="F318" i="13"/>
  <c r="F108" i="13"/>
  <c r="F47" i="13"/>
  <c r="F211" i="13"/>
  <c r="F167" i="13"/>
  <c r="F325" i="13"/>
  <c r="F48" i="13"/>
  <c r="F111" i="13"/>
  <c r="F342" i="13"/>
  <c r="F113" i="13"/>
  <c r="F50" i="13"/>
  <c r="F346" i="13"/>
  <c r="F350" i="13"/>
  <c r="F357" i="13"/>
  <c r="F348" i="13"/>
  <c r="F360" i="13"/>
  <c r="F36" i="13"/>
  <c r="F179" i="13"/>
  <c r="F381" i="13"/>
  <c r="F21" i="13"/>
  <c r="F77" i="13"/>
  <c r="F389" i="13"/>
  <c r="F186" i="13"/>
  <c r="F399" i="13"/>
  <c r="F402" i="13"/>
  <c r="F403" i="13"/>
  <c r="F405" i="13"/>
  <c r="F407" i="13"/>
  <c r="F79" i="13"/>
  <c r="F80" i="13"/>
  <c r="F82" i="13"/>
  <c r="F417" i="13"/>
  <c r="F410" i="13"/>
  <c r="F192" i="13"/>
  <c r="F28" i="13"/>
  <c r="F421" i="13"/>
  <c r="F413" i="13"/>
  <c r="F196" i="13"/>
  <c r="F431" i="13"/>
  <c r="F436" i="13"/>
  <c r="F433" i="13"/>
  <c r="F430" i="13"/>
  <c r="F443" i="13"/>
  <c r="F449" i="13"/>
  <c r="F88" i="13"/>
  <c r="F203" i="13"/>
  <c r="F205" i="13"/>
  <c r="F466" i="13"/>
  <c r="F56" i="13"/>
  <c r="F458" i="13"/>
  <c r="F89" i="13"/>
  <c r="F133" i="13"/>
  <c r="F465" i="13"/>
  <c r="F468" i="13"/>
  <c r="F57" i="13"/>
  <c r="F470" i="13"/>
  <c r="F472" i="13"/>
  <c r="F134" i="13"/>
  <c r="C100" i="13"/>
  <c r="C210" i="13"/>
  <c r="C235" i="13"/>
  <c r="C332" i="13"/>
  <c r="C336" i="13"/>
  <c r="C351" i="13"/>
  <c r="C165" i="13"/>
  <c r="C104" i="13"/>
  <c r="C397" i="13"/>
  <c r="C436" i="13"/>
  <c r="C130" i="13"/>
  <c r="C276" i="13"/>
  <c r="C143" i="13"/>
  <c r="C313" i="13"/>
  <c r="C153" i="13"/>
  <c r="C347" i="13"/>
  <c r="C406" i="13"/>
  <c r="C420" i="13"/>
  <c r="C422" i="13"/>
  <c r="C435" i="13"/>
  <c r="C470" i="13"/>
  <c r="C85" i="13"/>
  <c r="C169" i="13"/>
  <c r="C174" i="13"/>
  <c r="C433" i="13"/>
  <c r="C69" i="13"/>
  <c r="C291" i="13"/>
  <c r="C376" i="13"/>
  <c r="C407" i="13"/>
  <c r="C112" i="13"/>
  <c r="C6" i="13"/>
  <c r="C127" i="13"/>
  <c r="C79" i="13"/>
  <c r="C240" i="13"/>
  <c r="C138" i="13"/>
  <c r="C253" i="13"/>
  <c r="C50" i="13"/>
  <c r="C51" i="13"/>
  <c r="C286" i="13"/>
  <c r="C18" i="13"/>
  <c r="C59" i="13"/>
  <c r="C398" i="13"/>
  <c r="C62" i="13"/>
  <c r="C466" i="13"/>
  <c r="C16" i="13"/>
  <c r="C214" i="13"/>
  <c r="C326" i="13"/>
  <c r="C399" i="13"/>
  <c r="C446" i="13"/>
  <c r="C236" i="13"/>
  <c r="C295" i="13"/>
  <c r="C320" i="13"/>
  <c r="C416" i="13"/>
  <c r="C110" i="13"/>
  <c r="C442" i="13"/>
  <c r="C40" i="13"/>
  <c r="C72" i="13"/>
  <c r="C465" i="13"/>
  <c r="C41" i="13"/>
  <c r="C472" i="13"/>
  <c r="C122" i="13"/>
  <c r="C425" i="13"/>
  <c r="C46" i="13"/>
  <c r="C368" i="13"/>
  <c r="C400" i="13"/>
  <c r="C179" i="13"/>
  <c r="C67" i="13"/>
  <c r="C74" i="13"/>
  <c r="C209" i="13"/>
  <c r="C128" i="13"/>
  <c r="C241" i="13"/>
  <c r="C277" i="13"/>
  <c r="C87" i="13"/>
  <c r="C290" i="13"/>
  <c r="C297" i="13"/>
  <c r="C96" i="13"/>
  <c r="C166" i="13"/>
  <c r="C379" i="13"/>
  <c r="C63" i="13"/>
  <c r="C430" i="13"/>
  <c r="C448" i="13"/>
  <c r="C171" i="13"/>
  <c r="C27" i="13"/>
  <c r="C29" i="13"/>
  <c r="C170" i="13"/>
  <c r="C212" i="13"/>
  <c r="C37" i="13"/>
  <c r="C246" i="13"/>
  <c r="C263" i="13"/>
  <c r="C274" i="13"/>
  <c r="C281" i="13"/>
  <c r="C28" i="13"/>
  <c r="C300" i="13"/>
  <c r="C339" i="13"/>
  <c r="C98" i="13"/>
  <c r="C343" i="13"/>
  <c r="C354" i="13"/>
  <c r="C357" i="13"/>
  <c r="C401" i="13"/>
  <c r="C412" i="13"/>
  <c r="C457" i="13"/>
  <c r="C106" i="13"/>
  <c r="C93" i="13"/>
  <c r="C345" i="13"/>
  <c r="C65" i="13"/>
  <c r="C245" i="13"/>
  <c r="C256" i="13"/>
  <c r="C408" i="13"/>
  <c r="C78" i="13"/>
  <c r="C227" i="13"/>
  <c r="C280" i="13"/>
  <c r="C302" i="13"/>
  <c r="C33" i="13"/>
  <c r="C173" i="13"/>
  <c r="C432" i="13"/>
  <c r="C193" i="13"/>
  <c r="C5" i="13"/>
  <c r="C103" i="13"/>
  <c r="C142" i="13"/>
  <c r="C152" i="13"/>
  <c r="C366" i="13"/>
  <c r="C456" i="13"/>
  <c r="C331" i="13"/>
  <c r="C405" i="13"/>
  <c r="C12" i="13"/>
  <c r="C271" i="13"/>
  <c r="C298" i="13"/>
  <c r="C30" i="13"/>
  <c r="C22" i="13"/>
  <c r="C402" i="13"/>
  <c r="C186" i="13"/>
  <c r="C108" i="13"/>
  <c r="C259" i="13"/>
  <c r="C452" i="13"/>
  <c r="C140" i="13"/>
  <c r="C49" i="13"/>
  <c r="C311" i="13"/>
  <c r="C167" i="13"/>
  <c r="C64" i="13"/>
  <c r="C222" i="13"/>
  <c r="C260" i="13"/>
  <c r="C261" i="13"/>
  <c r="C266" i="13"/>
  <c r="C275" i="13"/>
  <c r="C31" i="13"/>
  <c r="C9" i="13"/>
  <c r="C388" i="13"/>
  <c r="C404" i="13"/>
  <c r="C180" i="13"/>
  <c r="C15" i="13"/>
  <c r="C71" i="13"/>
  <c r="C121" i="13"/>
  <c r="C468" i="13"/>
  <c r="C86" i="13"/>
  <c r="C293" i="13"/>
  <c r="C183" i="13"/>
  <c r="C375" i="13"/>
  <c r="C327" i="13"/>
  <c r="C362" i="13"/>
  <c r="C462" i="13"/>
  <c r="C155" i="13"/>
  <c r="C168" i="13"/>
  <c r="C57" i="13"/>
  <c r="C60" i="13"/>
  <c r="C39" i="13"/>
  <c r="C249" i="13"/>
  <c r="C262" i="13"/>
  <c r="C53" i="13"/>
  <c r="C322" i="13"/>
  <c r="C409" i="13"/>
  <c r="C429" i="13"/>
  <c r="C195" i="13"/>
  <c r="J13" i="9"/>
  <c r="J8" i="9"/>
  <c r="J15" i="9"/>
  <c r="J17" i="9"/>
  <c r="J18" i="9"/>
  <c r="J20" i="9"/>
  <c r="J24" i="9"/>
  <c r="J26" i="9"/>
  <c r="J48" i="9"/>
  <c r="I50" i="9"/>
  <c r="H50" i="9"/>
  <c r="G50" i="9"/>
  <c r="E10" i="9"/>
  <c r="E8" i="9"/>
  <c r="E12" i="9"/>
  <c r="E13" i="9"/>
  <c r="E15" i="9"/>
  <c r="E17" i="9"/>
  <c r="E18" i="9"/>
  <c r="E20" i="9"/>
  <c r="E24" i="9"/>
  <c r="E26" i="9"/>
  <c r="E39" i="9"/>
  <c r="E48" i="9"/>
  <c r="D50" i="9"/>
  <c r="C50" i="9"/>
  <c r="B50" i="9"/>
  <c r="J5" i="4"/>
  <c r="E5" i="4"/>
  <c r="J24" i="6"/>
  <c r="J22" i="6"/>
  <c r="J21" i="6"/>
  <c r="J15" i="6"/>
  <c r="J13" i="6"/>
  <c r="J9" i="6"/>
  <c r="J7" i="6"/>
  <c r="J5" i="6"/>
  <c r="E24" i="6"/>
  <c r="E22" i="6"/>
  <c r="E21" i="6"/>
  <c r="E15" i="6"/>
  <c r="E13" i="6"/>
  <c r="E9" i="6"/>
  <c r="E7" i="6"/>
  <c r="E5" i="6"/>
  <c r="J34" i="2"/>
  <c r="E34" i="2"/>
  <c r="J7" i="10"/>
  <c r="E7" i="10"/>
  <c r="J19" i="10"/>
  <c r="E19" i="10"/>
  <c r="J48" i="2"/>
  <c r="J47" i="2"/>
  <c r="J46" i="2"/>
  <c r="J45" i="2"/>
  <c r="J44" i="2"/>
  <c r="J43" i="2"/>
  <c r="J42" i="2"/>
  <c r="J39" i="2"/>
  <c r="J38" i="2"/>
  <c r="J37" i="2"/>
  <c r="J31" i="2"/>
  <c r="J20" i="2"/>
  <c r="J19" i="2"/>
  <c r="J18" i="2"/>
  <c r="J13" i="2"/>
  <c r="J7" i="2"/>
  <c r="J3" i="2"/>
  <c r="E48" i="2"/>
  <c r="E47" i="2"/>
  <c r="E46" i="2"/>
  <c r="E45" i="2"/>
  <c r="E44" i="2"/>
  <c r="E43" i="2"/>
  <c r="E42" i="2"/>
  <c r="E39" i="2"/>
  <c r="E38" i="2"/>
  <c r="E37" i="2"/>
  <c r="E31" i="2"/>
  <c r="E50" i="2" s="1"/>
  <c r="E20" i="2"/>
  <c r="E19" i="2"/>
  <c r="E18" i="2"/>
  <c r="E13" i="2"/>
  <c r="E7" i="2"/>
  <c r="E3" i="2"/>
  <c r="J7" i="4"/>
  <c r="E7" i="4"/>
  <c r="J27" i="4"/>
  <c r="E27" i="4"/>
  <c r="J58" i="1"/>
  <c r="J55" i="1"/>
  <c r="J52" i="1"/>
  <c r="J50" i="1"/>
  <c r="J42" i="1"/>
  <c r="J41" i="1"/>
  <c r="J39" i="1"/>
  <c r="J38" i="1"/>
  <c r="J36" i="1"/>
  <c r="J35" i="1"/>
  <c r="J33" i="1"/>
  <c r="J19" i="1"/>
  <c r="J18" i="1"/>
  <c r="J17" i="1"/>
  <c r="J15" i="1"/>
  <c r="J14" i="1"/>
  <c r="J12" i="1"/>
  <c r="J10" i="1"/>
  <c r="J9" i="1"/>
  <c r="J8" i="1"/>
  <c r="J6" i="1"/>
  <c r="J5" i="1"/>
  <c r="J3" i="1"/>
  <c r="E58" i="1"/>
  <c r="E55" i="1"/>
  <c r="E52" i="1"/>
  <c r="E50" i="1"/>
  <c r="E42" i="1"/>
  <c r="E41" i="1"/>
  <c r="E39" i="1"/>
  <c r="E38" i="1"/>
  <c r="E36" i="1"/>
  <c r="E35" i="1"/>
  <c r="E33" i="1"/>
  <c r="E19" i="1"/>
  <c r="E18" i="1"/>
  <c r="E17" i="1"/>
  <c r="E15" i="1"/>
  <c r="E14" i="1"/>
  <c r="E12" i="1"/>
  <c r="E10" i="1"/>
  <c r="E9" i="1"/>
  <c r="E8" i="1"/>
  <c r="E6" i="1"/>
  <c r="E5" i="1"/>
  <c r="E3" i="1"/>
  <c r="J3" i="3"/>
  <c r="J46" i="10"/>
  <c r="E46" i="10"/>
  <c r="J17" i="10"/>
  <c r="J37" i="10"/>
  <c r="J38" i="10"/>
  <c r="J13" i="10"/>
  <c r="J14" i="10"/>
  <c r="J15" i="10"/>
  <c r="J16" i="10"/>
  <c r="J22" i="10"/>
  <c r="J25" i="10"/>
  <c r="J30" i="10"/>
  <c r="J33" i="10"/>
  <c r="J35" i="10"/>
  <c r="J36" i="10"/>
  <c r="J41" i="10"/>
  <c r="J42" i="10"/>
  <c r="J48" i="10"/>
  <c r="J50" i="10"/>
  <c r="J44" i="10"/>
  <c r="E17" i="10"/>
  <c r="E37" i="10"/>
  <c r="E38" i="10"/>
  <c r="E13" i="10"/>
  <c r="E14" i="10"/>
  <c r="E15" i="10"/>
  <c r="E16" i="10"/>
  <c r="E18" i="10"/>
  <c r="E22" i="10"/>
  <c r="E25" i="10"/>
  <c r="E30" i="10"/>
  <c r="E33" i="10"/>
  <c r="E35" i="10"/>
  <c r="E36" i="10"/>
  <c r="E41" i="10"/>
  <c r="E42" i="10"/>
  <c r="E48" i="10"/>
  <c r="E50" i="10"/>
  <c r="E44" i="10"/>
  <c r="J55" i="14"/>
  <c r="J52" i="14"/>
  <c r="J50" i="14"/>
  <c r="J47" i="14"/>
  <c r="J45" i="14"/>
  <c r="J44" i="14"/>
  <c r="J43" i="14"/>
  <c r="J41" i="14"/>
  <c r="J39" i="14"/>
  <c r="J38" i="14"/>
  <c r="J36" i="14"/>
  <c r="J30" i="14"/>
  <c r="J29" i="14"/>
  <c r="J28" i="14"/>
  <c r="J22" i="14"/>
  <c r="J20" i="14"/>
  <c r="J18" i="14"/>
  <c r="J15" i="14"/>
  <c r="J13" i="14"/>
  <c r="E55" i="14"/>
  <c r="E52" i="14"/>
  <c r="E50" i="14"/>
  <c r="E47" i="14"/>
  <c r="E45" i="14"/>
  <c r="E44" i="14"/>
  <c r="E43" i="14"/>
  <c r="E41" i="14"/>
  <c r="E39" i="14"/>
  <c r="E38" i="14"/>
  <c r="E36" i="14"/>
  <c r="E30" i="14"/>
  <c r="E29" i="14"/>
  <c r="E28" i="14"/>
  <c r="E22" i="14"/>
  <c r="E20" i="14"/>
  <c r="E18" i="14"/>
  <c r="E15" i="14"/>
  <c r="E13" i="14"/>
  <c r="I10" i="13"/>
  <c r="J10" i="13"/>
  <c r="J26" i="11"/>
  <c r="E26" i="11"/>
  <c r="AQ6" i="10"/>
  <c r="AQ24" i="3"/>
  <c r="AZ24" i="3"/>
  <c r="AW24" i="3"/>
  <c r="AT24" i="3"/>
  <c r="AM34" i="14"/>
  <c r="AP8" i="14"/>
  <c r="AP17" i="4"/>
  <c r="J44" i="4"/>
  <c r="E44" i="4"/>
  <c r="J14" i="4"/>
  <c r="E14" i="4"/>
  <c r="AN27" i="11"/>
  <c r="J46" i="11"/>
  <c r="E46" i="11"/>
  <c r="J38" i="11"/>
  <c r="E38" i="11"/>
  <c r="J32" i="11"/>
  <c r="E32" i="11"/>
  <c r="J16" i="11"/>
  <c r="E16" i="11"/>
  <c r="J8" i="11"/>
  <c r="E8" i="11"/>
  <c r="J7" i="11"/>
  <c r="E7" i="11"/>
  <c r="J51" i="11"/>
  <c r="J50" i="11"/>
  <c r="J47" i="11"/>
  <c r="J44" i="11"/>
  <c r="J43" i="11"/>
  <c r="J40" i="11"/>
  <c r="J31" i="11"/>
  <c r="J30" i="11"/>
  <c r="J24" i="11"/>
  <c r="J21" i="11"/>
  <c r="J20" i="11"/>
  <c r="J15" i="11"/>
  <c r="J14" i="11"/>
  <c r="J9" i="11"/>
  <c r="J6" i="11"/>
  <c r="J5" i="11"/>
  <c r="E51" i="11"/>
  <c r="E50" i="11"/>
  <c r="E47" i="11"/>
  <c r="E44" i="11"/>
  <c r="E43" i="11"/>
  <c r="E40" i="11"/>
  <c r="E31" i="11"/>
  <c r="E30" i="11"/>
  <c r="E24" i="11"/>
  <c r="E21" i="11"/>
  <c r="E20" i="11"/>
  <c r="E15" i="11"/>
  <c r="E14" i="11"/>
  <c r="E9" i="11"/>
  <c r="E6" i="11"/>
  <c r="E5" i="11"/>
  <c r="J39" i="5"/>
  <c r="E39" i="5"/>
  <c r="J17" i="5"/>
  <c r="E17" i="5"/>
  <c r="D53" i="5"/>
  <c r="I53" i="5"/>
  <c r="G53" i="5"/>
  <c r="H53" i="5"/>
  <c r="J51" i="5"/>
  <c r="J49" i="5"/>
  <c r="J47" i="5"/>
  <c r="J40" i="5"/>
  <c r="J38" i="5"/>
  <c r="J36" i="5"/>
  <c r="J34" i="5"/>
  <c r="J33" i="5"/>
  <c r="J32" i="5"/>
  <c r="J29" i="5"/>
  <c r="J25" i="5"/>
  <c r="J22" i="5"/>
  <c r="J20" i="5"/>
  <c r="J16" i="5"/>
  <c r="J15" i="5"/>
  <c r="J12" i="5"/>
  <c r="J9" i="5"/>
  <c r="J8" i="5"/>
  <c r="J3" i="5"/>
  <c r="B53" i="5"/>
  <c r="C53" i="5"/>
  <c r="E51" i="5"/>
  <c r="E49" i="5"/>
  <c r="E47" i="5"/>
  <c r="E40" i="5"/>
  <c r="E38" i="5"/>
  <c r="E36" i="5"/>
  <c r="E34" i="5"/>
  <c r="E33" i="5"/>
  <c r="E32" i="5"/>
  <c r="E29" i="5"/>
  <c r="E25" i="5"/>
  <c r="E22" i="5"/>
  <c r="E20" i="5"/>
  <c r="E16" i="5"/>
  <c r="E15" i="5"/>
  <c r="E12" i="5"/>
  <c r="E9" i="5"/>
  <c r="E8" i="5"/>
  <c r="E3" i="5"/>
  <c r="AY25" i="2"/>
  <c r="AS8" i="14"/>
  <c r="AS34" i="14"/>
  <c r="AP34" i="14"/>
  <c r="BB8" i="14"/>
  <c r="AY8" i="14"/>
  <c r="AV8" i="14"/>
  <c r="AQ39" i="1"/>
  <c r="BF13" i="1"/>
  <c r="BC13" i="1"/>
  <c r="AZ13" i="1"/>
  <c r="AW13" i="1"/>
  <c r="AT13" i="1"/>
  <c r="AQ13" i="1"/>
  <c r="J21" i="4"/>
  <c r="E21" i="4"/>
  <c r="J17" i="4"/>
  <c r="E17" i="4"/>
  <c r="J28" i="4"/>
  <c r="E28" i="4"/>
  <c r="J55" i="4"/>
  <c r="J47" i="4"/>
  <c r="J41" i="4"/>
  <c r="J39" i="4"/>
  <c r="J36" i="4"/>
  <c r="J34" i="4"/>
  <c r="J33" i="4"/>
  <c r="J30" i="4"/>
  <c r="J23" i="4"/>
  <c r="J20" i="4"/>
  <c r="J18" i="4"/>
  <c r="J16" i="4"/>
  <c r="J11" i="4"/>
  <c r="E55" i="4"/>
  <c r="E47" i="4"/>
  <c r="E41" i="4"/>
  <c r="E39" i="4"/>
  <c r="E36" i="4"/>
  <c r="E34" i="4"/>
  <c r="E33" i="4"/>
  <c r="E30" i="4"/>
  <c r="E23" i="4"/>
  <c r="E20" i="4"/>
  <c r="E18" i="4"/>
  <c r="E16" i="4"/>
  <c r="E11" i="4"/>
  <c r="AT14" i="11"/>
  <c r="AS17" i="2"/>
  <c r="AS9" i="2"/>
  <c r="AT20" i="1"/>
  <c r="J22" i="13"/>
  <c r="I22" i="13"/>
  <c r="AT39" i="1"/>
  <c r="AV17" i="2"/>
  <c r="AV9" i="2"/>
  <c r="BC15" i="3"/>
  <c r="AV37" i="2"/>
  <c r="BB17" i="2"/>
  <c r="AY9" i="2"/>
  <c r="BB9" i="2"/>
  <c r="BE9" i="2"/>
  <c r="J50" i="2" l="1"/>
  <c r="K29" i="13"/>
  <c r="K24" i="13"/>
  <c r="K22" i="13"/>
  <c r="K10" i="13"/>
  <c r="E51" i="10"/>
  <c r="J51" i="10"/>
  <c r="E52" i="11"/>
  <c r="J52" i="11"/>
  <c r="J58" i="6"/>
  <c r="E58" i="6"/>
  <c r="E55" i="3"/>
  <c r="J55" i="3"/>
  <c r="E57" i="14"/>
  <c r="J57" i="14"/>
  <c r="E59" i="1"/>
  <c r="J59" i="1"/>
  <c r="E53" i="5"/>
  <c r="J53" i="5"/>
  <c r="J50" i="9"/>
  <c r="E50" i="9"/>
  <c r="J57" i="4"/>
  <c r="E57" i="4"/>
  <c r="C475" i="13"/>
  <c r="F475" i="13"/>
</calcChain>
</file>

<file path=xl/sharedStrings.xml><?xml version="1.0" encoding="utf-8"?>
<sst xmlns="http://schemas.openxmlformats.org/spreadsheetml/2006/main" count="14700" uniqueCount="1131">
  <si>
    <t>TRIES</t>
  </si>
  <si>
    <t>Tot</t>
  </si>
  <si>
    <t>POINTS</t>
  </si>
  <si>
    <t>TOTALS</t>
  </si>
  <si>
    <t>Penalty Tries</t>
  </si>
  <si>
    <t>Williams</t>
  </si>
  <si>
    <t>Joseph</t>
  </si>
  <si>
    <t>Brown</t>
  </si>
  <si>
    <t>Most Points</t>
  </si>
  <si>
    <t>Att</t>
  </si>
  <si>
    <t>%</t>
  </si>
  <si>
    <t>Goals</t>
  </si>
  <si>
    <t>Ordered</t>
  </si>
  <si>
    <t>TOTAL</t>
  </si>
  <si>
    <t>This Season</t>
  </si>
  <si>
    <t>-</t>
  </si>
  <si>
    <t>Slade</t>
  </si>
  <si>
    <t>Simpson</t>
  </si>
  <si>
    <t>na</t>
  </si>
  <si>
    <t>n/a</t>
  </si>
  <si>
    <t>Walker</t>
  </si>
  <si>
    <t xml:space="preserve"> </t>
  </si>
  <si>
    <t>Smith</t>
  </si>
  <si>
    <t>Woodburn</t>
  </si>
  <si>
    <t>Morris</t>
  </si>
  <si>
    <t>Clark</t>
  </si>
  <si>
    <t>Most Tries</t>
  </si>
  <si>
    <t>McGuigan</t>
  </si>
  <si>
    <t>Yeandle</t>
  </si>
  <si>
    <t>Hill</t>
  </si>
  <si>
    <t>CM</t>
  </si>
  <si>
    <t>CL</t>
  </si>
  <si>
    <t>Dunn</t>
  </si>
  <si>
    <t>Cowan-Dickie</t>
  </si>
  <si>
    <t>© Hillsport Media Ltd</t>
  </si>
  <si>
    <t>Top Strike Rates*</t>
  </si>
  <si>
    <t>Ewels</t>
  </si>
  <si>
    <t>2013/14</t>
  </si>
  <si>
    <t>Last Match             (all comps)</t>
  </si>
  <si>
    <t>Woolmore</t>
  </si>
  <si>
    <t>Last Match             (All Comps)</t>
  </si>
  <si>
    <t xml:space="preserve">2013/14 </t>
  </si>
  <si>
    <t xml:space="preserve">2012/13 </t>
  </si>
  <si>
    <t>Hutchinson</t>
  </si>
  <si>
    <t xml:space="preserve">This Season </t>
  </si>
  <si>
    <t>2012/13</t>
  </si>
  <si>
    <t>Gls</t>
  </si>
  <si>
    <t>Thacker H</t>
  </si>
  <si>
    <t>Ludlow</t>
  </si>
  <si>
    <t>Thorley</t>
  </si>
  <si>
    <t>2014/15</t>
  </si>
  <si>
    <t>MacGinty</t>
  </si>
  <si>
    <t>Genge</t>
  </si>
  <si>
    <t>Taylor</t>
  </si>
  <si>
    <t>2015/16</t>
  </si>
  <si>
    <t>Curry T</t>
  </si>
  <si>
    <t>Singleton</t>
  </si>
  <si>
    <t>Curry B</t>
  </si>
  <si>
    <t>AC</t>
  </si>
  <si>
    <t xml:space="preserve">2014/15 </t>
  </si>
  <si>
    <t xml:space="preserve"> 2013/14</t>
  </si>
  <si>
    <t>Clarke</t>
  </si>
  <si>
    <t>Rapava-Ruskin</t>
  </si>
  <si>
    <t>Woodward</t>
  </si>
  <si>
    <t>O'Flaherty</t>
  </si>
  <si>
    <t>Cokanasiga</t>
  </si>
  <si>
    <t>Obano</t>
  </si>
  <si>
    <t>Underhill</t>
  </si>
  <si>
    <t>Stuart</t>
  </si>
  <si>
    <t>Furbank</t>
  </si>
  <si>
    <t>Lawrence</t>
  </si>
  <si>
    <t>Mitchell</t>
  </si>
  <si>
    <t xml:space="preserve">James L </t>
  </si>
  <si>
    <t>Reffell</t>
  </si>
  <si>
    <t>Simmons</t>
  </si>
  <si>
    <t>Reed</t>
  </si>
  <si>
    <t>Redpath</t>
  </si>
  <si>
    <t>Bayliss</t>
  </si>
  <si>
    <t>2016/17</t>
  </si>
  <si>
    <t>GLO</t>
  </si>
  <si>
    <t>SAL</t>
  </si>
  <si>
    <t>BTH</t>
  </si>
  <si>
    <t>NOR</t>
  </si>
  <si>
    <t xml:space="preserve">Penalty Tries </t>
  </si>
  <si>
    <t xml:space="preserve">Chisholm J </t>
  </si>
  <si>
    <t xml:space="preserve">Curry B </t>
  </si>
  <si>
    <t xml:space="preserve">Curry T </t>
  </si>
  <si>
    <t>HAR</t>
  </si>
  <si>
    <t>EXE</t>
  </si>
  <si>
    <t xml:space="preserve">Harrison R </t>
  </si>
  <si>
    <t>BRI</t>
  </si>
  <si>
    <t>Luatua</t>
  </si>
  <si>
    <t>Randall</t>
  </si>
  <si>
    <t>Thacker</t>
  </si>
  <si>
    <t>Thomas Y</t>
  </si>
  <si>
    <t>Last Match            (All Comps)</t>
  </si>
  <si>
    <t>Dombrandt</t>
  </si>
  <si>
    <t>Curtis</t>
  </si>
  <si>
    <t>Spencer B</t>
  </si>
  <si>
    <t>Stuart W</t>
  </si>
  <si>
    <t>Taylor T</t>
  </si>
  <si>
    <t>Annett N</t>
  </si>
  <si>
    <t>Bayliss J</t>
  </si>
  <si>
    <t>Beaumont J</t>
  </si>
  <si>
    <t>Brown M</t>
  </si>
  <si>
    <t>Clarke F</t>
  </si>
  <si>
    <t>Cokanasiga J</t>
  </si>
  <si>
    <t>Dombrandt A</t>
  </si>
  <si>
    <t>Dunn T</t>
  </si>
  <si>
    <t>Earl B</t>
  </si>
  <si>
    <t>Ewels C</t>
  </si>
  <si>
    <t>Ford-Robinson J</t>
  </si>
  <si>
    <t>Furbank G</t>
  </si>
  <si>
    <t>Genge E</t>
  </si>
  <si>
    <t>Hutchinson R</t>
  </si>
  <si>
    <t>Innard J</t>
  </si>
  <si>
    <t>Kerrod S</t>
  </si>
  <si>
    <t>Lamb D</t>
  </si>
  <si>
    <t>Lawday T</t>
  </si>
  <si>
    <t>Lawrence O</t>
  </si>
  <si>
    <t>Luatua S</t>
  </si>
  <si>
    <t>Ludlow L</t>
  </si>
  <si>
    <t>MacGinty A</t>
  </si>
  <si>
    <t>Mitchell A</t>
  </si>
  <si>
    <t>Obano B</t>
  </si>
  <si>
    <t>O'Flaherty T</t>
  </si>
  <si>
    <t>Randall H</t>
  </si>
  <si>
    <t>Rapava Ruskin V</t>
  </si>
  <si>
    <t>Redpath C</t>
  </si>
  <si>
    <t>Reed A</t>
  </si>
  <si>
    <t>Seabrook T</t>
  </si>
  <si>
    <t>Simmons H</t>
  </si>
  <si>
    <t>Slade H</t>
  </si>
  <si>
    <t>Thorley O</t>
  </si>
  <si>
    <t>Townsend S</t>
  </si>
  <si>
    <t>Underhill S</t>
  </si>
  <si>
    <t>van Wyk F</t>
  </si>
  <si>
    <t>Woodburn O</t>
  </si>
  <si>
    <t>Woolmore J</t>
  </si>
  <si>
    <t>Yeandle J</t>
  </si>
  <si>
    <t>Smith M</t>
  </si>
  <si>
    <t>2013/14           (European Cup)</t>
  </si>
  <si>
    <t>Hill T</t>
  </si>
  <si>
    <t>Painter</t>
  </si>
  <si>
    <t>Painter E</t>
  </si>
  <si>
    <t>Wells</t>
  </si>
  <si>
    <t>Wells H</t>
  </si>
  <si>
    <t>Chapman</t>
  </si>
  <si>
    <t>Chapman C</t>
  </si>
  <si>
    <t>Skinner H</t>
  </si>
  <si>
    <t>Bedlow S</t>
  </si>
  <si>
    <t>Reffell T</t>
  </si>
  <si>
    <t>du Preez R</t>
  </si>
  <si>
    <t>Capstick</t>
  </si>
  <si>
    <t>Capstick R</t>
  </si>
  <si>
    <t>Dingwall</t>
  </si>
  <si>
    <t>Dingwall F</t>
  </si>
  <si>
    <t>Sleightholme O</t>
  </si>
  <si>
    <t>du Preez J-L</t>
  </si>
  <si>
    <t>Murley</t>
  </si>
  <si>
    <t>Murley C</t>
  </si>
  <si>
    <t>Coles</t>
  </si>
  <si>
    <t>Coles A</t>
  </si>
  <si>
    <t>David</t>
  </si>
  <si>
    <t>David N</t>
  </si>
  <si>
    <t>2017/18</t>
  </si>
  <si>
    <t>2013/14  (European Cup)</t>
  </si>
  <si>
    <t>Jackson</t>
  </si>
  <si>
    <t>Barton</t>
  </si>
  <si>
    <t>Wyatt</t>
  </si>
  <si>
    <t>Barton G</t>
  </si>
  <si>
    <t xml:space="preserve">Barton G </t>
  </si>
  <si>
    <t>Wyatt T</t>
  </si>
  <si>
    <t>Vermeulen J</t>
  </si>
  <si>
    <t>Reid</t>
  </si>
  <si>
    <t>du Preez D</t>
  </si>
  <si>
    <t>Roebuck</t>
  </si>
  <si>
    <t>Roebuck T</t>
  </si>
  <si>
    <t xml:space="preserve">Curtis </t>
  </si>
  <si>
    <t>Curtis T</t>
  </si>
  <si>
    <t>Williams J</t>
  </si>
  <si>
    <t>Morris J</t>
  </si>
  <si>
    <t>Bates</t>
  </si>
  <si>
    <t>Bates J</t>
  </si>
  <si>
    <t>Capon</t>
  </si>
  <si>
    <t>Capon W</t>
  </si>
  <si>
    <t>Seq</t>
  </si>
  <si>
    <t>PREM</t>
  </si>
  <si>
    <t>CHAMPS CUP</t>
  </si>
  <si>
    <t>CHALL CUP</t>
  </si>
  <si>
    <t>Heward</t>
  </si>
  <si>
    <t>Simpson G</t>
  </si>
  <si>
    <t>Ford</t>
  </si>
  <si>
    <t>Steward</t>
  </si>
  <si>
    <t>Steward F</t>
  </si>
  <si>
    <t>Harris C</t>
  </si>
  <si>
    <t>Lewies</t>
  </si>
  <si>
    <t>Lewies S</t>
  </si>
  <si>
    <t>Northmore</t>
  </si>
  <si>
    <t>Northmore L</t>
  </si>
  <si>
    <t>Tuisue A</t>
  </si>
  <si>
    <t>Lawday</t>
  </si>
  <si>
    <t>Varney S</t>
  </si>
  <si>
    <t>de Glanville</t>
  </si>
  <si>
    <t>de Glanville T</t>
  </si>
  <si>
    <t>*Spencer</t>
  </si>
  <si>
    <t>Henderson</t>
  </si>
  <si>
    <t>Henderson C</t>
  </si>
  <si>
    <t>Liebenberg</t>
  </si>
  <si>
    <t>Liebenberg H</t>
  </si>
  <si>
    <t>Stanley</t>
  </si>
  <si>
    <t>Stanley J</t>
  </si>
  <si>
    <t>Hodge</t>
  </si>
  <si>
    <t>Hodge J</t>
  </si>
  <si>
    <t>Alemanno</t>
  </si>
  <si>
    <t>Byrne</t>
  </si>
  <si>
    <t>Scott</t>
  </si>
  <si>
    <t>Alemanno M</t>
  </si>
  <si>
    <t>GP</t>
  </si>
  <si>
    <t>2018/19</t>
  </si>
  <si>
    <t xml:space="preserve">2018/19 </t>
  </si>
  <si>
    <t>Fox</t>
  </si>
  <si>
    <t>Fox O</t>
  </si>
  <si>
    <t>Reid M</t>
  </si>
  <si>
    <t>Muir</t>
  </si>
  <si>
    <t>Muir W</t>
  </si>
  <si>
    <t>Last Season</t>
  </si>
  <si>
    <t>Lahiff</t>
  </si>
  <si>
    <t>Lahiff M</t>
  </si>
  <si>
    <t>Innard</t>
  </si>
  <si>
    <t xml:space="preserve">Last Season </t>
  </si>
  <si>
    <t>Ford-Robinson</t>
  </si>
  <si>
    <t>Els</t>
  </si>
  <si>
    <t>Els J</t>
  </si>
  <si>
    <t>Kerrod</t>
  </si>
  <si>
    <t>Heyes</t>
  </si>
  <si>
    <t>Heyes J</t>
  </si>
  <si>
    <t>Blamire</t>
  </si>
  <si>
    <t>Blamire J</t>
  </si>
  <si>
    <t>Brocklebank</t>
  </si>
  <si>
    <t>Brocklebank A</t>
  </si>
  <si>
    <t>Chick C</t>
  </si>
  <si>
    <t>Cooper</t>
  </si>
  <si>
    <t>McGuigan G</t>
  </si>
  <si>
    <t>Connon</t>
  </si>
  <si>
    <t>Radwan</t>
  </si>
  <si>
    <t>Stuart S</t>
  </si>
  <si>
    <t>van der Walt P</t>
  </si>
  <si>
    <t>Connon B</t>
  </si>
  <si>
    <t>Radwan A</t>
  </si>
  <si>
    <t>Porter</t>
  </si>
  <si>
    <t>Stevenson B</t>
  </si>
  <si>
    <t>Clare</t>
  </si>
  <si>
    <t>Clare C</t>
  </si>
  <si>
    <t>Graham</t>
  </si>
  <si>
    <t>Isiekwe</t>
  </si>
  <si>
    <t>Isiekwe N</t>
  </si>
  <si>
    <t>Singleton J</t>
  </si>
  <si>
    <t>Atkinson C</t>
  </si>
  <si>
    <t>James</t>
  </si>
  <si>
    <t>James T</t>
  </si>
  <si>
    <t>Kelly</t>
  </si>
  <si>
    <t>Kelly D</t>
  </si>
  <si>
    <t>Kloska</t>
  </si>
  <si>
    <t>Kloska G</t>
  </si>
  <si>
    <t>Evans W</t>
  </si>
  <si>
    <t>Carreras</t>
  </si>
  <si>
    <t>Carreras S</t>
  </si>
  <si>
    <t>van Poortvliet</t>
  </si>
  <si>
    <t>Martin</t>
  </si>
  <si>
    <t xml:space="preserve">van Poortvliet J </t>
  </si>
  <si>
    <t>Martin G</t>
  </si>
  <si>
    <t>Rodd</t>
  </si>
  <si>
    <t>Rodd B</t>
  </si>
  <si>
    <t>Green T</t>
  </si>
  <si>
    <t>Freeman</t>
  </si>
  <si>
    <t>Freeman T</t>
  </si>
  <si>
    <t>Chessum O</t>
  </si>
  <si>
    <t>Davison</t>
  </si>
  <si>
    <t>Bailey</t>
  </si>
  <si>
    <t>Bailey O</t>
  </si>
  <si>
    <t>Batley</t>
  </si>
  <si>
    <t>Batley J</t>
  </si>
  <si>
    <t>Smith F</t>
  </si>
  <si>
    <t>Harding</t>
  </si>
  <si>
    <t>Harding F</t>
  </si>
  <si>
    <t>Quirke</t>
  </si>
  <si>
    <t>Quirke R</t>
  </si>
  <si>
    <t>du Toit</t>
  </si>
  <si>
    <t>Kenningham</t>
  </si>
  <si>
    <t>Kenningham J</t>
  </si>
  <si>
    <t>Segun</t>
  </si>
  <si>
    <t>George</t>
  </si>
  <si>
    <t>Itoje</t>
  </si>
  <si>
    <t>Whiteley</t>
  </si>
  <si>
    <t>Tompkins</t>
  </si>
  <si>
    <t>Mawi</t>
  </si>
  <si>
    <t>Daly</t>
  </si>
  <si>
    <t>Butt</t>
  </si>
  <si>
    <t>Butt W</t>
  </si>
  <si>
    <t>2019/20</t>
  </si>
  <si>
    <t>*Redpath</t>
  </si>
  <si>
    <t>Whiteley T</t>
  </si>
  <si>
    <t>van Zyl</t>
  </si>
  <si>
    <t>Riccioni</t>
  </si>
  <si>
    <t>McFarland</t>
  </si>
  <si>
    <t>Clarey</t>
  </si>
  <si>
    <t>Lozowski</t>
  </si>
  <si>
    <t>Earl</t>
  </si>
  <si>
    <t>SAR</t>
  </si>
  <si>
    <t>Clarey A</t>
  </si>
  <si>
    <t>Daly E</t>
  </si>
  <si>
    <t>George J</t>
  </si>
  <si>
    <t>Goode A</t>
  </si>
  <si>
    <t>Hunter-Hill C</t>
  </si>
  <si>
    <t>Itoje M</t>
  </si>
  <si>
    <t>Lozowski A</t>
  </si>
  <si>
    <t>Mawi E</t>
  </si>
  <si>
    <t>McFarland T</t>
  </si>
  <si>
    <t>Obatoyinbo E</t>
  </si>
  <si>
    <t>Pifeleti K</t>
  </si>
  <si>
    <t>Riccioni M</t>
  </si>
  <si>
    <t>Segun R</t>
  </si>
  <si>
    <t>Tompkins N</t>
  </si>
  <si>
    <t>van Zyl I</t>
  </si>
  <si>
    <t>*Daly</t>
  </si>
  <si>
    <t>PC</t>
  </si>
  <si>
    <t>Iosefa-Scott</t>
  </si>
  <si>
    <t>Iosefa-Scott J</t>
  </si>
  <si>
    <t>Hurd</t>
  </si>
  <si>
    <t>Hurd W</t>
  </si>
  <si>
    <t>Smith T</t>
  </si>
  <si>
    <t>Clement</t>
  </si>
  <si>
    <t>Clement J</t>
  </si>
  <si>
    <t>Ojomoh</t>
  </si>
  <si>
    <t>Tuima</t>
  </si>
  <si>
    <t>Tuima R</t>
  </si>
  <si>
    <t>Thomas</t>
  </si>
  <si>
    <t>Frost D</t>
  </si>
  <si>
    <t>Ojomoh M</t>
  </si>
  <si>
    <t>Warr</t>
  </si>
  <si>
    <t>Warr G</t>
  </si>
  <si>
    <t>Davidson</t>
  </si>
  <si>
    <t>Jurevicius</t>
  </si>
  <si>
    <t>Jurevicius M</t>
  </si>
  <si>
    <t>Benson</t>
  </si>
  <si>
    <t>Benson J</t>
  </si>
  <si>
    <t>Dugdale</t>
  </si>
  <si>
    <t>Dugdale S</t>
  </si>
  <si>
    <t>Litchfield</t>
  </si>
  <si>
    <t>Hendy</t>
  </si>
  <si>
    <t>Litchfield T</t>
  </si>
  <si>
    <t>Hendy G</t>
  </si>
  <si>
    <t>Birch</t>
  </si>
  <si>
    <t>Birch R</t>
  </si>
  <si>
    <t>Taylor H</t>
  </si>
  <si>
    <t>Reeves J</t>
  </si>
  <si>
    <t>Beard</t>
  </si>
  <si>
    <t>Beard O</t>
  </si>
  <si>
    <t>Jordan</t>
  </si>
  <si>
    <t>Jordan C</t>
  </si>
  <si>
    <t>Cracknell</t>
  </si>
  <si>
    <t>Cracknell O</t>
  </si>
  <si>
    <t>Blake</t>
  </si>
  <si>
    <t>Blake S</t>
  </si>
  <si>
    <t>Hammond G</t>
  </si>
  <si>
    <t>Pearson</t>
  </si>
  <si>
    <t>Pearson L</t>
  </si>
  <si>
    <t>Atkinson S</t>
  </si>
  <si>
    <t>Richards</t>
  </si>
  <si>
    <t>Richards E</t>
  </si>
  <si>
    <t>Norey</t>
  </si>
  <si>
    <t>Norey M</t>
  </si>
  <si>
    <t>Hillman-Cooper L</t>
  </si>
  <si>
    <t>Walker J</t>
  </si>
  <si>
    <t>Lane</t>
  </si>
  <si>
    <t>Lane R</t>
  </si>
  <si>
    <t>Gjaltema L</t>
  </si>
  <si>
    <t>Smith R</t>
  </si>
  <si>
    <t>Vanes A</t>
  </si>
  <si>
    <t>Carr</t>
  </si>
  <si>
    <t>Jackson B</t>
  </si>
  <si>
    <t>Carpenter</t>
  </si>
  <si>
    <t>Harper</t>
  </si>
  <si>
    <t>Carpenter J</t>
  </si>
  <si>
    <t>Harper J</t>
  </si>
  <si>
    <t>Cleaves</t>
  </si>
  <si>
    <t>Cleaves C</t>
  </si>
  <si>
    <t>Thomas F</t>
  </si>
  <si>
    <t>Tiffen</t>
  </si>
  <si>
    <t>Tiffen M</t>
  </si>
  <si>
    <t>2020/21</t>
  </si>
  <si>
    <t>2020/21 (CH)</t>
  </si>
  <si>
    <t>Kata</t>
  </si>
  <si>
    <t>Kata S</t>
  </si>
  <si>
    <t>McGinty A</t>
  </si>
  <si>
    <t>Anyanwu L</t>
  </si>
  <si>
    <t>Green J</t>
  </si>
  <si>
    <t>Riley</t>
  </si>
  <si>
    <t>Riley S</t>
  </si>
  <si>
    <t>Hallett J</t>
  </si>
  <si>
    <t>Tshiunza</t>
  </si>
  <si>
    <t>Tshiunza C</t>
  </si>
  <si>
    <t>Chessum L</t>
  </si>
  <si>
    <t>Ilione</t>
  </si>
  <si>
    <t>Ilione E</t>
  </si>
  <si>
    <t>Osborne</t>
  </si>
  <si>
    <t>Jibulu</t>
  </si>
  <si>
    <t>Bradley</t>
  </si>
  <si>
    <t>Slevin</t>
  </si>
  <si>
    <t>Murray</t>
  </si>
  <si>
    <t>Osborne T</t>
  </si>
  <si>
    <t>Jibulu N</t>
  </si>
  <si>
    <t>Carr Z</t>
  </si>
  <si>
    <t>Bradley B</t>
  </si>
  <si>
    <t>Slevin C</t>
  </si>
  <si>
    <t>Murray J</t>
  </si>
  <si>
    <t>Graham S</t>
  </si>
  <si>
    <t>Ramm</t>
  </si>
  <si>
    <t>Ramm J</t>
  </si>
  <si>
    <t>*MacGinty</t>
  </si>
  <si>
    <t>Musk</t>
  </si>
  <si>
    <t>Rowson H</t>
  </si>
  <si>
    <t>Worsley</t>
  </si>
  <si>
    <t>Becconsall</t>
  </si>
  <si>
    <t>Becconsall W</t>
  </si>
  <si>
    <t>Musk J</t>
  </si>
  <si>
    <t>Clark A</t>
  </si>
  <si>
    <t>Hartley</t>
  </si>
  <si>
    <t>Hartley O</t>
  </si>
  <si>
    <t>Pollock</t>
  </si>
  <si>
    <t>Pollock H</t>
  </si>
  <si>
    <t>Davies H</t>
  </si>
  <si>
    <t>Elliott</t>
  </si>
  <si>
    <t>Elliott T</t>
  </si>
  <si>
    <t>Lockett</t>
  </si>
  <si>
    <t>Lockett T</t>
  </si>
  <si>
    <t>Manz J</t>
  </si>
  <si>
    <t>Bailey D</t>
  </si>
  <si>
    <t>Caine</t>
  </si>
  <si>
    <t>Pepper G</t>
  </si>
  <si>
    <t>Sio</t>
  </si>
  <si>
    <t>Sio S</t>
  </si>
  <si>
    <t>van Wyk</t>
  </si>
  <si>
    <t>Jenkins I</t>
  </si>
  <si>
    <t>Jenkins D</t>
  </si>
  <si>
    <t>Carr-Smith</t>
  </si>
  <si>
    <t>Carr-Smith T</t>
  </si>
  <si>
    <t>Harris S</t>
  </si>
  <si>
    <t>Anderson</t>
  </si>
  <si>
    <t>Anderson C</t>
  </si>
  <si>
    <t>Knight</t>
  </si>
  <si>
    <t>Ibitoye</t>
  </si>
  <si>
    <t>Ibitoye G</t>
  </si>
  <si>
    <t>Feyi-Waboso</t>
  </si>
  <si>
    <t>Feyi-Waboso I</t>
  </si>
  <si>
    <t>Fletcher</t>
  </si>
  <si>
    <t>Fletcher O</t>
  </si>
  <si>
    <t>Jenkins J</t>
  </si>
  <si>
    <t>McIntyre</t>
  </si>
  <si>
    <t>McIntyre S</t>
  </si>
  <si>
    <t>Pollard H</t>
  </si>
  <si>
    <t>Skinner</t>
  </si>
  <si>
    <t>Dan</t>
  </si>
  <si>
    <t>Dan T</t>
  </si>
  <si>
    <t>Heward N</t>
  </si>
  <si>
    <t>*Ford</t>
  </si>
  <si>
    <t>*Ford played for Bath from 2013/14 to 2016/17 &amp; Leicester from 2017/18 to 2021/22</t>
  </si>
  <si>
    <t>Ford G</t>
  </si>
  <si>
    <t>*Smith F</t>
  </si>
  <si>
    <t>Cairns</t>
  </si>
  <si>
    <t>Cairns T</t>
  </si>
  <si>
    <t>Baxter</t>
  </si>
  <si>
    <t>Baxter F</t>
  </si>
  <si>
    <t>Lockwood</t>
  </si>
  <si>
    <t>Lockwood F</t>
  </si>
  <si>
    <t>Rubiolo</t>
  </si>
  <si>
    <t>2021/22</t>
  </si>
  <si>
    <t>Hennessey</t>
  </si>
  <si>
    <t>Marmion</t>
  </si>
  <si>
    <t>Owen</t>
  </si>
  <si>
    <t>Fisilau</t>
  </si>
  <si>
    <t>Hammersley</t>
  </si>
  <si>
    <t>Haydon-Wood</t>
  </si>
  <si>
    <t>Vintcent</t>
  </si>
  <si>
    <t xml:space="preserve">Ordered </t>
  </si>
  <si>
    <t>Hathaway</t>
  </si>
  <si>
    <t>Browne</t>
  </si>
  <si>
    <t>Trenholm</t>
  </si>
  <si>
    <t>Hassell-Collins</t>
  </si>
  <si>
    <t>Hatherell</t>
  </si>
  <si>
    <t>de Chaves</t>
  </si>
  <si>
    <t>McDonald</t>
  </si>
  <si>
    <t>Pepper M</t>
  </si>
  <si>
    <t>Glister</t>
  </si>
  <si>
    <t>Langdon</t>
  </si>
  <si>
    <t>McParland</t>
  </si>
  <si>
    <t>Munga</t>
  </si>
  <si>
    <t>Thame</t>
  </si>
  <si>
    <t>Bamber</t>
  </si>
  <si>
    <t>Ene</t>
  </si>
  <si>
    <t>Onasanya</t>
  </si>
  <si>
    <t>Willis</t>
  </si>
  <si>
    <t>Barbeary</t>
  </si>
  <si>
    <t>Barbeary A</t>
  </si>
  <si>
    <t>Spencer</t>
  </si>
  <si>
    <t>*Russell</t>
  </si>
  <si>
    <t>Russell F</t>
  </si>
  <si>
    <t>Evans J</t>
  </si>
  <si>
    <t>Caine E</t>
  </si>
  <si>
    <t>Russell</t>
  </si>
  <si>
    <t>Fisilau G</t>
  </si>
  <si>
    <t>Armstrong N</t>
  </si>
  <si>
    <t>Hassell-Collins O</t>
  </si>
  <si>
    <t>Bamber B</t>
  </si>
  <si>
    <t>Bassett J</t>
  </si>
  <si>
    <t>Browne H</t>
  </si>
  <si>
    <t>de Chaves S</t>
  </si>
  <si>
    <t>Willis T</t>
  </si>
  <si>
    <t>du Toit T</t>
  </si>
  <si>
    <t>Roots E</t>
  </si>
  <si>
    <t>Vintcent R</t>
  </si>
  <si>
    <t>Porter W</t>
  </si>
  <si>
    <t>Gonzalez</t>
  </si>
  <si>
    <t>Gonzalez J M</t>
  </si>
  <si>
    <t>Malins M</t>
  </si>
  <si>
    <t>Brown L</t>
  </si>
  <si>
    <t>LEI</t>
  </si>
  <si>
    <t>Sleightholme</t>
  </si>
  <si>
    <t>Chisholm</t>
  </si>
  <si>
    <t>Oghre</t>
  </si>
  <si>
    <t>Oghre G</t>
  </si>
  <si>
    <t>Coetzee</t>
  </si>
  <si>
    <t>Coetzee J</t>
  </si>
  <si>
    <t>Dun</t>
  </si>
  <si>
    <t>Dun J</t>
  </si>
  <si>
    <t>Doherty</t>
  </si>
  <si>
    <t>Cinti</t>
  </si>
  <si>
    <t>Cinti L</t>
  </si>
  <si>
    <t>Cowan-Dickie L</t>
  </si>
  <si>
    <t>Dunne J</t>
  </si>
  <si>
    <t>*Atkinson C</t>
  </si>
  <si>
    <t>Schreuder L</t>
  </si>
  <si>
    <t>Wimbush</t>
  </si>
  <si>
    <t>Wimbush Z</t>
  </si>
  <si>
    <t>Lewis D</t>
  </si>
  <si>
    <t>Bello</t>
  </si>
  <si>
    <t xml:space="preserve">Bello </t>
  </si>
  <si>
    <t>Bello E</t>
  </si>
  <si>
    <t>McCallum</t>
  </si>
  <si>
    <t>McCallum M</t>
  </si>
  <si>
    <t>Redshaw B</t>
  </si>
  <si>
    <t>O'Sullivan H</t>
  </si>
  <si>
    <t>*Savala</t>
  </si>
  <si>
    <t>Janse v Rensburg</t>
  </si>
  <si>
    <t>Janse van Rensburg B</t>
  </si>
  <si>
    <t>Janse v Rensburg B</t>
  </si>
  <si>
    <t>Hadfield</t>
  </si>
  <si>
    <t>Hadfield J</t>
  </si>
  <si>
    <t>Llewellyn</t>
  </si>
  <si>
    <t>Llewellyn M</t>
  </si>
  <si>
    <t>Theobold-Thomas</t>
  </si>
  <si>
    <t>Theobald-Thomas F</t>
  </si>
  <si>
    <t>Garside J</t>
  </si>
  <si>
    <t>*Evans J</t>
  </si>
  <si>
    <t>Parton T</t>
  </si>
  <si>
    <t>Cardall</t>
  </si>
  <si>
    <t>Cardall T</t>
  </si>
  <si>
    <t>John</t>
  </si>
  <si>
    <t>John D</t>
  </si>
  <si>
    <t>Englefield</t>
  </si>
  <si>
    <t>Englefield C</t>
  </si>
  <si>
    <t>*Englefield</t>
  </si>
  <si>
    <t>J v Rensburg</t>
  </si>
  <si>
    <t>Iyogun</t>
  </si>
  <si>
    <t>Iyogun E</t>
  </si>
  <si>
    <t>Langdon c</t>
  </si>
  <si>
    <t>Cunningham-Sth</t>
  </si>
  <si>
    <t>Cunningham-South C</t>
  </si>
  <si>
    <t>Odendaal B</t>
  </si>
  <si>
    <t>Hathaway J</t>
  </si>
  <si>
    <t>2022/23</t>
  </si>
  <si>
    <t>*Spencer for Saracens &amp; Redpath for Sale before 2022/23</t>
  </si>
  <si>
    <t>Pepper</t>
  </si>
  <si>
    <t>Molony</t>
  </si>
  <si>
    <t>Molony R</t>
  </si>
  <si>
    <t>Tuipulotu</t>
  </si>
  <si>
    <t>Tuipulotu K</t>
  </si>
  <si>
    <t>Chawatama</t>
  </si>
  <si>
    <t>Chawatama L</t>
  </si>
  <si>
    <t>Doughty T</t>
  </si>
  <si>
    <t>Barker</t>
  </si>
  <si>
    <t>Barker S</t>
  </si>
  <si>
    <t>Mata</t>
  </si>
  <si>
    <t>Mata V</t>
  </si>
  <si>
    <t>Cripps</t>
  </si>
  <si>
    <t>Cripps K</t>
  </si>
  <si>
    <t>Ravouvou</t>
  </si>
  <si>
    <t>Ravouvou K</t>
  </si>
  <si>
    <t>Wolstenholme</t>
  </si>
  <si>
    <t>Wolstenholme S</t>
  </si>
  <si>
    <t>Grahamslaw</t>
  </si>
  <si>
    <t>Grahamslaw S</t>
  </si>
  <si>
    <t>Grondona B</t>
  </si>
  <si>
    <t>Grondona S</t>
  </si>
  <si>
    <t>Taylor G</t>
  </si>
  <si>
    <t>Tull A</t>
  </si>
  <si>
    <t>Turner A</t>
  </si>
  <si>
    <t>Boshoff</t>
  </si>
  <si>
    <t>Boshoff A</t>
  </si>
  <si>
    <t>Harvey</t>
  </si>
  <si>
    <t>Harvey E</t>
  </si>
  <si>
    <t>O'Callaghan G</t>
  </si>
  <si>
    <t>Jenkins K</t>
  </si>
  <si>
    <t>Scott S</t>
  </si>
  <si>
    <t>Cusick J</t>
  </si>
  <si>
    <t>Halliwell</t>
  </si>
  <si>
    <t>Halliwell J</t>
  </si>
  <si>
    <t>Trevett L</t>
  </si>
  <si>
    <t>Trevett</t>
  </si>
  <si>
    <t>Pearce</t>
  </si>
  <si>
    <t>Pearce P</t>
  </si>
  <si>
    <t>Baker</t>
  </si>
  <si>
    <t>Baker T</t>
  </si>
  <si>
    <t>Gwilliam</t>
  </si>
  <si>
    <t>Gwilliam T</t>
  </si>
  <si>
    <t>Goodrick-Clarke</t>
  </si>
  <si>
    <t>Goodrick-Clarke W</t>
  </si>
  <si>
    <t>Roots J</t>
  </si>
  <si>
    <t>Bell</t>
  </si>
  <si>
    <t>Bell A</t>
  </si>
  <si>
    <t>Dorrell L</t>
  </si>
  <si>
    <t>Rigg</t>
  </si>
  <si>
    <t>Rigg W</t>
  </si>
  <si>
    <t>Gotovtsev</t>
  </si>
  <si>
    <t>Gotovtsev K</t>
  </si>
  <si>
    <t>Vivas M</t>
  </si>
  <si>
    <t>Eite</t>
  </si>
  <si>
    <t>Eite D</t>
  </si>
  <si>
    <t>Fasogban A</t>
  </si>
  <si>
    <t>Jones I</t>
  </si>
  <si>
    <t>McArthur</t>
  </si>
  <si>
    <t>McArthur A</t>
  </si>
  <si>
    <t>Taylor R</t>
  </si>
  <si>
    <t>Wade</t>
  </si>
  <si>
    <t>Wade C</t>
  </si>
  <si>
    <t>Williams T</t>
  </si>
  <si>
    <t>Lamositele</t>
  </si>
  <si>
    <t>Halfpenny L</t>
  </si>
  <si>
    <t>Jones W</t>
  </si>
  <si>
    <t>Lamositele T</t>
  </si>
  <si>
    <t>Ashworth C</t>
  </si>
  <si>
    <t>Driscoll</t>
  </si>
  <si>
    <t>Driscoll S</t>
  </si>
  <si>
    <t>Perese</t>
  </si>
  <si>
    <t>Perese I</t>
  </si>
  <si>
    <t>Wand</t>
  </si>
  <si>
    <t>Wand W</t>
  </si>
  <si>
    <t>Pearson G</t>
  </si>
  <si>
    <t>Hoyt T</t>
  </si>
  <si>
    <t>Allan</t>
  </si>
  <si>
    <t>Allan O</t>
  </si>
  <si>
    <t>Clarke H</t>
  </si>
  <si>
    <t>Davies C</t>
  </si>
  <si>
    <t>Kinder</t>
  </si>
  <si>
    <t>Kinder J</t>
  </si>
  <si>
    <t>Manz T</t>
  </si>
  <si>
    <t>Mellowes</t>
  </si>
  <si>
    <t>Mellowes B</t>
  </si>
  <si>
    <t>Satala M</t>
  </si>
  <si>
    <t>Williams S</t>
  </si>
  <si>
    <t>Bainbridge J</t>
  </si>
  <si>
    <t>Coulston</t>
  </si>
  <si>
    <t>Davis</t>
  </si>
  <si>
    <t>Coulston L</t>
  </si>
  <si>
    <t>Davis J</t>
  </si>
  <si>
    <t>Elliott J</t>
  </si>
  <si>
    <t>Greenwood</t>
  </si>
  <si>
    <t>Hawkins</t>
  </si>
  <si>
    <t>Leatherbarrow</t>
  </si>
  <si>
    <t>Greenwood N</t>
  </si>
  <si>
    <t>Hawkins J</t>
  </si>
  <si>
    <t>Kelly J</t>
  </si>
  <si>
    <t>Leatherbarrow O</t>
  </si>
  <si>
    <t>Newton</t>
  </si>
  <si>
    <t>Newton J</t>
  </si>
  <si>
    <t>Palframan</t>
  </si>
  <si>
    <t>Palframan R</t>
  </si>
  <si>
    <t>Spencer O</t>
  </si>
  <si>
    <t>Turnbull</t>
  </si>
  <si>
    <t>Turnbull C</t>
  </si>
  <si>
    <t>Wilkinson K</t>
  </si>
  <si>
    <t>Hearle</t>
  </si>
  <si>
    <t>Hearle A</t>
  </si>
  <si>
    <t>Arnold</t>
  </si>
  <si>
    <t>Arnold S</t>
  </si>
  <si>
    <t>Doherty C</t>
  </si>
  <si>
    <t>Metcalf J</t>
  </si>
  <si>
    <t>de Bruin</t>
  </si>
  <si>
    <t>de Bruin L</t>
  </si>
  <si>
    <t>Neild</t>
  </si>
  <si>
    <t>Neild C</t>
  </si>
  <si>
    <t>Gordon</t>
  </si>
  <si>
    <t>Gordon T</t>
  </si>
  <si>
    <t>Haffar</t>
  </si>
  <si>
    <t>Haffar T</t>
  </si>
  <si>
    <t>Langdon C</t>
  </si>
  <si>
    <t>Langdon N</t>
  </si>
  <si>
    <t>Logan</t>
  </si>
  <si>
    <t>Makepeace-Cubitt G</t>
  </si>
  <si>
    <t>Mayanavanua T</t>
  </si>
  <si>
    <t>West</t>
  </si>
  <si>
    <t>Wright</t>
  </si>
  <si>
    <t>West T</t>
  </si>
  <si>
    <t>Wright C</t>
  </si>
  <si>
    <t>Worsley S</t>
  </si>
  <si>
    <t>Addison W</t>
  </si>
  <si>
    <t>Roets L R</t>
  </si>
  <si>
    <t>Ma'asi-White</t>
  </si>
  <si>
    <t>Ma'asi-White R</t>
  </si>
  <si>
    <t>Opoku-Fordjour</t>
  </si>
  <si>
    <t>Opoku-Fordjour A</t>
  </si>
  <si>
    <t>Wardle C</t>
  </si>
  <si>
    <t>van Rhyn</t>
  </si>
  <si>
    <t>van Rhyn E</t>
  </si>
  <si>
    <t>Andrews</t>
  </si>
  <si>
    <t>Andrews H</t>
  </si>
  <si>
    <t>Groves A</t>
  </si>
  <si>
    <t>Bedlow J</t>
  </si>
  <si>
    <t>Wills</t>
  </si>
  <si>
    <t>Woodman</t>
  </si>
  <si>
    <t>Wills A</t>
  </si>
  <si>
    <t>Woodman T</t>
  </si>
  <si>
    <t>Spink</t>
  </si>
  <si>
    <t>Spink S</t>
  </si>
  <si>
    <t>Burke</t>
  </si>
  <si>
    <t>Burke F</t>
  </si>
  <si>
    <t>Johnson</t>
  </si>
  <si>
    <t>Johnson L</t>
  </si>
  <si>
    <t>Braley C</t>
  </si>
  <si>
    <t>Balmain F</t>
  </si>
  <si>
    <t>Hoskins O</t>
  </si>
  <si>
    <t>Carre</t>
  </si>
  <si>
    <t>Carre R</t>
  </si>
  <si>
    <t>Crean S</t>
  </si>
  <si>
    <t>Brantingham</t>
  </si>
  <si>
    <t>Brantingham P</t>
  </si>
  <si>
    <t>Tizard</t>
  </si>
  <si>
    <t>Tizard H</t>
  </si>
  <si>
    <t>Wilson H</t>
  </si>
  <si>
    <t>Merrett</t>
  </si>
  <si>
    <t>Michelow</t>
  </si>
  <si>
    <t>Merrett B</t>
  </si>
  <si>
    <t>Michelow N</t>
  </si>
  <si>
    <t>McParland A</t>
  </si>
  <si>
    <t>Munga C</t>
  </si>
  <si>
    <t>Eke</t>
  </si>
  <si>
    <t>Eke M</t>
  </si>
  <si>
    <t>*Johnson</t>
  </si>
  <si>
    <t>*Burke</t>
  </si>
  <si>
    <t>Onyeama-Christie</t>
  </si>
  <si>
    <t>Kemeny</t>
  </si>
  <si>
    <t>Kemeny J</t>
  </si>
  <si>
    <t>Grayson E</t>
  </si>
  <si>
    <t>Brown-Bampoe</t>
  </si>
  <si>
    <t>Brown-Bampoe P</t>
  </si>
  <si>
    <t>Fricker T</t>
  </si>
  <si>
    <t>Isgro</t>
  </si>
  <si>
    <t>Isgro R</t>
  </si>
  <si>
    <t>McElroy</t>
  </si>
  <si>
    <t>McElroy T</t>
  </si>
  <si>
    <t>Riley W</t>
  </si>
  <si>
    <t>Baker E</t>
  </si>
  <si>
    <t>Staddon</t>
  </si>
  <si>
    <t>Staddon E</t>
  </si>
  <si>
    <t>Graham M</t>
  </si>
  <si>
    <t>Parry W</t>
  </si>
  <si>
    <t>Spandler</t>
  </si>
  <si>
    <t>Spandler J</t>
  </si>
  <si>
    <t>Emens</t>
  </si>
  <si>
    <t>Emens A</t>
  </si>
  <si>
    <t>Hyde</t>
  </si>
  <si>
    <t>Hyde H</t>
  </si>
  <si>
    <t>Schmid</t>
  </si>
  <si>
    <t>Schmid L</t>
  </si>
  <si>
    <t>Marmion K</t>
  </si>
  <si>
    <t>Elizalde</t>
  </si>
  <si>
    <t>Elizalde B</t>
  </si>
  <si>
    <t>Green</t>
  </si>
  <si>
    <t>Green A</t>
  </si>
  <si>
    <t>Offiah</t>
  </si>
  <si>
    <t>Offiah T</t>
  </si>
  <si>
    <t>Adderly-Jones M</t>
  </si>
  <si>
    <t>Nelson M</t>
  </si>
  <si>
    <t>Knight M</t>
  </si>
  <si>
    <t>van der Flier</t>
  </si>
  <si>
    <t>van der Flier A</t>
  </si>
  <si>
    <t>Threlfall</t>
  </si>
  <si>
    <t>Threlfall T</t>
  </si>
  <si>
    <t>Cousins T</t>
  </si>
  <si>
    <t>Brown F</t>
  </si>
  <si>
    <t>Moore-Aiono I</t>
  </si>
  <si>
    <t>Hall</t>
  </si>
  <si>
    <t>Hall A</t>
  </si>
  <si>
    <t>Hammick</t>
  </si>
  <si>
    <t>Hammick R</t>
  </si>
  <si>
    <t>Ene O</t>
  </si>
  <si>
    <t>Hennessey L</t>
  </si>
  <si>
    <t>Lennon</t>
  </si>
  <si>
    <t>Lennon O</t>
  </si>
  <si>
    <t>Burrow</t>
  </si>
  <si>
    <t>Burrow T</t>
  </si>
  <si>
    <t>Hammersley B</t>
  </si>
  <si>
    <t>Sylvester</t>
  </si>
  <si>
    <t>Sylvester K</t>
  </si>
  <si>
    <t>Roux</t>
  </si>
  <si>
    <t>Roux Q</t>
  </si>
  <si>
    <t>Blackmore G</t>
  </si>
  <si>
    <t>Pearson T</t>
  </si>
  <si>
    <t>Tua</t>
  </si>
  <si>
    <t>Tua T</t>
  </si>
  <si>
    <t>Byrne H</t>
  </si>
  <si>
    <t>Walker H</t>
  </si>
  <si>
    <t>Haydon-Wood W</t>
  </si>
  <si>
    <t>Clark M</t>
  </si>
  <si>
    <t>Butler W</t>
  </si>
  <si>
    <t>Butler</t>
  </si>
  <si>
    <t>Kelly S</t>
  </si>
  <si>
    <t>Davies O</t>
  </si>
  <si>
    <t>Hobson</t>
  </si>
  <si>
    <t>Hobson W</t>
  </si>
  <si>
    <t>Glister W</t>
  </si>
  <si>
    <t xml:space="preserve">Davidson </t>
  </si>
  <si>
    <t>Donoghue</t>
  </si>
  <si>
    <t>Donogue C</t>
  </si>
  <si>
    <t>Cowan</t>
  </si>
  <si>
    <t>Cowan T</t>
  </si>
  <si>
    <t>le Roux</t>
  </si>
  <si>
    <t>le Roux N</t>
  </si>
  <si>
    <t>Donoghue C</t>
  </si>
  <si>
    <t>Allport</t>
  </si>
  <si>
    <t>Allport O</t>
  </si>
  <si>
    <t>Wilson O</t>
  </si>
  <si>
    <t>Kirk</t>
  </si>
  <si>
    <t>Kirk S</t>
  </si>
  <si>
    <t>Pasco</t>
  </si>
  <si>
    <t>Pasco B</t>
  </si>
  <si>
    <t>Waghorn</t>
  </si>
  <si>
    <t>Waghorn B</t>
  </si>
  <si>
    <t>Carnduff</t>
  </si>
  <si>
    <t>Carnduff F</t>
  </si>
  <si>
    <t>Parsons</t>
  </si>
  <si>
    <t>Parsons R</t>
  </si>
  <si>
    <t>Witheat R</t>
  </si>
  <si>
    <t>Benson A</t>
  </si>
  <si>
    <t>Petelo Mapu J</t>
  </si>
  <si>
    <t>Cotgreave</t>
  </si>
  <si>
    <t>Cotgreave J</t>
  </si>
  <si>
    <t>Bracken J</t>
  </si>
  <si>
    <t xml:space="preserve">Ward M </t>
  </si>
  <si>
    <t>Onasanya T</t>
  </si>
  <si>
    <t>Fasogbon</t>
  </si>
  <si>
    <t>Maloney M</t>
  </si>
  <si>
    <t>*Williams</t>
  </si>
  <si>
    <t>Griffin A</t>
  </si>
  <si>
    <t>Green L</t>
  </si>
  <si>
    <t>*Haydon-W</t>
  </si>
  <si>
    <t>Haydon-W</t>
  </si>
  <si>
    <t>Bracken C</t>
  </si>
  <si>
    <t>Lilley</t>
  </si>
  <si>
    <t>Lilley N</t>
  </si>
  <si>
    <t>Moloney</t>
  </si>
  <si>
    <t>Weimann</t>
  </si>
  <si>
    <t>Woodward J</t>
  </si>
  <si>
    <t>Weimann J</t>
  </si>
  <si>
    <t>2023/24</t>
  </si>
  <si>
    <t>HARLEQUINS 2025/26 SCORERS</t>
  </si>
  <si>
    <t>NEWCASTLE RED BULLS 2025/26 SCORERS</t>
  </si>
  <si>
    <t>GLOUCESTER 2025/26 SCORERS</t>
  </si>
  <si>
    <t>Edwards-Giraud</t>
  </si>
  <si>
    <t>Byrne R</t>
  </si>
  <si>
    <t>Edwards-Giraud J</t>
  </si>
  <si>
    <t>EXETER 2025/26 SCORERS</t>
  </si>
  <si>
    <t>Ikitau</t>
  </si>
  <si>
    <t>Varney</t>
  </si>
  <si>
    <t>Tchumbadze</t>
  </si>
  <si>
    <t>Mona</t>
  </si>
  <si>
    <t>Dweba</t>
  </si>
  <si>
    <t>Chamberlain</t>
  </si>
  <si>
    <t>NRB</t>
  </si>
  <si>
    <t>Kerr</t>
  </si>
  <si>
    <t>Kerr S</t>
  </si>
  <si>
    <t>LEICESTER 2025/26 SCORERS</t>
  </si>
  <si>
    <t>Moro</t>
  </si>
  <si>
    <t>Titcombe</t>
  </si>
  <si>
    <t>Searle</t>
  </si>
  <si>
    <t>Titcombe C</t>
  </si>
  <si>
    <t>Tuimauga</t>
  </si>
  <si>
    <t>Tuimauga T</t>
  </si>
  <si>
    <t>Hutchison</t>
  </si>
  <si>
    <t>Auva'a</t>
  </si>
  <si>
    <t>*Daly for Wasps before 2020/21, *Burke for Force (Super Rugby) before last season</t>
  </si>
  <si>
    <t>SALE 2025/26 SCORERS</t>
  </si>
  <si>
    <t>Hanson</t>
  </si>
  <si>
    <t>Hanson D</t>
  </si>
  <si>
    <t>BRISTOL 2025/26 SCORERS</t>
  </si>
  <si>
    <t>Carrington</t>
  </si>
  <si>
    <t>Carrington J</t>
  </si>
  <si>
    <t>SARACENS 2025/26 SCORERS</t>
  </si>
  <si>
    <t>Knight W</t>
  </si>
  <si>
    <t>Davies</t>
  </si>
  <si>
    <t>Caven</t>
  </si>
  <si>
    <t>Caven E</t>
  </si>
  <si>
    <t>Loader</t>
  </si>
  <si>
    <t>Redshaw</t>
  </si>
  <si>
    <t>Mann</t>
  </si>
  <si>
    <t>Austin</t>
  </si>
  <si>
    <t>Basham</t>
  </si>
  <si>
    <t>Bokenham</t>
  </si>
  <si>
    <t>Laulala</t>
  </si>
  <si>
    <t>Benz-Salomon</t>
  </si>
  <si>
    <t>Venter</t>
  </si>
  <si>
    <t>Davies R</t>
  </si>
  <si>
    <t>Ramply</t>
  </si>
  <si>
    <t>Ivanishvili</t>
  </si>
  <si>
    <t>Rees-Zammit</t>
  </si>
  <si>
    <t>Owen J</t>
  </si>
  <si>
    <t>Rees-Zammit L</t>
  </si>
  <si>
    <t>Malins</t>
  </si>
  <si>
    <t>*Farrell</t>
  </si>
  <si>
    <t>*Johnson for Newcastle before last season; ^Farrell for Racing 92 last season</t>
  </si>
  <si>
    <t>NORTHAMPTON 2025/26 SCORERS</t>
  </si>
  <si>
    <t>Kundiona</t>
  </si>
  <si>
    <t>Caqusau</t>
  </si>
  <si>
    <t>Fischetti</t>
  </si>
  <si>
    <t>Chick</t>
  </si>
  <si>
    <t>Belleau</t>
  </si>
  <si>
    <t>Belleau A</t>
  </si>
  <si>
    <t>van der Mescht</t>
  </si>
  <si>
    <t>Martin J</t>
  </si>
  <si>
    <t>Pugh</t>
  </si>
  <si>
    <t>*Belleau</t>
  </si>
  <si>
    <t>*Smith for Worcester before 2022/23</t>
  </si>
  <si>
    <t xml:space="preserve"> *Belleau for Toulon 2016/17-2021/22 &amp; Clermont 2022/23-last season</t>
  </si>
  <si>
    <t>van der Mescht JJ</t>
  </si>
  <si>
    <t>Treadwell</t>
  </si>
  <si>
    <t>Petti</t>
  </si>
  <si>
    <t>Williams H</t>
  </si>
  <si>
    <t>Turner</t>
  </si>
  <si>
    <t>Townsend</t>
  </si>
  <si>
    <t>Green M</t>
  </si>
  <si>
    <t>Wenger</t>
  </si>
  <si>
    <t>Delgado</t>
  </si>
  <si>
    <t>PREM 2024/25</t>
  </si>
  <si>
    <t>McCarthy</t>
  </si>
  <si>
    <t>Moro J</t>
  </si>
  <si>
    <t>Miell</t>
  </si>
  <si>
    <t>Hamer-Webb</t>
  </si>
  <si>
    <t>O'Connor</t>
  </si>
  <si>
    <t>Searle B</t>
  </si>
  <si>
    <t>Stewart</t>
  </si>
  <si>
    <t>Thompson</t>
  </si>
  <si>
    <t>Kofe</t>
  </si>
  <si>
    <t>Crowley</t>
  </si>
  <si>
    <t>Crowley R</t>
  </si>
  <si>
    <t>*Bailey</t>
  </si>
  <si>
    <t>BATH 2025/26 SCORERS</t>
  </si>
  <si>
    <t>Frost</t>
  </si>
  <si>
    <t>van der Linde</t>
  </si>
  <si>
    <t>Arundell</t>
  </si>
  <si>
    <t>Arundell H</t>
  </si>
  <si>
    <t>Griffin, Archie</t>
  </si>
  <si>
    <t>Griffin, Alfie</t>
  </si>
  <si>
    <t>Griffin, C</t>
  </si>
  <si>
    <t>Mountford</t>
  </si>
  <si>
    <t>Linegar</t>
  </si>
  <si>
    <t>Linegar J</t>
  </si>
  <si>
    <t>*Carreras</t>
  </si>
  <si>
    <t>Dweba J</t>
  </si>
  <si>
    <t>Louw</t>
  </si>
  <si>
    <t>Vermeulen</t>
  </si>
  <si>
    <t>Hogg</t>
  </si>
  <si>
    <t>Hogg P</t>
  </si>
  <si>
    <t>O'Connor J</t>
  </si>
  <si>
    <t>Atkinson also for Wasps  in 2022/23; Englefield for L Irish before 2023/24</t>
  </si>
  <si>
    <t>*Bailey for Bath before this season</t>
  </si>
  <si>
    <t>*Spencer 7/8 in PREM, 3/5 Champs Cup &amp; 5/6 PREM Cup for Saracens in 2019/20</t>
  </si>
  <si>
    <t>*Charlie Atkinson figures include 2/3 PREM &amp; 7/13 Prm Cup for Leicester in 2023/24</t>
  </si>
  <si>
    <t>Sela</t>
  </si>
  <si>
    <t>Sela V</t>
  </si>
  <si>
    <t>*Chamberlain</t>
  </si>
  <si>
    <t xml:space="preserve">*Chamberlain for Bulls last season &amp; for Sharks before 2024/25  </t>
  </si>
  <si>
    <t>Chamberlain B</t>
  </si>
  <si>
    <t>Onyeama-Christie  A</t>
  </si>
  <si>
    <t>Caluori</t>
  </si>
  <si>
    <t>Caluori N</t>
  </si>
  <si>
    <t>Farrell</t>
  </si>
  <si>
    <t>Farrell O</t>
  </si>
  <si>
    <t>Todaro</t>
  </si>
  <si>
    <t>Todaro E</t>
  </si>
  <si>
    <t>*Jordan</t>
  </si>
  <si>
    <t>*MacGinty for Sale before 2022/23; Jordan for Glasgow before this season</t>
  </si>
  <si>
    <t>Jordan T</t>
  </si>
  <si>
    <r>
      <t xml:space="preserve">PREM </t>
    </r>
    <r>
      <rPr>
        <b/>
        <sz val="11"/>
        <color theme="9" tint="-0.249977111117893"/>
        <rFont val="Calibri"/>
        <family val="2"/>
        <scheme val="minor"/>
      </rPr>
      <t>CUP</t>
    </r>
  </si>
  <si>
    <r>
      <t xml:space="preserve">PREM </t>
    </r>
    <r>
      <rPr>
        <b/>
        <sz val="11"/>
        <color theme="9" tint="-0.249977111117893"/>
        <rFont val="Calibri"/>
        <family val="2"/>
        <scheme val="minor"/>
      </rPr>
      <t>CUP</t>
    </r>
    <r>
      <rPr>
        <b/>
        <sz val="11"/>
        <rFont val="Calibri"/>
        <family val="2"/>
        <scheme val="minor"/>
      </rPr>
      <t xml:space="preserve"> 2025/26</t>
    </r>
  </si>
  <si>
    <t>*Byrne</t>
  </si>
  <si>
    <t>Venter J</t>
  </si>
  <si>
    <t>Joseph W</t>
  </si>
  <si>
    <t>*Evans for Cardiff before 2023/24</t>
  </si>
  <si>
    <t>*Searle for Worcester &amp; Bath 2022/23, Worcester 2019/20-2022/23 &amp; Wasps before 2019/20</t>
  </si>
  <si>
    <t>Loader B</t>
  </si>
  <si>
    <t>de Gl'ville</t>
  </si>
  <si>
    <t>Mafi</t>
  </si>
  <si>
    <t>Mafi A</t>
  </si>
  <si>
    <t>Coetzee S</t>
  </si>
  <si>
    <t>Russell slotted 24 kicks in a row in all comps from May 17 2025 to Oct 18 2025</t>
  </si>
  <si>
    <t>Turner G</t>
  </si>
  <si>
    <t>Bevan</t>
  </si>
  <si>
    <t>Weston</t>
  </si>
  <si>
    <t>Weston R</t>
  </si>
  <si>
    <t>Bevan E</t>
  </si>
  <si>
    <t>Griffin C</t>
  </si>
  <si>
    <t>Pater</t>
  </si>
  <si>
    <t>Rowe</t>
  </si>
  <si>
    <t>Rowe T</t>
  </si>
  <si>
    <t>Pater J</t>
  </si>
  <si>
    <t>Wilson</t>
  </si>
  <si>
    <t>Wilson T</t>
  </si>
  <si>
    <t>Roberts</t>
  </si>
  <si>
    <t>Roberts O</t>
  </si>
  <si>
    <t>Thomas N</t>
  </si>
  <si>
    <t>James C</t>
  </si>
  <si>
    <t>Trenholm W</t>
  </si>
  <si>
    <t>Freeman-Price</t>
  </si>
  <si>
    <t>Freeman-Price K</t>
  </si>
  <si>
    <t>Coen</t>
  </si>
  <si>
    <t>Coen B</t>
  </si>
  <si>
    <t>Moore</t>
  </si>
  <si>
    <t>Moore S</t>
  </si>
  <si>
    <t>Hutchison C</t>
  </si>
  <si>
    <t>Caqusau A</t>
  </si>
  <si>
    <t>Staples</t>
  </si>
  <si>
    <t>Staples J</t>
  </si>
  <si>
    <t>Keylock</t>
  </si>
  <si>
    <t>Clarke E</t>
  </si>
  <si>
    <t>Keylock F</t>
  </si>
  <si>
    <t>Scola</t>
  </si>
  <si>
    <t>Scola O</t>
  </si>
  <si>
    <t>Davidson L</t>
  </si>
  <si>
    <t>Adegbemile</t>
  </si>
  <si>
    <t>Adegbemile T</t>
  </si>
  <si>
    <t>Gulley</t>
  </si>
  <si>
    <t>Ridl</t>
  </si>
  <si>
    <t>Gulley L</t>
  </si>
  <si>
    <t>Ridl C</t>
  </si>
  <si>
    <t>Thompson J</t>
  </si>
  <si>
    <t>Ivanishvili L</t>
  </si>
  <si>
    <t>Qual = 10 Kicks</t>
  </si>
  <si>
    <t>Obatoyinbo H</t>
  </si>
  <si>
    <t>Christie</t>
  </si>
  <si>
    <t>Christie T</t>
  </si>
  <si>
    <t>James K</t>
  </si>
  <si>
    <t>Benitez Cruz</t>
  </si>
  <si>
    <t>Moroni</t>
  </si>
  <si>
    <t>Moroni M</t>
  </si>
  <si>
    <t>Knight C</t>
  </si>
  <si>
    <t>Austin M</t>
  </si>
  <si>
    <t>Fischetti D</t>
  </si>
  <si>
    <t>Heaven</t>
  </si>
  <si>
    <t>Heaven J</t>
  </si>
  <si>
    <t>Benitez Cruz S</t>
  </si>
  <si>
    <t>Usher</t>
  </si>
  <si>
    <t>Usher O</t>
  </si>
  <si>
    <t>Hamer-Webb G</t>
  </si>
  <si>
    <t>West C</t>
  </si>
  <si>
    <t>Beaton</t>
  </si>
  <si>
    <t>Beaton H</t>
  </si>
  <si>
    <t>McCarthy W</t>
  </si>
  <si>
    <t>Moloney M</t>
  </si>
  <si>
    <t>Wehr</t>
  </si>
  <si>
    <t>Wehr G</t>
  </si>
  <si>
    <t>Qual = 10 attempts</t>
  </si>
  <si>
    <t>Rewcastle</t>
  </si>
  <si>
    <t>Rewcastle M</t>
  </si>
  <si>
    <t>Kava</t>
  </si>
  <si>
    <t>Kava S</t>
  </si>
  <si>
    <t>Bellamy</t>
  </si>
  <si>
    <t>Kolade</t>
  </si>
  <si>
    <t>McCormack</t>
  </si>
  <si>
    <t>Bellamy J</t>
  </si>
  <si>
    <t>Kolade L</t>
  </si>
  <si>
    <t>McCormack O</t>
  </si>
  <si>
    <t>Bradshaw</t>
  </si>
  <si>
    <t>Bradshaw A</t>
  </si>
  <si>
    <t>Timmins</t>
  </si>
  <si>
    <t>Mason</t>
  </si>
  <si>
    <t>Roue</t>
  </si>
  <si>
    <t>Timmins G</t>
  </si>
  <si>
    <t>Mason T</t>
  </si>
  <si>
    <t>Roue W</t>
  </si>
  <si>
    <t>Yendle</t>
  </si>
  <si>
    <t>Yendle L</t>
  </si>
  <si>
    <t>Ulcoq</t>
  </si>
  <si>
    <t>Ulcoq C</t>
  </si>
  <si>
    <t>Thame T</t>
  </si>
  <si>
    <t>Winters</t>
  </si>
  <si>
    <t>Winters S</t>
  </si>
  <si>
    <t>*Russell for Racing 92 before last season; Carreras for Gloucester before 2023/24</t>
  </si>
  <si>
    <t>Williams for Cardiff before last season; Byrne for Leinster before this season</t>
  </si>
  <si>
    <t>Treadwell K</t>
  </si>
  <si>
    <t>Gwynne</t>
  </si>
  <si>
    <t>Gwynne D</t>
  </si>
  <si>
    <t>Palmer</t>
  </si>
  <si>
    <t>Ridgway</t>
  </si>
  <si>
    <t>Ridgway A</t>
  </si>
  <si>
    <t>Palmer H</t>
  </si>
  <si>
    <t>At end of comp</t>
  </si>
  <si>
    <t>*Haydon-Wood for Newcastle before 2022-23</t>
  </si>
  <si>
    <t>*Haydon-Wood for Wasps in 2022-23</t>
  </si>
  <si>
    <t>van der Linde B</t>
  </si>
  <si>
    <t>Searle slotted 16 consecutive PREM kicks between Dec 19 &amp; Mar 22</t>
  </si>
  <si>
    <t>Hancock, Connor</t>
  </si>
  <si>
    <t>Healy</t>
  </si>
  <si>
    <t>Healy B</t>
  </si>
  <si>
    <t>Davison T</t>
  </si>
  <si>
    <t>Mona K</t>
  </si>
  <si>
    <t>At 16/04/26</t>
  </si>
  <si>
    <t>Bleuler</t>
  </si>
  <si>
    <t>Bleuler D</t>
  </si>
  <si>
    <t>Zambonin</t>
  </si>
  <si>
    <t>Zambonin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</si>
</sst>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2"/>
      <color theme="7" tint="0.59999389629810485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7" tint="0.59999389629810485"/>
      <name val="Calibri"/>
      <family val="2"/>
      <scheme val="minor"/>
    </font>
    <font>
      <sz val="11"/>
      <color theme="7" tint="0.79998168889431442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4" tint="0.39997558519241921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b/>
      <sz val="12"/>
      <color theme="4" tint="0.39997558519241921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b/>
      <sz val="12"/>
      <color rgb="FFA6A6A6"/>
      <name val="Calibri"/>
      <family val="2"/>
      <scheme val="minor"/>
    </font>
    <font>
      <b/>
      <sz val="11"/>
      <color rgb="FFA6A6A6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9" tint="0.59999389629810485"/>
      <name val="Calibri"/>
      <family val="2"/>
      <scheme val="minor"/>
    </font>
    <font>
      <b/>
      <sz val="11"/>
      <color theme="9" tint="0.79998168889431442"/>
      <name val="Calibri"/>
      <family val="2"/>
      <scheme val="minor"/>
    </font>
    <font>
      <sz val="12"/>
      <name val="Calibri"/>
      <family val="2"/>
      <scheme val="minor"/>
    </font>
    <font>
      <sz val="11"/>
      <color theme="6" tint="0.59999389629810485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2"/>
      <color rgb="FFFF3333"/>
      <name val="Calibri"/>
      <family val="2"/>
      <scheme val="minor"/>
    </font>
    <font>
      <b/>
      <sz val="11"/>
      <color rgb="FFFF3333"/>
      <name val="Calibri"/>
      <family val="2"/>
      <scheme val="minor"/>
    </font>
    <font>
      <b/>
      <sz val="11"/>
      <color theme="8" tint="0.79998168889431442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theme="1"/>
      <name val="Calibri"/>
      <family val="2"/>
    </font>
    <font>
      <sz val="11"/>
      <color rgb="FF00B0F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76294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B4433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2">
    <xf numFmtId="0" fontId="0" fillId="0" borderId="0" xfId="0"/>
    <xf numFmtId="0" fontId="8" fillId="4" borderId="4" xfId="0" applyFont="1" applyFill="1" applyBorder="1" applyAlignment="1">
      <alignment horizontal="right" vertical="center" wrapText="1"/>
    </xf>
    <xf numFmtId="0" fontId="10" fillId="4" borderId="3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right" vertical="center" wrapText="1"/>
    </xf>
    <xf numFmtId="0" fontId="8" fillId="0" borderId="0" xfId="0" applyFont="1"/>
    <xf numFmtId="0" fontId="15" fillId="3" borderId="4" xfId="0" applyFont="1" applyFill="1" applyBorder="1" applyAlignment="1">
      <alignment horizontal="right" vertical="center" wrapText="1"/>
    </xf>
    <xf numFmtId="0" fontId="10" fillId="7" borderId="1" xfId="0" applyFont="1" applyFill="1" applyBorder="1" applyAlignment="1">
      <alignment horizontal="right" vertical="center" wrapText="1"/>
    </xf>
    <xf numFmtId="0" fontId="10" fillId="7" borderId="4" xfId="0" applyFont="1" applyFill="1" applyBorder="1" applyAlignment="1">
      <alignment horizontal="right" vertical="center" wrapText="1"/>
    </xf>
    <xf numFmtId="0" fontId="10" fillId="7" borderId="1" xfId="0" applyFont="1" applyFill="1" applyBorder="1" applyAlignment="1">
      <alignment vertical="center" wrapText="1"/>
    </xf>
    <xf numFmtId="0" fontId="10" fillId="7" borderId="1" xfId="0" applyFont="1" applyFill="1" applyBorder="1"/>
    <xf numFmtId="0" fontId="10" fillId="7" borderId="3" xfId="0" applyFont="1" applyFill="1" applyBorder="1"/>
    <xf numFmtId="0" fontId="2" fillId="7" borderId="2" xfId="0" applyFont="1" applyFill="1" applyBorder="1" applyAlignment="1">
      <alignment vertical="center" wrapText="1"/>
    </xf>
    <xf numFmtId="0" fontId="10" fillId="7" borderId="3" xfId="0" applyFont="1" applyFill="1" applyBorder="1" applyAlignment="1">
      <alignment vertical="top" wrapText="1"/>
    </xf>
    <xf numFmtId="0" fontId="14" fillId="7" borderId="0" xfId="0" applyFont="1" applyFill="1" applyAlignment="1">
      <alignment vertical="center"/>
    </xf>
    <xf numFmtId="0" fontId="19" fillId="2" borderId="4" xfId="0" applyFont="1" applyFill="1" applyBorder="1" applyAlignment="1">
      <alignment horizontal="right" vertical="center" wrapText="1"/>
    </xf>
    <xf numFmtId="0" fontId="13" fillId="8" borderId="3" xfId="0" applyFont="1" applyFill="1" applyBorder="1" applyAlignment="1">
      <alignment vertical="center" wrapText="1"/>
    </xf>
    <xf numFmtId="0" fontId="10" fillId="4" borderId="4" xfId="0" applyFont="1" applyFill="1" applyBorder="1"/>
    <xf numFmtId="0" fontId="10" fillId="4" borderId="3" xfId="0" applyFont="1" applyFill="1" applyBorder="1"/>
    <xf numFmtId="0" fontId="10" fillId="4" borderId="1" xfId="0" applyFont="1" applyFill="1" applyBorder="1" applyAlignment="1">
      <alignment horizontal="right" vertical="center" wrapText="1"/>
    </xf>
    <xf numFmtId="0" fontId="10" fillId="4" borderId="1" xfId="0" applyFont="1" applyFill="1" applyBorder="1"/>
    <xf numFmtId="0" fontId="8" fillId="4" borderId="1" xfId="0" applyFont="1" applyFill="1" applyBorder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/>
    <xf numFmtId="0" fontId="10" fillId="4" borderId="6" xfId="0" applyFont="1" applyFill="1" applyBorder="1"/>
    <xf numFmtId="0" fontId="2" fillId="4" borderId="2" xfId="0" applyFont="1" applyFill="1" applyBorder="1" applyAlignment="1">
      <alignment vertical="center" wrapText="1"/>
    </xf>
    <xf numFmtId="1" fontId="15" fillId="2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7" fillId="4" borderId="2" xfId="0" applyFont="1" applyFill="1" applyBorder="1" applyAlignment="1">
      <alignment vertical="center" wrapText="1"/>
    </xf>
    <xf numFmtId="0" fontId="7" fillId="9" borderId="2" xfId="0" applyFont="1" applyFill="1" applyBorder="1" applyAlignment="1">
      <alignment horizontal="right" vertical="center" wrapText="1"/>
    </xf>
    <xf numFmtId="0" fontId="7" fillId="9" borderId="1" xfId="0" applyFont="1" applyFill="1" applyBorder="1" applyAlignment="1">
      <alignment horizontal="right" vertical="center" wrapText="1"/>
    </xf>
    <xf numFmtId="0" fontId="8" fillId="9" borderId="1" xfId="0" applyFont="1" applyFill="1" applyBorder="1"/>
    <xf numFmtId="0" fontId="7" fillId="7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vertical="center" wrapText="1"/>
    </xf>
    <xf numFmtId="0" fontId="5" fillId="7" borderId="0" xfId="0" applyFont="1" applyFill="1"/>
    <xf numFmtId="0" fontId="0" fillId="7" borderId="8" xfId="0" applyFill="1" applyBorder="1"/>
    <xf numFmtId="0" fontId="3" fillId="7" borderId="0" xfId="0" applyFont="1" applyFill="1"/>
    <xf numFmtId="0" fontId="0" fillId="7" borderId="0" xfId="0" applyFill="1"/>
    <xf numFmtId="0" fontId="0" fillId="0" borderId="8" xfId="0" applyBorder="1"/>
    <xf numFmtId="0" fontId="20" fillId="7" borderId="8" xfId="0" applyFont="1" applyFill="1" applyBorder="1" applyAlignment="1">
      <alignment horizontal="right" vertical="center" wrapText="1"/>
    </xf>
    <xf numFmtId="0" fontId="2" fillId="7" borderId="8" xfId="0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right" vertical="center" wrapText="1"/>
    </xf>
    <xf numFmtId="1" fontId="13" fillId="3" borderId="4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0" fillId="7" borderId="0" xfId="0" applyFont="1" applyFill="1" applyAlignment="1">
      <alignment vertical="center" wrapText="1"/>
    </xf>
    <xf numFmtId="0" fontId="8" fillId="7" borderId="0" xfId="0" applyFont="1" applyFill="1" applyAlignment="1">
      <alignment horizontal="right" vertical="center" wrapText="1"/>
    </xf>
    <xf numFmtId="0" fontId="5" fillId="0" borderId="0" xfId="0" applyFont="1"/>
    <xf numFmtId="0" fontId="16" fillId="7" borderId="0" xfId="0" applyFont="1" applyFill="1" applyAlignment="1">
      <alignment vertical="center" wrapText="1"/>
    </xf>
    <xf numFmtId="0" fontId="8" fillId="7" borderId="1" xfId="0" applyFont="1" applyFill="1" applyBorder="1"/>
    <xf numFmtId="0" fontId="10" fillId="9" borderId="1" xfId="0" applyFont="1" applyFill="1" applyBorder="1"/>
    <xf numFmtId="0" fontId="19" fillId="2" borderId="3" xfId="0" applyFont="1" applyFill="1" applyBorder="1" applyAlignment="1">
      <alignment vertical="center" wrapText="1"/>
    </xf>
    <xf numFmtId="0" fontId="12" fillId="7" borderId="0" xfId="0" applyFont="1" applyFill="1" applyAlignment="1">
      <alignment horizontal="right" vertical="center" wrapText="1"/>
    </xf>
    <xf numFmtId="0" fontId="12" fillId="7" borderId="12" xfId="0" applyFont="1" applyFill="1" applyBorder="1" applyAlignment="1">
      <alignment horizontal="right" vertical="center" wrapText="1"/>
    </xf>
    <xf numFmtId="1" fontId="12" fillId="7" borderId="0" xfId="0" applyNumberFormat="1" applyFont="1" applyFill="1" applyAlignment="1">
      <alignment horizontal="right" vertical="center" wrapText="1"/>
    </xf>
    <xf numFmtId="0" fontId="3" fillId="7" borderId="8" xfId="0" applyFont="1" applyFill="1" applyBorder="1"/>
    <xf numFmtId="0" fontId="12" fillId="7" borderId="12" xfId="0" applyFont="1" applyFill="1" applyBorder="1" applyAlignment="1">
      <alignment vertical="center" wrapText="1"/>
    </xf>
    <xf numFmtId="0" fontId="0" fillId="0" borderId="12" xfId="0" applyBorder="1"/>
    <xf numFmtId="0" fontId="11" fillId="7" borderId="5" xfId="0" applyFont="1" applyFill="1" applyBorder="1" applyAlignment="1">
      <alignment vertical="center" wrapText="1"/>
    </xf>
    <xf numFmtId="0" fontId="11" fillId="7" borderId="5" xfId="0" applyFont="1" applyFill="1" applyBorder="1" applyAlignment="1">
      <alignment horizontal="right" vertical="center" wrapText="1"/>
    </xf>
    <xf numFmtId="1" fontId="11" fillId="7" borderId="5" xfId="0" applyNumberFormat="1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10" fillId="7" borderId="3" xfId="0" applyFont="1" applyFill="1" applyBorder="1" applyAlignment="1">
      <alignment vertical="center" wrapText="1"/>
    </xf>
    <xf numFmtId="0" fontId="16" fillId="7" borderId="0" xfId="0" applyFont="1" applyFill="1"/>
    <xf numFmtId="0" fontId="15" fillId="10" borderId="4" xfId="0" applyFont="1" applyFill="1" applyBorder="1" applyAlignment="1">
      <alignment horizontal="right" vertical="center" wrapText="1"/>
    </xf>
    <xf numFmtId="0" fontId="21" fillId="3" borderId="8" xfId="0" applyFont="1" applyFill="1" applyBorder="1" applyAlignment="1">
      <alignment vertical="center"/>
    </xf>
    <xf numFmtId="0" fontId="21" fillId="3" borderId="6" xfId="0" applyFont="1" applyFill="1" applyBorder="1" applyAlignment="1">
      <alignment vertical="center"/>
    </xf>
    <xf numFmtId="0" fontId="23" fillId="0" borderId="0" xfId="0" applyFont="1"/>
    <xf numFmtId="0" fontId="24" fillId="0" borderId="0" xfId="0" applyFont="1"/>
    <xf numFmtId="0" fontId="24" fillId="7" borderId="0" xfId="0" applyFont="1" applyFill="1"/>
    <xf numFmtId="0" fontId="22" fillId="7" borderId="0" xfId="0" applyFont="1" applyFill="1" applyAlignment="1">
      <alignment vertical="center"/>
    </xf>
    <xf numFmtId="0" fontId="16" fillId="0" borderId="0" xfId="0" applyFont="1"/>
    <xf numFmtId="0" fontId="4" fillId="7" borderId="0" xfId="0" applyFont="1" applyFill="1"/>
    <xf numFmtId="0" fontId="25" fillId="0" borderId="0" xfId="0" applyFont="1"/>
    <xf numFmtId="0" fontId="15" fillId="6" borderId="3" xfId="0" applyFont="1" applyFill="1" applyBorder="1" applyAlignment="1">
      <alignment vertical="center" wrapText="1"/>
    </xf>
    <xf numFmtId="0" fontId="15" fillId="6" borderId="4" xfId="0" applyFont="1" applyFill="1" applyBorder="1" applyAlignment="1">
      <alignment vertical="center" wrapText="1"/>
    </xf>
    <xf numFmtId="0" fontId="15" fillId="11" borderId="4" xfId="0" applyFont="1" applyFill="1" applyBorder="1" applyAlignment="1">
      <alignment horizontal="right" vertical="center" wrapText="1"/>
    </xf>
    <xf numFmtId="0" fontId="15" fillId="6" borderId="4" xfId="0" applyFont="1" applyFill="1" applyBorder="1" applyAlignment="1">
      <alignment horizontal="right" vertical="center" wrapText="1"/>
    </xf>
    <xf numFmtId="0" fontId="27" fillId="3" borderId="4" xfId="0" applyFont="1" applyFill="1" applyBorder="1" applyAlignment="1">
      <alignment horizontal="right" vertical="center" wrapText="1"/>
    </xf>
    <xf numFmtId="0" fontId="27" fillId="10" borderId="4" xfId="0" applyFont="1" applyFill="1" applyBorder="1" applyAlignment="1">
      <alignment horizontal="right" vertical="center" wrapText="1"/>
    </xf>
    <xf numFmtId="0" fontId="8" fillId="7" borderId="4" xfId="0" applyFont="1" applyFill="1" applyBorder="1" applyAlignment="1">
      <alignment horizontal="right" vertical="center" wrapText="1"/>
    </xf>
    <xf numFmtId="0" fontId="18" fillId="7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1" fontId="26" fillId="7" borderId="0" xfId="0" applyNumberFormat="1" applyFont="1" applyFill="1" applyAlignment="1">
      <alignment horizontal="right" vertical="center" wrapText="1"/>
    </xf>
    <xf numFmtId="0" fontId="26" fillId="7" borderId="0" xfId="0" applyFont="1" applyFill="1" applyAlignment="1">
      <alignment horizontal="right" vertical="center" wrapText="1"/>
    </xf>
    <xf numFmtId="0" fontId="8" fillId="7" borderId="3" xfId="0" applyFont="1" applyFill="1" applyBorder="1" applyAlignment="1">
      <alignment horizontal="right" vertical="center" wrapText="1"/>
    </xf>
    <xf numFmtId="0" fontId="1" fillId="7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horizontal="right" vertical="center" wrapText="1"/>
    </xf>
    <xf numFmtId="0" fontId="13" fillId="7" borderId="0" xfId="0" applyFont="1" applyFill="1" applyAlignment="1">
      <alignment horizontal="right" vertical="center" wrapText="1"/>
    </xf>
    <xf numFmtId="0" fontId="21" fillId="3" borderId="9" xfId="0" applyFont="1" applyFill="1" applyBorder="1" applyAlignment="1">
      <alignment vertical="center"/>
    </xf>
    <xf numFmtId="0" fontId="13" fillId="8" borderId="4" xfId="0" applyFont="1" applyFill="1" applyBorder="1" applyAlignment="1">
      <alignment horizontal="right" vertical="center" wrapText="1"/>
    </xf>
    <xf numFmtId="1" fontId="13" fillId="8" borderId="4" xfId="0" applyNumberFormat="1" applyFont="1" applyFill="1" applyBorder="1" applyAlignment="1">
      <alignment horizontal="right" vertical="center" wrapText="1"/>
    </xf>
    <xf numFmtId="0" fontId="13" fillId="8" borderId="10" xfId="0" applyFont="1" applyFill="1" applyBorder="1" applyAlignment="1">
      <alignment vertical="center" wrapText="1"/>
    </xf>
    <xf numFmtId="0" fontId="0" fillId="0" borderId="13" xfId="0" applyBorder="1"/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9" fillId="0" borderId="0" xfId="0" applyFont="1"/>
    <xf numFmtId="0" fontId="29" fillId="7" borderId="0" xfId="0" applyFont="1" applyFill="1"/>
    <xf numFmtId="0" fontId="8" fillId="7" borderId="1" xfId="0" applyFont="1" applyFill="1" applyBorder="1" applyAlignment="1">
      <alignment horizontal="right" vertical="center" wrapText="1"/>
    </xf>
    <xf numFmtId="14" fontId="15" fillId="2" borderId="3" xfId="0" applyNumberFormat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right" vertical="center" wrapText="1"/>
    </xf>
    <xf numFmtId="0" fontId="0" fillId="0" borderId="5" xfId="0" applyBorder="1"/>
    <xf numFmtId="0" fontId="15" fillId="7" borderId="11" xfId="0" applyFont="1" applyFill="1" applyBorder="1" applyAlignment="1">
      <alignment vertical="center" wrapText="1"/>
    </xf>
    <xf numFmtId="0" fontId="28" fillId="7" borderId="9" xfId="0" applyFont="1" applyFill="1" applyBorder="1" applyAlignment="1">
      <alignment vertical="center" wrapText="1"/>
    </xf>
    <xf numFmtId="0" fontId="31" fillId="0" borderId="8" xfId="0" applyFont="1" applyBorder="1"/>
    <xf numFmtId="0" fontId="31" fillId="7" borderId="0" xfId="0" applyFont="1" applyFill="1"/>
    <xf numFmtId="0" fontId="15" fillId="6" borderId="2" xfId="0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right" vertical="center" wrapText="1"/>
    </xf>
    <xf numFmtId="0" fontId="15" fillId="11" borderId="2" xfId="0" applyFont="1" applyFill="1" applyBorder="1" applyAlignment="1">
      <alignment horizontal="right" vertical="center" wrapText="1"/>
    </xf>
    <xf numFmtId="0" fontId="27" fillId="10" borderId="2" xfId="0" applyFont="1" applyFill="1" applyBorder="1" applyAlignment="1">
      <alignment horizontal="right" vertical="center" wrapText="1"/>
    </xf>
    <xf numFmtId="0" fontId="15" fillId="10" borderId="2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right" vertical="center" wrapText="1"/>
    </xf>
    <xf numFmtId="0" fontId="15" fillId="6" borderId="2" xfId="0" applyFont="1" applyFill="1" applyBorder="1" applyAlignment="1">
      <alignment vertical="center" wrapText="1"/>
    </xf>
    <xf numFmtId="0" fontId="27" fillId="3" borderId="2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7" fillId="7" borderId="2" xfId="0" applyFont="1" applyFill="1" applyBorder="1" applyAlignment="1">
      <alignment vertical="center" wrapText="1"/>
    </xf>
    <xf numFmtId="0" fontId="32" fillId="7" borderId="0" xfId="0" applyFont="1" applyFill="1" applyAlignment="1">
      <alignment horizontal="right" vertical="center" wrapText="1"/>
    </xf>
    <xf numFmtId="14" fontId="13" fillId="3" borderId="3" xfId="0" applyNumberFormat="1" applyFont="1" applyFill="1" applyBorder="1" applyAlignment="1">
      <alignment horizontal="left" vertical="center" wrapText="1"/>
    </xf>
    <xf numFmtId="0" fontId="34" fillId="0" borderId="0" xfId="0" applyFont="1"/>
    <xf numFmtId="0" fontId="36" fillId="3" borderId="1" xfId="0" applyFont="1" applyFill="1" applyBorder="1" applyAlignment="1">
      <alignment vertical="center" wrapText="1"/>
    </xf>
    <xf numFmtId="0" fontId="36" fillId="3" borderId="3" xfId="0" applyFont="1" applyFill="1" applyBorder="1" applyAlignment="1">
      <alignment vertical="center" wrapText="1"/>
    </xf>
    <xf numFmtId="0" fontId="36" fillId="13" borderId="2" xfId="0" applyFont="1" applyFill="1" applyBorder="1" applyAlignment="1">
      <alignment vertical="center" wrapText="1"/>
    </xf>
    <xf numFmtId="0" fontId="36" fillId="13" borderId="4" xfId="0" applyFont="1" applyFill="1" applyBorder="1" applyAlignment="1">
      <alignment vertical="center" wrapText="1"/>
    </xf>
    <xf numFmtId="0" fontId="36" fillId="13" borderId="3" xfId="0" applyFont="1" applyFill="1" applyBorder="1" applyAlignment="1">
      <alignment vertical="center" wrapText="1"/>
    </xf>
    <xf numFmtId="0" fontId="36" fillId="13" borderId="2" xfId="0" applyFont="1" applyFill="1" applyBorder="1" applyAlignment="1">
      <alignment horizontal="right" vertical="center" wrapText="1"/>
    </xf>
    <xf numFmtId="0" fontId="36" fillId="13" borderId="4" xfId="0" applyFont="1" applyFill="1" applyBorder="1" applyAlignment="1">
      <alignment horizontal="right" vertical="center" wrapText="1"/>
    </xf>
    <xf numFmtId="0" fontId="36" fillId="13" borderId="3" xfId="0" applyFont="1" applyFill="1" applyBorder="1" applyAlignment="1">
      <alignment horizontal="right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horizontal="right" vertical="center" wrapText="1"/>
    </xf>
    <xf numFmtId="1" fontId="36" fillId="3" borderId="4" xfId="0" applyNumberFormat="1" applyFont="1" applyFill="1" applyBorder="1" applyAlignment="1">
      <alignment horizontal="right" vertical="center" wrapText="1"/>
    </xf>
    <xf numFmtId="14" fontId="36" fillId="3" borderId="3" xfId="0" applyNumberFormat="1" applyFont="1" applyFill="1" applyBorder="1" applyAlignment="1">
      <alignment horizontal="left" vertical="center" wrapText="1"/>
    </xf>
    <xf numFmtId="0" fontId="37" fillId="0" borderId="0" xfId="0" applyFont="1"/>
    <xf numFmtId="0" fontId="37" fillId="7" borderId="0" xfId="0" applyFont="1" applyFill="1"/>
    <xf numFmtId="0" fontId="37" fillId="0" borderId="8" xfId="0" applyFont="1" applyBorder="1"/>
    <xf numFmtId="0" fontId="27" fillId="13" borderId="4" xfId="0" applyFont="1" applyFill="1" applyBorder="1" applyAlignment="1">
      <alignment horizontal="right" vertical="center" wrapText="1"/>
    </xf>
    <xf numFmtId="0" fontId="15" fillId="13" borderId="4" xfId="0" applyFont="1" applyFill="1" applyBorder="1" applyAlignment="1">
      <alignment horizontal="right" vertical="center" wrapText="1"/>
    </xf>
    <xf numFmtId="0" fontId="27" fillId="13" borderId="2" xfId="0" applyFont="1" applyFill="1" applyBorder="1" applyAlignment="1">
      <alignment horizontal="right" vertical="center" wrapText="1"/>
    </xf>
    <xf numFmtId="0" fontId="15" fillId="13" borderId="2" xfId="0" applyFont="1" applyFill="1" applyBorder="1" applyAlignment="1">
      <alignment horizontal="right" vertical="center" wrapText="1"/>
    </xf>
    <xf numFmtId="0" fontId="15" fillId="13" borderId="5" xfId="0" applyFont="1" applyFill="1" applyBorder="1" applyAlignment="1">
      <alignment horizontal="right" vertical="center" wrapText="1"/>
    </xf>
    <xf numFmtId="0" fontId="38" fillId="7" borderId="0" xfId="0" applyFont="1" applyFill="1" applyAlignment="1">
      <alignment vertical="center"/>
    </xf>
    <xf numFmtId="0" fontId="27" fillId="14" borderId="2" xfId="0" applyFont="1" applyFill="1" applyBorder="1" applyAlignment="1">
      <alignment horizontal="right" vertical="center" wrapText="1"/>
    </xf>
    <xf numFmtId="0" fontId="27" fillId="14" borderId="4" xfId="0" applyFont="1" applyFill="1" applyBorder="1" applyAlignment="1">
      <alignment horizontal="right" vertical="center" wrapText="1"/>
    </xf>
    <xf numFmtId="0" fontId="27" fillId="11" borderId="2" xfId="0" applyFont="1" applyFill="1" applyBorder="1" applyAlignment="1">
      <alignment horizontal="right" vertical="center" wrapText="1"/>
    </xf>
    <xf numFmtId="0" fontId="27" fillId="11" borderId="4" xfId="0" applyFont="1" applyFill="1" applyBorder="1" applyAlignment="1">
      <alignment horizontal="right" vertical="center" wrapText="1"/>
    </xf>
    <xf numFmtId="0" fontId="30" fillId="7" borderId="0" xfId="0" applyFont="1" applyFill="1" applyAlignment="1">
      <alignment horizontal="right" vertical="center" wrapText="1"/>
    </xf>
    <xf numFmtId="0" fontId="33" fillId="0" borderId="0" xfId="0" applyFont="1"/>
    <xf numFmtId="1" fontId="19" fillId="2" borderId="4" xfId="0" applyNumberFormat="1" applyFont="1" applyFill="1" applyBorder="1" applyAlignment="1">
      <alignment horizontal="right" vertical="center" wrapText="1"/>
    </xf>
    <xf numFmtId="0" fontId="10" fillId="7" borderId="3" xfId="0" applyFont="1" applyFill="1" applyBorder="1" applyAlignment="1">
      <alignment horizontal="right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1" fontId="10" fillId="7" borderId="2" xfId="0" applyNumberFormat="1" applyFont="1" applyFill="1" applyBorder="1" applyAlignment="1">
      <alignment horizontal="right" vertical="center" wrapText="1"/>
    </xf>
    <xf numFmtId="0" fontId="10" fillId="7" borderId="2" xfId="0" applyFont="1" applyFill="1" applyBorder="1" applyAlignment="1">
      <alignment horizontal="right" vertical="center" wrapText="1"/>
    </xf>
    <xf numFmtId="1" fontId="10" fillId="7" borderId="4" xfId="0" applyNumberFormat="1" applyFont="1" applyFill="1" applyBorder="1" applyAlignment="1">
      <alignment horizontal="right" vertical="center" wrapText="1"/>
    </xf>
    <xf numFmtId="0" fontId="10" fillId="7" borderId="15" xfId="0" applyFont="1" applyFill="1" applyBorder="1" applyAlignment="1">
      <alignment horizontal="right" vertical="center" wrapText="1"/>
    </xf>
    <xf numFmtId="0" fontId="34" fillId="7" borderId="0" xfId="0" applyFont="1" applyFill="1"/>
    <xf numFmtId="0" fontId="10" fillId="7" borderId="14" xfId="0" applyFont="1" applyFill="1" applyBorder="1" applyAlignment="1">
      <alignment horizontal="right" vertical="center" wrapText="1"/>
    </xf>
    <xf numFmtId="1" fontId="10" fillId="7" borderId="1" xfId="0" applyNumberFormat="1" applyFont="1" applyFill="1" applyBorder="1" applyAlignment="1">
      <alignment horizontal="right" vertical="center" wrapText="1"/>
    </xf>
    <xf numFmtId="0" fontId="8" fillId="5" borderId="3" xfId="0" applyFont="1" applyFill="1" applyBorder="1" applyAlignment="1">
      <alignment horizontal="right" vertical="center" wrapText="1"/>
    </xf>
    <xf numFmtId="0" fontId="16" fillId="0" borderId="12" xfId="0" applyFont="1" applyBorder="1"/>
    <xf numFmtId="0" fontId="2" fillId="7" borderId="0" xfId="0" applyFont="1" applyFill="1" applyAlignment="1">
      <alignment horizontal="center" vertical="center" wrapText="1"/>
    </xf>
    <xf numFmtId="0" fontId="10" fillId="7" borderId="5" xfId="0" applyFont="1" applyFill="1" applyBorder="1" applyAlignment="1">
      <alignment horizontal="right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right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5" fillId="14" borderId="2" xfId="0" applyFont="1" applyFill="1" applyBorder="1" applyAlignment="1">
      <alignment vertical="center" wrapText="1"/>
    </xf>
    <xf numFmtId="0" fontId="15" fillId="14" borderId="4" xfId="0" applyFont="1" applyFill="1" applyBorder="1" applyAlignment="1">
      <alignment vertical="center" wrapText="1"/>
    </xf>
    <xf numFmtId="0" fontId="15" fillId="14" borderId="3" xfId="0" applyFont="1" applyFill="1" applyBorder="1" applyAlignment="1">
      <alignment vertical="center" wrapText="1"/>
    </xf>
    <xf numFmtId="0" fontId="15" fillId="14" borderId="2" xfId="0" applyFont="1" applyFill="1" applyBorder="1" applyAlignment="1">
      <alignment horizontal="right" vertical="center" wrapText="1"/>
    </xf>
    <xf numFmtId="0" fontId="15" fillId="14" borderId="4" xfId="0" applyFont="1" applyFill="1" applyBorder="1" applyAlignment="1">
      <alignment horizontal="right" vertical="center" wrapText="1"/>
    </xf>
    <xf numFmtId="0" fontId="10" fillId="7" borderId="8" xfId="0" applyFont="1" applyFill="1" applyBorder="1" applyAlignment="1">
      <alignment horizontal="right" vertical="center" wrapText="1"/>
    </xf>
    <xf numFmtId="1" fontId="8" fillId="7" borderId="4" xfId="0" applyNumberFormat="1" applyFont="1" applyFill="1" applyBorder="1" applyAlignment="1">
      <alignment horizontal="right" vertical="center" wrapText="1"/>
    </xf>
    <xf numFmtId="0" fontId="10" fillId="7" borderId="12" xfId="0" applyFont="1" applyFill="1" applyBorder="1" applyAlignment="1">
      <alignment horizontal="right" vertical="center" wrapText="1"/>
    </xf>
    <xf numFmtId="1" fontId="10" fillId="7" borderId="0" xfId="0" applyNumberFormat="1" applyFont="1" applyFill="1" applyAlignment="1">
      <alignment horizontal="right" vertical="center" wrapText="1"/>
    </xf>
    <xf numFmtId="0" fontId="41" fillId="6" borderId="2" xfId="0" applyFont="1" applyFill="1" applyBorder="1" applyAlignment="1">
      <alignment horizontal="right" vertical="center" wrapText="1"/>
    </xf>
    <xf numFmtId="0" fontId="41" fillId="6" borderId="4" xfId="0" applyFont="1" applyFill="1" applyBorder="1" applyAlignment="1">
      <alignment horizontal="right" vertical="center" wrapText="1"/>
    </xf>
    <xf numFmtId="0" fontId="41" fillId="2" borderId="2" xfId="0" applyFont="1" applyFill="1" applyBorder="1" applyAlignment="1">
      <alignment horizontal="right" vertical="center" wrapText="1"/>
    </xf>
    <xf numFmtId="0" fontId="41" fillId="2" borderId="4" xfId="0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15" fillId="10" borderId="2" xfId="0" applyFont="1" applyFill="1" applyBorder="1" applyAlignment="1">
      <alignment vertical="center" wrapText="1"/>
    </xf>
    <xf numFmtId="0" fontId="15" fillId="10" borderId="4" xfId="0" applyFont="1" applyFill="1" applyBorder="1" applyAlignment="1">
      <alignment vertical="center" wrapText="1"/>
    </xf>
    <xf numFmtId="0" fontId="15" fillId="10" borderId="3" xfId="0" applyFont="1" applyFill="1" applyBorder="1" applyAlignment="1">
      <alignment vertical="center" wrapText="1"/>
    </xf>
    <xf numFmtId="1" fontId="15" fillId="3" borderId="4" xfId="0" applyNumberFormat="1" applyFont="1" applyFill="1" applyBorder="1" applyAlignment="1">
      <alignment horizontal="right" vertical="center" wrapText="1"/>
    </xf>
    <xf numFmtId="0" fontId="27" fillId="15" borderId="2" xfId="0" applyFont="1" applyFill="1" applyBorder="1" applyAlignment="1">
      <alignment horizontal="right" vertical="center" wrapText="1"/>
    </xf>
    <xf numFmtId="0" fontId="27" fillId="15" borderId="4" xfId="0" applyFont="1" applyFill="1" applyBorder="1" applyAlignment="1">
      <alignment horizontal="right" vertical="center" wrapText="1"/>
    </xf>
    <xf numFmtId="0" fontId="43" fillId="15" borderId="1" xfId="0" applyFont="1" applyFill="1" applyBorder="1" applyAlignment="1">
      <alignment vertical="center" wrapText="1"/>
    </xf>
    <xf numFmtId="0" fontId="43" fillId="15" borderId="3" xfId="0" applyFont="1" applyFill="1" applyBorder="1" applyAlignment="1">
      <alignment vertical="center" wrapText="1"/>
    </xf>
    <xf numFmtId="0" fontId="43" fillId="15" borderId="2" xfId="0" applyFont="1" applyFill="1" applyBorder="1" applyAlignment="1">
      <alignment horizontal="right" vertical="center" wrapText="1"/>
    </xf>
    <xf numFmtId="0" fontId="43" fillId="15" borderId="4" xfId="0" applyFont="1" applyFill="1" applyBorder="1" applyAlignment="1">
      <alignment horizontal="right" vertical="center" wrapText="1"/>
    </xf>
    <xf numFmtId="1" fontId="43" fillId="15" borderId="4" xfId="0" applyNumberFormat="1" applyFont="1" applyFill="1" applyBorder="1" applyAlignment="1">
      <alignment horizontal="right" vertical="center" wrapText="1"/>
    </xf>
    <xf numFmtId="0" fontId="13" fillId="8" borderId="5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right"/>
    </xf>
    <xf numFmtId="0" fontId="12" fillId="9" borderId="1" xfId="0" applyFont="1" applyFill="1" applyBorder="1" applyAlignment="1">
      <alignment horizontal="right"/>
    </xf>
    <xf numFmtId="0" fontId="10" fillId="9" borderId="1" xfId="0" applyFont="1" applyFill="1" applyBorder="1" applyAlignment="1">
      <alignment horizontal="right"/>
    </xf>
    <xf numFmtId="0" fontId="2" fillId="7" borderId="13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8" fillId="7" borderId="8" xfId="0" applyFont="1" applyFill="1" applyBorder="1" applyAlignment="1">
      <alignment horizontal="right" vertical="center" wrapText="1"/>
    </xf>
    <xf numFmtId="14" fontId="10" fillId="7" borderId="9" xfId="0" applyNumberFormat="1" applyFont="1" applyFill="1" applyBorder="1" applyAlignment="1">
      <alignment horizontal="left" vertical="center" wrapText="1"/>
    </xf>
    <xf numFmtId="0" fontId="8" fillId="7" borderId="12" xfId="0" applyFont="1" applyFill="1" applyBorder="1" applyAlignment="1">
      <alignment horizontal="right" vertical="center" wrapText="1"/>
    </xf>
    <xf numFmtId="0" fontId="10" fillId="4" borderId="3" xfId="0" applyFont="1" applyFill="1" applyBorder="1" applyAlignment="1">
      <alignment vertical="top" wrapText="1"/>
    </xf>
    <xf numFmtId="0" fontId="16" fillId="7" borderId="13" xfId="0" applyFont="1" applyFill="1" applyBorder="1" applyAlignment="1">
      <alignment vertical="center" wrapText="1"/>
    </xf>
    <xf numFmtId="0" fontId="30" fillId="10" borderId="2" xfId="0" applyFont="1" applyFill="1" applyBorder="1" applyAlignment="1">
      <alignment horizontal="right" vertical="center" wrapText="1"/>
    </xf>
    <xf numFmtId="0" fontId="30" fillId="10" borderId="4" xfId="0" applyFont="1" applyFill="1" applyBorder="1" applyAlignment="1">
      <alignment horizontal="right" vertical="center" wrapText="1"/>
    </xf>
    <xf numFmtId="0" fontId="16" fillId="7" borderId="13" xfId="0" applyFont="1" applyFill="1" applyBorder="1"/>
    <xf numFmtId="0" fontId="41" fillId="3" borderId="2" xfId="0" applyFont="1" applyFill="1" applyBorder="1" applyAlignment="1">
      <alignment horizontal="right" vertical="center" wrapText="1"/>
    </xf>
    <xf numFmtId="0" fontId="41" fillId="3" borderId="4" xfId="0" applyFont="1" applyFill="1" applyBorder="1" applyAlignment="1">
      <alignment horizontal="right" vertical="center" wrapText="1"/>
    </xf>
    <xf numFmtId="0" fontId="12" fillId="7" borderId="0" xfId="0" applyFont="1" applyFill="1" applyAlignment="1">
      <alignment vertical="center" wrapText="1"/>
    </xf>
    <xf numFmtId="0" fontId="41" fillId="7" borderId="0" xfId="0" applyFont="1" applyFill="1" applyAlignment="1">
      <alignment horizontal="right" vertical="center" wrapText="1"/>
    </xf>
    <xf numFmtId="0" fontId="39" fillId="7" borderId="0" xfId="0" applyFont="1" applyFill="1" applyAlignment="1">
      <alignment horizontal="right" vertical="center" wrapText="1"/>
    </xf>
    <xf numFmtId="0" fontId="44" fillId="7" borderId="0" xfId="0" applyFont="1" applyFill="1" applyAlignment="1">
      <alignment horizontal="right" vertical="center" wrapText="1"/>
    </xf>
    <xf numFmtId="1" fontId="10" fillId="7" borderId="1" xfId="0" applyNumberFormat="1" applyFont="1" applyFill="1" applyBorder="1"/>
    <xf numFmtId="0" fontId="45" fillId="13" borderId="2" xfId="0" applyFont="1" applyFill="1" applyBorder="1" applyAlignment="1">
      <alignment horizontal="right" vertical="center" wrapText="1"/>
    </xf>
    <xf numFmtId="0" fontId="45" fillId="13" borderId="4" xfId="0" applyFont="1" applyFill="1" applyBorder="1" applyAlignment="1">
      <alignment horizontal="right" vertical="center" wrapText="1"/>
    </xf>
    <xf numFmtId="0" fontId="45" fillId="13" borderId="5" xfId="0" applyFont="1" applyFill="1" applyBorder="1" applyAlignment="1">
      <alignment horizontal="right" vertical="center" wrapText="1"/>
    </xf>
    <xf numFmtId="0" fontId="8" fillId="9" borderId="3" xfId="0" applyFont="1" applyFill="1" applyBorder="1"/>
    <xf numFmtId="14" fontId="16" fillId="12" borderId="3" xfId="0" applyNumberFormat="1" applyFont="1" applyFill="1" applyBorder="1" applyAlignment="1">
      <alignment horizontal="left" vertical="center" wrapText="1"/>
    </xf>
    <xf numFmtId="14" fontId="0" fillId="12" borderId="3" xfId="0" applyNumberFormat="1" applyFill="1" applyBorder="1" applyAlignment="1">
      <alignment horizontal="left" vertical="center" wrapText="1"/>
    </xf>
    <xf numFmtId="0" fontId="45" fillId="15" borderId="2" xfId="0" applyFont="1" applyFill="1" applyBorder="1" applyAlignment="1">
      <alignment horizontal="right" vertical="center" wrapText="1"/>
    </xf>
    <xf numFmtId="0" fontId="45" fillId="15" borderId="4" xfId="0" applyFont="1" applyFill="1" applyBorder="1" applyAlignment="1">
      <alignment horizontal="right" vertical="center" wrapText="1"/>
    </xf>
    <xf numFmtId="0" fontId="36" fillId="3" borderId="10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46" fillId="11" borderId="2" xfId="0" applyFont="1" applyFill="1" applyBorder="1" applyAlignment="1">
      <alignment horizontal="right" vertical="center" wrapText="1"/>
    </xf>
    <xf numFmtId="0" fontId="46" fillId="11" borderId="4" xfId="0" applyFont="1" applyFill="1" applyBorder="1" applyAlignment="1">
      <alignment horizontal="right" vertical="center" wrapText="1"/>
    </xf>
    <xf numFmtId="0" fontId="49" fillId="10" borderId="2" xfId="0" applyFont="1" applyFill="1" applyBorder="1" applyAlignment="1">
      <alignment horizontal="right" vertical="center" wrapText="1"/>
    </xf>
    <xf numFmtId="0" fontId="49" fillId="10" borderId="4" xfId="0" applyFont="1" applyFill="1" applyBorder="1" applyAlignment="1">
      <alignment horizontal="right" vertical="center" wrapText="1"/>
    </xf>
    <xf numFmtId="0" fontId="46" fillId="3" borderId="2" xfId="0" applyFont="1" applyFill="1" applyBorder="1" applyAlignment="1">
      <alignment horizontal="right" vertical="center" wrapText="1"/>
    </xf>
    <xf numFmtId="0" fontId="46" fillId="3" borderId="4" xfId="0" applyFont="1" applyFill="1" applyBorder="1" applyAlignment="1">
      <alignment horizontal="right" vertical="center" wrapText="1"/>
    </xf>
    <xf numFmtId="0" fontId="46" fillId="10" borderId="2" xfId="0" applyFont="1" applyFill="1" applyBorder="1" applyAlignment="1">
      <alignment horizontal="right" vertical="center" wrapText="1"/>
    </xf>
    <xf numFmtId="0" fontId="46" fillId="10" borderId="4" xfId="0" applyFont="1" applyFill="1" applyBorder="1" applyAlignment="1">
      <alignment horizontal="right" vertical="center" wrapText="1"/>
    </xf>
    <xf numFmtId="0" fontId="46" fillId="7" borderId="0" xfId="0" applyFont="1" applyFill="1" applyAlignment="1">
      <alignment horizontal="right" vertical="center" wrapText="1"/>
    </xf>
    <xf numFmtId="0" fontId="50" fillId="2" borderId="2" xfId="0" applyFont="1" applyFill="1" applyBorder="1" applyAlignment="1">
      <alignment horizontal="right" vertical="center" wrapText="1"/>
    </xf>
    <xf numFmtId="0" fontId="50" fillId="6" borderId="2" xfId="0" applyFont="1" applyFill="1" applyBorder="1" applyAlignment="1">
      <alignment horizontal="right" vertical="center" wrapText="1"/>
    </xf>
    <xf numFmtId="0" fontId="50" fillId="2" borderId="4" xfId="0" applyFont="1" applyFill="1" applyBorder="1" applyAlignment="1">
      <alignment horizontal="right" vertical="center" wrapText="1"/>
    </xf>
    <xf numFmtId="0" fontId="50" fillId="6" borderId="4" xfId="0" applyFont="1" applyFill="1" applyBorder="1" applyAlignment="1">
      <alignment horizontal="right" vertical="center" wrapText="1"/>
    </xf>
    <xf numFmtId="0" fontId="45" fillId="3" borderId="2" xfId="0" applyFont="1" applyFill="1" applyBorder="1" applyAlignment="1">
      <alignment horizontal="right" vertical="center" wrapText="1"/>
    </xf>
    <xf numFmtId="0" fontId="45" fillId="3" borderId="4" xfId="0" applyFont="1" applyFill="1" applyBorder="1" applyAlignment="1">
      <alignment horizontal="right" vertical="center" wrapText="1"/>
    </xf>
    <xf numFmtId="0" fontId="45" fillId="4" borderId="2" xfId="0" applyFont="1" applyFill="1" applyBorder="1" applyAlignment="1">
      <alignment horizontal="right" vertical="center" wrapText="1"/>
    </xf>
    <xf numFmtId="0" fontId="12" fillId="4" borderId="2" xfId="0" applyFont="1" applyFill="1" applyBorder="1" applyAlignment="1">
      <alignment horizontal="right" vertical="center" wrapText="1"/>
    </xf>
    <xf numFmtId="0" fontId="40" fillId="4" borderId="2" xfId="0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40" fillId="4" borderId="4" xfId="0" applyFont="1" applyFill="1" applyBorder="1" applyAlignment="1">
      <alignment horizontal="right" vertical="center" wrapText="1"/>
    </xf>
    <xf numFmtId="0" fontId="45" fillId="4" borderId="4" xfId="0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right" vertical="center" wrapText="1"/>
    </xf>
    <xf numFmtId="14" fontId="5" fillId="3" borderId="3" xfId="0" applyNumberFormat="1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righ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0" fontId="51" fillId="7" borderId="0" xfId="0" applyFont="1" applyFill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14" fontId="5" fillId="16" borderId="3" xfId="0" applyNumberFormat="1" applyFont="1" applyFill="1" applyBorder="1" applyAlignment="1">
      <alignment horizontal="left" vertical="center" wrapText="1"/>
    </xf>
    <xf numFmtId="0" fontId="1" fillId="7" borderId="14" xfId="0" applyFont="1" applyFill="1" applyBorder="1" applyAlignment="1">
      <alignment horizontal="center" vertical="center" wrapText="1"/>
    </xf>
    <xf numFmtId="14" fontId="5" fillId="16" borderId="1" xfId="0" applyNumberFormat="1" applyFont="1" applyFill="1" applyBorder="1" applyAlignment="1">
      <alignment horizontal="left" vertical="center" wrapText="1"/>
    </xf>
    <xf numFmtId="14" fontId="52" fillId="3" borderId="3" xfId="0" applyNumberFormat="1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right" vertical="center" wrapText="1"/>
    </xf>
    <xf numFmtId="0" fontId="9" fillId="6" borderId="4" xfId="0" applyFont="1" applyFill="1" applyBorder="1" applyAlignment="1">
      <alignment horizontal="right" vertical="center" wrapText="1"/>
    </xf>
    <xf numFmtId="0" fontId="53" fillId="3" borderId="2" xfId="0" applyFont="1" applyFill="1" applyBorder="1" applyAlignment="1">
      <alignment horizontal="right" vertical="center" wrapText="1"/>
    </xf>
    <xf numFmtId="0" fontId="53" fillId="3" borderId="4" xfId="0" applyFont="1" applyFill="1" applyBorder="1" applyAlignment="1">
      <alignment horizontal="right" vertical="center" wrapText="1"/>
    </xf>
    <xf numFmtId="0" fontId="13" fillId="6" borderId="2" xfId="0" applyFont="1" applyFill="1" applyBorder="1" applyAlignment="1">
      <alignment vertical="center" wrapText="1"/>
    </xf>
    <xf numFmtId="0" fontId="46" fillId="6" borderId="2" xfId="0" applyFont="1" applyFill="1" applyBorder="1" applyAlignment="1">
      <alignment horizontal="right" vertical="center" wrapText="1"/>
    </xf>
    <xf numFmtId="0" fontId="13" fillId="6" borderId="4" xfId="0" applyFont="1" applyFill="1" applyBorder="1" applyAlignment="1">
      <alignment vertical="center" wrapText="1"/>
    </xf>
    <xf numFmtId="0" fontId="46" fillId="6" borderId="4" xfId="0" applyFont="1" applyFill="1" applyBorder="1" applyAlignment="1">
      <alignment horizontal="right" vertical="center" wrapText="1"/>
    </xf>
    <xf numFmtId="0" fontId="13" fillId="6" borderId="3" xfId="0" applyFont="1" applyFill="1" applyBorder="1" applyAlignment="1">
      <alignment vertical="center" wrapText="1"/>
    </xf>
    <xf numFmtId="0" fontId="28" fillId="10" borderId="2" xfId="0" applyFont="1" applyFill="1" applyBorder="1" applyAlignment="1">
      <alignment horizontal="right" vertical="center" wrapText="1"/>
    </xf>
    <xf numFmtId="0" fontId="28" fillId="10" borderId="4" xfId="0" applyFont="1" applyFill="1" applyBorder="1" applyAlignment="1">
      <alignment horizontal="right" vertical="center" wrapText="1"/>
    </xf>
    <xf numFmtId="0" fontId="53" fillId="15" borderId="2" xfId="0" applyFont="1" applyFill="1" applyBorder="1" applyAlignment="1">
      <alignment horizontal="right" vertical="center" wrapText="1"/>
    </xf>
    <xf numFmtId="0" fontId="53" fillId="15" borderId="4" xfId="0" applyFont="1" applyFill="1" applyBorder="1" applyAlignment="1">
      <alignment horizontal="right" vertical="center" wrapText="1"/>
    </xf>
    <xf numFmtId="0" fontId="9" fillId="17" borderId="2" xfId="0" applyFont="1" applyFill="1" applyBorder="1" applyAlignment="1">
      <alignment horizontal="right" vertical="center" wrapText="1"/>
    </xf>
    <xf numFmtId="0" fontId="45" fillId="17" borderId="2" xfId="0" applyFont="1" applyFill="1" applyBorder="1" applyAlignment="1">
      <alignment horizontal="right" vertical="center" wrapText="1"/>
    </xf>
    <xf numFmtId="0" fontId="9" fillId="17" borderId="4" xfId="0" applyFont="1" applyFill="1" applyBorder="1" applyAlignment="1">
      <alignment horizontal="right" vertical="center" wrapText="1"/>
    </xf>
    <xf numFmtId="0" fontId="45" fillId="17" borderId="4" xfId="0" applyFont="1" applyFill="1" applyBorder="1" applyAlignment="1">
      <alignment horizontal="right" vertical="center" wrapText="1"/>
    </xf>
    <xf numFmtId="0" fontId="10" fillId="17" borderId="1" xfId="0" applyFont="1" applyFill="1" applyBorder="1" applyAlignment="1">
      <alignment vertical="center" wrapText="1"/>
    </xf>
    <xf numFmtId="0" fontId="10" fillId="17" borderId="3" xfId="0" applyFont="1" applyFill="1" applyBorder="1" applyAlignment="1">
      <alignment vertical="center" wrapText="1"/>
    </xf>
    <xf numFmtId="0" fontId="10" fillId="17" borderId="2" xfId="0" applyFont="1" applyFill="1" applyBorder="1" applyAlignment="1">
      <alignment horizontal="right" vertical="center" wrapText="1"/>
    </xf>
    <xf numFmtId="0" fontId="10" fillId="17" borderId="4" xfId="0" applyFont="1" applyFill="1" applyBorder="1" applyAlignment="1">
      <alignment horizontal="right" vertical="center" wrapText="1"/>
    </xf>
    <xf numFmtId="0" fontId="54" fillId="17" borderId="2" xfId="0" applyFont="1" applyFill="1" applyBorder="1" applyAlignment="1">
      <alignment horizontal="right" vertical="center" wrapText="1"/>
    </xf>
    <xf numFmtId="0" fontId="54" fillId="17" borderId="4" xfId="0" applyFont="1" applyFill="1" applyBorder="1" applyAlignment="1">
      <alignment horizontal="right" vertical="center" wrapText="1"/>
    </xf>
    <xf numFmtId="0" fontId="28" fillId="3" borderId="2" xfId="0" applyFont="1" applyFill="1" applyBorder="1" applyAlignment="1">
      <alignment horizontal="right" vertical="center" wrapText="1"/>
    </xf>
    <xf numFmtId="0" fontId="28" fillId="3" borderId="4" xfId="0" applyFont="1" applyFill="1" applyBorder="1" applyAlignment="1">
      <alignment horizontal="right" vertical="center" wrapText="1"/>
    </xf>
    <xf numFmtId="0" fontId="53" fillId="13" borderId="2" xfId="0" applyFont="1" applyFill="1" applyBorder="1" applyAlignment="1">
      <alignment horizontal="right" vertical="center" wrapText="1"/>
    </xf>
    <xf numFmtId="0" fontId="53" fillId="13" borderId="4" xfId="0" applyFont="1" applyFill="1" applyBorder="1" applyAlignment="1">
      <alignment horizontal="right" vertical="center" wrapText="1"/>
    </xf>
    <xf numFmtId="0" fontId="44" fillId="11" borderId="2" xfId="0" applyFont="1" applyFill="1" applyBorder="1" applyAlignment="1">
      <alignment horizontal="right" vertical="center" wrapText="1"/>
    </xf>
    <xf numFmtId="0" fontId="44" fillId="11" borderId="4" xfId="0" applyFont="1" applyFill="1" applyBorder="1" applyAlignment="1">
      <alignment horizontal="right" vertical="center" wrapText="1"/>
    </xf>
    <xf numFmtId="14" fontId="55" fillId="3" borderId="3" xfId="0" applyNumberFormat="1" applyFont="1" applyFill="1" applyBorder="1" applyAlignment="1">
      <alignment horizontal="left" vertical="center" wrapText="1"/>
    </xf>
    <xf numFmtId="0" fontId="57" fillId="3" borderId="1" xfId="0" applyFont="1" applyFill="1" applyBorder="1" applyAlignment="1">
      <alignment vertical="center" wrapText="1"/>
    </xf>
    <xf numFmtId="0" fontId="57" fillId="3" borderId="3" xfId="0" applyFont="1" applyFill="1" applyBorder="1" applyAlignment="1">
      <alignment vertical="center" wrapText="1"/>
    </xf>
    <xf numFmtId="0" fontId="57" fillId="3" borderId="2" xfId="0" applyFont="1" applyFill="1" applyBorder="1" applyAlignment="1">
      <alignment horizontal="right" vertical="center" wrapText="1"/>
    </xf>
    <xf numFmtId="0" fontId="57" fillId="3" borderId="4" xfId="0" applyFont="1" applyFill="1" applyBorder="1" applyAlignment="1">
      <alignment horizontal="right" vertical="center" wrapText="1"/>
    </xf>
    <xf numFmtId="1" fontId="57" fillId="3" borderId="4" xfId="0" applyNumberFormat="1" applyFont="1" applyFill="1" applyBorder="1" applyAlignment="1">
      <alignment horizontal="right" vertical="center" wrapText="1"/>
    </xf>
    <xf numFmtId="0" fontId="57" fillId="3" borderId="1" xfId="0" applyFont="1" applyFill="1" applyBorder="1"/>
    <xf numFmtId="14" fontId="15" fillId="16" borderId="3" xfId="0" applyNumberFormat="1" applyFont="1" applyFill="1" applyBorder="1" applyAlignment="1">
      <alignment horizontal="left" vertical="center" wrapText="1"/>
    </xf>
    <xf numFmtId="0" fontId="58" fillId="6" borderId="2" xfId="0" applyFont="1" applyFill="1" applyBorder="1" applyAlignment="1">
      <alignment horizontal="right" vertical="center" wrapText="1"/>
    </xf>
    <xf numFmtId="0" fontId="58" fillId="6" borderId="4" xfId="0" applyFont="1" applyFill="1" applyBorder="1" applyAlignment="1">
      <alignment horizontal="right" vertical="center" wrapText="1"/>
    </xf>
    <xf numFmtId="0" fontId="18" fillId="7" borderId="13" xfId="0" applyFont="1" applyFill="1" applyBorder="1"/>
    <xf numFmtId="0" fontId="10" fillId="7" borderId="1" xfId="0" applyFont="1" applyFill="1" applyBorder="1" applyAlignment="1">
      <alignment vertical="top" wrapText="1"/>
    </xf>
    <xf numFmtId="0" fontId="15" fillId="13" borderId="1" xfId="0" applyFont="1" applyFill="1" applyBorder="1" applyAlignment="1">
      <alignment vertical="center" wrapText="1"/>
    </xf>
    <xf numFmtId="0" fontId="15" fillId="13" borderId="3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2" fillId="0" borderId="0" xfId="0" applyFont="1"/>
    <xf numFmtId="0" fontId="36" fillId="3" borderId="0" xfId="0" applyFont="1" applyFill="1" applyAlignment="1">
      <alignment vertical="center" wrapText="1"/>
    </xf>
    <xf numFmtId="0" fontId="36" fillId="3" borderId="0" xfId="0" applyFont="1" applyFill="1" applyAlignment="1">
      <alignment horizontal="right" vertical="center" wrapText="1"/>
    </xf>
    <xf numFmtId="1" fontId="36" fillId="3" borderId="0" xfId="0" applyNumberFormat="1" applyFont="1" applyFill="1" applyAlignment="1">
      <alignment horizontal="right" vertical="center" wrapText="1"/>
    </xf>
    <xf numFmtId="0" fontId="45" fillId="7" borderId="0" xfId="0" applyFont="1" applyFill="1" applyAlignment="1">
      <alignment horizontal="right" vertical="center" wrapText="1"/>
    </xf>
    <xf numFmtId="0" fontId="36" fillId="7" borderId="0" xfId="0" applyFont="1" applyFill="1" applyAlignment="1">
      <alignment horizontal="right" vertical="center" wrapText="1"/>
    </xf>
    <xf numFmtId="0" fontId="15" fillId="11" borderId="2" xfId="0" applyFont="1" applyFill="1" applyBorder="1" applyAlignment="1">
      <alignment vertical="center" wrapText="1"/>
    </xf>
    <xf numFmtId="0" fontId="15" fillId="11" borderId="4" xfId="0" applyFont="1" applyFill="1" applyBorder="1" applyAlignment="1">
      <alignment vertical="center" wrapText="1"/>
    </xf>
    <xf numFmtId="0" fontId="15" fillId="11" borderId="3" xfId="0" applyFont="1" applyFill="1" applyBorder="1" applyAlignment="1">
      <alignment vertical="center" wrapText="1"/>
    </xf>
    <xf numFmtId="0" fontId="15" fillId="16" borderId="3" xfId="0" applyFont="1" applyFill="1" applyBorder="1" applyAlignment="1">
      <alignment vertical="center" wrapText="1"/>
    </xf>
    <xf numFmtId="0" fontId="15" fillId="16" borderId="1" xfId="0" applyFont="1" applyFill="1" applyBorder="1" applyAlignment="1">
      <alignment vertical="center" wrapText="1"/>
    </xf>
    <xf numFmtId="0" fontId="27" fillId="16" borderId="2" xfId="0" applyFont="1" applyFill="1" applyBorder="1" applyAlignment="1">
      <alignment horizontal="right" vertical="center" wrapText="1"/>
    </xf>
    <xf numFmtId="0" fontId="44" fillId="16" borderId="2" xfId="0" applyFont="1" applyFill="1" applyBorder="1" applyAlignment="1">
      <alignment horizontal="right" vertical="center" wrapText="1"/>
    </xf>
    <xf numFmtId="0" fontId="46" fillId="16" borderId="2" xfId="0" applyFont="1" applyFill="1" applyBorder="1" applyAlignment="1">
      <alignment horizontal="right" vertical="center" wrapText="1"/>
    </xf>
    <xf numFmtId="0" fontId="15" fillId="16" borderId="2" xfId="0" applyFont="1" applyFill="1" applyBorder="1" applyAlignment="1">
      <alignment horizontal="right" vertical="center" wrapText="1"/>
    </xf>
    <xf numFmtId="0" fontId="27" fillId="16" borderId="4" xfId="0" applyFont="1" applyFill="1" applyBorder="1" applyAlignment="1">
      <alignment horizontal="right" vertical="center" wrapText="1"/>
    </xf>
    <xf numFmtId="0" fontId="44" fillId="16" borderId="4" xfId="0" applyFont="1" applyFill="1" applyBorder="1" applyAlignment="1">
      <alignment horizontal="right" vertical="center" wrapText="1"/>
    </xf>
    <xf numFmtId="0" fontId="46" fillId="16" borderId="4" xfId="0" applyFont="1" applyFill="1" applyBorder="1" applyAlignment="1">
      <alignment horizontal="right" vertical="center" wrapText="1"/>
    </xf>
    <xf numFmtId="0" fontId="15" fillId="16" borderId="4" xfId="0" applyFont="1" applyFill="1" applyBorder="1" applyAlignment="1">
      <alignment horizontal="right" vertical="center" wrapText="1"/>
    </xf>
    <xf numFmtId="1" fontId="15" fillId="16" borderId="4" xfId="0" applyNumberFormat="1" applyFont="1" applyFill="1" applyBorder="1" applyAlignment="1">
      <alignment horizontal="right" vertical="center" wrapText="1"/>
    </xf>
    <xf numFmtId="14" fontId="12" fillId="7" borderId="13" xfId="0" applyNumberFormat="1" applyFont="1" applyFill="1" applyBorder="1" applyAlignment="1">
      <alignment horizontal="left" vertical="center" wrapText="1"/>
    </xf>
    <xf numFmtId="0" fontId="44" fillId="10" borderId="2" xfId="0" applyFont="1" applyFill="1" applyBorder="1" applyAlignment="1">
      <alignment horizontal="right" vertical="center" wrapText="1"/>
    </xf>
    <xf numFmtId="0" fontId="44" fillId="10" borderId="4" xfId="0" applyFont="1" applyFill="1" applyBorder="1" applyAlignment="1">
      <alignment horizontal="right" vertical="center" wrapText="1"/>
    </xf>
    <xf numFmtId="0" fontId="18" fillId="13" borderId="2" xfId="0" applyFont="1" applyFill="1" applyBorder="1" applyAlignment="1">
      <alignment horizontal="right" vertical="center" wrapText="1"/>
    </xf>
    <xf numFmtId="0" fontId="18" fillId="13" borderId="4" xfId="0" applyFont="1" applyFill="1" applyBorder="1" applyAlignment="1">
      <alignment horizontal="right" vertical="center" wrapText="1"/>
    </xf>
    <xf numFmtId="0" fontId="28" fillId="6" borderId="2" xfId="0" applyFont="1" applyFill="1" applyBorder="1" applyAlignment="1">
      <alignment horizontal="right" vertical="center" wrapText="1"/>
    </xf>
    <xf numFmtId="0" fontId="28" fillId="6" borderId="4" xfId="0" applyFont="1" applyFill="1" applyBorder="1" applyAlignment="1">
      <alignment horizontal="right" vertical="center" wrapText="1"/>
    </xf>
    <xf numFmtId="0" fontId="43" fillId="15" borderId="1" xfId="0" applyFont="1" applyFill="1" applyBorder="1" applyAlignment="1">
      <alignment horizontal="right" vertical="center" wrapText="1"/>
    </xf>
    <xf numFmtId="1" fontId="10" fillId="7" borderId="3" xfId="0" applyNumberFormat="1" applyFont="1" applyFill="1" applyBorder="1" applyAlignment="1">
      <alignment horizontal="right" vertical="center" wrapText="1"/>
    </xf>
    <xf numFmtId="0" fontId="9" fillId="4" borderId="2" xfId="0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10" fillId="7" borderId="17" xfId="0" applyFont="1" applyFill="1" applyBorder="1" applyAlignment="1">
      <alignment horizontal="right" vertical="center" wrapText="1"/>
    </xf>
    <xf numFmtId="0" fontId="10" fillId="7" borderId="16" xfId="0" applyFont="1" applyFill="1" applyBorder="1" applyAlignment="1">
      <alignment horizontal="right" vertical="center" wrapText="1"/>
    </xf>
    <xf numFmtId="0" fontId="10" fillId="7" borderId="11" xfId="0" applyFont="1" applyFill="1" applyBorder="1" applyAlignment="1">
      <alignment horizontal="right" vertical="center" wrapText="1"/>
    </xf>
    <xf numFmtId="0" fontId="8" fillId="7" borderId="3" xfId="0" applyFont="1" applyFill="1" applyBorder="1" applyAlignment="1">
      <alignment vertical="center" wrapText="1"/>
    </xf>
    <xf numFmtId="0" fontId="15" fillId="18" borderId="1" xfId="0" applyFont="1" applyFill="1" applyBorder="1" applyAlignment="1">
      <alignment vertical="center" wrapText="1"/>
    </xf>
    <xf numFmtId="0" fontId="27" fillId="18" borderId="2" xfId="0" applyFont="1" applyFill="1" applyBorder="1" applyAlignment="1">
      <alignment horizontal="right" vertical="center" wrapText="1"/>
    </xf>
    <xf numFmtId="0" fontId="18" fillId="18" borderId="2" xfId="0" applyFont="1" applyFill="1" applyBorder="1" applyAlignment="1">
      <alignment horizontal="right" vertical="center" wrapText="1"/>
    </xf>
    <xf numFmtId="0" fontId="46" fillId="18" borderId="2" xfId="0" applyFont="1" applyFill="1" applyBorder="1" applyAlignment="1">
      <alignment horizontal="right" vertical="center" wrapText="1"/>
    </xf>
    <xf numFmtId="0" fontId="32" fillId="18" borderId="2" xfId="0" applyFont="1" applyFill="1" applyBorder="1" applyAlignment="1">
      <alignment horizontal="right" vertical="center" wrapText="1"/>
    </xf>
    <xf numFmtId="0" fontId="15" fillId="18" borderId="3" xfId="0" applyFont="1" applyFill="1" applyBorder="1" applyAlignment="1">
      <alignment vertical="center" wrapText="1"/>
    </xf>
    <xf numFmtId="0" fontId="27" fillId="18" borderId="4" xfId="0" applyFont="1" applyFill="1" applyBorder="1" applyAlignment="1">
      <alignment horizontal="right" vertical="center" wrapText="1"/>
    </xf>
    <xf numFmtId="0" fontId="18" fillId="18" borderId="4" xfId="0" applyFont="1" applyFill="1" applyBorder="1" applyAlignment="1">
      <alignment horizontal="right" vertical="center" wrapText="1"/>
    </xf>
    <xf numFmtId="0" fontId="46" fillId="18" borderId="4" xfId="0" applyFont="1" applyFill="1" applyBorder="1" applyAlignment="1">
      <alignment horizontal="right" vertical="center" wrapText="1"/>
    </xf>
    <xf numFmtId="0" fontId="32" fillId="18" borderId="4" xfId="0" applyFont="1" applyFill="1" applyBorder="1" applyAlignment="1">
      <alignment horizontal="right" vertical="center" wrapText="1"/>
    </xf>
    <xf numFmtId="14" fontId="15" fillId="18" borderId="1" xfId="0" applyNumberFormat="1" applyFont="1" applyFill="1" applyBorder="1" applyAlignment="1">
      <alignment horizontal="left" vertical="center" wrapText="1"/>
    </xf>
    <xf numFmtId="0" fontId="15" fillId="18" borderId="4" xfId="0" applyFont="1" applyFill="1" applyBorder="1" applyAlignment="1">
      <alignment horizontal="right" vertical="center" wrapText="1"/>
    </xf>
    <xf numFmtId="1" fontId="15" fillId="18" borderId="4" xfId="0" applyNumberFormat="1" applyFont="1" applyFill="1" applyBorder="1" applyAlignment="1">
      <alignment horizontal="right" vertical="center" wrapText="1"/>
    </xf>
    <xf numFmtId="0" fontId="15" fillId="18" borderId="1" xfId="0" applyFont="1" applyFill="1" applyBorder="1" applyAlignment="1">
      <alignment horizontal="right" vertical="center" wrapText="1"/>
    </xf>
    <xf numFmtId="0" fontId="15" fillId="18" borderId="2" xfId="0" applyFont="1" applyFill="1" applyBorder="1" applyAlignment="1">
      <alignment horizontal="right" vertical="center" wrapText="1"/>
    </xf>
    <xf numFmtId="1" fontId="15" fillId="18" borderId="1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vertical="top" wrapText="1"/>
    </xf>
    <xf numFmtId="1" fontId="8" fillId="9" borderId="1" xfId="0" applyNumberFormat="1" applyFont="1" applyFill="1" applyBorder="1" applyAlignment="1">
      <alignment horizontal="right"/>
    </xf>
    <xf numFmtId="0" fontId="12" fillId="7" borderId="5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right" vertical="center" wrapText="1"/>
    </xf>
    <xf numFmtId="1" fontId="19" fillId="2" borderId="1" xfId="0" applyNumberFormat="1" applyFont="1" applyFill="1" applyBorder="1" applyAlignment="1">
      <alignment horizontal="right" vertical="center" wrapText="1"/>
    </xf>
    <xf numFmtId="14" fontId="12" fillId="0" borderId="0" xfId="0" applyNumberFormat="1" applyFont="1" applyAlignment="1">
      <alignment horizontal="left"/>
    </xf>
    <xf numFmtId="0" fontId="60" fillId="7" borderId="0" xfId="0" applyFont="1" applyFill="1"/>
    <xf numFmtId="14" fontId="0" fillId="7" borderId="3" xfId="0" applyNumberForma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61" fillId="7" borderId="1" xfId="0" applyFont="1" applyFill="1" applyBorder="1" applyAlignment="1">
      <alignment vertical="center" wrapText="1"/>
    </xf>
    <xf numFmtId="0" fontId="61" fillId="7" borderId="2" xfId="0" applyFont="1" applyFill="1" applyBorder="1" applyAlignment="1">
      <alignment vertical="center" wrapText="1"/>
    </xf>
    <xf numFmtId="0" fontId="61" fillId="9" borderId="2" xfId="0" applyFont="1" applyFill="1" applyBorder="1" applyAlignment="1">
      <alignment horizontal="right" vertical="center" wrapText="1"/>
    </xf>
    <xf numFmtId="0" fontId="61" fillId="9" borderId="1" xfId="0" applyFont="1" applyFill="1" applyBorder="1" applyAlignment="1">
      <alignment horizontal="right" vertical="center" wrapText="1"/>
    </xf>
    <xf numFmtId="0" fontId="9" fillId="7" borderId="3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0" fontId="9" fillId="7" borderId="1" xfId="0" applyFont="1" applyFill="1" applyBorder="1"/>
    <xf numFmtId="0" fontId="9" fillId="9" borderId="1" xfId="0" applyFont="1" applyFill="1" applyBorder="1"/>
    <xf numFmtId="0" fontId="9" fillId="7" borderId="3" xfId="0" applyFont="1" applyFill="1" applyBorder="1" applyAlignment="1">
      <alignment vertical="top" wrapText="1"/>
    </xf>
    <xf numFmtId="0" fontId="9" fillId="7" borderId="4" xfId="0" applyFont="1" applyFill="1" applyBorder="1" applyAlignment="1">
      <alignment vertical="top" wrapText="1"/>
    </xf>
    <xf numFmtId="0" fontId="9" fillId="9" borderId="1" xfId="0" applyFont="1" applyFill="1" applyBorder="1" applyAlignment="1">
      <alignment vertical="center" wrapText="1"/>
    </xf>
    <xf numFmtId="0" fontId="9" fillId="7" borderId="4" xfId="0" applyFont="1" applyFill="1" applyBorder="1"/>
    <xf numFmtId="0" fontId="9" fillId="7" borderId="3" xfId="0" applyFont="1" applyFill="1" applyBorder="1"/>
    <xf numFmtId="0" fontId="9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vertical="top" wrapText="1"/>
    </xf>
    <xf numFmtId="0" fontId="9" fillId="7" borderId="13" xfId="0" applyFont="1" applyFill="1" applyBorder="1"/>
    <xf numFmtId="0" fontId="45" fillId="7" borderId="1" xfId="0" applyFont="1" applyFill="1" applyBorder="1"/>
    <xf numFmtId="0" fontId="45" fillId="7" borderId="1" xfId="0" applyFont="1" applyFill="1" applyBorder="1" applyAlignment="1">
      <alignment horizontal="right" vertical="center" wrapText="1"/>
    </xf>
    <xf numFmtId="0" fontId="45" fillId="7" borderId="3" xfId="0" applyFont="1" applyFill="1" applyBorder="1"/>
    <xf numFmtId="0" fontId="45" fillId="17" borderId="1" xfId="0" applyFont="1" applyFill="1" applyBorder="1"/>
    <xf numFmtId="0" fontId="61" fillId="17" borderId="2" xfId="0" applyFont="1" applyFill="1" applyBorder="1" applyAlignment="1">
      <alignment vertical="center" wrapText="1"/>
    </xf>
    <xf numFmtId="0" fontId="9" fillId="17" borderId="4" xfId="0" applyFont="1" applyFill="1" applyBorder="1" applyAlignment="1">
      <alignment vertical="center" wrapText="1"/>
    </xf>
    <xf numFmtId="0" fontId="45" fillId="17" borderId="1" xfId="0" applyFont="1" applyFill="1" applyBorder="1" applyAlignment="1">
      <alignment horizontal="right" vertical="center" wrapText="1"/>
    </xf>
    <xf numFmtId="0" fontId="9" fillId="17" borderId="4" xfId="0" applyFont="1" applyFill="1" applyBorder="1"/>
    <xf numFmtId="0" fontId="9" fillId="17" borderId="3" xfId="0" applyFont="1" applyFill="1" applyBorder="1" applyAlignment="1">
      <alignment vertical="center" wrapText="1"/>
    </xf>
    <xf numFmtId="0" fontId="9" fillId="17" borderId="3" xfId="0" applyFont="1" applyFill="1" applyBorder="1"/>
    <xf numFmtId="0" fontId="9" fillId="17" borderId="3" xfId="0" applyFont="1" applyFill="1" applyBorder="1" applyAlignment="1">
      <alignment vertical="top" wrapText="1"/>
    </xf>
    <xf numFmtId="0" fontId="9" fillId="17" borderId="1" xfId="0" applyFont="1" applyFill="1" applyBorder="1" applyAlignment="1">
      <alignment vertical="center" wrapText="1"/>
    </xf>
    <xf numFmtId="0" fontId="9" fillId="17" borderId="1" xfId="0" applyFont="1" applyFill="1" applyBorder="1"/>
    <xf numFmtId="0" fontId="45" fillId="17" borderId="4" xfId="0" applyFont="1" applyFill="1" applyBorder="1"/>
    <xf numFmtId="0" fontId="45" fillId="17" borderId="6" xfId="0" applyFont="1" applyFill="1" applyBorder="1"/>
    <xf numFmtId="0" fontId="45" fillId="9" borderId="1" xfId="0" applyFont="1" applyFill="1" applyBorder="1" applyAlignment="1">
      <alignment horizontal="right"/>
    </xf>
    <xf numFmtId="1" fontId="45" fillId="9" borderId="1" xfId="0" applyNumberFormat="1" applyFont="1" applyFill="1" applyBorder="1"/>
    <xf numFmtId="1" fontId="45" fillId="9" borderId="1" xfId="0" applyNumberFormat="1" applyFont="1" applyFill="1" applyBorder="1" applyAlignment="1">
      <alignment horizontal="right"/>
    </xf>
    <xf numFmtId="0" fontId="46" fillId="14" borderId="2" xfId="0" applyFont="1" applyFill="1" applyBorder="1" applyAlignment="1">
      <alignment horizontal="right" vertical="center" wrapText="1"/>
    </xf>
    <xf numFmtId="0" fontId="46" fillId="14" borderId="4" xfId="0" applyFont="1" applyFill="1" applyBorder="1" applyAlignment="1">
      <alignment horizontal="right" vertical="center" wrapText="1"/>
    </xf>
    <xf numFmtId="14" fontId="16" fillId="7" borderId="3" xfId="0" applyNumberFormat="1" applyFont="1" applyFill="1" applyBorder="1" applyAlignment="1">
      <alignment horizontal="left" vertical="center" wrapText="1"/>
    </xf>
    <xf numFmtId="0" fontId="15" fillId="11" borderId="1" xfId="0" applyFont="1" applyFill="1" applyBorder="1" applyAlignment="1">
      <alignment vertical="center" wrapText="1"/>
    </xf>
    <xf numFmtId="0" fontId="27" fillId="11" borderId="2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right" vertical="center" wrapText="1"/>
    </xf>
    <xf numFmtId="0" fontId="45" fillId="11" borderId="2" xfId="0" applyFont="1" applyFill="1" applyBorder="1" applyAlignment="1">
      <alignment horizontal="right" vertical="center" wrapText="1"/>
    </xf>
    <xf numFmtId="0" fontId="18" fillId="11" borderId="4" xfId="0" applyFont="1" applyFill="1" applyBorder="1" applyAlignment="1">
      <alignment horizontal="right" vertical="center" wrapText="1"/>
    </xf>
    <xf numFmtId="0" fontId="45" fillId="11" borderId="4" xfId="0" applyFont="1" applyFill="1" applyBorder="1" applyAlignment="1">
      <alignment horizontal="right" vertical="center" wrapText="1"/>
    </xf>
    <xf numFmtId="0" fontId="15" fillId="11" borderId="1" xfId="0" applyFont="1" applyFill="1" applyBorder="1" applyAlignment="1">
      <alignment horizontal="right" vertical="center" wrapText="1"/>
    </xf>
    <xf numFmtId="1" fontId="15" fillId="11" borderId="1" xfId="0" applyNumberFormat="1" applyFont="1" applyFill="1" applyBorder="1" applyAlignment="1">
      <alignment horizontal="right" vertical="center" wrapText="1"/>
    </xf>
    <xf numFmtId="0" fontId="15" fillId="11" borderId="11" xfId="0" applyFont="1" applyFill="1" applyBorder="1" applyAlignment="1">
      <alignment vertical="center" wrapText="1"/>
    </xf>
    <xf numFmtId="0" fontId="15" fillId="11" borderId="12" xfId="0" applyFont="1" applyFill="1" applyBorder="1" applyAlignment="1">
      <alignment horizontal="right" vertical="center" wrapText="1"/>
    </xf>
    <xf numFmtId="0" fontId="15" fillId="11" borderId="15" xfId="0" applyFont="1" applyFill="1" applyBorder="1" applyAlignment="1">
      <alignment horizontal="right" vertical="center" wrapText="1"/>
    </xf>
    <xf numFmtId="1" fontId="15" fillId="11" borderId="4" xfId="0" applyNumberFormat="1" applyFont="1" applyFill="1" applyBorder="1" applyAlignment="1">
      <alignment horizontal="right" vertical="center" wrapText="1"/>
    </xf>
    <xf numFmtId="0" fontId="2" fillId="7" borderId="0" xfId="0" applyFont="1" applyFill="1" applyAlignment="1">
      <alignment vertical="center" wrapText="1"/>
    </xf>
    <xf numFmtId="0" fontId="63" fillId="0" borderId="0" xfId="0" applyFont="1"/>
    <xf numFmtId="14" fontId="47" fillId="7" borderId="1" xfId="0" applyNumberFormat="1" applyFont="1" applyFill="1" applyBorder="1" applyAlignment="1">
      <alignment horizontal="left" vertical="center" wrapText="1"/>
    </xf>
    <xf numFmtId="14" fontId="47" fillId="7" borderId="3" xfId="0" applyNumberFormat="1" applyFont="1" applyFill="1" applyBorder="1" applyAlignment="1">
      <alignment horizontal="left" vertical="center" wrapText="1"/>
    </xf>
    <xf numFmtId="14" fontId="47" fillId="12" borderId="3" xfId="0" applyNumberFormat="1" applyFont="1" applyFill="1" applyBorder="1" applyAlignment="1">
      <alignment horizontal="left" vertical="center" wrapText="1"/>
    </xf>
    <xf numFmtId="0" fontId="45" fillId="12" borderId="0" xfId="0" applyFont="1" applyFill="1"/>
    <xf numFmtId="0" fontId="60" fillId="9" borderId="1" xfId="0" applyFont="1" applyFill="1" applyBorder="1" applyAlignment="1">
      <alignment horizontal="right"/>
    </xf>
    <xf numFmtId="0" fontId="8" fillId="4" borderId="1" xfId="0" applyFont="1" applyFill="1" applyBorder="1" applyAlignment="1">
      <alignment vertical="center" wrapText="1"/>
    </xf>
    <xf numFmtId="0" fontId="0" fillId="7" borderId="13" xfId="0" applyFill="1" applyBorder="1"/>
    <xf numFmtId="0" fontId="60" fillId="9" borderId="12" xfId="0" applyFont="1" applyFill="1" applyBorder="1" applyAlignment="1">
      <alignment horizontal="right"/>
    </xf>
    <xf numFmtId="14" fontId="15" fillId="18" borderId="3" xfId="0" applyNumberFormat="1" applyFont="1" applyFill="1" applyBorder="1" applyAlignment="1">
      <alignment horizontal="left" vertical="center" wrapText="1"/>
    </xf>
    <xf numFmtId="14" fontId="36" fillId="3" borderId="0" xfId="0" applyNumberFormat="1" applyFont="1" applyFill="1" applyAlignment="1">
      <alignment horizontal="left" vertical="center" wrapText="1"/>
    </xf>
    <xf numFmtId="0" fontId="9" fillId="17" borderId="4" xfId="0" applyFont="1" applyFill="1" applyBorder="1" applyAlignment="1">
      <alignment vertical="top" wrapText="1"/>
    </xf>
    <xf numFmtId="0" fontId="9" fillId="17" borderId="1" xfId="0" applyFont="1" applyFill="1" applyBorder="1" applyAlignment="1">
      <alignment vertical="top" wrapText="1"/>
    </xf>
    <xf numFmtId="0" fontId="8" fillId="7" borderId="1" xfId="0" applyFont="1" applyFill="1" applyBorder="1" applyAlignment="1">
      <alignment vertical="center" wrapText="1"/>
    </xf>
    <xf numFmtId="0" fontId="8" fillId="4" borderId="4" xfId="0" applyFont="1" applyFill="1" applyBorder="1"/>
    <xf numFmtId="0" fontId="9" fillId="9" borderId="3" xfId="0" applyFont="1" applyFill="1" applyBorder="1" applyAlignment="1">
      <alignment vertical="center" wrapText="1"/>
    </xf>
    <xf numFmtId="0" fontId="45" fillId="7" borderId="0" xfId="0" applyFont="1" applyFill="1"/>
    <xf numFmtId="0" fontId="10" fillId="9" borderId="3" xfId="0" applyFont="1" applyFill="1" applyBorder="1" applyAlignment="1">
      <alignment vertical="center" wrapText="1"/>
    </xf>
    <xf numFmtId="0" fontId="15" fillId="19" borderId="1" xfId="0" applyFont="1" applyFill="1" applyBorder="1" applyAlignment="1">
      <alignment vertical="center" wrapText="1"/>
    </xf>
    <xf numFmtId="0" fontId="59" fillId="19" borderId="2" xfId="0" applyFont="1" applyFill="1" applyBorder="1" applyAlignment="1">
      <alignment horizontal="right" vertical="center" wrapText="1"/>
    </xf>
    <xf numFmtId="0" fontId="46" fillId="19" borderId="2" xfId="0" applyFont="1" applyFill="1" applyBorder="1" applyAlignment="1">
      <alignment horizontal="right" vertical="center" wrapText="1"/>
    </xf>
    <xf numFmtId="0" fontId="15" fillId="19" borderId="2" xfId="0" applyFont="1" applyFill="1" applyBorder="1" applyAlignment="1">
      <alignment horizontal="right" vertical="center" wrapText="1"/>
    </xf>
    <xf numFmtId="0" fontId="15" fillId="19" borderId="3" xfId="0" applyFont="1" applyFill="1" applyBorder="1" applyAlignment="1">
      <alignment vertical="center" wrapText="1"/>
    </xf>
    <xf numFmtId="0" fontId="59" fillId="19" borderId="4" xfId="0" applyFont="1" applyFill="1" applyBorder="1" applyAlignment="1">
      <alignment horizontal="right" vertical="center" wrapText="1"/>
    </xf>
    <xf numFmtId="0" fontId="46" fillId="19" borderId="4" xfId="0" applyFont="1" applyFill="1" applyBorder="1" applyAlignment="1">
      <alignment horizontal="right" vertical="center" wrapText="1"/>
    </xf>
    <xf numFmtId="0" fontId="15" fillId="19" borderId="4" xfId="0" applyFont="1" applyFill="1" applyBorder="1" applyAlignment="1">
      <alignment horizontal="right" vertical="center" wrapText="1"/>
    </xf>
    <xf numFmtId="1" fontId="15" fillId="19" borderId="4" xfId="0" applyNumberFormat="1" applyFont="1" applyFill="1" applyBorder="1" applyAlignment="1">
      <alignment horizontal="right" vertical="center" wrapText="1"/>
    </xf>
    <xf numFmtId="0" fontId="18" fillId="19" borderId="2" xfId="0" applyFont="1" applyFill="1" applyBorder="1" applyAlignment="1">
      <alignment horizontal="right" vertical="center" wrapText="1"/>
    </xf>
    <xf numFmtId="0" fontId="18" fillId="19" borderId="4" xfId="0" applyFont="1" applyFill="1" applyBorder="1" applyAlignment="1">
      <alignment horizontal="right" vertical="center" wrapText="1"/>
    </xf>
    <xf numFmtId="0" fontId="64" fillId="0" borderId="0" xfId="0" applyFont="1"/>
    <xf numFmtId="0" fontId="18" fillId="14" borderId="2" xfId="0" applyFont="1" applyFill="1" applyBorder="1" applyAlignment="1">
      <alignment horizontal="right" vertical="center" wrapText="1"/>
    </xf>
    <xf numFmtId="0" fontId="18" fillId="14" borderId="4" xfId="0" applyFont="1" applyFill="1" applyBorder="1" applyAlignment="1">
      <alignment horizontal="right" vertical="center" wrapText="1"/>
    </xf>
    <xf numFmtId="0" fontId="64" fillId="0" borderId="8" xfId="0" applyFont="1" applyBorder="1"/>
    <xf numFmtId="0" fontId="64" fillId="7" borderId="0" xfId="0" applyFont="1" applyFill="1"/>
    <xf numFmtId="0" fontId="10" fillId="4" borderId="2" xfId="0" applyFont="1" applyFill="1" applyBorder="1" applyAlignment="1">
      <alignment horizontal="right" vertical="center" wrapText="1"/>
    </xf>
    <xf numFmtId="0" fontId="2" fillId="7" borderId="8" xfId="0" applyFont="1" applyFill="1" applyBorder="1" applyAlignment="1">
      <alignment vertical="center" wrapText="1"/>
    </xf>
    <xf numFmtId="0" fontId="1" fillId="0" borderId="8" xfId="0" applyFont="1" applyBorder="1"/>
    <xf numFmtId="0" fontId="2" fillId="7" borderId="9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vertical="center" wrapText="1"/>
    </xf>
    <xf numFmtId="0" fontId="28" fillId="3" borderId="3" xfId="0" applyFont="1" applyFill="1" applyBorder="1" applyAlignment="1">
      <alignment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2" fillId="7" borderId="0" xfId="0" applyFont="1" applyFill="1" applyAlignment="1">
      <alignment vertical="center" wrapText="1"/>
    </xf>
    <xf numFmtId="0" fontId="12" fillId="0" borderId="0" xfId="0" applyFont="1"/>
    <xf numFmtId="0" fontId="15" fillId="16" borderId="7" xfId="0" applyFont="1" applyFill="1" applyBorder="1" applyAlignment="1">
      <alignment vertical="center" wrapText="1"/>
    </xf>
    <xf numFmtId="0" fontId="15" fillId="16" borderId="3" xfId="0" applyFont="1" applyFill="1" applyBorder="1" applyAlignment="1">
      <alignment vertical="center" wrapText="1"/>
    </xf>
    <xf numFmtId="0" fontId="45" fillId="12" borderId="7" xfId="0" applyFont="1" applyFill="1" applyBorder="1" applyAlignment="1">
      <alignment vertical="center" wrapText="1"/>
    </xf>
    <xf numFmtId="0" fontId="45" fillId="12" borderId="3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10" fillId="7" borderId="7" xfId="0" applyFont="1" applyFill="1" applyBorder="1" applyAlignment="1">
      <alignment vertical="center" wrapText="1"/>
    </xf>
    <xf numFmtId="0" fontId="10" fillId="7" borderId="3" xfId="0" applyFont="1" applyFill="1" applyBorder="1" applyAlignment="1">
      <alignment vertical="center" wrapText="1"/>
    </xf>
    <xf numFmtId="0" fontId="16" fillId="7" borderId="13" xfId="0" applyFont="1" applyFill="1" applyBorder="1" applyAlignment="1">
      <alignment vertical="center" wrapText="1"/>
    </xf>
    <xf numFmtId="0" fontId="16" fillId="7" borderId="0" xfId="0" applyFont="1" applyFill="1"/>
    <xf numFmtId="0" fontId="16" fillId="7" borderId="0" xfId="0" applyFont="1" applyFill="1" applyAlignment="1">
      <alignment vertical="center" wrapText="1"/>
    </xf>
    <xf numFmtId="0" fontId="0" fillId="0" borderId="0" xfId="0"/>
    <xf numFmtId="0" fontId="1" fillId="7" borderId="9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vertical="center" wrapText="1"/>
    </xf>
    <xf numFmtId="0" fontId="0" fillId="0" borderId="8" xfId="0" applyBorder="1"/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18" borderId="11" xfId="0" applyFont="1" applyFill="1" applyBorder="1" applyAlignment="1">
      <alignment horizontal="left"/>
    </xf>
    <xf numFmtId="0" fontId="6" fillId="18" borderId="12" xfId="0" applyFont="1" applyFill="1" applyBorder="1" applyAlignment="1">
      <alignment horizontal="left"/>
    </xf>
    <xf numFmtId="0" fontId="6" fillId="18" borderId="2" xfId="0" applyFont="1" applyFill="1" applyBorder="1" applyAlignment="1">
      <alignment horizontal="left"/>
    </xf>
    <xf numFmtId="14" fontId="16" fillId="7" borderId="13" xfId="0" applyNumberFormat="1" applyFont="1" applyFill="1" applyBorder="1" applyAlignment="1">
      <alignment horizontal="left" vertical="center" wrapText="1"/>
    </xf>
    <xf numFmtId="0" fontId="6" fillId="11" borderId="9" xfId="0" applyFont="1" applyFill="1" applyBorder="1" applyAlignment="1">
      <alignment horizontal="left" vertical="center"/>
    </xf>
    <xf numFmtId="0" fontId="6" fillId="11" borderId="8" xfId="0" applyFont="1" applyFill="1" applyBorder="1" applyAlignment="1">
      <alignment horizontal="left" vertical="center"/>
    </xf>
    <xf numFmtId="0" fontId="6" fillId="11" borderId="6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vertical="center" wrapText="1"/>
    </xf>
    <xf numFmtId="0" fontId="16" fillId="7" borderId="8" xfId="0" applyFont="1" applyFill="1" applyBorder="1"/>
    <xf numFmtId="0" fontId="2" fillId="5" borderId="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6" fillId="0" borderId="0" xfId="0" applyFont="1"/>
    <xf numFmtId="0" fontId="6" fillId="2" borderId="9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3" fillId="0" borderId="0" xfId="0" applyFont="1"/>
    <xf numFmtId="0" fontId="1" fillId="7" borderId="0" xfId="0" applyFont="1" applyFill="1" applyAlignment="1">
      <alignment horizontal="center" vertical="center" wrapText="1"/>
    </xf>
    <xf numFmtId="0" fontId="0" fillId="7" borderId="13" xfId="0" applyFill="1" applyBorder="1" applyAlignment="1">
      <alignment vertical="center" wrapText="1"/>
    </xf>
    <xf numFmtId="0" fontId="42" fillId="15" borderId="11" xfId="0" applyFont="1" applyFill="1" applyBorder="1" applyAlignment="1">
      <alignment horizontal="left" vertical="center"/>
    </xf>
    <xf numFmtId="0" fontId="42" fillId="15" borderId="12" xfId="0" applyFont="1" applyFill="1" applyBorder="1" applyAlignment="1">
      <alignment horizontal="left" vertical="center"/>
    </xf>
    <xf numFmtId="0" fontId="42" fillId="15" borderId="2" xfId="0" applyFont="1" applyFill="1" applyBorder="1" applyAlignment="1">
      <alignment horizontal="left" vertical="center"/>
    </xf>
    <xf numFmtId="0" fontId="28" fillId="3" borderId="6" xfId="0" applyFont="1" applyFill="1" applyBorder="1" applyAlignment="1">
      <alignment vertical="center" wrapText="1"/>
    </xf>
    <xf numFmtId="0" fontId="28" fillId="3" borderId="4" xfId="0" applyFont="1" applyFill="1" applyBorder="1" applyAlignment="1">
      <alignment vertical="center" wrapText="1"/>
    </xf>
    <xf numFmtId="0" fontId="15" fillId="16" borderId="6" xfId="0" applyFont="1" applyFill="1" applyBorder="1" applyAlignment="1">
      <alignment vertical="center" wrapText="1"/>
    </xf>
    <xf numFmtId="0" fontId="15" fillId="16" borderId="4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vertical="center"/>
    </xf>
    <xf numFmtId="0" fontId="5" fillId="19" borderId="12" xfId="0" applyFont="1" applyFill="1" applyBorder="1"/>
    <xf numFmtId="0" fontId="5" fillId="19" borderId="2" xfId="0" applyFont="1" applyFill="1" applyBorder="1"/>
    <xf numFmtId="0" fontId="2" fillId="7" borderId="0" xfId="0" applyFont="1" applyFill="1" applyAlignment="1">
      <alignment horizontal="center" vertical="center" wrapText="1"/>
    </xf>
    <xf numFmtId="0" fontId="16" fillId="7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9" xfId="0" applyBorder="1"/>
    <xf numFmtId="0" fontId="35" fillId="3" borderId="9" xfId="0" applyFont="1" applyFill="1" applyBorder="1" applyAlignment="1">
      <alignment horizontal="left" vertical="center"/>
    </xf>
    <xf numFmtId="0" fontId="35" fillId="3" borderId="8" xfId="0" applyFont="1" applyFill="1" applyBorder="1" applyAlignment="1">
      <alignment horizontal="left" vertical="center"/>
    </xf>
    <xf numFmtId="0" fontId="35" fillId="3" borderId="6" xfId="0" applyFont="1" applyFill="1" applyBorder="1" applyAlignment="1">
      <alignment horizontal="left" vertical="center"/>
    </xf>
    <xf numFmtId="0" fontId="6" fillId="16" borderId="9" xfId="0" applyFont="1" applyFill="1" applyBorder="1" applyAlignment="1">
      <alignment horizontal="left" vertical="center"/>
    </xf>
    <xf numFmtId="0" fontId="6" fillId="16" borderId="8" xfId="0" applyFont="1" applyFill="1" applyBorder="1" applyAlignment="1">
      <alignment horizontal="left" vertical="center"/>
    </xf>
    <xf numFmtId="0" fontId="6" fillId="16" borderId="6" xfId="0" applyFont="1" applyFill="1" applyBorder="1" applyAlignment="1">
      <alignment horizontal="left" vertical="center"/>
    </xf>
    <xf numFmtId="0" fontId="56" fillId="3" borderId="9" xfId="0" applyFont="1" applyFill="1" applyBorder="1" applyAlignment="1">
      <alignment horizontal="left" vertical="center"/>
    </xf>
    <xf numFmtId="0" fontId="56" fillId="3" borderId="8" xfId="0" applyFont="1" applyFill="1" applyBorder="1" applyAlignment="1">
      <alignment horizontal="left" vertical="center"/>
    </xf>
    <xf numFmtId="0" fontId="56" fillId="3" borderId="6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48" fillId="0" borderId="13" xfId="0" applyFont="1" applyBorder="1"/>
    <xf numFmtId="0" fontId="7" fillId="9" borderId="11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61" fillId="9" borderId="11" xfId="0" applyFont="1" applyFill="1" applyBorder="1" applyAlignment="1">
      <alignment vertical="center" wrapText="1"/>
    </xf>
    <xf numFmtId="0" fontId="62" fillId="0" borderId="2" xfId="0" applyFont="1" applyBorder="1" applyAlignment="1">
      <alignment vertical="center" wrapText="1"/>
    </xf>
    <xf numFmtId="0" fontId="10" fillId="7" borderId="0" xfId="0" applyFont="1" applyFill="1"/>
  </cellXfs>
  <cellStyles count="1">
    <cellStyle name="Normal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A50021"/>
      <color rgb="FFFF3333"/>
      <color rgb="FFFF3300"/>
      <color rgb="FFA6A6A6"/>
      <color rgb="FF762949"/>
      <color rgb="FF133926"/>
      <color rgb="FF008000"/>
      <color rgb="FF682300"/>
      <color rgb="FFFF80FF"/>
      <color rgb="FFE2A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120</xdr:row>
      <xdr:rowOff>8627</xdr:rowOff>
    </xdr:from>
    <xdr:to>
      <xdr:col>2</xdr:col>
      <xdr:colOff>56898</xdr:colOff>
      <xdr:row>127</xdr:row>
      <xdr:rowOff>173834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8A05EA-3E54-45FA-867D-6CE04A29E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16869"/>
          <a:ext cx="1445751" cy="14332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116</xdr:row>
      <xdr:rowOff>25881</xdr:rowOff>
    </xdr:from>
    <xdr:to>
      <xdr:col>2</xdr:col>
      <xdr:colOff>74151</xdr:colOff>
      <xdr:row>124</xdr:row>
      <xdr:rowOff>9934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34715E-C2BA-45A4-8249-91898C2E2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66372"/>
          <a:ext cx="1445751" cy="14332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476</xdr:row>
      <xdr:rowOff>0</xdr:rowOff>
    </xdr:from>
    <xdr:to>
      <xdr:col>0</xdr:col>
      <xdr:colOff>1445751</xdr:colOff>
      <xdr:row>483</xdr:row>
      <xdr:rowOff>104822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5135B0-86A3-46E6-BCBB-49C3126C7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677562"/>
          <a:ext cx="1445751" cy="143329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220800</xdr:colOff>
      <xdr:row>7</xdr:row>
      <xdr:rowOff>113448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025844-099A-403E-BE5B-9490C6CA0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6317" y="0"/>
          <a:ext cx="1445751" cy="143329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526</xdr:row>
      <xdr:rowOff>0</xdr:rowOff>
    </xdr:from>
    <xdr:to>
      <xdr:col>1</xdr:col>
      <xdr:colOff>22393</xdr:colOff>
      <xdr:row>533</xdr:row>
      <xdr:rowOff>165207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5FDCDD-5560-45B0-9B23-7A4F49E4B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595940"/>
          <a:ext cx="1445751" cy="143329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203547</xdr:colOff>
      <xdr:row>7</xdr:row>
      <xdr:rowOff>104822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C6B8AB-0DAB-4CD0-AA84-FB5C26CD3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026" y="0"/>
          <a:ext cx="1445751" cy="1433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118</xdr:row>
      <xdr:rowOff>8626</xdr:rowOff>
    </xdr:from>
    <xdr:to>
      <xdr:col>2</xdr:col>
      <xdr:colOff>56898</xdr:colOff>
      <xdr:row>125</xdr:row>
      <xdr:rowOff>173833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BF4BA9-D620-479A-9341-40B0D66F2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02800"/>
          <a:ext cx="1445751" cy="1433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102</xdr:row>
      <xdr:rowOff>8626</xdr:rowOff>
    </xdr:from>
    <xdr:to>
      <xdr:col>2</xdr:col>
      <xdr:colOff>56898</xdr:colOff>
      <xdr:row>109</xdr:row>
      <xdr:rowOff>173833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7F4123-1436-4E7F-9AED-0A1478CA4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43939"/>
          <a:ext cx="1445751" cy="1433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8626</xdr:colOff>
      <xdr:row>112</xdr:row>
      <xdr:rowOff>0</xdr:rowOff>
    </xdr:from>
    <xdr:to>
      <xdr:col>2</xdr:col>
      <xdr:colOff>65524</xdr:colOff>
      <xdr:row>119</xdr:row>
      <xdr:rowOff>165207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4F57C5-3DDB-4362-A31C-4B2A90734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6" y="21298619"/>
          <a:ext cx="1445751" cy="14332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116</xdr:row>
      <xdr:rowOff>1</xdr:rowOff>
    </xdr:from>
    <xdr:to>
      <xdr:col>2</xdr:col>
      <xdr:colOff>56898</xdr:colOff>
      <xdr:row>123</xdr:row>
      <xdr:rowOff>165208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052A4F-5DA0-4FA3-AF28-6A9EFE03C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49118"/>
          <a:ext cx="1445751" cy="14332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25879</xdr:rowOff>
    </xdr:from>
    <xdr:to>
      <xdr:col>2</xdr:col>
      <xdr:colOff>56898</xdr:colOff>
      <xdr:row>116</xdr:row>
      <xdr:rowOff>9931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934962-CBF2-4755-87A2-342593F79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30868"/>
          <a:ext cx="1445751" cy="14332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106</xdr:row>
      <xdr:rowOff>34506</xdr:rowOff>
    </xdr:from>
    <xdr:to>
      <xdr:col>1</xdr:col>
      <xdr:colOff>186294</xdr:colOff>
      <xdr:row>114</xdr:row>
      <xdr:rowOff>18558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F0FEA7-CB80-4415-843D-E21289CE4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30868"/>
          <a:ext cx="1445751" cy="143329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101</xdr:row>
      <xdr:rowOff>181154</xdr:rowOff>
    </xdr:from>
    <xdr:to>
      <xdr:col>2</xdr:col>
      <xdr:colOff>39645</xdr:colOff>
      <xdr:row>109</xdr:row>
      <xdr:rowOff>165206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02ECA9-FD67-4399-B871-B61765CD6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40422"/>
          <a:ext cx="1445751" cy="14332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104</xdr:row>
      <xdr:rowOff>0</xdr:rowOff>
    </xdr:from>
    <xdr:to>
      <xdr:col>1</xdr:col>
      <xdr:colOff>177668</xdr:colOff>
      <xdr:row>111</xdr:row>
      <xdr:rowOff>165207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45BD3E-8E22-4FF9-B877-50C43CB82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63117"/>
          <a:ext cx="1445751" cy="1433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seanhill/Documents/WORK/RWC%202019%20Databases/Pro%2014/2019:20/2019-10-15%20Round%203/PRO14%2019-10-15%20Scorers.xlsx" TargetMode="External"/><Relationship Id="rId1" Type="http://schemas.openxmlformats.org/officeDocument/2006/relationships/externalLinkPath" Target="/Users/seanhill/Documents/WORK/RWC%202019%20Databases/Pro%2014/2019:20/2019-10-15%20Round%203/PRO14%2019-10-15%20Scor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EN"/>
      <sheetName val="CBL"/>
      <sheetName val="CHE"/>
      <sheetName val="CON"/>
      <sheetName val="DRA"/>
      <sheetName val="EDI"/>
      <sheetName val="GLA"/>
      <sheetName val="LEIN"/>
      <sheetName val="MUN"/>
      <sheetName val="OSP"/>
      <sheetName val="SCA"/>
      <sheetName val="SKG"/>
      <sheetName val="ULS"/>
      <sheetName val="ZEB"/>
      <sheetName val="OVERALL"/>
    </sheetNames>
    <sheetDataSet>
      <sheetData sheetId="0">
        <row r="54">
          <cell r="B54">
            <v>6</v>
          </cell>
          <cell r="F54">
            <v>52</v>
          </cell>
        </row>
      </sheetData>
      <sheetData sheetId="1">
        <row r="50">
          <cell r="B50">
            <v>7</v>
          </cell>
          <cell r="F50">
            <v>55</v>
          </cell>
        </row>
      </sheetData>
      <sheetData sheetId="2">
        <row r="62">
          <cell r="B62">
            <v>22</v>
          </cell>
          <cell r="E62">
            <v>151</v>
          </cell>
        </row>
      </sheetData>
      <sheetData sheetId="3">
        <row r="51">
          <cell r="B51">
            <v>12</v>
          </cell>
          <cell r="F51">
            <v>89</v>
          </cell>
        </row>
      </sheetData>
      <sheetData sheetId="4">
        <row r="55">
          <cell r="B55">
            <v>9</v>
          </cell>
          <cell r="F55">
            <v>75</v>
          </cell>
        </row>
      </sheetData>
      <sheetData sheetId="5">
        <row r="51">
          <cell r="B51">
            <v>10</v>
          </cell>
          <cell r="F51">
            <v>83</v>
          </cell>
        </row>
      </sheetData>
      <sheetData sheetId="6">
        <row r="58">
          <cell r="B58">
            <v>6</v>
          </cell>
          <cell r="F58">
            <v>52</v>
          </cell>
        </row>
      </sheetData>
      <sheetData sheetId="7">
        <row r="58">
          <cell r="B58">
            <v>18</v>
          </cell>
          <cell r="F58">
            <v>125</v>
          </cell>
        </row>
      </sheetData>
      <sheetData sheetId="8">
        <row r="55">
          <cell r="B55">
            <v>10</v>
          </cell>
          <cell r="F55">
            <v>86</v>
          </cell>
        </row>
      </sheetData>
      <sheetData sheetId="9">
        <row r="50">
          <cell r="B50">
            <v>6</v>
          </cell>
          <cell r="F50">
            <v>43</v>
          </cell>
        </row>
      </sheetData>
      <sheetData sheetId="10">
        <row r="56">
          <cell r="B56">
            <v>13</v>
          </cell>
          <cell r="F56">
            <v>97</v>
          </cell>
        </row>
      </sheetData>
      <sheetData sheetId="11">
        <row r="47">
          <cell r="B47">
            <v>7</v>
          </cell>
          <cell r="E47">
            <v>64</v>
          </cell>
        </row>
      </sheetData>
      <sheetData sheetId="12">
        <row r="59">
          <cell r="B59">
            <v>15</v>
          </cell>
          <cell r="F59">
            <v>106</v>
          </cell>
        </row>
      </sheetData>
      <sheetData sheetId="13">
        <row r="49">
          <cell r="B49">
            <v>7</v>
          </cell>
          <cell r="F49">
            <v>53</v>
          </cell>
        </row>
      </sheetData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Q120"/>
  <sheetViews>
    <sheetView zoomScaleNormal="100" workbookViewId="0">
      <selection activeCell="L22" sqref="L22:N23"/>
    </sheetView>
  </sheetViews>
  <sheetFormatPr defaultColWidth="8.875" defaultRowHeight="14.3" x14ac:dyDescent="0.25"/>
  <cols>
    <col min="1" max="1" width="16.375" customWidth="1"/>
    <col min="2" max="2" width="3.75" customWidth="1"/>
    <col min="3" max="4" width="4.125" customWidth="1"/>
    <col min="5" max="5" width="4.75" customWidth="1"/>
    <col min="6" max="6" width="16.375" customWidth="1"/>
    <col min="7" max="10" width="5.25" customWidth="1"/>
    <col min="11" max="11" width="16.375" bestFit="1" customWidth="1"/>
    <col min="12" max="17" width="4.75" customWidth="1"/>
    <col min="18" max="19" width="5.75" customWidth="1"/>
    <col min="20" max="34" width="4.75" customWidth="1"/>
    <col min="35" max="37" width="5.375" customWidth="1"/>
    <col min="38" max="52" width="5.75" customWidth="1"/>
    <col min="53" max="61" width="5.625" customWidth="1"/>
  </cols>
  <sheetData>
    <row r="1" spans="1:69" ht="16.149999999999999" customHeight="1" thickBot="1" x14ac:dyDescent="0.35">
      <c r="A1" s="491" t="s">
        <v>966</v>
      </c>
      <c r="B1" s="492"/>
      <c r="C1" s="492"/>
      <c r="D1" s="492"/>
      <c r="E1" s="492"/>
      <c r="F1" s="492"/>
      <c r="G1" s="492"/>
      <c r="H1" s="492"/>
      <c r="I1" s="492"/>
      <c r="J1" s="493"/>
      <c r="K1" s="467" t="s">
        <v>187</v>
      </c>
      <c r="L1" s="457" t="s">
        <v>14</v>
      </c>
      <c r="M1" s="461"/>
      <c r="N1" s="458"/>
      <c r="O1" s="457" t="s">
        <v>38</v>
      </c>
      <c r="P1" s="461"/>
      <c r="Q1" s="458"/>
      <c r="R1" s="457" t="s">
        <v>186</v>
      </c>
      <c r="S1" s="458"/>
      <c r="T1" s="449" t="s">
        <v>226</v>
      </c>
      <c r="U1" s="486"/>
      <c r="V1" s="487"/>
      <c r="W1" s="478" t="s">
        <v>875</v>
      </c>
      <c r="X1" s="479"/>
      <c r="Y1" s="480"/>
      <c r="Z1" s="164"/>
      <c r="AA1" s="85"/>
      <c r="AB1" s="252"/>
      <c r="AC1" s="478" t="s">
        <v>581</v>
      </c>
      <c r="AD1" s="479"/>
      <c r="AE1" s="480"/>
      <c r="AF1" s="478" t="s">
        <v>477</v>
      </c>
      <c r="AG1" s="479"/>
      <c r="AH1" s="480"/>
      <c r="AI1" s="478" t="s">
        <v>391</v>
      </c>
      <c r="AJ1" s="479"/>
      <c r="AK1" s="480"/>
      <c r="AL1" s="478" t="s">
        <v>300</v>
      </c>
      <c r="AM1" s="479"/>
      <c r="AN1" s="480"/>
      <c r="AO1" s="478" t="s">
        <v>219</v>
      </c>
      <c r="AP1" s="479"/>
      <c r="AQ1" s="480"/>
      <c r="AR1" s="478" t="s">
        <v>165</v>
      </c>
      <c r="AS1" s="479"/>
      <c r="AT1" s="480"/>
      <c r="AU1" s="478" t="s">
        <v>78</v>
      </c>
      <c r="AV1" s="479"/>
      <c r="AW1" s="480"/>
      <c r="AX1" s="478" t="s">
        <v>54</v>
      </c>
      <c r="AY1" s="479"/>
      <c r="AZ1" s="480"/>
      <c r="BA1" s="478" t="s">
        <v>50</v>
      </c>
      <c r="BB1" s="479"/>
      <c r="BC1" s="480"/>
      <c r="BD1" s="478" t="s">
        <v>37</v>
      </c>
      <c r="BE1" s="479"/>
      <c r="BF1" s="480"/>
      <c r="BG1" s="478" t="s">
        <v>45</v>
      </c>
      <c r="BH1" s="479"/>
      <c r="BI1" s="480"/>
      <c r="BJ1" s="85"/>
      <c r="BK1" s="4"/>
      <c r="BL1" s="4"/>
      <c r="BM1" s="4"/>
      <c r="BO1" s="4"/>
    </row>
    <row r="2" spans="1:69" ht="14.95" customHeight="1" thickBot="1" x14ac:dyDescent="0.3">
      <c r="A2" s="335" t="s">
        <v>0</v>
      </c>
      <c r="B2" s="336" t="s">
        <v>218</v>
      </c>
      <c r="C2" s="337" t="s">
        <v>30</v>
      </c>
      <c r="D2" s="338" t="s">
        <v>326</v>
      </c>
      <c r="E2" s="339" t="s">
        <v>1</v>
      </c>
      <c r="F2" s="180" t="s">
        <v>2</v>
      </c>
      <c r="G2" s="109" t="s">
        <v>218</v>
      </c>
      <c r="H2" s="321" t="s">
        <v>30</v>
      </c>
      <c r="I2" s="225" t="s">
        <v>326</v>
      </c>
      <c r="J2" s="203" t="s">
        <v>1</v>
      </c>
      <c r="K2" s="468"/>
      <c r="L2" s="459"/>
      <c r="M2" s="462"/>
      <c r="N2" s="460"/>
      <c r="O2" s="459"/>
      <c r="P2" s="462"/>
      <c r="Q2" s="460"/>
      <c r="R2" s="459"/>
      <c r="S2" s="460"/>
      <c r="T2" s="488"/>
      <c r="U2" s="489"/>
      <c r="V2" s="490"/>
      <c r="W2" s="481"/>
      <c r="X2" s="482"/>
      <c r="Y2" s="483"/>
      <c r="Z2" s="164"/>
      <c r="AA2" s="85"/>
      <c r="AB2" s="252"/>
      <c r="AC2" s="481"/>
      <c r="AD2" s="482"/>
      <c r="AE2" s="483"/>
      <c r="AF2" s="481"/>
      <c r="AG2" s="482"/>
      <c r="AH2" s="483"/>
      <c r="AI2" s="481"/>
      <c r="AJ2" s="482"/>
      <c r="AK2" s="483"/>
      <c r="AL2" s="481"/>
      <c r="AM2" s="482"/>
      <c r="AN2" s="483"/>
      <c r="AO2" s="481"/>
      <c r="AP2" s="482"/>
      <c r="AQ2" s="483"/>
      <c r="AR2" s="481"/>
      <c r="AS2" s="482"/>
      <c r="AT2" s="483"/>
      <c r="AU2" s="481"/>
      <c r="AV2" s="482"/>
      <c r="AW2" s="483"/>
      <c r="AX2" s="481"/>
      <c r="AY2" s="482"/>
      <c r="AZ2" s="483"/>
      <c r="BA2" s="481"/>
      <c r="BB2" s="482"/>
      <c r="BC2" s="483"/>
      <c r="BD2" s="481"/>
      <c r="BE2" s="482"/>
      <c r="BF2" s="483"/>
      <c r="BG2" s="481"/>
      <c r="BH2" s="482"/>
      <c r="BI2" s="483"/>
      <c r="BJ2" s="85"/>
      <c r="BO2" s="4"/>
      <c r="BP2" s="4"/>
      <c r="BQ2" s="4"/>
    </row>
    <row r="3" spans="1:69" ht="14.95" customHeight="1" thickBot="1" x14ac:dyDescent="0.3">
      <c r="A3" s="340" t="s">
        <v>969</v>
      </c>
      <c r="B3" s="341">
        <v>8</v>
      </c>
      <c r="C3" s="342">
        <v>5</v>
      </c>
      <c r="D3" s="343">
        <v>0</v>
      </c>
      <c r="E3" s="344">
        <f t="shared" ref="E3:E35" si="0">SUM(B3:D3)</f>
        <v>13</v>
      </c>
      <c r="F3" s="181" t="s">
        <v>969</v>
      </c>
      <c r="G3" s="78">
        <v>40</v>
      </c>
      <c r="H3" s="322">
        <v>25</v>
      </c>
      <c r="I3" s="226">
        <v>0</v>
      </c>
      <c r="J3" s="204">
        <f t="shared" ref="J3:J35" si="1">SUM(G3:I3)</f>
        <v>65</v>
      </c>
      <c r="K3" s="217" t="s">
        <v>21</v>
      </c>
      <c r="L3" s="3" t="s">
        <v>46</v>
      </c>
      <c r="M3" s="3" t="s">
        <v>9</v>
      </c>
      <c r="N3" s="3" t="s">
        <v>10</v>
      </c>
      <c r="O3" s="3" t="s">
        <v>46</v>
      </c>
      <c r="P3" s="3" t="s">
        <v>9</v>
      </c>
      <c r="Q3" s="3" t="s">
        <v>10</v>
      </c>
      <c r="R3" s="3" t="s">
        <v>187</v>
      </c>
      <c r="S3" s="3" t="s">
        <v>58</v>
      </c>
      <c r="T3" s="79" t="s">
        <v>46</v>
      </c>
      <c r="U3" s="79" t="s">
        <v>9</v>
      </c>
      <c r="V3" s="79" t="s">
        <v>10</v>
      </c>
      <c r="W3" s="79" t="s">
        <v>46</v>
      </c>
      <c r="X3" s="79" t="s">
        <v>9</v>
      </c>
      <c r="Y3" s="79" t="s">
        <v>10</v>
      </c>
      <c r="Z3" s="93"/>
      <c r="AA3" s="94"/>
      <c r="AB3" s="197"/>
      <c r="AC3" s="79" t="s">
        <v>46</v>
      </c>
      <c r="AD3" s="79" t="s">
        <v>9</v>
      </c>
      <c r="AE3" s="79" t="s">
        <v>10</v>
      </c>
      <c r="AF3" s="79" t="s">
        <v>46</v>
      </c>
      <c r="AG3" s="79" t="s">
        <v>9</v>
      </c>
      <c r="AH3" s="79" t="s">
        <v>10</v>
      </c>
      <c r="AI3" s="84" t="s">
        <v>46</v>
      </c>
      <c r="AJ3" s="79" t="s">
        <v>9</v>
      </c>
      <c r="AK3" s="79" t="s">
        <v>10</v>
      </c>
      <c r="AL3" s="84" t="s">
        <v>46</v>
      </c>
      <c r="AM3" s="79" t="s">
        <v>9</v>
      </c>
      <c r="AN3" s="79" t="s">
        <v>10</v>
      </c>
      <c r="AO3" s="84" t="s">
        <v>46</v>
      </c>
      <c r="AP3" s="79" t="s">
        <v>9</v>
      </c>
      <c r="AQ3" s="79" t="s">
        <v>10</v>
      </c>
      <c r="AR3" s="84" t="s">
        <v>46</v>
      </c>
      <c r="AS3" s="79" t="s">
        <v>9</v>
      </c>
      <c r="AT3" s="79" t="s">
        <v>10</v>
      </c>
      <c r="AU3" s="84" t="s">
        <v>46</v>
      </c>
      <c r="AV3" s="79" t="s">
        <v>9</v>
      </c>
      <c r="AW3" s="97" t="s">
        <v>10</v>
      </c>
      <c r="AX3" s="97" t="s">
        <v>46</v>
      </c>
      <c r="AY3" s="79" t="s">
        <v>9</v>
      </c>
      <c r="AZ3" s="79" t="s">
        <v>10</v>
      </c>
      <c r="BA3" s="79" t="s">
        <v>46</v>
      </c>
      <c r="BB3" s="79" t="s">
        <v>9</v>
      </c>
      <c r="BC3" s="79" t="s">
        <v>10</v>
      </c>
      <c r="BD3" s="79" t="s">
        <v>46</v>
      </c>
      <c r="BE3" s="79" t="s">
        <v>9</v>
      </c>
      <c r="BF3" s="79" t="s">
        <v>10</v>
      </c>
      <c r="BG3" s="79" t="s">
        <v>46</v>
      </c>
      <c r="BH3" s="79" t="s">
        <v>9</v>
      </c>
      <c r="BI3" s="79" t="s">
        <v>10</v>
      </c>
      <c r="BJ3" s="45"/>
      <c r="BK3" s="4"/>
      <c r="BL3" s="4"/>
      <c r="BM3" s="4"/>
    </row>
    <row r="4" spans="1:69" ht="14.95" customHeight="1" thickBot="1" x14ac:dyDescent="0.3">
      <c r="A4" s="340" t="s">
        <v>503</v>
      </c>
      <c r="B4" s="341">
        <v>3</v>
      </c>
      <c r="C4" s="342">
        <v>0</v>
      </c>
      <c r="D4" s="343">
        <v>0</v>
      </c>
      <c r="E4" s="344">
        <f t="shared" si="0"/>
        <v>3</v>
      </c>
      <c r="F4" s="181" t="s">
        <v>503</v>
      </c>
      <c r="G4" s="78">
        <v>15</v>
      </c>
      <c r="H4" s="322">
        <v>0</v>
      </c>
      <c r="I4" s="226">
        <v>0</v>
      </c>
      <c r="J4" s="204">
        <f t="shared" si="1"/>
        <v>15</v>
      </c>
      <c r="K4" s="345" t="s">
        <v>977</v>
      </c>
      <c r="L4" s="346">
        <v>8</v>
      </c>
      <c r="M4" s="346">
        <v>13</v>
      </c>
      <c r="N4" s="347">
        <f t="shared" ref="N4" si="2">SUM(L4/M4)*100</f>
        <v>61.53846153846154</v>
      </c>
      <c r="O4" s="346" t="s">
        <v>15</v>
      </c>
      <c r="P4" s="346" t="s">
        <v>15</v>
      </c>
      <c r="Q4" s="347" t="s">
        <v>15</v>
      </c>
      <c r="R4" s="348">
        <v>-1</v>
      </c>
      <c r="S4" s="349">
        <v>-1</v>
      </c>
      <c r="T4" s="7">
        <v>44</v>
      </c>
      <c r="U4" s="7">
        <v>62</v>
      </c>
      <c r="V4" s="153">
        <v>70.967741935483872</v>
      </c>
      <c r="W4" s="7">
        <v>19</v>
      </c>
      <c r="X4" s="7">
        <v>22</v>
      </c>
      <c r="Y4" s="153">
        <v>86.36363636363636</v>
      </c>
      <c r="Z4" s="93"/>
      <c r="AA4" s="94"/>
      <c r="AB4" s="197"/>
      <c r="AC4" s="7">
        <v>22</v>
      </c>
      <c r="AD4" s="7">
        <v>32</v>
      </c>
      <c r="AE4" s="153">
        <v>68.75</v>
      </c>
      <c r="AF4" s="7" t="s">
        <v>15</v>
      </c>
      <c r="AG4" s="7" t="s">
        <v>15</v>
      </c>
      <c r="AH4" s="7" t="s">
        <v>15</v>
      </c>
      <c r="AI4" s="7" t="s">
        <v>15</v>
      </c>
      <c r="AJ4" s="7" t="s">
        <v>15</v>
      </c>
      <c r="AK4" s="7" t="s">
        <v>15</v>
      </c>
      <c r="AL4" s="84" t="s">
        <v>15</v>
      </c>
      <c r="AM4" s="79" t="s">
        <v>15</v>
      </c>
      <c r="AN4" s="171" t="s">
        <v>15</v>
      </c>
      <c r="AO4" s="148" t="s">
        <v>15</v>
      </c>
      <c r="AP4" s="7" t="s">
        <v>15</v>
      </c>
      <c r="AQ4" s="6" t="s">
        <v>15</v>
      </c>
      <c r="AR4" s="6" t="s">
        <v>15</v>
      </c>
      <c r="AS4" s="6" t="s">
        <v>15</v>
      </c>
      <c r="AT4" s="6" t="s">
        <v>15</v>
      </c>
      <c r="AU4" s="6" t="s">
        <v>15</v>
      </c>
      <c r="AV4" s="6" t="s">
        <v>15</v>
      </c>
      <c r="AW4" s="6" t="s">
        <v>15</v>
      </c>
      <c r="AX4" s="6" t="s">
        <v>15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s="6" t="s">
        <v>15</v>
      </c>
      <c r="BH4" s="152" t="s">
        <v>15</v>
      </c>
      <c r="BI4" s="152" t="s">
        <v>15</v>
      </c>
      <c r="BJ4" s="82"/>
    </row>
    <row r="5" spans="1:69" ht="14.95" customHeight="1" thickBot="1" x14ac:dyDescent="0.3">
      <c r="A5" s="340" t="s">
        <v>77</v>
      </c>
      <c r="B5" s="341">
        <v>1</v>
      </c>
      <c r="C5" s="342">
        <v>0</v>
      </c>
      <c r="D5" s="343">
        <v>0</v>
      </c>
      <c r="E5" s="344">
        <f t="shared" si="0"/>
        <v>1</v>
      </c>
      <c r="F5" s="182" t="s">
        <v>77</v>
      </c>
      <c r="G5" s="78">
        <v>5</v>
      </c>
      <c r="H5" s="322">
        <v>0</v>
      </c>
      <c r="I5" s="226">
        <v>0</v>
      </c>
      <c r="J5" s="204">
        <f t="shared" si="1"/>
        <v>5</v>
      </c>
      <c r="K5" s="340" t="s">
        <v>1011</v>
      </c>
      <c r="L5" s="346">
        <v>1</v>
      </c>
      <c r="M5" s="346">
        <v>1</v>
      </c>
      <c r="N5" s="347">
        <f t="shared" ref="N5" si="3">SUM(L5/M5)*100</f>
        <v>100</v>
      </c>
      <c r="O5" s="346" t="s">
        <v>15</v>
      </c>
      <c r="P5" s="346" t="s">
        <v>15</v>
      </c>
      <c r="Q5" s="347" t="s">
        <v>15</v>
      </c>
      <c r="R5" s="346">
        <v>1</v>
      </c>
      <c r="S5" s="346">
        <v>-1</v>
      </c>
      <c r="T5" s="7">
        <v>0</v>
      </c>
      <c r="U5" s="7">
        <v>1</v>
      </c>
      <c r="V5" s="7">
        <v>0</v>
      </c>
      <c r="W5" s="7" t="s">
        <v>15</v>
      </c>
      <c r="X5" s="7" t="s">
        <v>15</v>
      </c>
      <c r="Y5" s="7" t="s">
        <v>15</v>
      </c>
      <c r="Z5" s="93"/>
      <c r="AA5" s="94"/>
      <c r="AB5" s="197"/>
      <c r="AC5" s="7" t="s">
        <v>15</v>
      </c>
      <c r="AD5" s="7" t="s">
        <v>15</v>
      </c>
      <c r="AE5" s="7" t="s">
        <v>15</v>
      </c>
      <c r="AF5" s="7">
        <v>2</v>
      </c>
      <c r="AG5" s="7">
        <v>2</v>
      </c>
      <c r="AH5" s="7">
        <v>100</v>
      </c>
      <c r="AI5" s="148" t="s">
        <v>15</v>
      </c>
      <c r="AJ5" s="7" t="s">
        <v>15</v>
      </c>
      <c r="AK5" s="153" t="s">
        <v>15</v>
      </c>
      <c r="AL5" s="84" t="s">
        <v>15</v>
      </c>
      <c r="AM5" s="79" t="s">
        <v>15</v>
      </c>
      <c r="AN5" s="171" t="s">
        <v>15</v>
      </c>
      <c r="AO5" s="7" t="s">
        <v>15</v>
      </c>
      <c r="AP5" s="7" t="s">
        <v>15</v>
      </c>
      <c r="AQ5" s="153" t="s">
        <v>15</v>
      </c>
      <c r="AR5" s="84" t="s">
        <v>15</v>
      </c>
      <c r="AS5" s="79" t="s">
        <v>15</v>
      </c>
      <c r="AT5" s="171" t="s">
        <v>15</v>
      </c>
      <c r="AU5" s="7" t="s">
        <v>15</v>
      </c>
      <c r="AV5" s="7" t="s">
        <v>15</v>
      </c>
      <c r="AW5" s="7" t="s">
        <v>15</v>
      </c>
      <c r="AX5" s="7" t="s">
        <v>15</v>
      </c>
      <c r="AY5" s="7" t="s">
        <v>15</v>
      </c>
      <c r="AZ5" s="7" t="s">
        <v>15</v>
      </c>
      <c r="BA5" s="7" t="s">
        <v>15</v>
      </c>
      <c r="BB5" s="7" t="s">
        <v>15</v>
      </c>
      <c r="BC5" s="7" t="s">
        <v>15</v>
      </c>
      <c r="BD5" s="7" t="s">
        <v>15</v>
      </c>
      <c r="BE5" s="7" t="s">
        <v>15</v>
      </c>
      <c r="BF5" s="7" t="s">
        <v>15</v>
      </c>
      <c r="BG5" s="7" t="s">
        <v>15</v>
      </c>
      <c r="BH5" s="7" t="s">
        <v>15</v>
      </c>
      <c r="BI5" s="7" t="s">
        <v>15</v>
      </c>
      <c r="BJ5" s="83"/>
      <c r="BO5" s="4"/>
      <c r="BP5" s="4"/>
      <c r="BQ5" s="4"/>
    </row>
    <row r="6" spans="1:69" ht="14.95" customHeight="1" thickBot="1" x14ac:dyDescent="0.3">
      <c r="A6" s="340" t="s">
        <v>298</v>
      </c>
      <c r="B6" s="341">
        <v>2</v>
      </c>
      <c r="C6" s="342">
        <v>0</v>
      </c>
      <c r="D6" s="343">
        <v>3</v>
      </c>
      <c r="E6" s="344">
        <f t="shared" si="0"/>
        <v>5</v>
      </c>
      <c r="F6" s="182" t="s">
        <v>298</v>
      </c>
      <c r="G6" s="78">
        <v>10</v>
      </c>
      <c r="H6" s="322">
        <v>0</v>
      </c>
      <c r="I6" s="226">
        <v>15</v>
      </c>
      <c r="J6" s="204">
        <f t="shared" si="1"/>
        <v>25</v>
      </c>
      <c r="K6" s="340" t="s">
        <v>448</v>
      </c>
      <c r="L6" s="346" t="s">
        <v>15</v>
      </c>
      <c r="M6" s="346" t="s">
        <v>15</v>
      </c>
      <c r="N6" s="347" t="s">
        <v>15</v>
      </c>
      <c r="O6" s="346" t="s">
        <v>15</v>
      </c>
      <c r="P6" s="346" t="s">
        <v>15</v>
      </c>
      <c r="Q6" s="347" t="s">
        <v>15</v>
      </c>
      <c r="R6" s="346">
        <v>-1</v>
      </c>
      <c r="S6" s="346">
        <v>-1</v>
      </c>
      <c r="T6" s="148" t="s">
        <v>15</v>
      </c>
      <c r="U6" s="7" t="s">
        <v>15</v>
      </c>
      <c r="V6" s="153" t="s">
        <v>15</v>
      </c>
      <c r="W6" s="148">
        <v>1</v>
      </c>
      <c r="X6" s="7">
        <v>2</v>
      </c>
      <c r="Y6" s="153">
        <v>50</v>
      </c>
      <c r="Z6" s="93"/>
      <c r="AA6" s="94"/>
      <c r="AB6" s="197"/>
      <c r="AC6" s="148" t="s">
        <v>15</v>
      </c>
      <c r="AD6" s="7" t="s">
        <v>15</v>
      </c>
      <c r="AE6" s="153" t="s">
        <v>15</v>
      </c>
      <c r="AF6" s="148" t="s">
        <v>15</v>
      </c>
      <c r="AG6" s="7" t="s">
        <v>15</v>
      </c>
      <c r="AH6" s="153" t="s">
        <v>15</v>
      </c>
      <c r="AI6" s="148" t="s">
        <v>15</v>
      </c>
      <c r="AJ6" s="7" t="s">
        <v>15</v>
      </c>
      <c r="AK6" s="153" t="s">
        <v>15</v>
      </c>
      <c r="AL6" s="148" t="s">
        <v>15</v>
      </c>
      <c r="AM6" s="7" t="s">
        <v>15</v>
      </c>
      <c r="AN6" s="153" t="s">
        <v>15</v>
      </c>
      <c r="AO6" s="148" t="s">
        <v>15</v>
      </c>
      <c r="AP6" s="7" t="s">
        <v>15</v>
      </c>
      <c r="AQ6" s="153" t="s">
        <v>15</v>
      </c>
      <c r="AR6" s="148" t="s">
        <v>15</v>
      </c>
      <c r="AS6" s="7" t="s">
        <v>15</v>
      </c>
      <c r="AT6" s="153" t="s">
        <v>15</v>
      </c>
      <c r="AU6" s="148" t="s">
        <v>15</v>
      </c>
      <c r="AV6" s="7" t="s">
        <v>15</v>
      </c>
      <c r="AW6" s="153" t="s">
        <v>15</v>
      </c>
      <c r="AX6" s="148" t="s">
        <v>15</v>
      </c>
      <c r="AY6" s="7" t="s">
        <v>15</v>
      </c>
      <c r="AZ6" s="153" t="s">
        <v>15</v>
      </c>
      <c r="BA6" s="148" t="s">
        <v>15</v>
      </c>
      <c r="BB6" s="7" t="s">
        <v>15</v>
      </c>
      <c r="BC6" s="153" t="s">
        <v>15</v>
      </c>
      <c r="BD6" s="148" t="s">
        <v>15</v>
      </c>
      <c r="BE6" s="7" t="s">
        <v>15</v>
      </c>
      <c r="BF6" s="153" t="s">
        <v>15</v>
      </c>
      <c r="BG6" s="148" t="s">
        <v>15</v>
      </c>
      <c r="BH6" s="7" t="s">
        <v>15</v>
      </c>
      <c r="BI6" s="153" t="s">
        <v>15</v>
      </c>
      <c r="BJ6" s="83"/>
    </row>
    <row r="7" spans="1:69" ht="14.95" customHeight="1" thickBot="1" x14ac:dyDescent="0.3">
      <c r="A7" s="340" t="s">
        <v>266</v>
      </c>
      <c r="B7" s="341">
        <v>1</v>
      </c>
      <c r="C7" s="342">
        <v>1</v>
      </c>
      <c r="D7" s="343">
        <v>0</v>
      </c>
      <c r="E7" s="344">
        <f t="shared" si="0"/>
        <v>2</v>
      </c>
      <c r="F7" s="182" t="s">
        <v>266</v>
      </c>
      <c r="G7" s="78">
        <v>21</v>
      </c>
      <c r="H7" s="322">
        <v>5</v>
      </c>
      <c r="I7" s="226">
        <v>0</v>
      </c>
      <c r="J7" s="204">
        <f t="shared" si="1"/>
        <v>26</v>
      </c>
      <c r="K7" s="340" t="s">
        <v>833</v>
      </c>
      <c r="L7" s="346" t="s">
        <v>15</v>
      </c>
      <c r="M7" s="346" t="s">
        <v>15</v>
      </c>
      <c r="N7" s="347" t="s">
        <v>15</v>
      </c>
      <c r="O7" s="346" t="s">
        <v>15</v>
      </c>
      <c r="P7" s="346" t="s">
        <v>15</v>
      </c>
      <c r="Q7" s="347" t="s">
        <v>15</v>
      </c>
      <c r="R7" s="346">
        <v>7</v>
      </c>
      <c r="S7" s="346">
        <v>14</v>
      </c>
      <c r="T7" s="7">
        <v>7</v>
      </c>
      <c r="U7" s="7">
        <v>7</v>
      </c>
      <c r="V7" s="7">
        <v>100</v>
      </c>
      <c r="W7" s="7" t="s">
        <v>15</v>
      </c>
      <c r="X7" s="7" t="s">
        <v>15</v>
      </c>
      <c r="Y7" s="7" t="s">
        <v>15</v>
      </c>
      <c r="Z7" s="93"/>
      <c r="AA7" s="94"/>
      <c r="AB7" s="197"/>
      <c r="AC7" s="7" t="s">
        <v>15</v>
      </c>
      <c r="AD7" s="7" t="s">
        <v>15</v>
      </c>
      <c r="AE7" s="7" t="s">
        <v>15</v>
      </c>
      <c r="AF7" s="148" t="s">
        <v>15</v>
      </c>
      <c r="AG7" s="7" t="s">
        <v>15</v>
      </c>
      <c r="AH7" s="153" t="s">
        <v>15</v>
      </c>
      <c r="AI7" s="148" t="s">
        <v>15</v>
      </c>
      <c r="AJ7" s="7" t="s">
        <v>15</v>
      </c>
      <c r="AK7" s="153" t="s">
        <v>15</v>
      </c>
      <c r="AL7" s="148" t="s">
        <v>15</v>
      </c>
      <c r="AM7" s="7" t="s">
        <v>15</v>
      </c>
      <c r="AN7" s="153" t="s">
        <v>15</v>
      </c>
      <c r="AO7" s="148" t="s">
        <v>15</v>
      </c>
      <c r="AP7" s="7" t="s">
        <v>15</v>
      </c>
      <c r="AQ7" s="153" t="s">
        <v>15</v>
      </c>
      <c r="AR7" s="148" t="s">
        <v>15</v>
      </c>
      <c r="AS7" s="7" t="s">
        <v>15</v>
      </c>
      <c r="AT7" s="153" t="s">
        <v>15</v>
      </c>
      <c r="AU7" s="148" t="s">
        <v>15</v>
      </c>
      <c r="AV7" s="7" t="s">
        <v>15</v>
      </c>
      <c r="AW7" s="153" t="s">
        <v>15</v>
      </c>
      <c r="AX7" s="148" t="s">
        <v>15</v>
      </c>
      <c r="AY7" s="7" t="s">
        <v>15</v>
      </c>
      <c r="AZ7" s="153" t="s">
        <v>15</v>
      </c>
      <c r="BA7" s="148" t="s">
        <v>15</v>
      </c>
      <c r="BB7" s="7" t="s">
        <v>15</v>
      </c>
      <c r="BC7" s="153" t="s">
        <v>15</v>
      </c>
      <c r="BD7" s="148" t="s">
        <v>15</v>
      </c>
      <c r="BE7" s="7" t="s">
        <v>15</v>
      </c>
      <c r="BF7" s="153" t="s">
        <v>15</v>
      </c>
      <c r="BG7" s="148" t="s">
        <v>15</v>
      </c>
      <c r="BH7" s="7" t="s">
        <v>15</v>
      </c>
      <c r="BI7" s="153" t="s">
        <v>15</v>
      </c>
      <c r="BJ7" s="83"/>
    </row>
    <row r="8" spans="1:69" ht="14.95" customHeight="1" thickBot="1" x14ac:dyDescent="0.3">
      <c r="A8" s="340" t="s">
        <v>446</v>
      </c>
      <c r="B8" s="341">
        <v>0</v>
      </c>
      <c r="C8" s="342">
        <v>1</v>
      </c>
      <c r="D8" s="343">
        <v>2</v>
      </c>
      <c r="E8" s="344">
        <f t="shared" si="0"/>
        <v>3</v>
      </c>
      <c r="F8" s="182" t="s">
        <v>446</v>
      </c>
      <c r="G8" s="78">
        <v>0</v>
      </c>
      <c r="H8" s="322">
        <v>5</v>
      </c>
      <c r="I8" s="226">
        <v>10</v>
      </c>
      <c r="J8" s="204">
        <f t="shared" si="1"/>
        <v>15</v>
      </c>
      <c r="K8" s="340" t="s">
        <v>779</v>
      </c>
      <c r="L8" s="346" t="s">
        <v>15</v>
      </c>
      <c r="M8" s="346" t="s">
        <v>15</v>
      </c>
      <c r="N8" s="347" t="s">
        <v>15</v>
      </c>
      <c r="O8" s="346" t="s">
        <v>15</v>
      </c>
      <c r="P8" s="346" t="s">
        <v>15</v>
      </c>
      <c r="Q8" s="347" t="s">
        <v>15</v>
      </c>
      <c r="R8" s="346" t="s">
        <v>19</v>
      </c>
      <c r="S8" s="346">
        <v>1</v>
      </c>
      <c r="T8" s="148" t="s">
        <v>15</v>
      </c>
      <c r="U8" s="7" t="s">
        <v>15</v>
      </c>
      <c r="V8" s="153" t="s">
        <v>15</v>
      </c>
      <c r="W8" s="148" t="s">
        <v>15</v>
      </c>
      <c r="X8" s="7" t="s">
        <v>15</v>
      </c>
      <c r="Y8" s="153" t="s">
        <v>15</v>
      </c>
      <c r="Z8" s="93"/>
      <c r="AA8" s="94"/>
      <c r="AB8" s="197"/>
      <c r="AC8" s="148" t="s">
        <v>15</v>
      </c>
      <c r="AD8" s="7" t="s">
        <v>15</v>
      </c>
      <c r="AE8" s="153" t="s">
        <v>15</v>
      </c>
      <c r="AF8" s="148" t="s">
        <v>15</v>
      </c>
      <c r="AG8" s="7" t="s">
        <v>15</v>
      </c>
      <c r="AH8" s="153" t="s">
        <v>15</v>
      </c>
      <c r="AI8" s="148" t="s">
        <v>15</v>
      </c>
      <c r="AJ8" s="7" t="s">
        <v>15</v>
      </c>
      <c r="AK8" s="153" t="s">
        <v>15</v>
      </c>
      <c r="AL8" s="148" t="s">
        <v>15</v>
      </c>
      <c r="AM8" s="7" t="s">
        <v>15</v>
      </c>
      <c r="AN8" s="153" t="s">
        <v>15</v>
      </c>
      <c r="AO8" s="148" t="s">
        <v>15</v>
      </c>
      <c r="AP8" s="7" t="s">
        <v>15</v>
      </c>
      <c r="AQ8" s="153" t="s">
        <v>15</v>
      </c>
      <c r="AR8" s="148" t="s">
        <v>15</v>
      </c>
      <c r="AS8" s="7" t="s">
        <v>15</v>
      </c>
      <c r="AT8" s="153" t="s">
        <v>15</v>
      </c>
      <c r="AU8" s="148" t="s">
        <v>15</v>
      </c>
      <c r="AV8" s="7" t="s">
        <v>15</v>
      </c>
      <c r="AW8" s="153" t="s">
        <v>15</v>
      </c>
      <c r="AX8" s="148" t="s">
        <v>15</v>
      </c>
      <c r="AY8" s="7" t="s">
        <v>15</v>
      </c>
      <c r="AZ8" s="153" t="s">
        <v>15</v>
      </c>
      <c r="BA8" s="148" t="s">
        <v>15</v>
      </c>
      <c r="BB8" s="7" t="s">
        <v>15</v>
      </c>
      <c r="BC8" s="153" t="s">
        <v>15</v>
      </c>
      <c r="BD8" s="148" t="s">
        <v>15</v>
      </c>
      <c r="BE8" s="7" t="s">
        <v>15</v>
      </c>
      <c r="BF8" s="153" t="s">
        <v>15</v>
      </c>
      <c r="BG8" s="148" t="s">
        <v>15</v>
      </c>
      <c r="BH8" s="7" t="s">
        <v>15</v>
      </c>
      <c r="BI8" s="153" t="s">
        <v>15</v>
      </c>
    </row>
    <row r="9" spans="1:69" ht="14.95" customHeight="1" thickBot="1" x14ac:dyDescent="0.3">
      <c r="A9" s="340" t="s">
        <v>65</v>
      </c>
      <c r="B9" s="341">
        <v>1</v>
      </c>
      <c r="C9" s="342">
        <v>3</v>
      </c>
      <c r="D9" s="343">
        <v>0</v>
      </c>
      <c r="E9" s="344">
        <f t="shared" si="0"/>
        <v>4</v>
      </c>
      <c r="F9" s="182" t="s">
        <v>65</v>
      </c>
      <c r="G9" s="78">
        <v>5</v>
      </c>
      <c r="H9" s="322">
        <v>15</v>
      </c>
      <c r="I9" s="226">
        <v>0</v>
      </c>
      <c r="J9" s="204">
        <f t="shared" si="1"/>
        <v>20</v>
      </c>
      <c r="K9" s="340" t="s">
        <v>975</v>
      </c>
      <c r="L9" s="346" t="s">
        <v>15</v>
      </c>
      <c r="M9" s="346" t="s">
        <v>15</v>
      </c>
      <c r="N9" s="347" t="s">
        <v>15</v>
      </c>
      <c r="O9" s="346" t="s">
        <v>15</v>
      </c>
      <c r="P9" s="346" t="s">
        <v>15</v>
      </c>
      <c r="Q9" s="347" t="s">
        <v>15</v>
      </c>
      <c r="R9" s="346" t="s">
        <v>19</v>
      </c>
      <c r="S9" s="346">
        <v>1</v>
      </c>
      <c r="T9" s="148" t="s">
        <v>15</v>
      </c>
      <c r="U9" s="7" t="s">
        <v>15</v>
      </c>
      <c r="V9" s="153" t="s">
        <v>15</v>
      </c>
      <c r="W9" s="148" t="s">
        <v>15</v>
      </c>
      <c r="X9" s="7" t="s">
        <v>15</v>
      </c>
      <c r="Y9" s="153" t="s">
        <v>15</v>
      </c>
      <c r="Z9" s="93"/>
      <c r="AA9" s="94"/>
      <c r="AB9" s="197"/>
      <c r="AC9" s="148" t="s">
        <v>15</v>
      </c>
      <c r="AD9" s="7" t="s">
        <v>15</v>
      </c>
      <c r="AE9" s="153" t="s">
        <v>15</v>
      </c>
      <c r="AF9" s="148" t="s">
        <v>15</v>
      </c>
      <c r="AG9" s="7" t="s">
        <v>15</v>
      </c>
      <c r="AH9" s="153" t="s">
        <v>15</v>
      </c>
      <c r="AI9" s="148" t="s">
        <v>15</v>
      </c>
      <c r="AJ9" s="7" t="s">
        <v>15</v>
      </c>
      <c r="AK9" s="153" t="s">
        <v>15</v>
      </c>
      <c r="AL9" s="148" t="s">
        <v>15</v>
      </c>
      <c r="AM9" s="7" t="s">
        <v>15</v>
      </c>
      <c r="AN9" s="153" t="s">
        <v>15</v>
      </c>
      <c r="AO9" s="148" t="s">
        <v>15</v>
      </c>
      <c r="AP9" s="7" t="s">
        <v>15</v>
      </c>
      <c r="AQ9" s="153" t="s">
        <v>15</v>
      </c>
      <c r="AR9" s="148" t="s">
        <v>15</v>
      </c>
      <c r="AS9" s="7" t="s">
        <v>15</v>
      </c>
      <c r="AT9" s="153" t="s">
        <v>15</v>
      </c>
      <c r="AU9" s="148" t="s">
        <v>15</v>
      </c>
      <c r="AV9" s="7" t="s">
        <v>15</v>
      </c>
      <c r="AW9" s="153" t="s">
        <v>15</v>
      </c>
      <c r="AX9" s="148" t="s">
        <v>15</v>
      </c>
      <c r="AY9" s="7" t="s">
        <v>15</v>
      </c>
      <c r="AZ9" s="153" t="s">
        <v>15</v>
      </c>
      <c r="BA9" s="148" t="s">
        <v>15</v>
      </c>
      <c r="BB9" s="7" t="s">
        <v>15</v>
      </c>
      <c r="BC9" s="153" t="s">
        <v>15</v>
      </c>
      <c r="BD9" s="148" t="s">
        <v>15</v>
      </c>
      <c r="BE9" s="7" t="s">
        <v>15</v>
      </c>
      <c r="BF9" s="153" t="s">
        <v>15</v>
      </c>
      <c r="BG9" s="148" t="s">
        <v>15</v>
      </c>
      <c r="BH9" s="7" t="s">
        <v>15</v>
      </c>
      <c r="BI9" s="153" t="s">
        <v>15</v>
      </c>
    </row>
    <row r="10" spans="1:69" ht="14.95" customHeight="1" thickBot="1" x14ac:dyDescent="0.3">
      <c r="A10" s="340" t="s">
        <v>532</v>
      </c>
      <c r="B10" s="341">
        <v>0</v>
      </c>
      <c r="C10" s="342">
        <v>0</v>
      </c>
      <c r="D10" s="343">
        <v>0</v>
      </c>
      <c r="E10" s="344">
        <f t="shared" si="0"/>
        <v>0</v>
      </c>
      <c r="F10" s="182" t="s">
        <v>532</v>
      </c>
      <c r="G10" s="78">
        <v>0</v>
      </c>
      <c r="H10" s="322">
        <v>0</v>
      </c>
      <c r="I10" s="226">
        <v>0</v>
      </c>
      <c r="J10" s="204">
        <f t="shared" si="1"/>
        <v>0</v>
      </c>
      <c r="K10" s="340" t="s">
        <v>301</v>
      </c>
      <c r="L10" s="346" t="s">
        <v>15</v>
      </c>
      <c r="M10" s="346" t="s">
        <v>15</v>
      </c>
      <c r="N10" s="347" t="s">
        <v>15</v>
      </c>
      <c r="O10" s="346" t="s">
        <v>15</v>
      </c>
      <c r="P10" s="346" t="s">
        <v>15</v>
      </c>
      <c r="Q10" s="347" t="s">
        <v>15</v>
      </c>
      <c r="R10" s="346">
        <v>-1</v>
      </c>
      <c r="S10" s="346">
        <v>-1</v>
      </c>
      <c r="T10" s="148" t="s">
        <v>15</v>
      </c>
      <c r="U10" s="7" t="s">
        <v>15</v>
      </c>
      <c r="V10" s="153" t="s">
        <v>15</v>
      </c>
      <c r="W10" s="148" t="s">
        <v>15</v>
      </c>
      <c r="X10" s="7" t="s">
        <v>15</v>
      </c>
      <c r="Y10" s="153" t="s">
        <v>15</v>
      </c>
      <c r="Z10" s="93"/>
      <c r="AA10" s="94"/>
      <c r="AB10" s="197"/>
      <c r="AC10" s="148" t="s">
        <v>15</v>
      </c>
      <c r="AD10" s="7" t="s">
        <v>15</v>
      </c>
      <c r="AE10" s="153" t="s">
        <v>15</v>
      </c>
      <c r="AF10" s="148" t="s">
        <v>15</v>
      </c>
      <c r="AG10" s="7" t="s">
        <v>15</v>
      </c>
      <c r="AH10" s="153" t="s">
        <v>15</v>
      </c>
      <c r="AI10" s="148" t="s">
        <v>15</v>
      </c>
      <c r="AJ10" s="7" t="s">
        <v>15</v>
      </c>
      <c r="AK10" s="153" t="s">
        <v>15</v>
      </c>
      <c r="AL10" s="84" t="s">
        <v>15</v>
      </c>
      <c r="AM10" s="79" t="s">
        <v>15</v>
      </c>
      <c r="AN10" s="171" t="s">
        <v>15</v>
      </c>
      <c r="AO10" s="148">
        <v>0</v>
      </c>
      <c r="AP10" s="7">
        <v>1</v>
      </c>
      <c r="AQ10" s="7">
        <v>0</v>
      </c>
      <c r="AR10" s="6" t="s">
        <v>15</v>
      </c>
      <c r="AS10" s="7" t="s">
        <v>15</v>
      </c>
      <c r="AT10" s="7" t="s">
        <v>15</v>
      </c>
      <c r="AU10" s="7" t="s">
        <v>15</v>
      </c>
      <c r="AV10" s="7" t="s">
        <v>15</v>
      </c>
      <c r="AW10" s="7" t="s">
        <v>15</v>
      </c>
      <c r="AX10" s="7" t="s">
        <v>15</v>
      </c>
      <c r="AY10" s="7" t="s">
        <v>15</v>
      </c>
      <c r="AZ10" s="7" t="s">
        <v>15</v>
      </c>
      <c r="BA10" s="7" t="s">
        <v>15</v>
      </c>
      <c r="BB10" s="7" t="s">
        <v>15</v>
      </c>
      <c r="BC10" s="7" t="s">
        <v>15</v>
      </c>
      <c r="BD10" s="7" t="s">
        <v>15</v>
      </c>
      <c r="BE10" s="7" t="s">
        <v>15</v>
      </c>
      <c r="BF10" s="7" t="s">
        <v>15</v>
      </c>
      <c r="BG10" s="7" t="s">
        <v>15</v>
      </c>
      <c r="BH10" s="7" t="s">
        <v>15</v>
      </c>
      <c r="BI10" s="7" t="s">
        <v>15</v>
      </c>
      <c r="BK10" s="4"/>
      <c r="BL10" s="4"/>
      <c r="BM10" s="4"/>
    </row>
    <row r="11" spans="1:69" ht="14.95" customHeight="1" thickBot="1" x14ac:dyDescent="0.3">
      <c r="A11" s="340" t="s">
        <v>835</v>
      </c>
      <c r="B11" s="341">
        <v>0</v>
      </c>
      <c r="C11" s="342">
        <v>0</v>
      </c>
      <c r="D11" s="343">
        <v>1</v>
      </c>
      <c r="E11" s="344">
        <f t="shared" si="0"/>
        <v>1</v>
      </c>
      <c r="F11" s="182" t="s">
        <v>835</v>
      </c>
      <c r="G11" s="78">
        <v>0</v>
      </c>
      <c r="H11" s="322">
        <v>0</v>
      </c>
      <c r="I11" s="226">
        <v>5</v>
      </c>
      <c r="J11" s="204">
        <f t="shared" si="1"/>
        <v>5</v>
      </c>
      <c r="K11" s="340" t="s">
        <v>1096</v>
      </c>
      <c r="L11" s="346" t="s">
        <v>15</v>
      </c>
      <c r="M11" s="346" t="s">
        <v>15</v>
      </c>
      <c r="N11" s="347" t="s">
        <v>15</v>
      </c>
      <c r="O11" s="346" t="s">
        <v>15</v>
      </c>
      <c r="P11" s="346" t="s">
        <v>15</v>
      </c>
      <c r="Q11" s="347" t="s">
        <v>15</v>
      </c>
      <c r="R11" s="346" t="s">
        <v>19</v>
      </c>
      <c r="S11" s="346">
        <v>6</v>
      </c>
      <c r="T11" s="148" t="s">
        <v>15</v>
      </c>
      <c r="U11" s="7" t="s">
        <v>15</v>
      </c>
      <c r="V11" s="153" t="s">
        <v>15</v>
      </c>
      <c r="W11" s="148" t="s">
        <v>15</v>
      </c>
      <c r="X11" s="7" t="s">
        <v>15</v>
      </c>
      <c r="Y11" s="153" t="s">
        <v>15</v>
      </c>
      <c r="Z11" s="93"/>
      <c r="AA11" s="94"/>
      <c r="AB11" s="197"/>
      <c r="AC11" s="148" t="s">
        <v>15</v>
      </c>
      <c r="AD11" s="7" t="s">
        <v>15</v>
      </c>
      <c r="AE11" s="153" t="s">
        <v>15</v>
      </c>
      <c r="AF11" s="148" t="s">
        <v>15</v>
      </c>
      <c r="AG11" s="7" t="s">
        <v>15</v>
      </c>
      <c r="AH11" s="153" t="s">
        <v>15</v>
      </c>
      <c r="AI11" s="148" t="s">
        <v>15</v>
      </c>
      <c r="AJ11" s="7" t="s">
        <v>15</v>
      </c>
      <c r="AK11" s="153" t="s">
        <v>15</v>
      </c>
      <c r="AL11" s="148" t="s">
        <v>15</v>
      </c>
      <c r="AM11" s="7" t="s">
        <v>15</v>
      </c>
      <c r="AN11" s="153" t="s">
        <v>15</v>
      </c>
      <c r="AO11" s="148" t="s">
        <v>15</v>
      </c>
      <c r="AP11" s="7" t="s">
        <v>15</v>
      </c>
      <c r="AQ11" s="153" t="s">
        <v>15</v>
      </c>
      <c r="AR11" s="148" t="s">
        <v>15</v>
      </c>
      <c r="AS11" s="7" t="s">
        <v>15</v>
      </c>
      <c r="AT11" s="153" t="s">
        <v>15</v>
      </c>
      <c r="AU11" s="148" t="s">
        <v>15</v>
      </c>
      <c r="AV11" s="7" t="s">
        <v>15</v>
      </c>
      <c r="AW11" s="153" t="s">
        <v>15</v>
      </c>
      <c r="AX11" s="148" t="s">
        <v>15</v>
      </c>
      <c r="AY11" s="7" t="s">
        <v>15</v>
      </c>
      <c r="AZ11" s="153" t="s">
        <v>15</v>
      </c>
      <c r="BA11" s="148" t="s">
        <v>15</v>
      </c>
      <c r="BB11" s="7" t="s">
        <v>15</v>
      </c>
      <c r="BC11" s="153" t="s">
        <v>15</v>
      </c>
      <c r="BD11" s="148" t="s">
        <v>15</v>
      </c>
      <c r="BE11" s="7" t="s">
        <v>15</v>
      </c>
      <c r="BF11" s="153" t="s">
        <v>15</v>
      </c>
      <c r="BG11" s="148" t="s">
        <v>15</v>
      </c>
      <c r="BH11" s="7" t="s">
        <v>15</v>
      </c>
      <c r="BI11" s="153" t="s">
        <v>15</v>
      </c>
    </row>
    <row r="12" spans="1:69" ht="14.95" customHeight="1" thickBot="1" x14ac:dyDescent="0.3">
      <c r="A12" s="340" t="s">
        <v>203</v>
      </c>
      <c r="B12" s="341">
        <v>2</v>
      </c>
      <c r="C12" s="342">
        <v>0</v>
      </c>
      <c r="D12" s="343">
        <v>1</v>
      </c>
      <c r="E12" s="344">
        <f t="shared" si="0"/>
        <v>3</v>
      </c>
      <c r="F12" s="182" t="s">
        <v>203</v>
      </c>
      <c r="G12" s="78">
        <v>12</v>
      </c>
      <c r="H12" s="322">
        <v>0</v>
      </c>
      <c r="I12" s="226">
        <v>27</v>
      </c>
      <c r="J12" s="204">
        <f t="shared" si="1"/>
        <v>39</v>
      </c>
      <c r="K12" s="340" t="s">
        <v>506</v>
      </c>
      <c r="L12" s="346">
        <v>37</v>
      </c>
      <c r="M12" s="346">
        <v>46</v>
      </c>
      <c r="N12" s="347">
        <f t="shared" ref="N12" si="4">SUM(L12/M12)*100</f>
        <v>80.434782608695656</v>
      </c>
      <c r="O12" s="346">
        <v>6</v>
      </c>
      <c r="P12" s="346">
        <v>7</v>
      </c>
      <c r="Q12" s="347">
        <f t="shared" ref="Q12" si="5">SUM(O12/P12)*100</f>
        <v>85.714285714285708</v>
      </c>
      <c r="R12" s="346">
        <v>-1</v>
      </c>
      <c r="S12" s="346">
        <v>3</v>
      </c>
      <c r="T12" s="7">
        <v>79</v>
      </c>
      <c r="U12" s="7">
        <v>100</v>
      </c>
      <c r="V12" s="153">
        <v>79</v>
      </c>
      <c r="W12" s="7">
        <v>64</v>
      </c>
      <c r="X12" s="7">
        <v>88</v>
      </c>
      <c r="Y12" s="153">
        <v>72.727272727272734</v>
      </c>
      <c r="Z12" s="93"/>
      <c r="AA12" s="94"/>
      <c r="AB12" s="197"/>
      <c r="AC12" s="7">
        <v>89</v>
      </c>
      <c r="AD12" s="7">
        <v>103</v>
      </c>
      <c r="AE12" s="153">
        <v>86</v>
      </c>
      <c r="AF12" s="7">
        <v>1</v>
      </c>
      <c r="AG12" s="7">
        <v>3</v>
      </c>
      <c r="AH12" s="153">
        <v>33</v>
      </c>
      <c r="AI12" s="148">
        <v>4</v>
      </c>
      <c r="AJ12" s="7">
        <v>6</v>
      </c>
      <c r="AK12" s="153">
        <f t="shared" ref="AK12" si="6">SUM(AI12/AJ12)*100</f>
        <v>66.666666666666657</v>
      </c>
      <c r="AL12" s="148">
        <v>0</v>
      </c>
      <c r="AM12" s="7">
        <v>1</v>
      </c>
      <c r="AN12" s="153">
        <f t="shared" ref="AN12" si="7">SUM(AL12/AM12)*100</f>
        <v>0</v>
      </c>
      <c r="AO12" s="148">
        <v>38</v>
      </c>
      <c r="AP12" s="7">
        <v>49</v>
      </c>
      <c r="AQ12" s="153">
        <f t="shared" ref="AQ12" si="8">SUM(AO12/AP12)*100</f>
        <v>77.551020408163268</v>
      </c>
      <c r="AR12" s="148">
        <v>34</v>
      </c>
      <c r="AS12" s="7">
        <v>42</v>
      </c>
      <c r="AT12" s="153">
        <f t="shared" ref="AT12" si="9">SUM(AR12/AS12)*100</f>
        <v>80.952380952380949</v>
      </c>
      <c r="AU12" s="148">
        <v>31</v>
      </c>
      <c r="AV12" s="7">
        <v>38</v>
      </c>
      <c r="AW12" s="153">
        <v>81.578947368421055</v>
      </c>
      <c r="AX12" s="328">
        <v>25</v>
      </c>
      <c r="AY12" s="153">
        <v>40</v>
      </c>
      <c r="AZ12" s="153">
        <v>62.5</v>
      </c>
      <c r="BA12" s="153">
        <v>29</v>
      </c>
      <c r="BB12" s="153">
        <v>38</v>
      </c>
      <c r="BC12" s="153">
        <v>76.31578947368422</v>
      </c>
      <c r="BD12" s="7" t="s">
        <v>15</v>
      </c>
      <c r="BE12" s="7" t="s">
        <v>15</v>
      </c>
      <c r="BF12" s="7" t="s">
        <v>15</v>
      </c>
      <c r="BG12" s="7" t="s">
        <v>15</v>
      </c>
      <c r="BH12" s="7" t="s">
        <v>15</v>
      </c>
      <c r="BI12" s="7" t="s">
        <v>15</v>
      </c>
    </row>
    <row r="13" spans="1:69" ht="14.95" customHeight="1" thickBot="1" x14ac:dyDescent="0.3">
      <c r="A13" s="340" t="s">
        <v>833</v>
      </c>
      <c r="B13" s="341">
        <v>0</v>
      </c>
      <c r="C13" s="342">
        <v>0</v>
      </c>
      <c r="D13" s="343">
        <v>0</v>
      </c>
      <c r="E13" s="344">
        <f t="shared" si="0"/>
        <v>0</v>
      </c>
      <c r="F13" s="182" t="s">
        <v>833</v>
      </c>
      <c r="G13" s="78">
        <v>0</v>
      </c>
      <c r="H13" s="322">
        <v>0</v>
      </c>
      <c r="I13" s="226">
        <v>0</v>
      </c>
      <c r="J13" s="204">
        <f t="shared" si="1"/>
        <v>0</v>
      </c>
      <c r="K13" s="335" t="s">
        <v>205</v>
      </c>
      <c r="L13" s="346">
        <v>9</v>
      </c>
      <c r="M13" s="346">
        <v>11</v>
      </c>
      <c r="N13" s="347">
        <f t="shared" ref="N13" si="10">SUM(L13/M13)*100</f>
        <v>81.818181818181827</v>
      </c>
      <c r="O13" s="346" t="s">
        <v>15</v>
      </c>
      <c r="P13" s="346" t="s">
        <v>15</v>
      </c>
      <c r="Q13" s="347" t="s">
        <v>15</v>
      </c>
      <c r="R13" s="349">
        <v>1</v>
      </c>
      <c r="S13" s="349">
        <v>1</v>
      </c>
      <c r="T13" s="7">
        <v>1</v>
      </c>
      <c r="U13" s="7">
        <v>1</v>
      </c>
      <c r="V13" s="7">
        <v>100</v>
      </c>
      <c r="W13" s="7">
        <v>8</v>
      </c>
      <c r="X13" s="7">
        <v>13</v>
      </c>
      <c r="Y13" s="7">
        <v>62</v>
      </c>
      <c r="Z13" s="93"/>
      <c r="AA13" s="94"/>
      <c r="AB13" s="197"/>
      <c r="AC13" s="7">
        <v>31</v>
      </c>
      <c r="AD13" s="7">
        <v>35</v>
      </c>
      <c r="AE13" s="7">
        <v>87</v>
      </c>
      <c r="AF13" s="7">
        <v>18</v>
      </c>
      <c r="AG13" s="7">
        <v>26</v>
      </c>
      <c r="AH13" s="7">
        <v>69</v>
      </c>
      <c r="AI13" s="148">
        <v>18</v>
      </c>
      <c r="AJ13" s="7">
        <v>26</v>
      </c>
      <c r="AK13" s="153">
        <f>SUM(AI13/AJ13)*100</f>
        <v>69.230769230769226</v>
      </c>
      <c r="AL13" s="84">
        <v>1</v>
      </c>
      <c r="AM13" s="79">
        <v>1</v>
      </c>
      <c r="AN13" s="171">
        <f>SUM(AL13/AM13)*100</f>
        <v>100</v>
      </c>
      <c r="AO13" s="148">
        <v>14</v>
      </c>
      <c r="AP13" s="7">
        <v>20</v>
      </c>
      <c r="AQ13" s="153">
        <f t="shared" ref="AQ13" si="11">SUM(AO13/AP13)*100</f>
        <v>70</v>
      </c>
      <c r="AR13" s="6">
        <v>15</v>
      </c>
      <c r="AS13" s="7">
        <v>20</v>
      </c>
      <c r="AT13" s="153">
        <f>SUM(AR13/AS13)*100</f>
        <v>75</v>
      </c>
      <c r="AU13" s="148">
        <v>7</v>
      </c>
      <c r="AV13" s="7">
        <v>8</v>
      </c>
      <c r="AW13" s="153">
        <f>SUM(AU13/AV13)*100</f>
        <v>87.5</v>
      </c>
      <c r="AX13" s="148">
        <v>7</v>
      </c>
      <c r="AY13" s="7">
        <v>9</v>
      </c>
      <c r="AZ13" s="153">
        <f>SUM(AX13/AY13)*100</f>
        <v>77.777777777777786</v>
      </c>
      <c r="BA13" s="7">
        <v>3</v>
      </c>
      <c r="BB13" s="7">
        <v>3</v>
      </c>
      <c r="BC13" s="153">
        <f>SUM(BA13/BB13)*100</f>
        <v>100</v>
      </c>
      <c r="BD13" s="7">
        <v>3</v>
      </c>
      <c r="BE13" s="7">
        <v>4</v>
      </c>
      <c r="BF13" s="153">
        <f>SUM(BD13/BE13)*100</f>
        <v>75</v>
      </c>
      <c r="BG13" s="152" t="s">
        <v>15</v>
      </c>
      <c r="BH13" s="152" t="s">
        <v>15</v>
      </c>
      <c r="BI13" s="152" t="s">
        <v>15</v>
      </c>
    </row>
    <row r="14" spans="1:69" ht="14.95" customHeight="1" thickBot="1" x14ac:dyDescent="0.3">
      <c r="A14" s="340" t="s">
        <v>32</v>
      </c>
      <c r="B14" s="341">
        <v>3</v>
      </c>
      <c r="C14" s="342">
        <v>4</v>
      </c>
      <c r="D14" s="343">
        <v>0</v>
      </c>
      <c r="E14" s="344">
        <f t="shared" si="0"/>
        <v>7</v>
      </c>
      <c r="F14" s="182" t="s">
        <v>32</v>
      </c>
      <c r="G14" s="78">
        <v>15</v>
      </c>
      <c r="H14" s="322">
        <v>20</v>
      </c>
      <c r="I14" s="226">
        <v>0</v>
      </c>
      <c r="J14" s="204">
        <f t="shared" si="1"/>
        <v>35</v>
      </c>
      <c r="BA14" s="4"/>
    </row>
    <row r="15" spans="1:69" ht="14.95" customHeight="1" thickBot="1" x14ac:dyDescent="0.3">
      <c r="A15" s="340" t="s">
        <v>288</v>
      </c>
      <c r="B15" s="341">
        <v>3</v>
      </c>
      <c r="C15" s="342">
        <v>1</v>
      </c>
      <c r="D15" s="343">
        <v>0</v>
      </c>
      <c r="E15" s="344">
        <f t="shared" si="0"/>
        <v>4</v>
      </c>
      <c r="F15" s="182" t="s">
        <v>288</v>
      </c>
      <c r="G15" s="78">
        <v>15</v>
      </c>
      <c r="H15" s="322">
        <v>5</v>
      </c>
      <c r="I15" s="226">
        <v>0</v>
      </c>
      <c r="J15" s="204">
        <f t="shared" si="1"/>
        <v>20</v>
      </c>
      <c r="K15" s="465" t="s">
        <v>188</v>
      </c>
      <c r="L15" s="457" t="s">
        <v>14</v>
      </c>
      <c r="M15" s="461"/>
      <c r="N15" s="458"/>
      <c r="O15" s="449" t="s">
        <v>226</v>
      </c>
      <c r="P15" s="450"/>
      <c r="Q15" s="451"/>
      <c r="R15" s="478" t="s">
        <v>875</v>
      </c>
      <c r="S15" s="479"/>
      <c r="T15" s="480"/>
      <c r="U15" s="478" t="s">
        <v>581</v>
      </c>
      <c r="V15" s="479"/>
      <c r="W15" s="480"/>
      <c r="X15" s="85" t="s">
        <v>21</v>
      </c>
      <c r="AC15" s="478" t="s">
        <v>477</v>
      </c>
      <c r="AD15" s="479"/>
      <c r="AE15" s="480"/>
      <c r="AF15" s="478" t="s">
        <v>391</v>
      </c>
      <c r="AG15" s="479"/>
      <c r="AH15" s="480"/>
      <c r="AI15" s="478" t="s">
        <v>300</v>
      </c>
      <c r="AJ15" s="479"/>
      <c r="AK15" s="480"/>
      <c r="AL15" s="478" t="s">
        <v>219</v>
      </c>
      <c r="AM15" s="479"/>
      <c r="AN15" s="480"/>
      <c r="AO15" s="478" t="s">
        <v>165</v>
      </c>
      <c r="AP15" s="479"/>
      <c r="AQ15" s="480"/>
      <c r="AR15" s="478" t="s">
        <v>78</v>
      </c>
      <c r="AS15" s="479"/>
      <c r="AT15" s="480"/>
      <c r="AU15" s="478" t="s">
        <v>54</v>
      </c>
      <c r="AV15" s="479"/>
      <c r="AW15" s="480"/>
      <c r="AX15" s="478" t="s">
        <v>50</v>
      </c>
      <c r="AY15" s="479"/>
      <c r="AZ15" s="480"/>
      <c r="BA15" s="478" t="s">
        <v>37</v>
      </c>
      <c r="BB15" s="479"/>
      <c r="BC15" s="480"/>
      <c r="BF15" s="4"/>
      <c r="BG15" s="4"/>
      <c r="BH15" s="4"/>
      <c r="BI15" s="4"/>
      <c r="BM15" s="4"/>
    </row>
    <row r="16" spans="1:69" ht="14.95" customHeight="1" thickBot="1" x14ac:dyDescent="0.3">
      <c r="A16" s="340" t="s">
        <v>779</v>
      </c>
      <c r="B16" s="341">
        <v>0</v>
      </c>
      <c r="C16" s="342">
        <v>0</v>
      </c>
      <c r="D16" s="343">
        <v>1</v>
      </c>
      <c r="E16" s="344">
        <f t="shared" si="0"/>
        <v>1</v>
      </c>
      <c r="F16" s="182" t="s">
        <v>779</v>
      </c>
      <c r="G16" s="78">
        <v>0</v>
      </c>
      <c r="H16" s="322">
        <v>0</v>
      </c>
      <c r="I16" s="226">
        <v>7</v>
      </c>
      <c r="J16" s="204">
        <f t="shared" si="1"/>
        <v>7</v>
      </c>
      <c r="K16" s="466"/>
      <c r="L16" s="459"/>
      <c r="M16" s="462"/>
      <c r="N16" s="460"/>
      <c r="O16" s="452"/>
      <c r="P16" s="453"/>
      <c r="Q16" s="454"/>
      <c r="R16" s="481"/>
      <c r="S16" s="482"/>
      <c r="T16" s="483"/>
      <c r="U16" s="481"/>
      <c r="V16" s="482"/>
      <c r="W16" s="483"/>
      <c r="AC16" s="481"/>
      <c r="AD16" s="482"/>
      <c r="AE16" s="483"/>
      <c r="AF16" s="481"/>
      <c r="AG16" s="482"/>
      <c r="AH16" s="483"/>
      <c r="AI16" s="481"/>
      <c r="AJ16" s="482"/>
      <c r="AK16" s="483"/>
      <c r="AL16" s="481"/>
      <c r="AM16" s="482"/>
      <c r="AN16" s="483"/>
      <c r="AO16" s="481"/>
      <c r="AP16" s="482"/>
      <c r="AQ16" s="483"/>
      <c r="AR16" s="481"/>
      <c r="AS16" s="482"/>
      <c r="AT16" s="483"/>
      <c r="AU16" s="481"/>
      <c r="AV16" s="482"/>
      <c r="AW16" s="483"/>
      <c r="AX16" s="481"/>
      <c r="AY16" s="482"/>
      <c r="AZ16" s="483"/>
      <c r="BA16" s="481"/>
      <c r="BB16" s="482"/>
      <c r="BC16" s="483"/>
      <c r="BK16" s="4"/>
      <c r="BL16" s="4"/>
    </row>
    <row r="17" spans="1:62" ht="14.95" thickBot="1" x14ac:dyDescent="0.3">
      <c r="A17" s="340" t="s">
        <v>36</v>
      </c>
      <c r="B17" s="341">
        <v>0</v>
      </c>
      <c r="C17" s="342">
        <v>0</v>
      </c>
      <c r="D17" s="343">
        <v>0</v>
      </c>
      <c r="E17" s="344">
        <f t="shared" si="0"/>
        <v>0</v>
      </c>
      <c r="F17" s="182" t="s">
        <v>36</v>
      </c>
      <c r="G17" s="78">
        <v>0</v>
      </c>
      <c r="H17" s="322">
        <v>0</v>
      </c>
      <c r="I17" s="226">
        <v>0</v>
      </c>
      <c r="J17" s="204">
        <f t="shared" si="1"/>
        <v>0</v>
      </c>
      <c r="K17" s="251"/>
      <c r="L17" s="3" t="s">
        <v>46</v>
      </c>
      <c r="M17" s="3" t="s">
        <v>9</v>
      </c>
      <c r="N17" s="3" t="s">
        <v>10</v>
      </c>
      <c r="O17" s="7" t="s">
        <v>46</v>
      </c>
      <c r="P17" s="7" t="s">
        <v>9</v>
      </c>
      <c r="Q17" s="7" t="s">
        <v>10</v>
      </c>
      <c r="R17" s="79" t="s">
        <v>46</v>
      </c>
      <c r="S17" s="79" t="s">
        <v>9</v>
      </c>
      <c r="T17" s="79" t="s">
        <v>10</v>
      </c>
      <c r="U17" s="79" t="s">
        <v>46</v>
      </c>
      <c r="V17" s="79" t="s">
        <v>9</v>
      </c>
      <c r="W17" s="79" t="s">
        <v>10</v>
      </c>
      <c r="AC17" s="84" t="s">
        <v>46</v>
      </c>
      <c r="AD17" s="79" t="s">
        <v>9</v>
      </c>
      <c r="AE17" s="79" t="s">
        <v>10</v>
      </c>
      <c r="AF17" s="84" t="s">
        <v>46</v>
      </c>
      <c r="AG17" s="79" t="s">
        <v>9</v>
      </c>
      <c r="AH17" s="79" t="s">
        <v>10</v>
      </c>
      <c r="AI17" s="84" t="s">
        <v>46</v>
      </c>
      <c r="AJ17" s="79" t="s">
        <v>9</v>
      </c>
      <c r="AK17" s="79" t="s">
        <v>10</v>
      </c>
      <c r="AL17" s="84" t="s">
        <v>46</v>
      </c>
      <c r="AM17" s="79" t="s">
        <v>9</v>
      </c>
      <c r="AN17" s="79" t="s">
        <v>10</v>
      </c>
      <c r="AO17" s="84" t="s">
        <v>46</v>
      </c>
      <c r="AP17" s="79" t="s">
        <v>9</v>
      </c>
      <c r="AQ17" s="79" t="s">
        <v>10</v>
      </c>
      <c r="AR17" s="84" t="s">
        <v>46</v>
      </c>
      <c r="AS17" s="79" t="s">
        <v>9</v>
      </c>
      <c r="AT17" s="79" t="s">
        <v>10</v>
      </c>
      <c r="AU17" s="84" t="s">
        <v>46</v>
      </c>
      <c r="AV17" s="79" t="s">
        <v>9</v>
      </c>
      <c r="AW17" s="79" t="s">
        <v>10</v>
      </c>
      <c r="AX17" s="84" t="s">
        <v>46</v>
      </c>
      <c r="AY17" s="79" t="s">
        <v>9</v>
      </c>
      <c r="AZ17" s="79" t="s">
        <v>10</v>
      </c>
      <c r="BA17" s="97" t="s">
        <v>46</v>
      </c>
      <c r="BB17" s="79" t="s">
        <v>9</v>
      </c>
      <c r="BC17" s="79" t="s">
        <v>10</v>
      </c>
    </row>
    <row r="18" spans="1:62" ht="14.95" thickBot="1" x14ac:dyDescent="0.3">
      <c r="A18" s="340" t="s">
        <v>221</v>
      </c>
      <c r="B18" s="341">
        <v>0</v>
      </c>
      <c r="C18" s="342">
        <v>0</v>
      </c>
      <c r="D18" s="343">
        <v>0</v>
      </c>
      <c r="E18" s="344">
        <f t="shared" si="0"/>
        <v>0</v>
      </c>
      <c r="F18" s="181" t="s">
        <v>221</v>
      </c>
      <c r="G18" s="78">
        <v>0</v>
      </c>
      <c r="H18" s="322">
        <v>0</v>
      </c>
      <c r="I18" s="226">
        <v>0</v>
      </c>
      <c r="J18" s="204">
        <f t="shared" si="1"/>
        <v>0</v>
      </c>
      <c r="K18" s="345" t="s">
        <v>977</v>
      </c>
      <c r="L18" s="348" t="s">
        <v>15</v>
      </c>
      <c r="M18" s="348" t="s">
        <v>15</v>
      </c>
      <c r="N18" s="350" t="s">
        <v>15</v>
      </c>
      <c r="O18" s="6" t="s">
        <v>15</v>
      </c>
      <c r="P18" s="6" t="s">
        <v>15</v>
      </c>
      <c r="Q18" s="157" t="s">
        <v>15</v>
      </c>
      <c r="R18" s="6" t="s">
        <v>15</v>
      </c>
      <c r="S18" s="6" t="s">
        <v>15</v>
      </c>
      <c r="T18" s="157" t="s">
        <v>15</v>
      </c>
      <c r="U18" s="6">
        <v>1</v>
      </c>
      <c r="V18" s="6">
        <v>4</v>
      </c>
      <c r="W18" s="157">
        <v>25</v>
      </c>
      <c r="AC18" s="97" t="s">
        <v>15</v>
      </c>
      <c r="AD18" s="97" t="s">
        <v>15</v>
      </c>
      <c r="AE18" s="97" t="s">
        <v>15</v>
      </c>
      <c r="AF18" s="97" t="s">
        <v>15</v>
      </c>
      <c r="AG18" s="97" t="s">
        <v>15</v>
      </c>
      <c r="AH18" s="97" t="s">
        <v>15</v>
      </c>
      <c r="AI18" s="97" t="s">
        <v>15</v>
      </c>
      <c r="AJ18" s="97" t="s">
        <v>15</v>
      </c>
      <c r="AK18" s="97" t="s">
        <v>15</v>
      </c>
      <c r="AL18" s="6" t="s">
        <v>15</v>
      </c>
      <c r="AM18" s="6" t="s">
        <v>15</v>
      </c>
      <c r="AN18" s="6" t="s">
        <v>15</v>
      </c>
      <c r="AO18" s="6" t="s">
        <v>15</v>
      </c>
      <c r="AP18" s="6" t="s">
        <v>15</v>
      </c>
      <c r="AQ18" s="6" t="s">
        <v>15</v>
      </c>
      <c r="AR18" s="6" t="s">
        <v>15</v>
      </c>
      <c r="AS18" s="6" t="s">
        <v>15</v>
      </c>
      <c r="AT18" s="6" t="s">
        <v>15</v>
      </c>
      <c r="AU18" s="6" t="s">
        <v>15</v>
      </c>
      <c r="AV18" s="6" t="s">
        <v>15</v>
      </c>
      <c r="AW18" s="6" t="s">
        <v>15</v>
      </c>
      <c r="AX18" s="6" t="s">
        <v>15</v>
      </c>
      <c r="AY18" s="6" t="s">
        <v>15</v>
      </c>
      <c r="AZ18" s="152" t="s">
        <v>15</v>
      </c>
      <c r="BA18" s="6" t="s">
        <v>15</v>
      </c>
      <c r="BB18" s="152" t="s">
        <v>15</v>
      </c>
      <c r="BC18" s="152" t="s">
        <v>15</v>
      </c>
    </row>
    <row r="19" spans="1:62" ht="14.95" customHeight="1" thickBot="1" x14ac:dyDescent="0.3">
      <c r="A19" s="340" t="s">
        <v>967</v>
      </c>
      <c r="B19" s="341">
        <v>5</v>
      </c>
      <c r="C19" s="342">
        <v>0</v>
      </c>
      <c r="D19" s="343">
        <v>5</v>
      </c>
      <c r="E19" s="344">
        <f t="shared" si="0"/>
        <v>10</v>
      </c>
      <c r="F19" s="182" t="s">
        <v>967</v>
      </c>
      <c r="G19" s="78">
        <v>25</v>
      </c>
      <c r="H19" s="322">
        <v>0</v>
      </c>
      <c r="I19" s="226">
        <v>25</v>
      </c>
      <c r="J19" s="204">
        <f t="shared" si="1"/>
        <v>50</v>
      </c>
      <c r="K19" s="340" t="s">
        <v>506</v>
      </c>
      <c r="L19" s="348">
        <v>33</v>
      </c>
      <c r="M19" s="348">
        <v>38</v>
      </c>
      <c r="N19" s="350">
        <f t="shared" ref="N19" si="12">SUM(L19/M19)*100</f>
        <v>86.842105263157904</v>
      </c>
      <c r="O19" s="6">
        <v>12</v>
      </c>
      <c r="P19" s="6">
        <v>13</v>
      </c>
      <c r="Q19" s="157">
        <v>92.307692307692307</v>
      </c>
      <c r="R19" s="6">
        <v>4</v>
      </c>
      <c r="S19" s="6">
        <v>8</v>
      </c>
      <c r="T19" s="157">
        <v>50</v>
      </c>
      <c r="U19" s="6">
        <v>9</v>
      </c>
      <c r="V19" s="6">
        <v>13</v>
      </c>
      <c r="W19" s="157">
        <v>69</v>
      </c>
      <c r="AC19" s="148">
        <v>1</v>
      </c>
      <c r="AD19" s="7">
        <v>1</v>
      </c>
      <c r="AE19" s="153">
        <f t="shared" ref="AE19:AE20" si="13">SUM(AC19/AD19)*100</f>
        <v>100</v>
      </c>
      <c r="AF19" s="148" t="s">
        <v>15</v>
      </c>
      <c r="AG19" s="7" t="s">
        <v>15</v>
      </c>
      <c r="AH19" s="153" t="s">
        <v>15</v>
      </c>
      <c r="AI19" s="148">
        <v>1</v>
      </c>
      <c r="AJ19" s="7">
        <v>1</v>
      </c>
      <c r="AK19" s="153">
        <f t="shared" ref="AK19" si="14">SUM(AI19/AJ19)*100</f>
        <v>100</v>
      </c>
      <c r="AL19" s="148">
        <v>21</v>
      </c>
      <c r="AM19" s="7">
        <v>27</v>
      </c>
      <c r="AN19" s="153">
        <f t="shared" ref="AN19" si="15">SUM(AL19/AM19)*100</f>
        <v>77.777777777777786</v>
      </c>
      <c r="AO19" s="148">
        <v>12</v>
      </c>
      <c r="AP19" s="7">
        <v>15</v>
      </c>
      <c r="AQ19" s="153">
        <f t="shared" ref="AQ19" si="16">SUM(AO19/AP19)*100</f>
        <v>80</v>
      </c>
      <c r="AR19" s="148">
        <v>25</v>
      </c>
      <c r="AS19" s="7">
        <v>34</v>
      </c>
      <c r="AT19" s="153">
        <v>73.529411764705884</v>
      </c>
      <c r="AU19" s="328">
        <v>18</v>
      </c>
      <c r="AV19" s="153">
        <v>26</v>
      </c>
      <c r="AW19" s="153">
        <v>69.230769230769226</v>
      </c>
      <c r="AX19" s="328">
        <v>13</v>
      </c>
      <c r="AY19" s="153">
        <v>16</v>
      </c>
      <c r="AZ19" s="153">
        <v>81.25</v>
      </c>
      <c r="BA19" s="6" t="s">
        <v>15</v>
      </c>
      <c r="BB19" s="152" t="s">
        <v>15</v>
      </c>
      <c r="BC19" s="152" t="s">
        <v>15</v>
      </c>
    </row>
    <row r="20" spans="1:62" ht="16.5" customHeight="1" thickBot="1" x14ac:dyDescent="0.3">
      <c r="A20" s="340" t="s">
        <v>788</v>
      </c>
      <c r="B20" s="341">
        <v>2</v>
      </c>
      <c r="C20" s="342">
        <v>1</v>
      </c>
      <c r="D20" s="343">
        <v>6</v>
      </c>
      <c r="E20" s="344">
        <f t="shared" si="0"/>
        <v>9</v>
      </c>
      <c r="F20" s="182" t="s">
        <v>788</v>
      </c>
      <c r="G20" s="78">
        <v>10</v>
      </c>
      <c r="H20" s="322">
        <v>5</v>
      </c>
      <c r="I20" s="226">
        <v>30</v>
      </c>
      <c r="J20" s="204">
        <f t="shared" si="1"/>
        <v>45</v>
      </c>
      <c r="K20" s="335" t="s">
        <v>205</v>
      </c>
      <c r="L20" s="348" t="s">
        <v>15</v>
      </c>
      <c r="M20" s="348" t="s">
        <v>15</v>
      </c>
      <c r="N20" s="350" t="s">
        <v>15</v>
      </c>
      <c r="O20" s="6" t="s">
        <v>15</v>
      </c>
      <c r="P20" s="6" t="s">
        <v>15</v>
      </c>
      <c r="Q20" s="157" t="s">
        <v>15</v>
      </c>
      <c r="R20" s="6">
        <v>12</v>
      </c>
      <c r="S20" s="6">
        <v>19</v>
      </c>
      <c r="T20" s="157">
        <v>63.157894736842103</v>
      </c>
      <c r="U20" s="6" t="s">
        <v>15</v>
      </c>
      <c r="V20" s="6" t="s">
        <v>15</v>
      </c>
      <c r="W20" s="157" t="s">
        <v>15</v>
      </c>
      <c r="AC20" s="6">
        <v>3</v>
      </c>
      <c r="AD20" s="6">
        <v>4</v>
      </c>
      <c r="AE20" s="157">
        <f t="shared" si="13"/>
        <v>75</v>
      </c>
      <c r="AF20" s="97">
        <v>3</v>
      </c>
      <c r="AG20" s="97">
        <v>5</v>
      </c>
      <c r="AH20" s="97">
        <v>60</v>
      </c>
      <c r="AI20" s="97" t="s">
        <v>15</v>
      </c>
      <c r="AJ20" s="97" t="s">
        <v>15</v>
      </c>
      <c r="AK20" s="97" t="s">
        <v>15</v>
      </c>
      <c r="AL20" s="6">
        <v>4</v>
      </c>
      <c r="AM20" s="6">
        <v>4</v>
      </c>
      <c r="AN20" s="6">
        <f>SUM(AL20/AM20)*100</f>
        <v>100</v>
      </c>
      <c r="AO20" s="6" t="s">
        <v>15</v>
      </c>
      <c r="AP20" s="6" t="s">
        <v>15</v>
      </c>
      <c r="AQ20" s="6" t="s">
        <v>15</v>
      </c>
      <c r="AR20" s="6">
        <v>7</v>
      </c>
      <c r="AS20" s="6">
        <v>9</v>
      </c>
      <c r="AT20" s="157">
        <f>SUM(AR20/AS20)*100</f>
        <v>77.777777777777786</v>
      </c>
      <c r="AU20" s="6" t="s">
        <v>15</v>
      </c>
      <c r="AV20" s="6" t="s">
        <v>15</v>
      </c>
      <c r="AW20" s="6" t="s">
        <v>15</v>
      </c>
      <c r="AX20" s="6" t="s">
        <v>15</v>
      </c>
      <c r="AY20" s="7" t="s">
        <v>15</v>
      </c>
      <c r="AZ20" s="7" t="s">
        <v>15</v>
      </c>
      <c r="BA20" s="148" t="s">
        <v>15</v>
      </c>
      <c r="BB20" s="7" t="s">
        <v>15</v>
      </c>
      <c r="BC20" s="7" t="s">
        <v>15</v>
      </c>
    </row>
    <row r="21" spans="1:62" ht="14.95" customHeight="1" thickBot="1" x14ac:dyDescent="0.3">
      <c r="A21" s="340" t="s">
        <v>972</v>
      </c>
      <c r="B21" s="341">
        <v>0</v>
      </c>
      <c r="C21" s="342">
        <v>0</v>
      </c>
      <c r="D21" s="343">
        <v>0</v>
      </c>
      <c r="E21" s="344">
        <f t="shared" si="0"/>
        <v>0</v>
      </c>
      <c r="F21" s="182" t="s">
        <v>972</v>
      </c>
      <c r="G21" s="78">
        <v>0</v>
      </c>
      <c r="H21" s="322">
        <v>0</v>
      </c>
      <c r="I21" s="226">
        <v>0</v>
      </c>
      <c r="J21" s="204">
        <f t="shared" si="1"/>
        <v>0</v>
      </c>
      <c r="AF21" s="36"/>
      <c r="AG21" s="36"/>
      <c r="AH21" s="36"/>
      <c r="AL21" s="4"/>
      <c r="BA21" s="4"/>
      <c r="BJ21" s="4"/>
    </row>
    <row r="22" spans="1:62" ht="14.95" customHeight="1" thickBot="1" x14ac:dyDescent="0.3">
      <c r="A22" s="340" t="s">
        <v>971</v>
      </c>
      <c r="B22" s="341">
        <v>2</v>
      </c>
      <c r="C22" s="342">
        <v>0</v>
      </c>
      <c r="D22" s="343">
        <v>0</v>
      </c>
      <c r="E22" s="344">
        <f t="shared" si="0"/>
        <v>2</v>
      </c>
      <c r="F22" s="182" t="s">
        <v>971</v>
      </c>
      <c r="G22" s="78">
        <v>10</v>
      </c>
      <c r="H22" s="322">
        <v>0</v>
      </c>
      <c r="I22" s="226">
        <v>0</v>
      </c>
      <c r="J22" s="204">
        <f t="shared" si="1"/>
        <v>10</v>
      </c>
      <c r="K22" s="455" t="s">
        <v>189</v>
      </c>
      <c r="L22" s="478" t="s">
        <v>14</v>
      </c>
      <c r="M22" s="479"/>
      <c r="N22" s="480"/>
      <c r="O22" s="449" t="s">
        <v>226</v>
      </c>
      <c r="P22" s="450"/>
      <c r="Q22" s="451"/>
      <c r="R22" s="478" t="s">
        <v>875</v>
      </c>
      <c r="S22" s="479"/>
      <c r="T22" s="480"/>
      <c r="U22" s="478" t="s">
        <v>581</v>
      </c>
      <c r="V22" s="479"/>
      <c r="W22" s="480"/>
      <c r="AC22" s="478" t="s">
        <v>477</v>
      </c>
      <c r="AD22" s="479"/>
      <c r="AE22" s="480"/>
      <c r="AF22" s="478" t="s">
        <v>391</v>
      </c>
      <c r="AG22" s="479"/>
      <c r="AH22" s="480"/>
      <c r="AI22" s="478" t="s">
        <v>300</v>
      </c>
      <c r="AJ22" s="479"/>
      <c r="AK22" s="480"/>
      <c r="AL22" s="478" t="s">
        <v>219</v>
      </c>
      <c r="AM22" s="479"/>
      <c r="AN22" s="480"/>
      <c r="AO22" s="478" t="s">
        <v>165</v>
      </c>
      <c r="AP22" s="479"/>
      <c r="AQ22" s="480"/>
      <c r="AR22" s="478" t="s">
        <v>78</v>
      </c>
      <c r="AS22" s="479"/>
      <c r="AT22" s="480"/>
      <c r="AU22" s="478" t="s">
        <v>54</v>
      </c>
      <c r="AV22" s="479"/>
      <c r="AW22" s="480"/>
      <c r="AX22" s="478" t="s">
        <v>50</v>
      </c>
      <c r="AY22" s="479"/>
      <c r="AZ22" s="480"/>
      <c r="BA22" s="478" t="s">
        <v>41</v>
      </c>
      <c r="BB22" s="479"/>
      <c r="BC22" s="480"/>
    </row>
    <row r="23" spans="1:62" ht="14.95" customHeight="1" thickBot="1" x14ac:dyDescent="0.3">
      <c r="A23" s="340" t="s">
        <v>973</v>
      </c>
      <c r="B23" s="341">
        <v>0</v>
      </c>
      <c r="C23" s="342">
        <v>0</v>
      </c>
      <c r="D23" s="343">
        <v>5</v>
      </c>
      <c r="E23" s="344">
        <f t="shared" si="0"/>
        <v>5</v>
      </c>
      <c r="F23" s="182" t="s">
        <v>973</v>
      </c>
      <c r="G23" s="78">
        <v>0</v>
      </c>
      <c r="H23" s="322">
        <v>0</v>
      </c>
      <c r="I23" s="226">
        <v>25</v>
      </c>
      <c r="J23" s="204">
        <f t="shared" si="1"/>
        <v>25</v>
      </c>
      <c r="K23" s="456"/>
      <c r="L23" s="481"/>
      <c r="M23" s="482"/>
      <c r="N23" s="483"/>
      <c r="O23" s="452"/>
      <c r="P23" s="453"/>
      <c r="Q23" s="454"/>
      <c r="R23" s="481"/>
      <c r="S23" s="482"/>
      <c r="T23" s="483"/>
      <c r="U23" s="481"/>
      <c r="V23" s="482"/>
      <c r="W23" s="483"/>
      <c r="AC23" s="481"/>
      <c r="AD23" s="482"/>
      <c r="AE23" s="483"/>
      <c r="AF23" s="481"/>
      <c r="AG23" s="482"/>
      <c r="AH23" s="483"/>
      <c r="AI23" s="481"/>
      <c r="AJ23" s="482"/>
      <c r="AK23" s="483"/>
      <c r="AL23" s="481"/>
      <c r="AM23" s="482"/>
      <c r="AN23" s="483"/>
      <c r="AO23" s="481"/>
      <c r="AP23" s="482"/>
      <c r="AQ23" s="483"/>
      <c r="AR23" s="481"/>
      <c r="AS23" s="482"/>
      <c r="AT23" s="483"/>
      <c r="AU23" s="481"/>
      <c r="AV23" s="482"/>
      <c r="AW23" s="483"/>
      <c r="AX23" s="481"/>
      <c r="AY23" s="482"/>
      <c r="AZ23" s="483"/>
      <c r="BA23" s="481"/>
      <c r="BB23" s="482"/>
      <c r="BC23" s="483"/>
      <c r="BH23" s="4"/>
      <c r="BI23" s="4"/>
    </row>
    <row r="24" spans="1:62" ht="14.95" customHeight="1" thickBot="1" x14ac:dyDescent="0.3">
      <c r="A24" s="340" t="s">
        <v>195</v>
      </c>
      <c r="B24" s="341">
        <v>0</v>
      </c>
      <c r="C24" s="342">
        <v>0</v>
      </c>
      <c r="D24" s="343">
        <v>0</v>
      </c>
      <c r="E24" s="344">
        <f t="shared" si="0"/>
        <v>0</v>
      </c>
      <c r="F24" s="182" t="s">
        <v>195</v>
      </c>
      <c r="G24" s="78">
        <v>0</v>
      </c>
      <c r="H24" s="322">
        <v>0</v>
      </c>
      <c r="I24" s="226">
        <v>0</v>
      </c>
      <c r="J24" s="204">
        <f t="shared" si="1"/>
        <v>0</v>
      </c>
      <c r="K24" s="254"/>
      <c r="L24" s="79" t="s">
        <v>46</v>
      </c>
      <c r="M24" s="79" t="s">
        <v>9</v>
      </c>
      <c r="N24" s="79" t="s">
        <v>10</v>
      </c>
      <c r="O24" s="7" t="s">
        <v>46</v>
      </c>
      <c r="P24" s="7" t="s">
        <v>9</v>
      </c>
      <c r="Q24" s="7" t="s">
        <v>10</v>
      </c>
      <c r="R24" s="7" t="s">
        <v>46</v>
      </c>
      <c r="S24" s="7" t="s">
        <v>9</v>
      </c>
      <c r="T24" s="7" t="s">
        <v>10</v>
      </c>
      <c r="U24" s="7" t="s">
        <v>46</v>
      </c>
      <c r="V24" s="7" t="s">
        <v>9</v>
      </c>
      <c r="W24" s="7" t="s">
        <v>10</v>
      </c>
      <c r="AC24" s="148" t="s">
        <v>46</v>
      </c>
      <c r="AD24" s="7" t="s">
        <v>9</v>
      </c>
      <c r="AE24" s="7" t="s">
        <v>10</v>
      </c>
      <c r="AF24" s="148" t="s">
        <v>46</v>
      </c>
      <c r="AG24" s="7" t="s">
        <v>9</v>
      </c>
      <c r="AH24" s="7" t="s">
        <v>10</v>
      </c>
      <c r="AI24" s="84" t="s">
        <v>46</v>
      </c>
      <c r="AJ24" s="79" t="s">
        <v>9</v>
      </c>
      <c r="AK24" s="79" t="s">
        <v>10</v>
      </c>
      <c r="AL24" s="84" t="s">
        <v>46</v>
      </c>
      <c r="AM24" s="79" t="s">
        <v>9</v>
      </c>
      <c r="AN24" s="79" t="s">
        <v>10</v>
      </c>
      <c r="AO24" s="84" t="s">
        <v>46</v>
      </c>
      <c r="AP24" s="79" t="s">
        <v>9</v>
      </c>
      <c r="AQ24" s="79" t="s">
        <v>10</v>
      </c>
      <c r="AR24" s="84" t="s">
        <v>46</v>
      </c>
      <c r="AS24" s="79" t="s">
        <v>9</v>
      </c>
      <c r="AT24" s="79" t="s">
        <v>10</v>
      </c>
      <c r="AU24" s="84" t="s">
        <v>46</v>
      </c>
      <c r="AV24" s="79" t="s">
        <v>9</v>
      </c>
      <c r="AW24" s="79" t="s">
        <v>10</v>
      </c>
      <c r="AX24" s="84" t="s">
        <v>46</v>
      </c>
      <c r="AY24" s="79" t="s">
        <v>9</v>
      </c>
      <c r="AZ24" s="79" t="s">
        <v>10</v>
      </c>
      <c r="BA24" s="97" t="s">
        <v>46</v>
      </c>
      <c r="BB24" s="79" t="s">
        <v>9</v>
      </c>
      <c r="BC24" s="79" t="s">
        <v>10</v>
      </c>
    </row>
    <row r="25" spans="1:62" ht="14.95" customHeight="1" thickBot="1" x14ac:dyDescent="0.3">
      <c r="A25" s="340" t="s">
        <v>448</v>
      </c>
      <c r="B25" s="341">
        <v>0</v>
      </c>
      <c r="C25" s="342">
        <v>0</v>
      </c>
      <c r="D25" s="343">
        <v>0</v>
      </c>
      <c r="E25" s="344">
        <f t="shared" si="0"/>
        <v>0</v>
      </c>
      <c r="F25" s="182" t="s">
        <v>448</v>
      </c>
      <c r="G25" s="78">
        <v>0</v>
      </c>
      <c r="H25" s="322">
        <v>0</v>
      </c>
      <c r="I25" s="226">
        <v>0</v>
      </c>
      <c r="J25" s="204">
        <f t="shared" si="1"/>
        <v>0</v>
      </c>
      <c r="K25" s="345" t="s">
        <v>977</v>
      </c>
      <c r="L25" s="6" t="s">
        <v>15</v>
      </c>
      <c r="M25" s="6" t="s">
        <v>15</v>
      </c>
      <c r="N25" s="157" t="s">
        <v>15</v>
      </c>
      <c r="O25" s="6">
        <v>11</v>
      </c>
      <c r="P25" s="6">
        <v>15</v>
      </c>
      <c r="Q25" s="157">
        <v>73.333333333333329</v>
      </c>
      <c r="R25" s="6">
        <v>19</v>
      </c>
      <c r="S25" s="6">
        <v>24</v>
      </c>
      <c r="T25" s="157">
        <v>79.166666666666657</v>
      </c>
      <c r="U25" s="6" t="s">
        <v>15</v>
      </c>
      <c r="V25" s="6" t="s">
        <v>15</v>
      </c>
      <c r="W25" s="157" t="s">
        <v>15</v>
      </c>
      <c r="AC25" s="6" t="s">
        <v>15</v>
      </c>
      <c r="AD25" s="6" t="s">
        <v>15</v>
      </c>
      <c r="AE25" s="157" t="s">
        <v>15</v>
      </c>
      <c r="AF25" s="6" t="s">
        <v>15</v>
      </c>
      <c r="AG25" s="6" t="s">
        <v>15</v>
      </c>
      <c r="AH25" s="157" t="s">
        <v>15</v>
      </c>
      <c r="AI25" s="6" t="s">
        <v>15</v>
      </c>
      <c r="AJ25" s="6" t="s">
        <v>15</v>
      </c>
      <c r="AK25" s="157" t="s">
        <v>15</v>
      </c>
      <c r="AL25" s="6" t="s">
        <v>15</v>
      </c>
      <c r="AM25" s="6" t="s">
        <v>15</v>
      </c>
      <c r="AN25" s="157" t="s">
        <v>15</v>
      </c>
      <c r="AO25" s="6" t="s">
        <v>15</v>
      </c>
      <c r="AP25" s="6" t="s">
        <v>15</v>
      </c>
      <c r="AQ25" s="157" t="s">
        <v>15</v>
      </c>
      <c r="AR25" s="6" t="s">
        <v>15</v>
      </c>
      <c r="AS25" s="6" t="s">
        <v>15</v>
      </c>
      <c r="AT25" s="157" t="s">
        <v>15</v>
      </c>
      <c r="AU25" s="6" t="s">
        <v>15</v>
      </c>
      <c r="AV25" s="6" t="s">
        <v>15</v>
      </c>
      <c r="AW25" s="157" t="s">
        <v>15</v>
      </c>
      <c r="AX25" s="6" t="s">
        <v>15</v>
      </c>
      <c r="AY25" s="6" t="s">
        <v>15</v>
      </c>
      <c r="AZ25" s="157" t="s">
        <v>15</v>
      </c>
      <c r="BA25" s="6" t="s">
        <v>15</v>
      </c>
      <c r="BB25" s="6" t="s">
        <v>15</v>
      </c>
      <c r="BC25" s="157" t="s">
        <v>15</v>
      </c>
    </row>
    <row r="26" spans="1:62" ht="14.95" customHeight="1" thickBot="1" x14ac:dyDescent="0.3">
      <c r="A26" s="340" t="s">
        <v>478</v>
      </c>
      <c r="B26" s="341">
        <v>2</v>
      </c>
      <c r="C26" s="342">
        <v>1</v>
      </c>
      <c r="D26" s="343">
        <v>1</v>
      </c>
      <c r="E26" s="344">
        <f t="shared" si="0"/>
        <v>4</v>
      </c>
      <c r="F26" s="182" t="s">
        <v>478</v>
      </c>
      <c r="G26" s="78">
        <v>10</v>
      </c>
      <c r="H26" s="322">
        <v>5</v>
      </c>
      <c r="I26" s="226">
        <v>5</v>
      </c>
      <c r="J26" s="204">
        <f t="shared" si="1"/>
        <v>20</v>
      </c>
      <c r="K26" s="345" t="s">
        <v>833</v>
      </c>
      <c r="L26" s="6" t="s">
        <v>15</v>
      </c>
      <c r="M26" s="6" t="s">
        <v>15</v>
      </c>
      <c r="N26" s="157" t="s">
        <v>15</v>
      </c>
      <c r="O26" s="6">
        <v>7</v>
      </c>
      <c r="P26" s="6">
        <v>7</v>
      </c>
      <c r="Q26" s="157">
        <v>100</v>
      </c>
      <c r="R26" s="6" t="s">
        <v>15</v>
      </c>
      <c r="S26" s="6" t="s">
        <v>15</v>
      </c>
      <c r="T26" s="157" t="s">
        <v>15</v>
      </c>
      <c r="U26" s="6" t="s">
        <v>15</v>
      </c>
      <c r="V26" s="6" t="s">
        <v>15</v>
      </c>
      <c r="W26" s="157" t="s">
        <v>15</v>
      </c>
      <c r="AC26" s="6" t="s">
        <v>15</v>
      </c>
      <c r="AD26" s="6" t="s">
        <v>15</v>
      </c>
      <c r="AE26" s="157" t="s">
        <v>15</v>
      </c>
      <c r="AF26" s="6" t="s">
        <v>15</v>
      </c>
      <c r="AG26" s="6" t="s">
        <v>15</v>
      </c>
      <c r="AH26" s="157" t="s">
        <v>15</v>
      </c>
      <c r="AI26" s="97" t="s">
        <v>15</v>
      </c>
      <c r="AJ26" s="97" t="s">
        <v>15</v>
      </c>
      <c r="AK26" s="97" t="s">
        <v>15</v>
      </c>
      <c r="AL26" s="6" t="s">
        <v>15</v>
      </c>
      <c r="AM26" s="6" t="s">
        <v>15</v>
      </c>
      <c r="AN26" s="6" t="s">
        <v>15</v>
      </c>
      <c r="AO26" s="6" t="s">
        <v>15</v>
      </c>
      <c r="AP26" s="6" t="s">
        <v>15</v>
      </c>
      <c r="AQ26" s="6" t="s">
        <v>15</v>
      </c>
      <c r="AR26" s="6" t="s">
        <v>15</v>
      </c>
      <c r="AS26" s="6" t="s">
        <v>15</v>
      </c>
      <c r="AT26" s="6" t="s">
        <v>15</v>
      </c>
      <c r="AU26" s="6" t="s">
        <v>15</v>
      </c>
      <c r="AV26" s="6" t="s">
        <v>15</v>
      </c>
      <c r="AW26" s="6" t="s">
        <v>15</v>
      </c>
      <c r="AX26" s="6" t="s">
        <v>15</v>
      </c>
      <c r="AY26" s="6" t="s">
        <v>15</v>
      </c>
      <c r="AZ26" s="152" t="s">
        <v>15</v>
      </c>
      <c r="BA26" s="6" t="s">
        <v>15</v>
      </c>
      <c r="BB26" s="152" t="s">
        <v>15</v>
      </c>
      <c r="BC26" s="152" t="s">
        <v>15</v>
      </c>
    </row>
    <row r="27" spans="1:62" ht="14.95" thickBot="1" x14ac:dyDescent="0.3">
      <c r="A27" s="340" t="s">
        <v>29</v>
      </c>
      <c r="B27" s="341">
        <v>1</v>
      </c>
      <c r="C27" s="342">
        <v>4</v>
      </c>
      <c r="D27" s="343">
        <v>0</v>
      </c>
      <c r="E27" s="344">
        <f t="shared" si="0"/>
        <v>5</v>
      </c>
      <c r="F27" s="182" t="s">
        <v>29</v>
      </c>
      <c r="G27" s="78">
        <v>5</v>
      </c>
      <c r="H27" s="322">
        <v>20</v>
      </c>
      <c r="I27" s="226">
        <v>0</v>
      </c>
      <c r="J27" s="204">
        <f t="shared" si="1"/>
        <v>25</v>
      </c>
      <c r="K27" s="345" t="s">
        <v>510</v>
      </c>
      <c r="L27" s="6" t="s">
        <v>15</v>
      </c>
      <c r="M27" s="6" t="s">
        <v>15</v>
      </c>
      <c r="N27" s="157" t="s">
        <v>15</v>
      </c>
      <c r="O27" s="6">
        <v>19</v>
      </c>
      <c r="P27" s="6">
        <v>24</v>
      </c>
      <c r="Q27" s="157">
        <v>79.166666666666657</v>
      </c>
      <c r="R27" s="6" t="s">
        <v>15</v>
      </c>
      <c r="S27" s="6" t="s">
        <v>15</v>
      </c>
      <c r="T27" s="157" t="s">
        <v>15</v>
      </c>
      <c r="U27" s="6" t="s">
        <v>15</v>
      </c>
      <c r="V27" s="6" t="s">
        <v>15</v>
      </c>
      <c r="W27" s="157" t="s">
        <v>15</v>
      </c>
      <c r="AC27" s="6" t="s">
        <v>15</v>
      </c>
      <c r="AD27" s="6" t="s">
        <v>15</v>
      </c>
      <c r="AE27" s="157" t="s">
        <v>15</v>
      </c>
      <c r="AF27" s="6" t="s">
        <v>15</v>
      </c>
      <c r="AG27" s="6" t="s">
        <v>15</v>
      </c>
      <c r="AH27" s="157" t="s">
        <v>15</v>
      </c>
      <c r="AI27" s="97" t="s">
        <v>15</v>
      </c>
      <c r="AJ27" s="97" t="s">
        <v>15</v>
      </c>
      <c r="AK27" s="97" t="s">
        <v>15</v>
      </c>
      <c r="AL27" s="6" t="s">
        <v>15</v>
      </c>
      <c r="AM27" s="6" t="s">
        <v>15</v>
      </c>
      <c r="AN27" s="6" t="s">
        <v>15</v>
      </c>
      <c r="AO27" s="6" t="s">
        <v>15</v>
      </c>
      <c r="AP27" s="6" t="s">
        <v>15</v>
      </c>
      <c r="AQ27" s="6" t="s">
        <v>15</v>
      </c>
      <c r="AR27" s="6" t="s">
        <v>15</v>
      </c>
      <c r="AS27" s="6" t="s">
        <v>15</v>
      </c>
      <c r="AT27" s="6" t="s">
        <v>15</v>
      </c>
      <c r="AU27" s="6" t="s">
        <v>15</v>
      </c>
      <c r="AV27" s="6" t="s">
        <v>15</v>
      </c>
      <c r="AW27" s="6" t="s">
        <v>15</v>
      </c>
      <c r="AX27" s="6" t="s">
        <v>15</v>
      </c>
      <c r="AY27" s="6" t="s">
        <v>15</v>
      </c>
      <c r="AZ27" s="152" t="s">
        <v>15</v>
      </c>
      <c r="BA27" s="6" t="s">
        <v>15</v>
      </c>
      <c r="BB27" s="152" t="s">
        <v>15</v>
      </c>
      <c r="BC27" s="152" t="s">
        <v>15</v>
      </c>
    </row>
    <row r="28" spans="1:62" ht="14.95" customHeight="1" thickBot="1" x14ac:dyDescent="0.3">
      <c r="A28" s="340" t="s">
        <v>843</v>
      </c>
      <c r="B28" s="341">
        <v>0</v>
      </c>
      <c r="C28" s="342">
        <v>0</v>
      </c>
      <c r="D28" s="343">
        <v>0</v>
      </c>
      <c r="E28" s="344">
        <f t="shared" si="0"/>
        <v>0</v>
      </c>
      <c r="F28" s="182" t="s">
        <v>843</v>
      </c>
      <c r="G28" s="78">
        <v>0</v>
      </c>
      <c r="H28" s="322">
        <v>0</v>
      </c>
      <c r="I28" s="226">
        <v>0</v>
      </c>
      <c r="J28" s="204">
        <f t="shared" si="1"/>
        <v>0</v>
      </c>
      <c r="K28" s="345" t="s">
        <v>505</v>
      </c>
      <c r="L28" s="6" t="s">
        <v>15</v>
      </c>
      <c r="M28" s="6" t="s">
        <v>15</v>
      </c>
      <c r="N28" s="157" t="s">
        <v>15</v>
      </c>
      <c r="O28" s="6" t="s">
        <v>15</v>
      </c>
      <c r="P28" s="6" t="s">
        <v>15</v>
      </c>
      <c r="Q28" s="157" t="s">
        <v>15</v>
      </c>
      <c r="R28" s="6" t="s">
        <v>15</v>
      </c>
      <c r="S28" s="6" t="s">
        <v>15</v>
      </c>
      <c r="T28" s="157" t="s">
        <v>15</v>
      </c>
      <c r="U28" s="6">
        <v>1</v>
      </c>
      <c r="V28" s="6">
        <v>1</v>
      </c>
      <c r="W28" s="6">
        <v>100</v>
      </c>
      <c r="AC28" s="6">
        <v>1</v>
      </c>
      <c r="AD28" s="6">
        <v>2</v>
      </c>
      <c r="AE28" s="6">
        <f>SUM(AC28/AD28)*100</f>
        <v>50</v>
      </c>
      <c r="AF28" s="6">
        <v>10</v>
      </c>
      <c r="AG28" s="6">
        <v>12</v>
      </c>
      <c r="AH28" s="157">
        <f>SUM(AF28/AG28)*100</f>
        <v>83.333333333333343</v>
      </c>
      <c r="AI28" s="97" t="s">
        <v>15</v>
      </c>
      <c r="AJ28" s="97" t="s">
        <v>15</v>
      </c>
      <c r="AK28" s="97" t="s">
        <v>15</v>
      </c>
      <c r="AL28" s="6" t="s">
        <v>15</v>
      </c>
      <c r="AM28" s="6" t="s">
        <v>15</v>
      </c>
      <c r="AN28" s="6" t="s">
        <v>15</v>
      </c>
      <c r="AO28" s="6" t="s">
        <v>15</v>
      </c>
      <c r="AP28" s="6" t="s">
        <v>15</v>
      </c>
      <c r="AQ28" s="6" t="s">
        <v>15</v>
      </c>
      <c r="AR28" s="6" t="s">
        <v>15</v>
      </c>
      <c r="AS28" s="6" t="s">
        <v>15</v>
      </c>
      <c r="AT28" s="6" t="s">
        <v>15</v>
      </c>
      <c r="AU28" s="6" t="s">
        <v>15</v>
      </c>
      <c r="AV28" s="6" t="s">
        <v>15</v>
      </c>
      <c r="AW28" s="6" t="s">
        <v>15</v>
      </c>
      <c r="AX28" s="6" t="s">
        <v>15</v>
      </c>
      <c r="AY28" s="6" t="s">
        <v>15</v>
      </c>
      <c r="AZ28" s="152" t="s">
        <v>15</v>
      </c>
      <c r="BA28" s="6" t="s">
        <v>15</v>
      </c>
      <c r="BB28" s="152" t="s">
        <v>15</v>
      </c>
      <c r="BC28" s="152" t="s">
        <v>15</v>
      </c>
    </row>
    <row r="29" spans="1:62" ht="14.95" customHeight="1" thickBot="1" x14ac:dyDescent="0.3">
      <c r="A29" s="340" t="s">
        <v>70</v>
      </c>
      <c r="B29" s="341">
        <v>3</v>
      </c>
      <c r="C29" s="342">
        <v>1</v>
      </c>
      <c r="D29" s="343">
        <v>0</v>
      </c>
      <c r="E29" s="344">
        <f t="shared" si="0"/>
        <v>4</v>
      </c>
      <c r="F29" s="182" t="s">
        <v>70</v>
      </c>
      <c r="G29" s="78">
        <v>15</v>
      </c>
      <c r="H29" s="322">
        <v>5</v>
      </c>
      <c r="I29" s="226">
        <v>0</v>
      </c>
      <c r="J29" s="204">
        <f t="shared" si="1"/>
        <v>20</v>
      </c>
      <c r="K29" s="199"/>
      <c r="L29" s="172"/>
      <c r="M29" s="170"/>
      <c r="N29" s="170"/>
      <c r="O29" s="200"/>
      <c r="P29" s="198"/>
      <c r="Q29" s="200"/>
      <c r="R29" s="170"/>
      <c r="S29" s="170"/>
      <c r="T29" s="170"/>
      <c r="U29" s="172"/>
      <c r="V29" s="170"/>
      <c r="W29" s="172"/>
      <c r="AC29" s="170"/>
      <c r="AD29" s="170"/>
      <c r="AE29" s="170"/>
      <c r="AF29" s="172"/>
      <c r="AG29" s="170"/>
      <c r="AH29" s="170"/>
      <c r="AI29" s="170"/>
      <c r="AJ29" s="86"/>
      <c r="AK29" s="86"/>
      <c r="AL29" s="86"/>
      <c r="AM29" s="86"/>
      <c r="AN29" s="86"/>
      <c r="AO29" s="36"/>
      <c r="AP29" s="36"/>
      <c r="AQ29" s="36"/>
      <c r="AS29" s="4"/>
      <c r="AT29" s="4"/>
      <c r="AU29" s="4"/>
    </row>
    <row r="30" spans="1:62" ht="14.95" thickBot="1" x14ac:dyDescent="0.3">
      <c r="A30" s="340" t="s">
        <v>837</v>
      </c>
      <c r="B30" s="341">
        <v>0</v>
      </c>
      <c r="C30" s="342">
        <v>0</v>
      </c>
      <c r="D30" s="343">
        <v>0</v>
      </c>
      <c r="E30" s="344">
        <f t="shared" si="0"/>
        <v>0</v>
      </c>
      <c r="F30" s="182" t="s">
        <v>837</v>
      </c>
      <c r="G30" s="78">
        <v>0</v>
      </c>
      <c r="H30" s="322">
        <v>0</v>
      </c>
      <c r="I30" s="226">
        <v>0</v>
      </c>
      <c r="J30" s="204">
        <f t="shared" si="1"/>
        <v>0</v>
      </c>
      <c r="K30" s="472" t="s">
        <v>1003</v>
      </c>
      <c r="L30" s="457" t="s">
        <v>14</v>
      </c>
      <c r="M30" s="461"/>
      <c r="N30" s="458"/>
      <c r="O30" s="449" t="s">
        <v>226</v>
      </c>
      <c r="P30" s="450"/>
      <c r="Q30" s="451"/>
      <c r="R30" s="478" t="s">
        <v>875</v>
      </c>
      <c r="S30" s="479"/>
      <c r="T30" s="480"/>
      <c r="U30" s="478" t="s">
        <v>581</v>
      </c>
      <c r="V30" s="479"/>
      <c r="W30" s="480"/>
      <c r="AC30" s="449" t="s">
        <v>477</v>
      </c>
      <c r="AD30" s="450"/>
      <c r="AE30" s="451"/>
      <c r="AF30" s="478" t="s">
        <v>300</v>
      </c>
      <c r="AG30" s="479"/>
      <c r="AH30" s="480"/>
      <c r="AI30" s="478" t="s">
        <v>219</v>
      </c>
      <c r="AJ30" s="479"/>
      <c r="AK30" s="480"/>
      <c r="AL30" s="478" t="s">
        <v>165</v>
      </c>
      <c r="AM30" s="479"/>
      <c r="AN30" s="480"/>
      <c r="AO30" s="478" t="s">
        <v>78</v>
      </c>
      <c r="AP30" s="479"/>
      <c r="AQ30" s="480"/>
      <c r="AR30" s="478" t="s">
        <v>50</v>
      </c>
      <c r="AS30" s="479"/>
      <c r="AT30" s="480"/>
      <c r="AU30" s="478" t="s">
        <v>37</v>
      </c>
      <c r="AV30" s="479"/>
      <c r="AW30" s="480"/>
      <c r="AX30" s="36"/>
      <c r="AY30" s="36"/>
      <c r="AZ30" s="36"/>
    </row>
    <row r="31" spans="1:62" ht="14.95" thickBot="1" x14ac:dyDescent="0.3">
      <c r="A31" s="340" t="s">
        <v>975</v>
      </c>
      <c r="B31" s="341">
        <v>0</v>
      </c>
      <c r="C31" s="342">
        <v>0</v>
      </c>
      <c r="D31" s="343">
        <v>0</v>
      </c>
      <c r="E31" s="344">
        <f t="shared" si="0"/>
        <v>0</v>
      </c>
      <c r="F31" s="182" t="s">
        <v>975</v>
      </c>
      <c r="G31" s="78">
        <v>0</v>
      </c>
      <c r="H31" s="322">
        <v>0</v>
      </c>
      <c r="I31" s="226">
        <v>8</v>
      </c>
      <c r="J31" s="204">
        <f t="shared" si="1"/>
        <v>8</v>
      </c>
      <c r="K31" s="473"/>
      <c r="L31" s="459"/>
      <c r="M31" s="462"/>
      <c r="N31" s="460"/>
      <c r="O31" s="452"/>
      <c r="P31" s="453"/>
      <c r="Q31" s="454"/>
      <c r="R31" s="481"/>
      <c r="S31" s="482"/>
      <c r="T31" s="483"/>
      <c r="U31" s="481"/>
      <c r="V31" s="482"/>
      <c r="W31" s="483"/>
      <c r="AC31" s="452"/>
      <c r="AD31" s="453"/>
      <c r="AE31" s="454"/>
      <c r="AF31" s="481"/>
      <c r="AG31" s="482"/>
      <c r="AH31" s="483"/>
      <c r="AI31" s="481"/>
      <c r="AJ31" s="482"/>
      <c r="AK31" s="483"/>
      <c r="AL31" s="481"/>
      <c r="AM31" s="482"/>
      <c r="AN31" s="483"/>
      <c r="AO31" s="481"/>
      <c r="AP31" s="482"/>
      <c r="AQ31" s="483"/>
      <c r="AR31" s="481"/>
      <c r="AS31" s="482"/>
      <c r="AT31" s="483"/>
      <c r="AU31" s="481"/>
      <c r="AV31" s="482"/>
      <c r="AW31" s="483"/>
      <c r="AX31" s="36"/>
      <c r="AY31" s="36"/>
      <c r="AZ31" s="36"/>
    </row>
    <row r="32" spans="1:62" ht="14.95" thickBot="1" x14ac:dyDescent="0.3">
      <c r="A32" s="340" t="s">
        <v>1095</v>
      </c>
      <c r="B32" s="341">
        <v>0</v>
      </c>
      <c r="C32" s="342">
        <v>0</v>
      </c>
      <c r="D32" s="343">
        <v>1</v>
      </c>
      <c r="E32" s="344">
        <f t="shared" si="0"/>
        <v>1</v>
      </c>
      <c r="F32" s="182" t="s">
        <v>1095</v>
      </c>
      <c r="G32" s="78">
        <v>0</v>
      </c>
      <c r="H32" s="322">
        <v>0</v>
      </c>
      <c r="I32" s="226">
        <v>5</v>
      </c>
      <c r="J32" s="204">
        <f t="shared" si="1"/>
        <v>5</v>
      </c>
      <c r="K32" s="414" t="s">
        <v>21</v>
      </c>
      <c r="L32" s="3" t="s">
        <v>46</v>
      </c>
      <c r="M32" s="3" t="s">
        <v>9</v>
      </c>
      <c r="N32" s="3" t="s">
        <v>10</v>
      </c>
      <c r="O32" s="7" t="s">
        <v>46</v>
      </c>
      <c r="P32" s="7" t="s">
        <v>9</v>
      </c>
      <c r="Q32" s="7" t="s">
        <v>10</v>
      </c>
      <c r="R32" s="7" t="s">
        <v>46</v>
      </c>
      <c r="S32" s="7" t="s">
        <v>9</v>
      </c>
      <c r="T32" s="7" t="s">
        <v>10</v>
      </c>
      <c r="U32" s="7" t="s">
        <v>46</v>
      </c>
      <c r="V32" s="7" t="s">
        <v>9</v>
      </c>
      <c r="W32" s="7" t="s">
        <v>10</v>
      </c>
      <c r="AC32" s="148" t="s">
        <v>46</v>
      </c>
      <c r="AD32" s="7" t="s">
        <v>9</v>
      </c>
      <c r="AE32" s="7" t="s">
        <v>10</v>
      </c>
      <c r="AF32" s="84" t="s">
        <v>46</v>
      </c>
      <c r="AG32" s="79" t="s">
        <v>9</v>
      </c>
      <c r="AH32" s="79" t="s">
        <v>10</v>
      </c>
      <c r="AI32" s="84" t="s">
        <v>46</v>
      </c>
      <c r="AJ32" s="79" t="s">
        <v>9</v>
      </c>
      <c r="AK32" s="79" t="s">
        <v>10</v>
      </c>
      <c r="AL32" s="97" t="s">
        <v>46</v>
      </c>
      <c r="AM32" s="79" t="s">
        <v>9</v>
      </c>
      <c r="AN32" s="79" t="s">
        <v>10</v>
      </c>
      <c r="AO32" s="84" t="s">
        <v>46</v>
      </c>
      <c r="AP32" s="79" t="s">
        <v>9</v>
      </c>
      <c r="AQ32" s="79" t="s">
        <v>10</v>
      </c>
      <c r="AR32" s="84" t="s">
        <v>46</v>
      </c>
      <c r="AS32" s="79" t="s">
        <v>9</v>
      </c>
      <c r="AT32" s="79" t="s">
        <v>10</v>
      </c>
      <c r="AU32" s="84" t="s">
        <v>46</v>
      </c>
      <c r="AV32" s="79" t="s">
        <v>9</v>
      </c>
      <c r="AW32" s="79" t="s">
        <v>10</v>
      </c>
      <c r="AX32" s="36"/>
      <c r="AY32" s="36"/>
      <c r="AZ32" s="36"/>
    </row>
    <row r="33" spans="1:55" ht="15.8" customHeight="1" thickBot="1" x14ac:dyDescent="0.3">
      <c r="A33" s="340" t="s">
        <v>584</v>
      </c>
      <c r="B33" s="341">
        <v>0</v>
      </c>
      <c r="C33" s="342">
        <v>0</v>
      </c>
      <c r="D33" s="343">
        <v>0</v>
      </c>
      <c r="E33" s="344">
        <f t="shared" si="0"/>
        <v>0</v>
      </c>
      <c r="F33" s="182" t="s">
        <v>584</v>
      </c>
      <c r="G33" s="78">
        <v>0</v>
      </c>
      <c r="H33" s="322">
        <v>0</v>
      </c>
      <c r="I33" s="226">
        <v>0</v>
      </c>
      <c r="J33" s="204">
        <f t="shared" si="1"/>
        <v>0</v>
      </c>
      <c r="K33" s="345" t="s">
        <v>448</v>
      </c>
      <c r="L33" s="346" t="s">
        <v>15</v>
      </c>
      <c r="M33" s="346" t="s">
        <v>15</v>
      </c>
      <c r="N33" s="347" t="s">
        <v>15</v>
      </c>
      <c r="O33" s="7" t="s">
        <v>15</v>
      </c>
      <c r="P33" s="7" t="s">
        <v>15</v>
      </c>
      <c r="Q33" s="153" t="s">
        <v>15</v>
      </c>
      <c r="R33" s="7" t="s">
        <v>15</v>
      </c>
      <c r="S33" s="7" t="s">
        <v>15</v>
      </c>
      <c r="T33" s="153" t="s">
        <v>15</v>
      </c>
      <c r="U33" s="7">
        <v>1</v>
      </c>
      <c r="V33" s="7">
        <v>1</v>
      </c>
      <c r="W33" s="153">
        <v>100</v>
      </c>
      <c r="AC33" s="148" t="s">
        <v>15</v>
      </c>
      <c r="AD33" s="7" t="s">
        <v>15</v>
      </c>
      <c r="AE33" s="153" t="s">
        <v>15</v>
      </c>
      <c r="AF33" s="84" t="s">
        <v>15</v>
      </c>
      <c r="AG33" s="79" t="s">
        <v>15</v>
      </c>
      <c r="AH33" s="171" t="s">
        <v>15</v>
      </c>
      <c r="AI33" s="84" t="s">
        <v>15</v>
      </c>
      <c r="AJ33" s="79" t="s">
        <v>15</v>
      </c>
      <c r="AK33" s="171" t="s">
        <v>15</v>
      </c>
      <c r="AL33" s="6" t="s">
        <v>15</v>
      </c>
      <c r="AM33" s="6" t="s">
        <v>15</v>
      </c>
      <c r="AN33" s="6" t="s">
        <v>15</v>
      </c>
      <c r="AO33" s="6" t="s">
        <v>15</v>
      </c>
      <c r="AP33" s="6" t="s">
        <v>15</v>
      </c>
      <c r="AQ33" s="6" t="s">
        <v>15</v>
      </c>
      <c r="AR33" s="6" t="s">
        <v>15</v>
      </c>
      <c r="AS33" s="6" t="s">
        <v>15</v>
      </c>
      <c r="AT33" s="6" t="s">
        <v>15</v>
      </c>
      <c r="AU33" s="6" t="s">
        <v>15</v>
      </c>
      <c r="AV33" s="6" t="s">
        <v>15</v>
      </c>
      <c r="AW33" s="6" t="s">
        <v>15</v>
      </c>
      <c r="AX33" s="36"/>
      <c r="AY33" s="36"/>
      <c r="AZ33" s="36"/>
    </row>
    <row r="34" spans="1:55" ht="15.8" customHeight="1" thickBot="1" x14ac:dyDescent="0.3">
      <c r="A34" s="340" t="s">
        <v>974</v>
      </c>
      <c r="B34" s="341">
        <v>0</v>
      </c>
      <c r="C34" s="342">
        <v>0</v>
      </c>
      <c r="D34" s="343">
        <v>0</v>
      </c>
      <c r="E34" s="344">
        <f t="shared" si="0"/>
        <v>0</v>
      </c>
      <c r="F34" s="182" t="s">
        <v>974</v>
      </c>
      <c r="G34" s="78">
        <v>0</v>
      </c>
      <c r="H34" s="322">
        <v>0</v>
      </c>
      <c r="I34" s="226">
        <v>0</v>
      </c>
      <c r="J34" s="204">
        <f t="shared" si="1"/>
        <v>0</v>
      </c>
      <c r="K34" s="421" t="s">
        <v>1011</v>
      </c>
      <c r="L34" s="346">
        <v>11</v>
      </c>
      <c r="M34" s="346">
        <v>17</v>
      </c>
      <c r="N34" s="347">
        <f t="shared" ref="N34:N37" si="17">SUM(L34/M34)*100</f>
        <v>64.705882352941174</v>
      </c>
      <c r="O34" s="7" t="s">
        <v>15</v>
      </c>
      <c r="P34" s="7" t="s">
        <v>15</v>
      </c>
      <c r="Q34" s="153" t="s">
        <v>15</v>
      </c>
      <c r="R34" s="7" t="s">
        <v>15</v>
      </c>
      <c r="S34" s="7" t="s">
        <v>15</v>
      </c>
      <c r="T34" s="153" t="s">
        <v>15</v>
      </c>
      <c r="U34" s="7" t="s">
        <v>15</v>
      </c>
      <c r="V34" s="7" t="s">
        <v>15</v>
      </c>
      <c r="W34" s="153" t="s">
        <v>15</v>
      </c>
      <c r="AC34" s="6" t="s">
        <v>15</v>
      </c>
      <c r="AD34" s="7" t="s">
        <v>15</v>
      </c>
      <c r="AE34" s="153" t="s">
        <v>15</v>
      </c>
      <c r="AF34" s="7" t="s">
        <v>15</v>
      </c>
      <c r="AG34" s="7" t="s">
        <v>15</v>
      </c>
      <c r="AH34" s="153" t="s">
        <v>15</v>
      </c>
      <c r="AI34" s="7" t="s">
        <v>15</v>
      </c>
      <c r="AJ34" s="7" t="s">
        <v>15</v>
      </c>
      <c r="AK34" s="153" t="s">
        <v>15</v>
      </c>
      <c r="AL34" s="7" t="s">
        <v>15</v>
      </c>
      <c r="AM34" s="7" t="s">
        <v>15</v>
      </c>
      <c r="AN34" s="153" t="s">
        <v>15</v>
      </c>
      <c r="AO34" s="7" t="s">
        <v>15</v>
      </c>
      <c r="AP34" s="7" t="s">
        <v>15</v>
      </c>
      <c r="AQ34" s="153" t="s">
        <v>15</v>
      </c>
      <c r="AR34" s="7" t="s">
        <v>15</v>
      </c>
      <c r="AS34" s="7" t="s">
        <v>15</v>
      </c>
      <c r="AT34" s="153" t="s">
        <v>15</v>
      </c>
      <c r="AU34" s="7" t="s">
        <v>15</v>
      </c>
      <c r="AV34" s="7" t="s">
        <v>15</v>
      </c>
      <c r="AW34" s="153" t="s">
        <v>15</v>
      </c>
      <c r="AX34" s="36"/>
      <c r="AY34" s="36"/>
      <c r="AZ34" s="36"/>
    </row>
    <row r="35" spans="1:55" ht="14.95" thickBot="1" x14ac:dyDescent="0.3">
      <c r="A35" s="340" t="s">
        <v>224</v>
      </c>
      <c r="B35" s="341">
        <v>1</v>
      </c>
      <c r="C35" s="342">
        <v>1</v>
      </c>
      <c r="D35" s="343">
        <v>1</v>
      </c>
      <c r="E35" s="344">
        <f t="shared" si="0"/>
        <v>3</v>
      </c>
      <c r="F35" s="182" t="s">
        <v>224</v>
      </c>
      <c r="G35" s="78">
        <v>5</v>
      </c>
      <c r="H35" s="322">
        <v>5</v>
      </c>
      <c r="I35" s="226">
        <v>5</v>
      </c>
      <c r="J35" s="204">
        <f t="shared" si="1"/>
        <v>15</v>
      </c>
      <c r="K35" s="340" t="s">
        <v>833</v>
      </c>
      <c r="L35" s="346" t="s">
        <v>15</v>
      </c>
      <c r="M35" s="346" t="s">
        <v>15</v>
      </c>
      <c r="N35" s="347" t="s">
        <v>15</v>
      </c>
      <c r="O35" s="7">
        <v>23</v>
      </c>
      <c r="P35" s="7">
        <v>34</v>
      </c>
      <c r="Q35" s="153">
        <v>67.64705882352942</v>
      </c>
      <c r="R35" s="7" t="s">
        <v>15</v>
      </c>
      <c r="S35" s="7" t="s">
        <v>15</v>
      </c>
      <c r="T35" s="153" t="s">
        <v>15</v>
      </c>
      <c r="U35" s="7" t="s">
        <v>15</v>
      </c>
      <c r="V35" s="7" t="s">
        <v>15</v>
      </c>
      <c r="W35" s="153" t="s">
        <v>15</v>
      </c>
      <c r="AC35" s="148" t="s">
        <v>15</v>
      </c>
      <c r="AD35" s="7" t="s">
        <v>15</v>
      </c>
      <c r="AE35" s="153" t="s">
        <v>15</v>
      </c>
      <c r="AF35" s="6" t="s">
        <v>15</v>
      </c>
      <c r="AG35" s="7" t="s">
        <v>15</v>
      </c>
      <c r="AH35" s="153" t="s">
        <v>15</v>
      </c>
      <c r="AI35" s="7" t="s">
        <v>15</v>
      </c>
      <c r="AJ35" s="7" t="s">
        <v>15</v>
      </c>
      <c r="AK35" s="153" t="s">
        <v>15</v>
      </c>
      <c r="AL35" s="7" t="s">
        <v>15</v>
      </c>
      <c r="AM35" s="7" t="s">
        <v>15</v>
      </c>
      <c r="AN35" s="153" t="s">
        <v>15</v>
      </c>
      <c r="AO35" s="7" t="s">
        <v>15</v>
      </c>
      <c r="AP35" s="7" t="s">
        <v>15</v>
      </c>
      <c r="AQ35" s="153" t="s">
        <v>15</v>
      </c>
      <c r="AR35" s="7" t="s">
        <v>15</v>
      </c>
      <c r="AS35" s="7" t="s">
        <v>15</v>
      </c>
      <c r="AT35" s="153" t="s">
        <v>15</v>
      </c>
      <c r="AU35" s="7" t="s">
        <v>15</v>
      </c>
      <c r="AV35" s="7" t="s">
        <v>15</v>
      </c>
      <c r="AW35" s="153" t="s">
        <v>15</v>
      </c>
      <c r="AX35" s="36"/>
      <c r="AY35" s="36"/>
      <c r="AZ35" s="36"/>
    </row>
    <row r="36" spans="1:55" ht="14.95" thickBot="1" x14ac:dyDescent="0.3">
      <c r="A36" s="340" t="s">
        <v>66</v>
      </c>
      <c r="B36" s="341">
        <v>3</v>
      </c>
      <c r="C36" s="342">
        <v>3</v>
      </c>
      <c r="D36" s="343">
        <v>0</v>
      </c>
      <c r="E36" s="344">
        <f t="shared" ref="E36:E59" si="18">SUM(B36:D36)</f>
        <v>6</v>
      </c>
      <c r="F36" s="182" t="s">
        <v>66</v>
      </c>
      <c r="G36" s="78">
        <v>15</v>
      </c>
      <c r="H36" s="322">
        <v>15</v>
      </c>
      <c r="I36" s="226">
        <v>0</v>
      </c>
      <c r="J36" s="204">
        <f t="shared" ref="J36:J59" si="19">SUM(G36:I36)</f>
        <v>30</v>
      </c>
      <c r="K36" s="340" t="s">
        <v>779</v>
      </c>
      <c r="L36" s="346">
        <v>1</v>
      </c>
      <c r="M36" s="346">
        <v>1</v>
      </c>
      <c r="N36" s="347">
        <f t="shared" ref="N36" si="20">SUM(L36/M36)*100</f>
        <v>100</v>
      </c>
      <c r="O36" s="7" t="s">
        <v>15</v>
      </c>
      <c r="P36" s="7" t="s">
        <v>15</v>
      </c>
      <c r="Q36" s="153" t="s">
        <v>15</v>
      </c>
      <c r="R36" s="7" t="s">
        <v>15</v>
      </c>
      <c r="S36" s="7" t="s">
        <v>15</v>
      </c>
      <c r="T36" s="153" t="s">
        <v>15</v>
      </c>
      <c r="U36" s="7" t="s">
        <v>15</v>
      </c>
      <c r="V36" s="7" t="s">
        <v>15</v>
      </c>
      <c r="W36" s="153" t="s">
        <v>15</v>
      </c>
      <c r="AC36" s="6" t="s">
        <v>15</v>
      </c>
      <c r="AD36" s="7" t="s">
        <v>15</v>
      </c>
      <c r="AE36" s="153" t="s">
        <v>15</v>
      </c>
      <c r="AF36" s="7" t="s">
        <v>15</v>
      </c>
      <c r="AG36" s="7" t="s">
        <v>15</v>
      </c>
      <c r="AH36" s="153" t="s">
        <v>15</v>
      </c>
      <c r="AI36" s="7" t="s">
        <v>15</v>
      </c>
      <c r="AJ36" s="7" t="s">
        <v>15</v>
      </c>
      <c r="AK36" s="153" t="s">
        <v>15</v>
      </c>
      <c r="AL36" s="7" t="s">
        <v>15</v>
      </c>
      <c r="AM36" s="7" t="s">
        <v>15</v>
      </c>
      <c r="AN36" s="153" t="s">
        <v>15</v>
      </c>
      <c r="AO36" s="7" t="s">
        <v>15</v>
      </c>
      <c r="AP36" s="7" t="s">
        <v>15</v>
      </c>
      <c r="AQ36" s="153" t="s">
        <v>15</v>
      </c>
      <c r="AR36" s="7" t="s">
        <v>15</v>
      </c>
      <c r="AS36" s="7" t="s">
        <v>15</v>
      </c>
      <c r="AT36" s="153" t="s">
        <v>15</v>
      </c>
      <c r="AU36" s="7" t="s">
        <v>15</v>
      </c>
      <c r="AV36" s="7" t="s">
        <v>15</v>
      </c>
      <c r="AW36" s="153" t="s">
        <v>15</v>
      </c>
      <c r="AX36" s="36"/>
      <c r="AY36" s="36"/>
      <c r="AZ36" s="36"/>
    </row>
    <row r="37" spans="1:55" ht="14.95" thickBot="1" x14ac:dyDescent="0.3">
      <c r="A37" s="340" t="s">
        <v>790</v>
      </c>
      <c r="B37" s="341">
        <v>0</v>
      </c>
      <c r="C37" s="342">
        <v>0</v>
      </c>
      <c r="D37" s="343">
        <v>1</v>
      </c>
      <c r="E37" s="344">
        <f t="shared" si="18"/>
        <v>1</v>
      </c>
      <c r="F37" s="182" t="s">
        <v>790</v>
      </c>
      <c r="G37" s="78">
        <v>0</v>
      </c>
      <c r="H37" s="322">
        <v>0</v>
      </c>
      <c r="I37" s="226">
        <v>5</v>
      </c>
      <c r="J37" s="204">
        <f t="shared" si="19"/>
        <v>5</v>
      </c>
      <c r="K37" s="340" t="s">
        <v>975</v>
      </c>
      <c r="L37" s="346">
        <v>4</v>
      </c>
      <c r="M37" s="346">
        <v>10</v>
      </c>
      <c r="N37" s="347">
        <f t="shared" si="17"/>
        <v>40</v>
      </c>
      <c r="O37" s="7" t="s">
        <v>15</v>
      </c>
      <c r="P37" s="7" t="s">
        <v>15</v>
      </c>
      <c r="Q37" s="153" t="s">
        <v>15</v>
      </c>
      <c r="R37" s="7" t="s">
        <v>15</v>
      </c>
      <c r="S37" s="7" t="s">
        <v>15</v>
      </c>
      <c r="T37" s="153" t="s">
        <v>15</v>
      </c>
      <c r="U37" s="7" t="s">
        <v>15</v>
      </c>
      <c r="V37" s="7" t="s">
        <v>15</v>
      </c>
      <c r="W37" s="153" t="s">
        <v>15</v>
      </c>
      <c r="AC37" s="6" t="s">
        <v>15</v>
      </c>
      <c r="AD37" s="7" t="s">
        <v>15</v>
      </c>
      <c r="AE37" s="153" t="s">
        <v>15</v>
      </c>
      <c r="AF37" s="7" t="s">
        <v>15</v>
      </c>
      <c r="AG37" s="7" t="s">
        <v>15</v>
      </c>
      <c r="AH37" s="153" t="s">
        <v>15</v>
      </c>
      <c r="AI37" s="7" t="s">
        <v>15</v>
      </c>
      <c r="AJ37" s="7" t="s">
        <v>15</v>
      </c>
      <c r="AK37" s="153" t="s">
        <v>15</v>
      </c>
      <c r="AL37" s="7" t="s">
        <v>15</v>
      </c>
      <c r="AM37" s="7" t="s">
        <v>15</v>
      </c>
      <c r="AN37" s="153" t="s">
        <v>15</v>
      </c>
      <c r="AO37" s="7" t="s">
        <v>15</v>
      </c>
      <c r="AP37" s="7" t="s">
        <v>15</v>
      </c>
      <c r="AQ37" s="153" t="s">
        <v>15</v>
      </c>
      <c r="AR37" s="7" t="s">
        <v>15</v>
      </c>
      <c r="AS37" s="7" t="s">
        <v>15</v>
      </c>
      <c r="AT37" s="153" t="s">
        <v>15</v>
      </c>
      <c r="AU37" s="7" t="s">
        <v>15</v>
      </c>
      <c r="AV37" s="7" t="s">
        <v>15</v>
      </c>
      <c r="AW37" s="153" t="s">
        <v>15</v>
      </c>
      <c r="AX37" s="36"/>
      <c r="AY37" s="36"/>
      <c r="AZ37" s="36"/>
    </row>
    <row r="38" spans="1:55" ht="14.95" thickBot="1" x14ac:dyDescent="0.3">
      <c r="A38" s="340" t="s">
        <v>334</v>
      </c>
      <c r="B38" s="341">
        <v>1</v>
      </c>
      <c r="C38" s="342">
        <v>1</v>
      </c>
      <c r="D38" s="343">
        <v>1</v>
      </c>
      <c r="E38" s="344">
        <f t="shared" si="18"/>
        <v>3</v>
      </c>
      <c r="F38" s="182" t="s">
        <v>334</v>
      </c>
      <c r="G38" s="78">
        <v>5</v>
      </c>
      <c r="H38" s="322">
        <v>5</v>
      </c>
      <c r="I38" s="226">
        <v>5</v>
      </c>
      <c r="J38" s="204">
        <f t="shared" si="19"/>
        <v>15</v>
      </c>
      <c r="K38" s="340" t="s">
        <v>1096</v>
      </c>
      <c r="L38" s="346">
        <v>12</v>
      </c>
      <c r="M38" s="346">
        <v>16</v>
      </c>
      <c r="N38" s="347">
        <f t="shared" ref="N38" si="21">SUM(L38/M38)*100</f>
        <v>75</v>
      </c>
      <c r="O38" s="7" t="s">
        <v>15</v>
      </c>
      <c r="P38" s="7" t="s">
        <v>15</v>
      </c>
      <c r="Q38" s="153" t="s">
        <v>15</v>
      </c>
      <c r="R38" s="7" t="s">
        <v>15</v>
      </c>
      <c r="S38" s="7" t="s">
        <v>15</v>
      </c>
      <c r="T38" s="153" t="s">
        <v>15</v>
      </c>
      <c r="U38" s="7" t="s">
        <v>15</v>
      </c>
      <c r="V38" s="7" t="s">
        <v>15</v>
      </c>
      <c r="W38" s="153" t="s">
        <v>15</v>
      </c>
      <c r="AC38" s="6" t="s">
        <v>15</v>
      </c>
      <c r="AD38" s="7" t="s">
        <v>15</v>
      </c>
      <c r="AE38" s="153" t="s">
        <v>15</v>
      </c>
      <c r="AF38" s="7" t="s">
        <v>15</v>
      </c>
      <c r="AG38" s="7" t="s">
        <v>15</v>
      </c>
      <c r="AH38" s="153" t="s">
        <v>15</v>
      </c>
      <c r="AI38" s="7" t="s">
        <v>15</v>
      </c>
      <c r="AJ38" s="7" t="s">
        <v>15</v>
      </c>
      <c r="AK38" s="153" t="s">
        <v>15</v>
      </c>
      <c r="AL38" s="7" t="s">
        <v>15</v>
      </c>
      <c r="AM38" s="7" t="s">
        <v>15</v>
      </c>
      <c r="AN38" s="153" t="s">
        <v>15</v>
      </c>
      <c r="AO38" s="7" t="s">
        <v>15</v>
      </c>
      <c r="AP38" s="7" t="s">
        <v>15</v>
      </c>
      <c r="AQ38" s="153" t="s">
        <v>15</v>
      </c>
      <c r="AR38" s="7" t="s">
        <v>15</v>
      </c>
      <c r="AS38" s="7" t="s">
        <v>15</v>
      </c>
      <c r="AT38" s="153" t="s">
        <v>15</v>
      </c>
      <c r="AU38" s="7" t="s">
        <v>15</v>
      </c>
      <c r="AV38" s="7" t="s">
        <v>15</v>
      </c>
      <c r="AW38" s="153" t="s">
        <v>15</v>
      </c>
      <c r="AX38" s="36"/>
      <c r="AY38" s="36"/>
      <c r="AZ38" s="36"/>
    </row>
    <row r="39" spans="1:55" ht="14.95" thickBot="1" x14ac:dyDescent="0.3">
      <c r="A39" s="340" t="s">
        <v>4</v>
      </c>
      <c r="B39" s="341">
        <v>0</v>
      </c>
      <c r="C39" s="342">
        <v>2</v>
      </c>
      <c r="D39" s="343">
        <v>0</v>
      </c>
      <c r="E39" s="344">
        <f t="shared" si="18"/>
        <v>2</v>
      </c>
      <c r="F39" s="182" t="s">
        <v>4</v>
      </c>
      <c r="G39" s="78">
        <v>0</v>
      </c>
      <c r="H39" s="322">
        <v>14</v>
      </c>
      <c r="I39" s="226">
        <v>0</v>
      </c>
      <c r="J39" s="204">
        <f t="shared" si="19"/>
        <v>14</v>
      </c>
      <c r="K39" s="335" t="s">
        <v>205</v>
      </c>
      <c r="L39" s="346" t="s">
        <v>15</v>
      </c>
      <c r="M39" s="346" t="s">
        <v>15</v>
      </c>
      <c r="N39" s="347" t="s">
        <v>15</v>
      </c>
      <c r="O39" s="7" t="s">
        <v>15</v>
      </c>
      <c r="P39" s="7" t="s">
        <v>15</v>
      </c>
      <c r="Q39" s="153" t="s">
        <v>15</v>
      </c>
      <c r="R39" s="7">
        <v>6</v>
      </c>
      <c r="S39" s="7">
        <v>6</v>
      </c>
      <c r="T39" s="153">
        <v>100</v>
      </c>
      <c r="U39" s="7" t="s">
        <v>15</v>
      </c>
      <c r="V39" s="7" t="s">
        <v>15</v>
      </c>
      <c r="W39" s="153" t="s">
        <v>15</v>
      </c>
      <c r="AC39" s="148" t="s">
        <v>15</v>
      </c>
      <c r="AD39" s="7" t="s">
        <v>15</v>
      </c>
      <c r="AE39" s="153" t="s">
        <v>15</v>
      </c>
      <c r="AF39" s="84" t="s">
        <v>15</v>
      </c>
      <c r="AG39" s="79" t="s">
        <v>15</v>
      </c>
      <c r="AH39" s="171" t="s">
        <v>15</v>
      </c>
      <c r="AI39" s="6" t="s">
        <v>15</v>
      </c>
      <c r="AJ39" s="152" t="s">
        <v>15</v>
      </c>
      <c r="AK39" s="152" t="s">
        <v>15</v>
      </c>
      <c r="AL39" s="6" t="s">
        <v>15</v>
      </c>
      <c r="AM39" s="152" t="s">
        <v>15</v>
      </c>
      <c r="AN39" s="152" t="s">
        <v>15</v>
      </c>
      <c r="AO39" s="148">
        <v>3</v>
      </c>
      <c r="AP39" s="7">
        <v>4</v>
      </c>
      <c r="AQ39" s="153">
        <f>SUM(AO39/AP39)*100</f>
        <v>75</v>
      </c>
      <c r="AR39" s="148">
        <v>27</v>
      </c>
      <c r="AS39" s="7">
        <v>36</v>
      </c>
      <c r="AT39" s="153">
        <f>SUM(AR39/AS39)*100</f>
        <v>75</v>
      </c>
      <c r="AU39" s="6" t="s">
        <v>15</v>
      </c>
      <c r="AV39" s="152" t="s">
        <v>15</v>
      </c>
      <c r="AW39" s="152" t="s">
        <v>15</v>
      </c>
      <c r="AX39" s="155"/>
      <c r="AY39" s="155"/>
      <c r="AZ39" s="155"/>
      <c r="BA39" s="119"/>
      <c r="BB39" s="119"/>
      <c r="BC39" s="119"/>
    </row>
    <row r="40" spans="1:55" ht="14.95" thickBot="1" x14ac:dyDescent="0.3">
      <c r="A40" s="340" t="s">
        <v>583</v>
      </c>
      <c r="B40" s="341">
        <v>3</v>
      </c>
      <c r="C40" s="342">
        <v>0</v>
      </c>
      <c r="D40" s="343">
        <v>0</v>
      </c>
      <c r="E40" s="344">
        <f t="shared" si="18"/>
        <v>3</v>
      </c>
      <c r="F40" s="182" t="s">
        <v>583</v>
      </c>
      <c r="G40" s="78">
        <v>15</v>
      </c>
      <c r="H40" s="322">
        <v>0</v>
      </c>
      <c r="I40" s="226">
        <v>0</v>
      </c>
      <c r="J40" s="204">
        <f t="shared" si="19"/>
        <v>15</v>
      </c>
      <c r="K40" s="335" t="s">
        <v>301</v>
      </c>
      <c r="L40" s="346" t="s">
        <v>15</v>
      </c>
      <c r="M40" s="346" t="s">
        <v>15</v>
      </c>
      <c r="N40" s="347" t="s">
        <v>15</v>
      </c>
      <c r="O40" s="7" t="s">
        <v>15</v>
      </c>
      <c r="P40" s="7" t="s">
        <v>15</v>
      </c>
      <c r="Q40" s="153" t="s">
        <v>15</v>
      </c>
      <c r="R40" s="7" t="s">
        <v>15</v>
      </c>
      <c r="S40" s="7" t="s">
        <v>15</v>
      </c>
      <c r="T40" s="153" t="s">
        <v>15</v>
      </c>
      <c r="U40" s="7" t="s">
        <v>15</v>
      </c>
      <c r="V40" s="7" t="s">
        <v>15</v>
      </c>
      <c r="W40" s="153" t="s">
        <v>15</v>
      </c>
      <c r="AC40" s="148" t="s">
        <v>15</v>
      </c>
      <c r="AD40" s="7" t="s">
        <v>15</v>
      </c>
      <c r="AE40" s="153" t="s">
        <v>15</v>
      </c>
      <c r="AF40" s="84" t="s">
        <v>15</v>
      </c>
      <c r="AG40" s="79" t="s">
        <v>15</v>
      </c>
      <c r="AH40" s="171" t="s">
        <v>15</v>
      </c>
      <c r="AI40" s="84" t="s">
        <v>15</v>
      </c>
      <c r="AJ40" s="79" t="s">
        <v>15</v>
      </c>
      <c r="AK40" s="171" t="s">
        <v>15</v>
      </c>
      <c r="AL40" s="6">
        <v>1</v>
      </c>
      <c r="AM40" s="152">
        <v>1</v>
      </c>
      <c r="AN40" s="152">
        <v>100</v>
      </c>
      <c r="AO40" s="148" t="s">
        <v>15</v>
      </c>
      <c r="AP40" s="7" t="s">
        <v>15</v>
      </c>
      <c r="AQ40" s="7" t="s">
        <v>15</v>
      </c>
      <c r="AR40" s="6" t="s">
        <v>15</v>
      </c>
      <c r="AS40" s="7" t="s">
        <v>15</v>
      </c>
      <c r="AT40" s="7" t="s">
        <v>15</v>
      </c>
      <c r="AU40" s="6" t="s">
        <v>15</v>
      </c>
      <c r="AV40" s="7" t="s">
        <v>15</v>
      </c>
      <c r="AW40" s="7" t="s">
        <v>15</v>
      </c>
      <c r="AX40" s="155"/>
      <c r="AY40" s="155"/>
      <c r="AZ40" s="155"/>
      <c r="BA40" s="119"/>
      <c r="BB40" s="119"/>
      <c r="BC40" s="119"/>
    </row>
    <row r="41" spans="1:55" ht="14.95" customHeight="1" thickBot="1" x14ac:dyDescent="0.3">
      <c r="A41" s="340" t="s">
        <v>76</v>
      </c>
      <c r="B41" s="341">
        <v>3</v>
      </c>
      <c r="C41" s="342">
        <v>1</v>
      </c>
      <c r="D41" s="343">
        <v>0</v>
      </c>
      <c r="E41" s="344">
        <f t="shared" si="18"/>
        <v>4</v>
      </c>
      <c r="F41" s="182" t="s">
        <v>76</v>
      </c>
      <c r="G41" s="78">
        <v>15</v>
      </c>
      <c r="H41" s="322">
        <v>5</v>
      </c>
      <c r="I41" s="226">
        <v>0</v>
      </c>
      <c r="J41" s="204">
        <f t="shared" si="19"/>
        <v>20</v>
      </c>
      <c r="K41" s="474"/>
      <c r="L41" s="477"/>
      <c r="M41" s="477"/>
      <c r="N41" s="477"/>
      <c r="O41" s="477"/>
      <c r="P41" s="477"/>
      <c r="Q41" s="477"/>
      <c r="R41" s="477"/>
      <c r="S41" s="477"/>
      <c r="T41" s="477"/>
      <c r="U41" s="477"/>
      <c r="V41" s="477"/>
      <c r="W41" s="477"/>
      <c r="X41" s="477"/>
      <c r="Y41" s="477"/>
      <c r="AC41" s="484" t="s">
        <v>582</v>
      </c>
      <c r="AD41" s="485"/>
      <c r="AE41" s="485"/>
      <c r="AF41" s="485"/>
      <c r="AG41" s="485"/>
      <c r="AH41" s="485"/>
      <c r="AI41" s="485"/>
      <c r="AJ41" s="485"/>
      <c r="AK41" s="485"/>
      <c r="AL41" s="485"/>
      <c r="AM41" s="485"/>
      <c r="AN41" s="485"/>
      <c r="AO41" s="485"/>
      <c r="AP41" s="485"/>
      <c r="AQ41" s="485"/>
      <c r="AR41" s="4"/>
    </row>
    <row r="42" spans="1:55" ht="14.95" customHeight="1" thickBot="1" x14ac:dyDescent="0.3">
      <c r="A42" s="340" t="s">
        <v>174</v>
      </c>
      <c r="B42" s="341">
        <v>0</v>
      </c>
      <c r="C42" s="342">
        <v>1</v>
      </c>
      <c r="D42" s="343">
        <v>0</v>
      </c>
      <c r="E42" s="344">
        <f t="shared" si="18"/>
        <v>1</v>
      </c>
      <c r="F42" s="182" t="s">
        <v>174</v>
      </c>
      <c r="G42" s="78">
        <v>0</v>
      </c>
      <c r="H42" s="322">
        <v>5</v>
      </c>
      <c r="I42" s="226">
        <v>0</v>
      </c>
      <c r="J42" s="204">
        <f t="shared" si="19"/>
        <v>5</v>
      </c>
      <c r="K42" s="474" t="s">
        <v>1107</v>
      </c>
      <c r="L42" s="477"/>
      <c r="M42" s="477"/>
      <c r="N42" s="477"/>
      <c r="O42" s="477"/>
      <c r="P42" s="477"/>
      <c r="Q42" s="477"/>
      <c r="R42" s="477"/>
      <c r="S42" s="477"/>
      <c r="T42" s="477"/>
      <c r="U42" s="477"/>
      <c r="V42" s="477"/>
      <c r="W42" s="477"/>
      <c r="X42" s="477"/>
      <c r="Y42" s="477"/>
      <c r="AC42" s="476" t="s">
        <v>986</v>
      </c>
      <c r="AD42" s="477"/>
      <c r="AE42" s="477"/>
      <c r="AF42" s="477"/>
      <c r="AG42" s="477"/>
      <c r="AH42" s="477"/>
      <c r="AI42" s="477"/>
      <c r="AJ42" s="477"/>
      <c r="AK42" s="477"/>
      <c r="AL42" s="477"/>
      <c r="AM42" s="477"/>
      <c r="AN42" s="477"/>
      <c r="AO42" s="477"/>
      <c r="AP42" s="477"/>
      <c r="AQ42" s="477"/>
    </row>
    <row r="43" spans="1:55" ht="14.95" customHeight="1" thickBot="1" x14ac:dyDescent="0.3">
      <c r="A43" s="340" t="s">
        <v>369</v>
      </c>
      <c r="B43" s="341">
        <v>2</v>
      </c>
      <c r="C43" s="342">
        <v>0</v>
      </c>
      <c r="D43" s="343">
        <v>0</v>
      </c>
      <c r="E43" s="344">
        <f t="shared" si="18"/>
        <v>2</v>
      </c>
      <c r="F43" s="182" t="s">
        <v>369</v>
      </c>
      <c r="G43" s="78">
        <v>10</v>
      </c>
      <c r="H43" s="322">
        <v>0</v>
      </c>
      <c r="I43" s="226">
        <v>0</v>
      </c>
      <c r="J43" s="204">
        <f t="shared" si="19"/>
        <v>10</v>
      </c>
      <c r="K43" s="474" t="s">
        <v>1015</v>
      </c>
      <c r="L43" s="477"/>
      <c r="M43" s="477"/>
      <c r="N43" s="477"/>
      <c r="O43" s="477"/>
      <c r="P43" s="477"/>
      <c r="Q43" s="477"/>
      <c r="R43" s="477"/>
      <c r="S43" s="477"/>
      <c r="T43" s="477"/>
      <c r="U43" s="477"/>
      <c r="V43" s="477"/>
      <c r="W43" s="477"/>
      <c r="X43" s="477"/>
      <c r="Y43" s="477"/>
    </row>
    <row r="44" spans="1:55" ht="14.95" customHeight="1" thickBot="1" x14ac:dyDescent="0.3">
      <c r="A44" s="340" t="s">
        <v>1113</v>
      </c>
      <c r="B44" s="341">
        <v>0</v>
      </c>
      <c r="C44" s="342">
        <v>0</v>
      </c>
      <c r="D44" s="343">
        <v>1</v>
      </c>
      <c r="E44" s="344">
        <f t="shared" si="18"/>
        <v>1</v>
      </c>
      <c r="F44" s="182" t="s">
        <v>1113</v>
      </c>
      <c r="G44" s="78">
        <v>0</v>
      </c>
      <c r="H44" s="322">
        <v>0</v>
      </c>
      <c r="I44" s="226">
        <v>5</v>
      </c>
      <c r="J44" s="204">
        <f t="shared" si="19"/>
        <v>5</v>
      </c>
      <c r="K44" s="202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</row>
    <row r="45" spans="1:55" ht="14.95" customHeight="1" thickBot="1" x14ac:dyDescent="0.3">
      <c r="A45" s="340" t="s">
        <v>1096</v>
      </c>
      <c r="B45" s="341">
        <v>0</v>
      </c>
      <c r="C45" s="342">
        <v>0</v>
      </c>
      <c r="D45" s="343">
        <v>0</v>
      </c>
      <c r="E45" s="344">
        <f t="shared" si="18"/>
        <v>0</v>
      </c>
      <c r="F45" s="182" t="s">
        <v>1096</v>
      </c>
      <c r="G45" s="78">
        <v>0</v>
      </c>
      <c r="H45" s="322">
        <v>0</v>
      </c>
      <c r="I45" s="226">
        <v>24</v>
      </c>
      <c r="J45" s="204">
        <f t="shared" si="19"/>
        <v>24</v>
      </c>
    </row>
    <row r="46" spans="1:55" ht="14.95" thickBot="1" x14ac:dyDescent="0.3">
      <c r="A46" s="340" t="s">
        <v>815</v>
      </c>
      <c r="B46" s="341">
        <v>0</v>
      </c>
      <c r="C46" s="342">
        <v>0</v>
      </c>
      <c r="D46" s="343">
        <v>0</v>
      </c>
      <c r="E46" s="344">
        <f t="shared" si="18"/>
        <v>0</v>
      </c>
      <c r="F46" s="182" t="s">
        <v>815</v>
      </c>
      <c r="G46" s="78">
        <v>0</v>
      </c>
      <c r="H46" s="322">
        <v>0</v>
      </c>
      <c r="I46" s="226">
        <v>0</v>
      </c>
      <c r="J46" s="204">
        <f t="shared" si="19"/>
        <v>0</v>
      </c>
    </row>
    <row r="47" spans="1:55" ht="14.95" thickBot="1" x14ac:dyDescent="0.3">
      <c r="A47" s="340" t="s">
        <v>510</v>
      </c>
      <c r="B47" s="341">
        <v>1</v>
      </c>
      <c r="C47" s="342">
        <v>1</v>
      </c>
      <c r="D47" s="343">
        <v>0</v>
      </c>
      <c r="E47" s="344">
        <f t="shared" si="18"/>
        <v>2</v>
      </c>
      <c r="F47" s="182" t="s">
        <v>510</v>
      </c>
      <c r="G47" s="78">
        <v>85</v>
      </c>
      <c r="H47" s="322">
        <v>75</v>
      </c>
      <c r="I47" s="226">
        <v>0</v>
      </c>
      <c r="J47" s="204">
        <f t="shared" si="19"/>
        <v>160</v>
      </c>
      <c r="AJ47" s="4"/>
      <c r="AK47" s="4"/>
      <c r="AL47" s="4"/>
      <c r="AM47" s="4"/>
      <c r="AN47" s="4"/>
    </row>
    <row r="48" spans="1:55" ht="14.95" thickBot="1" x14ac:dyDescent="0.3">
      <c r="A48" s="340" t="s">
        <v>988</v>
      </c>
      <c r="B48" s="341">
        <v>1</v>
      </c>
      <c r="C48" s="342">
        <v>0</v>
      </c>
      <c r="D48" s="343">
        <v>1</v>
      </c>
      <c r="E48" s="344">
        <f t="shared" si="18"/>
        <v>2</v>
      </c>
      <c r="F48" s="182" t="s">
        <v>988</v>
      </c>
      <c r="G48" s="78">
        <v>5</v>
      </c>
      <c r="H48" s="322">
        <v>0</v>
      </c>
      <c r="I48" s="226">
        <v>5</v>
      </c>
      <c r="J48" s="204">
        <f t="shared" si="19"/>
        <v>10</v>
      </c>
    </row>
    <row r="49" spans="1:41" ht="14.95" thickBot="1" x14ac:dyDescent="0.3">
      <c r="A49" s="340" t="s">
        <v>777</v>
      </c>
      <c r="B49" s="341">
        <v>0</v>
      </c>
      <c r="C49" s="342">
        <v>0</v>
      </c>
      <c r="D49" s="343">
        <v>1</v>
      </c>
      <c r="E49" s="344">
        <f t="shared" si="18"/>
        <v>1</v>
      </c>
      <c r="F49" s="182" t="s">
        <v>777</v>
      </c>
      <c r="G49" s="78">
        <v>0</v>
      </c>
      <c r="H49" s="322">
        <v>0</v>
      </c>
      <c r="I49" s="226">
        <v>5</v>
      </c>
      <c r="J49" s="204">
        <f t="shared" si="19"/>
        <v>5</v>
      </c>
      <c r="AO49" s="4"/>
    </row>
    <row r="50" spans="1:41" ht="14.95" thickBot="1" x14ac:dyDescent="0.3">
      <c r="A50" s="340" t="s">
        <v>505</v>
      </c>
      <c r="B50" s="341">
        <v>2</v>
      </c>
      <c r="C50" s="342">
        <v>2</v>
      </c>
      <c r="D50" s="343">
        <v>0</v>
      </c>
      <c r="E50" s="344">
        <f t="shared" si="18"/>
        <v>4</v>
      </c>
      <c r="F50" s="182" t="s">
        <v>505</v>
      </c>
      <c r="G50" s="78">
        <v>28</v>
      </c>
      <c r="H50" s="322">
        <v>10</v>
      </c>
      <c r="I50" s="226">
        <v>0</v>
      </c>
      <c r="J50" s="204">
        <f t="shared" si="19"/>
        <v>38</v>
      </c>
      <c r="AO50" s="4"/>
    </row>
    <row r="51" spans="1:41" ht="14.95" thickBot="1" x14ac:dyDescent="0.3">
      <c r="A51" s="340" t="s">
        <v>773</v>
      </c>
      <c r="B51" s="341">
        <v>1</v>
      </c>
      <c r="C51" s="342">
        <v>0</v>
      </c>
      <c r="D51" s="343">
        <v>3</v>
      </c>
      <c r="E51" s="344">
        <f t="shared" si="18"/>
        <v>4</v>
      </c>
      <c r="F51" s="182" t="s">
        <v>773</v>
      </c>
      <c r="G51" s="78">
        <v>5</v>
      </c>
      <c r="H51" s="322">
        <v>0</v>
      </c>
      <c r="I51" s="226">
        <v>15</v>
      </c>
      <c r="J51" s="204">
        <f t="shared" si="19"/>
        <v>20</v>
      </c>
    </row>
    <row r="52" spans="1:41" ht="14.95" thickBot="1" x14ac:dyDescent="0.3">
      <c r="A52" s="340" t="s">
        <v>68</v>
      </c>
      <c r="B52" s="341">
        <v>0</v>
      </c>
      <c r="C52" s="342">
        <v>0</v>
      </c>
      <c r="D52" s="343">
        <v>0</v>
      </c>
      <c r="E52" s="344">
        <f t="shared" si="18"/>
        <v>0</v>
      </c>
      <c r="F52" s="182" t="s">
        <v>68</v>
      </c>
      <c r="G52" s="78">
        <v>0</v>
      </c>
      <c r="H52" s="322">
        <v>0</v>
      </c>
      <c r="I52" s="226">
        <v>0</v>
      </c>
      <c r="J52" s="204">
        <f t="shared" si="19"/>
        <v>0</v>
      </c>
    </row>
    <row r="53" spans="1:41" ht="14.95" thickBot="1" x14ac:dyDescent="0.3">
      <c r="A53" s="340" t="s">
        <v>1094</v>
      </c>
      <c r="B53" s="341">
        <v>0</v>
      </c>
      <c r="C53" s="342">
        <v>0</v>
      </c>
      <c r="D53" s="343">
        <v>3</v>
      </c>
      <c r="E53" s="344">
        <f t="shared" si="18"/>
        <v>3</v>
      </c>
      <c r="F53" s="182" t="s">
        <v>1094</v>
      </c>
      <c r="G53" s="78">
        <v>0</v>
      </c>
      <c r="H53" s="322">
        <v>0</v>
      </c>
      <c r="I53" s="226">
        <v>15</v>
      </c>
      <c r="J53" s="204">
        <f t="shared" si="19"/>
        <v>15</v>
      </c>
    </row>
    <row r="54" spans="1:41" ht="14.3" customHeight="1" thickBot="1" x14ac:dyDescent="0.3">
      <c r="A54" s="340" t="s">
        <v>586</v>
      </c>
      <c r="B54" s="341">
        <v>1</v>
      </c>
      <c r="C54" s="342">
        <v>1</v>
      </c>
      <c r="D54" s="343">
        <v>4</v>
      </c>
      <c r="E54" s="344">
        <f t="shared" si="18"/>
        <v>6</v>
      </c>
      <c r="F54" s="182" t="s">
        <v>586</v>
      </c>
      <c r="G54" s="78">
        <v>5</v>
      </c>
      <c r="H54" s="322">
        <v>5</v>
      </c>
      <c r="I54" s="226">
        <v>20</v>
      </c>
      <c r="J54" s="204">
        <f t="shared" si="19"/>
        <v>30</v>
      </c>
    </row>
    <row r="55" spans="1:41" ht="14.95" thickBot="1" x14ac:dyDescent="0.3">
      <c r="A55" s="340" t="s">
        <v>67</v>
      </c>
      <c r="B55" s="341">
        <v>3</v>
      </c>
      <c r="C55" s="342">
        <v>0</v>
      </c>
      <c r="D55" s="343">
        <v>0</v>
      </c>
      <c r="E55" s="344">
        <f t="shared" si="18"/>
        <v>3</v>
      </c>
      <c r="F55" s="182" t="s">
        <v>67</v>
      </c>
      <c r="G55" s="78">
        <v>15</v>
      </c>
      <c r="H55" s="322">
        <v>0</v>
      </c>
      <c r="I55" s="226">
        <v>0</v>
      </c>
      <c r="J55" s="204">
        <f t="shared" si="19"/>
        <v>15</v>
      </c>
    </row>
    <row r="56" spans="1:41" ht="14.95" thickBot="1" x14ac:dyDescent="0.3">
      <c r="A56" s="340" t="s">
        <v>968</v>
      </c>
      <c r="B56" s="341">
        <v>2</v>
      </c>
      <c r="C56" s="342">
        <v>0</v>
      </c>
      <c r="D56" s="343">
        <v>0</v>
      </c>
      <c r="E56" s="344">
        <f t="shared" si="18"/>
        <v>2</v>
      </c>
      <c r="F56" s="182" t="s">
        <v>968</v>
      </c>
      <c r="G56" s="78">
        <v>10</v>
      </c>
      <c r="H56" s="322">
        <v>0</v>
      </c>
      <c r="I56" s="226">
        <v>0</v>
      </c>
      <c r="J56" s="204">
        <f t="shared" si="19"/>
        <v>10</v>
      </c>
    </row>
    <row r="57" spans="1:41" ht="14.95" thickBot="1" x14ac:dyDescent="0.3">
      <c r="A57" s="340" t="s">
        <v>443</v>
      </c>
      <c r="B57" s="341">
        <v>1</v>
      </c>
      <c r="C57" s="342">
        <v>1</v>
      </c>
      <c r="D57" s="343">
        <v>0</v>
      </c>
      <c r="E57" s="344">
        <f t="shared" si="18"/>
        <v>2</v>
      </c>
      <c r="F57" s="182" t="s">
        <v>443</v>
      </c>
      <c r="G57" s="78">
        <v>5</v>
      </c>
      <c r="H57" s="322">
        <v>5</v>
      </c>
      <c r="I57" s="226">
        <v>0</v>
      </c>
      <c r="J57" s="204">
        <f t="shared" si="19"/>
        <v>10</v>
      </c>
    </row>
    <row r="58" spans="1:41" ht="14.95" thickBot="1" x14ac:dyDescent="0.3">
      <c r="A58" s="340" t="s">
        <v>1105</v>
      </c>
      <c r="B58" s="341">
        <v>0</v>
      </c>
      <c r="C58" s="342">
        <v>0</v>
      </c>
      <c r="D58" s="343">
        <v>1</v>
      </c>
      <c r="E58" s="344">
        <f t="shared" si="18"/>
        <v>1</v>
      </c>
      <c r="F58" s="182" t="s">
        <v>1105</v>
      </c>
      <c r="G58" s="78">
        <v>0</v>
      </c>
      <c r="H58" s="322">
        <v>0</v>
      </c>
      <c r="I58" s="226">
        <v>5</v>
      </c>
      <c r="J58" s="204">
        <f t="shared" si="19"/>
        <v>5</v>
      </c>
    </row>
    <row r="59" spans="1:41" ht="14.95" thickBot="1" x14ac:dyDescent="0.3">
      <c r="A59" s="340" t="s">
        <v>3</v>
      </c>
      <c r="B59" s="341">
        <f>SUM(B3:B58)</f>
        <v>64</v>
      </c>
      <c r="C59" s="342">
        <f>SUM(C3:C58)</f>
        <v>36</v>
      </c>
      <c r="D59" s="343">
        <f>SUM(D3:D58)</f>
        <v>43</v>
      </c>
      <c r="E59" s="344">
        <f t="shared" si="18"/>
        <v>143</v>
      </c>
      <c r="F59" s="181" t="s">
        <v>3</v>
      </c>
      <c r="G59" s="78">
        <f>SUM(G3:G58)</f>
        <v>436</v>
      </c>
      <c r="H59" s="322">
        <f>SUM(H3:H58)</f>
        <v>254</v>
      </c>
      <c r="I59" s="226">
        <f>SUM(I3:I58)</f>
        <v>271</v>
      </c>
      <c r="J59" s="204">
        <f t="shared" si="19"/>
        <v>961</v>
      </c>
    </row>
    <row r="60" spans="1:41" x14ac:dyDescent="0.25">
      <c r="A60" s="463"/>
      <c r="B60" s="464"/>
      <c r="C60" s="464"/>
      <c r="D60" s="464"/>
      <c r="E60" s="464"/>
      <c r="F60" s="464"/>
      <c r="G60" s="464"/>
      <c r="H60" s="464"/>
      <c r="I60" s="95"/>
    </row>
    <row r="61" spans="1:41" ht="14.95" thickBot="1" x14ac:dyDescent="0.3">
      <c r="A61" t="s">
        <v>485</v>
      </c>
      <c r="B61" s="132"/>
      <c r="C61" s="95"/>
      <c r="D61" s="95"/>
      <c r="E61" s="66"/>
      <c r="F61" s="36"/>
      <c r="G61" s="133"/>
      <c r="H61" s="96"/>
      <c r="I61" s="96"/>
      <c r="J61" s="36"/>
    </row>
    <row r="62" spans="1:41" ht="14.95" thickBot="1" x14ac:dyDescent="0.3">
      <c r="A62" s="335" t="s">
        <v>0</v>
      </c>
      <c r="B62" s="336" t="s">
        <v>218</v>
      </c>
      <c r="C62" s="337" t="s">
        <v>30</v>
      </c>
      <c r="D62" s="338" t="s">
        <v>326</v>
      </c>
      <c r="E62" s="339" t="s">
        <v>1</v>
      </c>
      <c r="F62" s="180" t="s">
        <v>2</v>
      </c>
      <c r="G62" s="109" t="s">
        <v>218</v>
      </c>
      <c r="H62" s="321" t="s">
        <v>30</v>
      </c>
      <c r="I62" s="225" t="s">
        <v>326</v>
      </c>
      <c r="J62" s="203" t="s">
        <v>1</v>
      </c>
    </row>
    <row r="63" spans="1:41" ht="14.95" thickBot="1" x14ac:dyDescent="0.3">
      <c r="A63" s="340" t="s">
        <v>969</v>
      </c>
      <c r="B63" s="341">
        <v>8</v>
      </c>
      <c r="C63" s="342">
        <v>5</v>
      </c>
      <c r="D63" s="343">
        <v>0</v>
      </c>
      <c r="E63" s="344">
        <f>SUM(B63:D63)</f>
        <v>13</v>
      </c>
      <c r="F63" s="181" t="s">
        <v>510</v>
      </c>
      <c r="G63" s="78">
        <v>85</v>
      </c>
      <c r="H63" s="322">
        <v>75</v>
      </c>
      <c r="I63" s="226">
        <v>0</v>
      </c>
      <c r="J63" s="204">
        <f>SUM(G63:I63)</f>
        <v>160</v>
      </c>
    </row>
    <row r="64" spans="1:41" ht="14.95" thickBot="1" x14ac:dyDescent="0.3">
      <c r="A64" s="340" t="s">
        <v>967</v>
      </c>
      <c r="B64" s="341">
        <v>5</v>
      </c>
      <c r="C64" s="342">
        <v>0</v>
      </c>
      <c r="D64" s="343">
        <v>5</v>
      </c>
      <c r="E64" s="344">
        <f>SUM(B64:D64)</f>
        <v>10</v>
      </c>
      <c r="F64" s="181" t="s">
        <v>969</v>
      </c>
      <c r="G64" s="78">
        <v>40</v>
      </c>
      <c r="H64" s="322">
        <v>25</v>
      </c>
      <c r="I64" s="226">
        <v>0</v>
      </c>
      <c r="J64" s="204">
        <f>SUM(G64:I64)</f>
        <v>65</v>
      </c>
    </row>
    <row r="65" spans="1:10" ht="14.95" thickBot="1" x14ac:dyDescent="0.3">
      <c r="A65" s="340" t="s">
        <v>788</v>
      </c>
      <c r="B65" s="341">
        <v>2</v>
      </c>
      <c r="C65" s="342">
        <v>1</v>
      </c>
      <c r="D65" s="343">
        <v>6</v>
      </c>
      <c r="E65" s="344">
        <f>SUM(B65:D65)</f>
        <v>9</v>
      </c>
      <c r="F65" s="182" t="s">
        <v>967</v>
      </c>
      <c r="G65" s="78">
        <v>25</v>
      </c>
      <c r="H65" s="322">
        <v>0</v>
      </c>
      <c r="I65" s="226">
        <v>25</v>
      </c>
      <c r="J65" s="204">
        <f>SUM(G65:I65)</f>
        <v>50</v>
      </c>
    </row>
    <row r="66" spans="1:10" ht="14.95" thickBot="1" x14ac:dyDescent="0.3">
      <c r="A66" s="340" t="s">
        <v>32</v>
      </c>
      <c r="B66" s="341">
        <v>3</v>
      </c>
      <c r="C66" s="342">
        <v>4</v>
      </c>
      <c r="D66" s="343">
        <v>0</v>
      </c>
      <c r="E66" s="344">
        <f>SUM(B66:D66)</f>
        <v>7</v>
      </c>
      <c r="F66" s="182" t="s">
        <v>788</v>
      </c>
      <c r="G66" s="78">
        <v>10</v>
      </c>
      <c r="H66" s="322">
        <v>5</v>
      </c>
      <c r="I66" s="226">
        <v>30</v>
      </c>
      <c r="J66" s="204">
        <f>SUM(G66:I66)</f>
        <v>45</v>
      </c>
    </row>
    <row r="67" spans="1:10" ht="14.95" thickBot="1" x14ac:dyDescent="0.3">
      <c r="A67" s="340" t="s">
        <v>66</v>
      </c>
      <c r="B67" s="341">
        <v>3</v>
      </c>
      <c r="C67" s="342">
        <v>3</v>
      </c>
      <c r="D67" s="343">
        <v>0</v>
      </c>
      <c r="E67" s="344">
        <f>SUM(B67:D67)</f>
        <v>6</v>
      </c>
      <c r="F67" s="182" t="s">
        <v>203</v>
      </c>
      <c r="G67" s="78">
        <v>12</v>
      </c>
      <c r="H67" s="322">
        <v>0</v>
      </c>
      <c r="I67" s="226">
        <v>27</v>
      </c>
      <c r="J67" s="204">
        <f>SUM(G67:I67)</f>
        <v>39</v>
      </c>
    </row>
    <row r="68" spans="1:10" ht="14.95" thickBot="1" x14ac:dyDescent="0.3">
      <c r="A68" s="340" t="s">
        <v>586</v>
      </c>
      <c r="B68" s="341">
        <v>1</v>
      </c>
      <c r="C68" s="342">
        <v>1</v>
      </c>
      <c r="D68" s="343">
        <v>4</v>
      </c>
      <c r="E68" s="344">
        <f>SUM(B68:D68)</f>
        <v>6</v>
      </c>
      <c r="F68" s="182" t="s">
        <v>505</v>
      </c>
      <c r="G68" s="78">
        <v>28</v>
      </c>
      <c r="H68" s="322">
        <v>10</v>
      </c>
      <c r="I68" s="226">
        <v>0</v>
      </c>
      <c r="J68" s="204">
        <f>SUM(G68:I68)</f>
        <v>38</v>
      </c>
    </row>
    <row r="69" spans="1:10" ht="14.95" thickBot="1" x14ac:dyDescent="0.3">
      <c r="A69" s="340" t="s">
        <v>298</v>
      </c>
      <c r="B69" s="341">
        <v>2</v>
      </c>
      <c r="C69" s="342">
        <v>0</v>
      </c>
      <c r="D69" s="343">
        <v>3</v>
      </c>
      <c r="E69" s="344">
        <f>SUM(B69:D69)</f>
        <v>5</v>
      </c>
      <c r="F69" s="182" t="s">
        <v>32</v>
      </c>
      <c r="G69" s="78">
        <v>15</v>
      </c>
      <c r="H69" s="322">
        <v>20</v>
      </c>
      <c r="I69" s="226">
        <v>0</v>
      </c>
      <c r="J69" s="204">
        <f>SUM(G69:I69)</f>
        <v>35</v>
      </c>
    </row>
    <row r="70" spans="1:10" ht="14.95" thickBot="1" x14ac:dyDescent="0.3">
      <c r="A70" s="340" t="s">
        <v>973</v>
      </c>
      <c r="B70" s="341">
        <v>0</v>
      </c>
      <c r="C70" s="342">
        <v>0</v>
      </c>
      <c r="D70" s="343">
        <v>5</v>
      </c>
      <c r="E70" s="344">
        <f>SUM(B70:D70)</f>
        <v>5</v>
      </c>
      <c r="F70" s="182" t="s">
        <v>66</v>
      </c>
      <c r="G70" s="78">
        <v>15</v>
      </c>
      <c r="H70" s="322">
        <v>15</v>
      </c>
      <c r="I70" s="226">
        <v>0</v>
      </c>
      <c r="J70" s="204">
        <f>SUM(G70:I70)</f>
        <v>30</v>
      </c>
    </row>
    <row r="71" spans="1:10" ht="14.95" thickBot="1" x14ac:dyDescent="0.3">
      <c r="A71" s="340" t="s">
        <v>29</v>
      </c>
      <c r="B71" s="341">
        <v>1</v>
      </c>
      <c r="C71" s="342">
        <v>4</v>
      </c>
      <c r="D71" s="343">
        <v>0</v>
      </c>
      <c r="E71" s="344">
        <f>SUM(B71:D71)</f>
        <v>5</v>
      </c>
      <c r="F71" s="182" t="s">
        <v>586</v>
      </c>
      <c r="G71" s="78">
        <v>5</v>
      </c>
      <c r="H71" s="322">
        <v>5</v>
      </c>
      <c r="I71" s="226">
        <v>20</v>
      </c>
      <c r="J71" s="204">
        <f>SUM(G71:I71)</f>
        <v>30</v>
      </c>
    </row>
    <row r="72" spans="1:10" ht="14.95" thickBot="1" x14ac:dyDescent="0.3">
      <c r="A72" s="340" t="s">
        <v>65</v>
      </c>
      <c r="B72" s="341">
        <v>1</v>
      </c>
      <c r="C72" s="342">
        <v>3</v>
      </c>
      <c r="D72" s="343">
        <v>0</v>
      </c>
      <c r="E72" s="344">
        <f>SUM(B72:D72)</f>
        <v>4</v>
      </c>
      <c r="F72" s="182" t="s">
        <v>266</v>
      </c>
      <c r="G72" s="78">
        <v>21</v>
      </c>
      <c r="H72" s="322">
        <v>5</v>
      </c>
      <c r="I72" s="226">
        <v>0</v>
      </c>
      <c r="J72" s="204">
        <f>SUM(G72:I72)</f>
        <v>26</v>
      </c>
    </row>
    <row r="73" spans="1:10" ht="14.95" thickBot="1" x14ac:dyDescent="0.3">
      <c r="A73" s="340" t="s">
        <v>288</v>
      </c>
      <c r="B73" s="341">
        <v>3</v>
      </c>
      <c r="C73" s="342">
        <v>1</v>
      </c>
      <c r="D73" s="343">
        <v>0</v>
      </c>
      <c r="E73" s="344">
        <f>SUM(B73:D73)</f>
        <v>4</v>
      </c>
      <c r="F73" s="182" t="s">
        <v>298</v>
      </c>
      <c r="G73" s="78">
        <v>10</v>
      </c>
      <c r="H73" s="322">
        <v>0</v>
      </c>
      <c r="I73" s="226">
        <v>15</v>
      </c>
      <c r="J73" s="204">
        <f>SUM(G73:I73)</f>
        <v>25</v>
      </c>
    </row>
    <row r="74" spans="1:10" ht="14.95" thickBot="1" x14ac:dyDescent="0.3">
      <c r="A74" s="340" t="s">
        <v>478</v>
      </c>
      <c r="B74" s="341">
        <v>2</v>
      </c>
      <c r="C74" s="342">
        <v>1</v>
      </c>
      <c r="D74" s="343">
        <v>1</v>
      </c>
      <c r="E74" s="344">
        <f>SUM(B74:D74)</f>
        <v>4</v>
      </c>
      <c r="F74" s="182" t="s">
        <v>973</v>
      </c>
      <c r="G74" s="78">
        <v>0</v>
      </c>
      <c r="H74" s="322">
        <v>0</v>
      </c>
      <c r="I74" s="226">
        <v>25</v>
      </c>
      <c r="J74" s="204">
        <f>SUM(G74:I74)</f>
        <v>25</v>
      </c>
    </row>
    <row r="75" spans="1:10" ht="14.95" thickBot="1" x14ac:dyDescent="0.3">
      <c r="A75" s="340" t="s">
        <v>70</v>
      </c>
      <c r="B75" s="341">
        <v>3</v>
      </c>
      <c r="C75" s="342">
        <v>1</v>
      </c>
      <c r="D75" s="343">
        <v>0</v>
      </c>
      <c r="E75" s="344">
        <f>SUM(B75:D75)</f>
        <v>4</v>
      </c>
      <c r="F75" s="182" t="s">
        <v>29</v>
      </c>
      <c r="G75" s="78">
        <v>5</v>
      </c>
      <c r="H75" s="322">
        <v>20</v>
      </c>
      <c r="I75" s="226">
        <v>0</v>
      </c>
      <c r="J75" s="204">
        <f>SUM(G75:I75)</f>
        <v>25</v>
      </c>
    </row>
    <row r="76" spans="1:10" ht="14.95" thickBot="1" x14ac:dyDescent="0.3">
      <c r="A76" s="340" t="s">
        <v>76</v>
      </c>
      <c r="B76" s="341">
        <v>3</v>
      </c>
      <c r="C76" s="342">
        <v>1</v>
      </c>
      <c r="D76" s="343">
        <v>0</v>
      </c>
      <c r="E76" s="344">
        <f>SUM(B76:D76)</f>
        <v>4</v>
      </c>
      <c r="F76" s="182" t="s">
        <v>1096</v>
      </c>
      <c r="G76" s="78">
        <v>0</v>
      </c>
      <c r="H76" s="322">
        <v>0</v>
      </c>
      <c r="I76" s="226">
        <v>24</v>
      </c>
      <c r="J76" s="204">
        <f>SUM(G76:I76)</f>
        <v>24</v>
      </c>
    </row>
    <row r="77" spans="1:10" ht="14.95" thickBot="1" x14ac:dyDescent="0.3">
      <c r="A77" s="340" t="s">
        <v>505</v>
      </c>
      <c r="B77" s="341">
        <v>2</v>
      </c>
      <c r="C77" s="342">
        <v>2</v>
      </c>
      <c r="D77" s="343">
        <v>0</v>
      </c>
      <c r="E77" s="344">
        <f>SUM(B77:D77)</f>
        <v>4</v>
      </c>
      <c r="F77" s="182" t="s">
        <v>65</v>
      </c>
      <c r="G77" s="78">
        <v>5</v>
      </c>
      <c r="H77" s="322">
        <v>15</v>
      </c>
      <c r="I77" s="226">
        <v>0</v>
      </c>
      <c r="J77" s="204">
        <f>SUM(G77:I77)</f>
        <v>20</v>
      </c>
    </row>
    <row r="78" spans="1:10" ht="14.95" thickBot="1" x14ac:dyDescent="0.3">
      <c r="A78" s="340" t="s">
        <v>773</v>
      </c>
      <c r="B78" s="341">
        <v>1</v>
      </c>
      <c r="C78" s="342">
        <v>0</v>
      </c>
      <c r="D78" s="343">
        <v>3</v>
      </c>
      <c r="E78" s="344">
        <f>SUM(B78:D78)</f>
        <v>4</v>
      </c>
      <c r="F78" s="181" t="s">
        <v>288</v>
      </c>
      <c r="G78" s="78">
        <v>15</v>
      </c>
      <c r="H78" s="322">
        <v>5</v>
      </c>
      <c r="I78" s="226">
        <v>0</v>
      </c>
      <c r="J78" s="204">
        <f>SUM(G78:I78)</f>
        <v>20</v>
      </c>
    </row>
    <row r="79" spans="1:10" ht="14.95" thickBot="1" x14ac:dyDescent="0.3">
      <c r="A79" s="340" t="s">
        <v>503</v>
      </c>
      <c r="B79" s="341">
        <v>3</v>
      </c>
      <c r="C79" s="342">
        <v>0</v>
      </c>
      <c r="D79" s="343">
        <v>0</v>
      </c>
      <c r="E79" s="344">
        <f>SUM(B79:D79)</f>
        <v>3</v>
      </c>
      <c r="F79" s="182" t="s">
        <v>478</v>
      </c>
      <c r="G79" s="78">
        <v>10</v>
      </c>
      <c r="H79" s="322">
        <v>5</v>
      </c>
      <c r="I79" s="226">
        <v>5</v>
      </c>
      <c r="J79" s="204">
        <f>SUM(G79:I79)</f>
        <v>20</v>
      </c>
    </row>
    <row r="80" spans="1:10" ht="14.95" thickBot="1" x14ac:dyDescent="0.3">
      <c r="A80" s="340" t="s">
        <v>446</v>
      </c>
      <c r="B80" s="341">
        <v>0</v>
      </c>
      <c r="C80" s="342">
        <v>1</v>
      </c>
      <c r="D80" s="343">
        <v>2</v>
      </c>
      <c r="E80" s="344">
        <f>SUM(B80:D80)</f>
        <v>3</v>
      </c>
      <c r="F80" s="182" t="s">
        <v>70</v>
      </c>
      <c r="G80" s="78">
        <v>15</v>
      </c>
      <c r="H80" s="322">
        <v>5</v>
      </c>
      <c r="I80" s="226">
        <v>0</v>
      </c>
      <c r="J80" s="204">
        <f>SUM(G80:I80)</f>
        <v>20</v>
      </c>
    </row>
    <row r="81" spans="1:10" ht="14.95" thickBot="1" x14ac:dyDescent="0.3">
      <c r="A81" s="340" t="s">
        <v>203</v>
      </c>
      <c r="B81" s="341">
        <v>2</v>
      </c>
      <c r="C81" s="342">
        <v>0</v>
      </c>
      <c r="D81" s="343">
        <v>1</v>
      </c>
      <c r="E81" s="344">
        <f>SUM(B81:D81)</f>
        <v>3</v>
      </c>
      <c r="F81" s="182" t="s">
        <v>76</v>
      </c>
      <c r="G81" s="78">
        <v>15</v>
      </c>
      <c r="H81" s="322">
        <v>5</v>
      </c>
      <c r="I81" s="226">
        <v>0</v>
      </c>
      <c r="J81" s="204">
        <f>SUM(G81:I81)</f>
        <v>20</v>
      </c>
    </row>
    <row r="82" spans="1:10" ht="14.95" thickBot="1" x14ac:dyDescent="0.3">
      <c r="A82" s="340" t="s">
        <v>224</v>
      </c>
      <c r="B82" s="341">
        <v>1</v>
      </c>
      <c r="C82" s="342">
        <v>1</v>
      </c>
      <c r="D82" s="343">
        <v>1</v>
      </c>
      <c r="E82" s="344">
        <f>SUM(B82:D82)</f>
        <v>3</v>
      </c>
      <c r="F82" s="182" t="s">
        <v>773</v>
      </c>
      <c r="G82" s="78">
        <v>5</v>
      </c>
      <c r="H82" s="322">
        <v>0</v>
      </c>
      <c r="I82" s="226">
        <v>15</v>
      </c>
      <c r="J82" s="204">
        <f>SUM(G82:I82)</f>
        <v>20</v>
      </c>
    </row>
    <row r="83" spans="1:10" ht="14.95" thickBot="1" x14ac:dyDescent="0.3">
      <c r="A83" s="340" t="s">
        <v>334</v>
      </c>
      <c r="B83" s="341">
        <v>1</v>
      </c>
      <c r="C83" s="342">
        <v>1</v>
      </c>
      <c r="D83" s="343">
        <v>1</v>
      </c>
      <c r="E83" s="344">
        <f>SUM(B83:D83)</f>
        <v>3</v>
      </c>
      <c r="F83" s="182" t="s">
        <v>503</v>
      </c>
      <c r="G83" s="78">
        <v>15</v>
      </c>
      <c r="H83" s="322">
        <v>0</v>
      </c>
      <c r="I83" s="226">
        <v>0</v>
      </c>
      <c r="J83" s="204">
        <f>SUM(G83:I83)</f>
        <v>15</v>
      </c>
    </row>
    <row r="84" spans="1:10" ht="14.95" thickBot="1" x14ac:dyDescent="0.3">
      <c r="A84" s="340" t="s">
        <v>583</v>
      </c>
      <c r="B84" s="341">
        <v>3</v>
      </c>
      <c r="C84" s="342">
        <v>0</v>
      </c>
      <c r="D84" s="343">
        <v>0</v>
      </c>
      <c r="E84" s="344">
        <f>SUM(B84:D84)</f>
        <v>3</v>
      </c>
      <c r="F84" s="182" t="s">
        <v>446</v>
      </c>
      <c r="G84" s="78">
        <v>0</v>
      </c>
      <c r="H84" s="322">
        <v>5</v>
      </c>
      <c r="I84" s="226">
        <v>10</v>
      </c>
      <c r="J84" s="204">
        <f>SUM(G84:I84)</f>
        <v>15</v>
      </c>
    </row>
    <row r="85" spans="1:10" ht="14.95" thickBot="1" x14ac:dyDescent="0.3">
      <c r="A85" s="340" t="s">
        <v>1094</v>
      </c>
      <c r="B85" s="341">
        <v>0</v>
      </c>
      <c r="C85" s="342">
        <v>0</v>
      </c>
      <c r="D85" s="343">
        <v>3</v>
      </c>
      <c r="E85" s="344">
        <f>SUM(B85:D85)</f>
        <v>3</v>
      </c>
      <c r="F85" s="182" t="s">
        <v>224</v>
      </c>
      <c r="G85" s="78">
        <v>5</v>
      </c>
      <c r="H85" s="322">
        <v>5</v>
      </c>
      <c r="I85" s="226">
        <v>5</v>
      </c>
      <c r="J85" s="204">
        <f>SUM(G85:I85)</f>
        <v>15</v>
      </c>
    </row>
    <row r="86" spans="1:10" ht="14.95" thickBot="1" x14ac:dyDescent="0.3">
      <c r="A86" s="340" t="s">
        <v>67</v>
      </c>
      <c r="B86" s="341">
        <v>3</v>
      </c>
      <c r="C86" s="342">
        <v>0</v>
      </c>
      <c r="D86" s="343">
        <v>0</v>
      </c>
      <c r="E86" s="344">
        <f>SUM(B86:D86)</f>
        <v>3</v>
      </c>
      <c r="F86" s="182" t="s">
        <v>334</v>
      </c>
      <c r="G86" s="78">
        <v>5</v>
      </c>
      <c r="H86" s="322">
        <v>5</v>
      </c>
      <c r="I86" s="226">
        <v>5</v>
      </c>
      <c r="J86" s="204">
        <f>SUM(G86:I86)</f>
        <v>15</v>
      </c>
    </row>
    <row r="87" spans="1:10" ht="14.95" thickBot="1" x14ac:dyDescent="0.3">
      <c r="A87" s="340" t="s">
        <v>266</v>
      </c>
      <c r="B87" s="341">
        <v>1</v>
      </c>
      <c r="C87" s="342">
        <v>1</v>
      </c>
      <c r="D87" s="343">
        <v>0</v>
      </c>
      <c r="E87" s="344">
        <f>SUM(B87:D87)</f>
        <v>2</v>
      </c>
      <c r="F87" s="182" t="s">
        <v>583</v>
      </c>
      <c r="G87" s="78">
        <v>15</v>
      </c>
      <c r="H87" s="322">
        <v>0</v>
      </c>
      <c r="I87" s="226">
        <v>0</v>
      </c>
      <c r="J87" s="204">
        <f>SUM(G87:I87)</f>
        <v>15</v>
      </c>
    </row>
    <row r="88" spans="1:10" ht="14.95" thickBot="1" x14ac:dyDescent="0.3">
      <c r="A88" s="340" t="s">
        <v>971</v>
      </c>
      <c r="B88" s="341">
        <v>2</v>
      </c>
      <c r="C88" s="342">
        <v>0</v>
      </c>
      <c r="D88" s="343">
        <v>0</v>
      </c>
      <c r="E88" s="344">
        <f>SUM(B88:D88)</f>
        <v>2</v>
      </c>
      <c r="F88" s="182" t="s">
        <v>1094</v>
      </c>
      <c r="G88" s="78">
        <v>0</v>
      </c>
      <c r="H88" s="322">
        <v>0</v>
      </c>
      <c r="I88" s="226">
        <v>15</v>
      </c>
      <c r="J88" s="204">
        <f>SUM(G88:I88)</f>
        <v>15</v>
      </c>
    </row>
    <row r="89" spans="1:10" ht="14.95" thickBot="1" x14ac:dyDescent="0.3">
      <c r="A89" s="340" t="s">
        <v>4</v>
      </c>
      <c r="B89" s="341">
        <v>0</v>
      </c>
      <c r="C89" s="342">
        <v>2</v>
      </c>
      <c r="D89" s="343">
        <v>0</v>
      </c>
      <c r="E89" s="344">
        <f>SUM(B89:D89)</f>
        <v>2</v>
      </c>
      <c r="F89" s="182" t="s">
        <v>67</v>
      </c>
      <c r="G89" s="78">
        <v>15</v>
      </c>
      <c r="H89" s="322">
        <v>0</v>
      </c>
      <c r="I89" s="226">
        <v>0</v>
      </c>
      <c r="J89" s="204">
        <f>SUM(G89:I89)</f>
        <v>15</v>
      </c>
    </row>
    <row r="90" spans="1:10" ht="14.95" thickBot="1" x14ac:dyDescent="0.3">
      <c r="A90" s="340" t="s">
        <v>369</v>
      </c>
      <c r="B90" s="341">
        <v>2</v>
      </c>
      <c r="C90" s="342">
        <v>0</v>
      </c>
      <c r="D90" s="343">
        <v>0</v>
      </c>
      <c r="E90" s="344">
        <f>SUM(B90:D90)</f>
        <v>2</v>
      </c>
      <c r="F90" s="182" t="s">
        <v>4</v>
      </c>
      <c r="G90" s="78">
        <v>0</v>
      </c>
      <c r="H90" s="322">
        <v>14</v>
      </c>
      <c r="I90" s="226">
        <v>0</v>
      </c>
      <c r="J90" s="204">
        <f>SUM(G90:I90)</f>
        <v>14</v>
      </c>
    </row>
    <row r="91" spans="1:10" ht="14.95" thickBot="1" x14ac:dyDescent="0.3">
      <c r="A91" s="340" t="s">
        <v>510</v>
      </c>
      <c r="B91" s="341">
        <v>1</v>
      </c>
      <c r="C91" s="342">
        <v>1</v>
      </c>
      <c r="D91" s="343">
        <v>0</v>
      </c>
      <c r="E91" s="344">
        <f>SUM(B91:D91)</f>
        <v>2</v>
      </c>
      <c r="F91" s="182" t="s">
        <v>971</v>
      </c>
      <c r="G91" s="78">
        <v>10</v>
      </c>
      <c r="H91" s="322">
        <v>0</v>
      </c>
      <c r="I91" s="226">
        <v>0</v>
      </c>
      <c r="J91" s="204">
        <f>SUM(G91:I91)</f>
        <v>10</v>
      </c>
    </row>
    <row r="92" spans="1:10" ht="14.95" thickBot="1" x14ac:dyDescent="0.3">
      <c r="A92" s="340" t="s">
        <v>988</v>
      </c>
      <c r="B92" s="341">
        <v>1</v>
      </c>
      <c r="C92" s="342">
        <v>0</v>
      </c>
      <c r="D92" s="343">
        <v>1</v>
      </c>
      <c r="E92" s="344">
        <f>SUM(B92:D92)</f>
        <v>2</v>
      </c>
      <c r="F92" s="182" t="s">
        <v>369</v>
      </c>
      <c r="G92" s="78">
        <v>10</v>
      </c>
      <c r="H92" s="322">
        <v>0</v>
      </c>
      <c r="I92" s="226">
        <v>0</v>
      </c>
      <c r="J92" s="204">
        <f>SUM(G92:I92)</f>
        <v>10</v>
      </c>
    </row>
    <row r="93" spans="1:10" ht="14.95" thickBot="1" x14ac:dyDescent="0.3">
      <c r="A93" s="340" t="s">
        <v>968</v>
      </c>
      <c r="B93" s="341">
        <v>2</v>
      </c>
      <c r="C93" s="342">
        <v>0</v>
      </c>
      <c r="D93" s="343">
        <v>0</v>
      </c>
      <c r="E93" s="344">
        <f>SUM(B93:D93)</f>
        <v>2</v>
      </c>
      <c r="F93" s="182" t="s">
        <v>988</v>
      </c>
      <c r="G93" s="78">
        <v>5</v>
      </c>
      <c r="H93" s="322">
        <v>0</v>
      </c>
      <c r="I93" s="226">
        <v>5</v>
      </c>
      <c r="J93" s="204">
        <f>SUM(G93:I93)</f>
        <v>10</v>
      </c>
    </row>
    <row r="94" spans="1:10" ht="14.95" thickBot="1" x14ac:dyDescent="0.3">
      <c r="A94" s="340" t="s">
        <v>443</v>
      </c>
      <c r="B94" s="341">
        <v>1</v>
      </c>
      <c r="C94" s="342">
        <v>1</v>
      </c>
      <c r="D94" s="343">
        <v>0</v>
      </c>
      <c r="E94" s="344">
        <f>SUM(B94:D94)</f>
        <v>2</v>
      </c>
      <c r="F94" s="182" t="s">
        <v>968</v>
      </c>
      <c r="G94" s="78">
        <v>10</v>
      </c>
      <c r="H94" s="322">
        <v>0</v>
      </c>
      <c r="I94" s="226">
        <v>0</v>
      </c>
      <c r="J94" s="204">
        <f>SUM(G94:I94)</f>
        <v>10</v>
      </c>
    </row>
    <row r="95" spans="1:10" ht="14.95" thickBot="1" x14ac:dyDescent="0.3">
      <c r="A95" s="340" t="s">
        <v>77</v>
      </c>
      <c r="B95" s="341">
        <v>1</v>
      </c>
      <c r="C95" s="342">
        <v>0</v>
      </c>
      <c r="D95" s="343">
        <v>0</v>
      </c>
      <c r="E95" s="344">
        <f>SUM(B95:D95)</f>
        <v>1</v>
      </c>
      <c r="F95" s="182" t="s">
        <v>443</v>
      </c>
      <c r="G95" s="78">
        <v>5</v>
      </c>
      <c r="H95" s="322">
        <v>5</v>
      </c>
      <c r="I95" s="226">
        <v>0</v>
      </c>
      <c r="J95" s="204">
        <f>SUM(G95:I95)</f>
        <v>10</v>
      </c>
    </row>
    <row r="96" spans="1:10" ht="14.95" thickBot="1" x14ac:dyDescent="0.3">
      <c r="A96" s="340" t="s">
        <v>835</v>
      </c>
      <c r="B96" s="341">
        <v>0</v>
      </c>
      <c r="C96" s="342">
        <v>0</v>
      </c>
      <c r="D96" s="343">
        <v>1</v>
      </c>
      <c r="E96" s="344">
        <f>SUM(B96:D96)</f>
        <v>1</v>
      </c>
      <c r="F96" s="182" t="s">
        <v>975</v>
      </c>
      <c r="G96" s="78">
        <v>0</v>
      </c>
      <c r="H96" s="322">
        <v>0</v>
      </c>
      <c r="I96" s="226">
        <v>8</v>
      </c>
      <c r="J96" s="204">
        <f>SUM(G96:I96)</f>
        <v>8</v>
      </c>
    </row>
    <row r="97" spans="1:10" ht="14.95" thickBot="1" x14ac:dyDescent="0.3">
      <c r="A97" s="340" t="s">
        <v>779</v>
      </c>
      <c r="B97" s="341">
        <v>0</v>
      </c>
      <c r="C97" s="342">
        <v>0</v>
      </c>
      <c r="D97" s="343">
        <v>1</v>
      </c>
      <c r="E97" s="344">
        <f>SUM(B97:D97)</f>
        <v>1</v>
      </c>
      <c r="F97" s="182" t="s">
        <v>779</v>
      </c>
      <c r="G97" s="78">
        <v>0</v>
      </c>
      <c r="H97" s="322">
        <v>0</v>
      </c>
      <c r="I97" s="226">
        <v>7</v>
      </c>
      <c r="J97" s="204">
        <f>SUM(G97:I97)</f>
        <v>7</v>
      </c>
    </row>
    <row r="98" spans="1:10" ht="14.95" thickBot="1" x14ac:dyDescent="0.3">
      <c r="A98" s="340" t="s">
        <v>1095</v>
      </c>
      <c r="B98" s="341">
        <v>0</v>
      </c>
      <c r="C98" s="342">
        <v>0</v>
      </c>
      <c r="D98" s="343">
        <v>1</v>
      </c>
      <c r="E98" s="344">
        <f>SUM(B98:D98)</f>
        <v>1</v>
      </c>
      <c r="F98" s="182" t="s">
        <v>77</v>
      </c>
      <c r="G98" s="78">
        <v>5</v>
      </c>
      <c r="H98" s="322">
        <v>0</v>
      </c>
      <c r="I98" s="226">
        <v>0</v>
      </c>
      <c r="J98" s="204">
        <f>SUM(G98:I98)</f>
        <v>5</v>
      </c>
    </row>
    <row r="99" spans="1:10" ht="14.95" thickBot="1" x14ac:dyDescent="0.3">
      <c r="A99" s="340" t="s">
        <v>790</v>
      </c>
      <c r="B99" s="341">
        <v>0</v>
      </c>
      <c r="C99" s="342">
        <v>0</v>
      </c>
      <c r="D99" s="343">
        <v>1</v>
      </c>
      <c r="E99" s="344">
        <f>SUM(B99:D99)</f>
        <v>1</v>
      </c>
      <c r="F99" s="182" t="s">
        <v>835</v>
      </c>
      <c r="G99" s="78">
        <v>0</v>
      </c>
      <c r="H99" s="322">
        <v>0</v>
      </c>
      <c r="I99" s="226">
        <v>5</v>
      </c>
      <c r="J99" s="204">
        <f>SUM(G99:I99)</f>
        <v>5</v>
      </c>
    </row>
    <row r="100" spans="1:10" ht="14.95" thickBot="1" x14ac:dyDescent="0.3">
      <c r="A100" s="340" t="s">
        <v>174</v>
      </c>
      <c r="B100" s="341">
        <v>0</v>
      </c>
      <c r="C100" s="342">
        <v>1</v>
      </c>
      <c r="D100" s="343">
        <v>0</v>
      </c>
      <c r="E100" s="344">
        <f>SUM(B100:D100)</f>
        <v>1</v>
      </c>
      <c r="F100" s="182" t="s">
        <v>1095</v>
      </c>
      <c r="G100" s="78">
        <v>0</v>
      </c>
      <c r="H100" s="322">
        <v>0</v>
      </c>
      <c r="I100" s="226">
        <v>5</v>
      </c>
      <c r="J100" s="204">
        <f>SUM(G100:I100)</f>
        <v>5</v>
      </c>
    </row>
    <row r="101" spans="1:10" ht="14.95" thickBot="1" x14ac:dyDescent="0.3">
      <c r="A101" s="340" t="s">
        <v>1113</v>
      </c>
      <c r="B101" s="341">
        <v>0</v>
      </c>
      <c r="C101" s="342">
        <v>0</v>
      </c>
      <c r="D101" s="343">
        <v>1</v>
      </c>
      <c r="E101" s="344">
        <f>SUM(B101:D101)</f>
        <v>1</v>
      </c>
      <c r="F101" s="182" t="s">
        <v>790</v>
      </c>
      <c r="G101" s="78">
        <v>0</v>
      </c>
      <c r="H101" s="322">
        <v>0</v>
      </c>
      <c r="I101" s="226">
        <v>5</v>
      </c>
      <c r="J101" s="204">
        <f>SUM(G101:I101)</f>
        <v>5</v>
      </c>
    </row>
    <row r="102" spans="1:10" ht="14.95" thickBot="1" x14ac:dyDescent="0.3">
      <c r="A102" s="340" t="s">
        <v>777</v>
      </c>
      <c r="B102" s="341">
        <v>0</v>
      </c>
      <c r="C102" s="342">
        <v>0</v>
      </c>
      <c r="D102" s="343">
        <v>1</v>
      </c>
      <c r="E102" s="344">
        <f>SUM(B102:D102)</f>
        <v>1</v>
      </c>
      <c r="F102" s="182" t="s">
        <v>174</v>
      </c>
      <c r="G102" s="78">
        <v>0</v>
      </c>
      <c r="H102" s="322">
        <v>5</v>
      </c>
      <c r="I102" s="226">
        <v>0</v>
      </c>
      <c r="J102" s="204">
        <f>SUM(G102:I102)</f>
        <v>5</v>
      </c>
    </row>
    <row r="103" spans="1:10" ht="14.95" thickBot="1" x14ac:dyDescent="0.3">
      <c r="A103" s="340" t="s">
        <v>1105</v>
      </c>
      <c r="B103" s="341">
        <v>0</v>
      </c>
      <c r="C103" s="342">
        <v>0</v>
      </c>
      <c r="D103" s="343">
        <v>1</v>
      </c>
      <c r="E103" s="344">
        <f>SUM(B103:D103)</f>
        <v>1</v>
      </c>
      <c r="F103" s="182" t="s">
        <v>1113</v>
      </c>
      <c r="G103" s="78">
        <v>0</v>
      </c>
      <c r="H103" s="322">
        <v>0</v>
      </c>
      <c r="I103" s="226">
        <v>5</v>
      </c>
      <c r="J103" s="204">
        <f>SUM(G103:I103)</f>
        <v>5</v>
      </c>
    </row>
    <row r="104" spans="1:10" ht="14.95" thickBot="1" x14ac:dyDescent="0.3">
      <c r="A104" s="340" t="s">
        <v>532</v>
      </c>
      <c r="B104" s="341">
        <v>0</v>
      </c>
      <c r="C104" s="342">
        <v>0</v>
      </c>
      <c r="D104" s="343">
        <v>0</v>
      </c>
      <c r="E104" s="344">
        <f>SUM(B104:D104)</f>
        <v>0</v>
      </c>
      <c r="F104" s="182" t="s">
        <v>777</v>
      </c>
      <c r="G104" s="78">
        <v>0</v>
      </c>
      <c r="H104" s="322">
        <v>0</v>
      </c>
      <c r="I104" s="226">
        <v>5</v>
      </c>
      <c r="J104" s="204">
        <f>SUM(G104:I104)</f>
        <v>5</v>
      </c>
    </row>
    <row r="105" spans="1:10" ht="14.95" thickBot="1" x14ac:dyDescent="0.3">
      <c r="A105" s="340" t="s">
        <v>833</v>
      </c>
      <c r="B105" s="341">
        <v>0</v>
      </c>
      <c r="C105" s="342">
        <v>0</v>
      </c>
      <c r="D105" s="343">
        <v>0</v>
      </c>
      <c r="E105" s="344">
        <f>SUM(B105:D105)</f>
        <v>0</v>
      </c>
      <c r="F105" s="182" t="s">
        <v>1105</v>
      </c>
      <c r="G105" s="78">
        <v>0</v>
      </c>
      <c r="H105" s="322">
        <v>0</v>
      </c>
      <c r="I105" s="226">
        <v>5</v>
      </c>
      <c r="J105" s="204">
        <f>SUM(G105:I105)</f>
        <v>5</v>
      </c>
    </row>
    <row r="106" spans="1:10" ht="14.95" thickBot="1" x14ac:dyDescent="0.3">
      <c r="A106" s="340" t="s">
        <v>36</v>
      </c>
      <c r="B106" s="341">
        <v>0</v>
      </c>
      <c r="C106" s="342">
        <v>0</v>
      </c>
      <c r="D106" s="343">
        <v>0</v>
      </c>
      <c r="E106" s="344">
        <f>SUM(B106:D106)</f>
        <v>0</v>
      </c>
      <c r="F106" s="182" t="s">
        <v>532</v>
      </c>
      <c r="G106" s="78">
        <v>0</v>
      </c>
      <c r="H106" s="322">
        <v>0</v>
      </c>
      <c r="I106" s="226">
        <v>0</v>
      </c>
      <c r="J106" s="204">
        <f>SUM(G106:I106)</f>
        <v>0</v>
      </c>
    </row>
    <row r="107" spans="1:10" ht="14.95" thickBot="1" x14ac:dyDescent="0.3">
      <c r="A107" s="340" t="s">
        <v>221</v>
      </c>
      <c r="B107" s="341">
        <v>0</v>
      </c>
      <c r="C107" s="342">
        <v>0</v>
      </c>
      <c r="D107" s="343">
        <v>0</v>
      </c>
      <c r="E107" s="344">
        <f>SUM(B107:D107)</f>
        <v>0</v>
      </c>
      <c r="F107" s="182" t="s">
        <v>833</v>
      </c>
      <c r="G107" s="78">
        <v>0</v>
      </c>
      <c r="H107" s="322">
        <v>0</v>
      </c>
      <c r="I107" s="226">
        <v>0</v>
      </c>
      <c r="J107" s="204">
        <f>SUM(G107:I107)</f>
        <v>0</v>
      </c>
    </row>
    <row r="108" spans="1:10" ht="14.95" thickBot="1" x14ac:dyDescent="0.3">
      <c r="A108" s="340" t="s">
        <v>972</v>
      </c>
      <c r="B108" s="341">
        <v>0</v>
      </c>
      <c r="C108" s="342">
        <v>0</v>
      </c>
      <c r="D108" s="343">
        <v>0</v>
      </c>
      <c r="E108" s="344">
        <f>SUM(B108:D108)</f>
        <v>0</v>
      </c>
      <c r="F108" s="182" t="s">
        <v>36</v>
      </c>
      <c r="G108" s="78">
        <v>0</v>
      </c>
      <c r="H108" s="322">
        <v>0</v>
      </c>
      <c r="I108" s="226">
        <v>0</v>
      </c>
      <c r="J108" s="204">
        <f>SUM(G108:I108)</f>
        <v>0</v>
      </c>
    </row>
    <row r="109" spans="1:10" ht="14.95" thickBot="1" x14ac:dyDescent="0.3">
      <c r="A109" s="340" t="s">
        <v>195</v>
      </c>
      <c r="B109" s="341">
        <v>0</v>
      </c>
      <c r="C109" s="342">
        <v>0</v>
      </c>
      <c r="D109" s="343">
        <v>0</v>
      </c>
      <c r="E109" s="344">
        <f>SUM(B109:D109)</f>
        <v>0</v>
      </c>
      <c r="F109" s="182" t="s">
        <v>221</v>
      </c>
      <c r="G109" s="78">
        <v>0</v>
      </c>
      <c r="H109" s="322">
        <v>0</v>
      </c>
      <c r="I109" s="226">
        <v>0</v>
      </c>
      <c r="J109" s="204">
        <f>SUM(G109:I109)</f>
        <v>0</v>
      </c>
    </row>
    <row r="110" spans="1:10" ht="14.95" thickBot="1" x14ac:dyDescent="0.3">
      <c r="A110" s="340" t="s">
        <v>448</v>
      </c>
      <c r="B110" s="341">
        <v>0</v>
      </c>
      <c r="C110" s="342">
        <v>0</v>
      </c>
      <c r="D110" s="343">
        <v>0</v>
      </c>
      <c r="E110" s="344">
        <f>SUM(B110:D110)</f>
        <v>0</v>
      </c>
      <c r="F110" s="182" t="s">
        <v>972</v>
      </c>
      <c r="G110" s="78">
        <v>0</v>
      </c>
      <c r="H110" s="322">
        <v>0</v>
      </c>
      <c r="I110" s="226">
        <v>0</v>
      </c>
      <c r="J110" s="204">
        <f>SUM(G110:I110)</f>
        <v>0</v>
      </c>
    </row>
    <row r="111" spans="1:10" ht="14.95" thickBot="1" x14ac:dyDescent="0.3">
      <c r="A111" s="340" t="s">
        <v>843</v>
      </c>
      <c r="B111" s="341">
        <v>0</v>
      </c>
      <c r="C111" s="342">
        <v>0</v>
      </c>
      <c r="D111" s="343">
        <v>0</v>
      </c>
      <c r="E111" s="344">
        <f>SUM(B111:D111)</f>
        <v>0</v>
      </c>
      <c r="F111" s="182" t="s">
        <v>195</v>
      </c>
      <c r="G111" s="78">
        <v>0</v>
      </c>
      <c r="H111" s="322">
        <v>0</v>
      </c>
      <c r="I111" s="226">
        <v>0</v>
      </c>
      <c r="J111" s="204">
        <f>SUM(G111:I111)</f>
        <v>0</v>
      </c>
    </row>
    <row r="112" spans="1:10" ht="14.95" thickBot="1" x14ac:dyDescent="0.3">
      <c r="A112" s="340" t="s">
        <v>837</v>
      </c>
      <c r="B112" s="341">
        <v>0</v>
      </c>
      <c r="C112" s="342">
        <v>0</v>
      </c>
      <c r="D112" s="343">
        <v>0</v>
      </c>
      <c r="E112" s="344">
        <f>SUM(B112:D112)</f>
        <v>0</v>
      </c>
      <c r="F112" s="182" t="s">
        <v>448</v>
      </c>
      <c r="G112" s="78">
        <v>0</v>
      </c>
      <c r="H112" s="322">
        <v>0</v>
      </c>
      <c r="I112" s="226">
        <v>0</v>
      </c>
      <c r="J112" s="204">
        <f>SUM(G112:I112)</f>
        <v>0</v>
      </c>
    </row>
    <row r="113" spans="1:10" ht="14.95" thickBot="1" x14ac:dyDescent="0.3">
      <c r="A113" s="340" t="s">
        <v>975</v>
      </c>
      <c r="B113" s="341">
        <v>0</v>
      </c>
      <c r="C113" s="342">
        <v>0</v>
      </c>
      <c r="D113" s="343">
        <v>0</v>
      </c>
      <c r="E113" s="344">
        <f>SUM(B113:D113)</f>
        <v>0</v>
      </c>
      <c r="F113" s="182" t="s">
        <v>843</v>
      </c>
      <c r="G113" s="78">
        <v>0</v>
      </c>
      <c r="H113" s="322">
        <v>0</v>
      </c>
      <c r="I113" s="226">
        <v>0</v>
      </c>
      <c r="J113" s="204">
        <f>SUM(G113:I113)</f>
        <v>0</v>
      </c>
    </row>
    <row r="114" spans="1:10" ht="14.95" thickBot="1" x14ac:dyDescent="0.3">
      <c r="A114" s="340" t="s">
        <v>584</v>
      </c>
      <c r="B114" s="341">
        <v>0</v>
      </c>
      <c r="C114" s="342">
        <v>0</v>
      </c>
      <c r="D114" s="343">
        <v>0</v>
      </c>
      <c r="E114" s="344">
        <f>SUM(B114:D114)</f>
        <v>0</v>
      </c>
      <c r="F114" s="182" t="s">
        <v>837</v>
      </c>
      <c r="G114" s="78">
        <v>0</v>
      </c>
      <c r="H114" s="322">
        <v>0</v>
      </c>
      <c r="I114" s="226">
        <v>0</v>
      </c>
      <c r="J114" s="204">
        <f>SUM(G114:I114)</f>
        <v>0</v>
      </c>
    </row>
    <row r="115" spans="1:10" ht="14.3" customHeight="1" thickBot="1" x14ac:dyDescent="0.3">
      <c r="A115" s="340" t="s">
        <v>974</v>
      </c>
      <c r="B115" s="341">
        <v>0</v>
      </c>
      <c r="C115" s="342">
        <v>0</v>
      </c>
      <c r="D115" s="343">
        <v>0</v>
      </c>
      <c r="E115" s="344">
        <f>SUM(B115:D115)</f>
        <v>0</v>
      </c>
      <c r="F115" s="182" t="s">
        <v>584</v>
      </c>
      <c r="G115" s="78">
        <v>0</v>
      </c>
      <c r="H115" s="322">
        <v>0</v>
      </c>
      <c r="I115" s="226">
        <v>0</v>
      </c>
      <c r="J115" s="204">
        <f>SUM(G115:I115)</f>
        <v>0</v>
      </c>
    </row>
    <row r="116" spans="1:10" ht="14.95" thickBot="1" x14ac:dyDescent="0.3">
      <c r="A116" s="340" t="s">
        <v>1096</v>
      </c>
      <c r="B116" s="341">
        <v>0</v>
      </c>
      <c r="C116" s="342">
        <v>0</v>
      </c>
      <c r="D116" s="343">
        <v>0</v>
      </c>
      <c r="E116" s="344">
        <f>SUM(B116:D116)</f>
        <v>0</v>
      </c>
      <c r="F116" s="182" t="s">
        <v>974</v>
      </c>
      <c r="G116" s="78">
        <v>0</v>
      </c>
      <c r="H116" s="322">
        <v>0</v>
      </c>
      <c r="I116" s="226">
        <v>0</v>
      </c>
      <c r="J116" s="204">
        <f>SUM(G116:I116)</f>
        <v>0</v>
      </c>
    </row>
    <row r="117" spans="1:10" ht="14.95" thickBot="1" x14ac:dyDescent="0.3">
      <c r="A117" s="340" t="s">
        <v>815</v>
      </c>
      <c r="B117" s="341">
        <v>0</v>
      </c>
      <c r="C117" s="342">
        <v>0</v>
      </c>
      <c r="D117" s="343">
        <v>0</v>
      </c>
      <c r="E117" s="344">
        <f>SUM(B117:D117)</f>
        <v>0</v>
      </c>
      <c r="F117" s="182" t="s">
        <v>815</v>
      </c>
      <c r="G117" s="78">
        <v>0</v>
      </c>
      <c r="H117" s="322">
        <v>0</v>
      </c>
      <c r="I117" s="226">
        <v>0</v>
      </c>
      <c r="J117" s="204">
        <f>SUM(G117:I117)</f>
        <v>0</v>
      </c>
    </row>
    <row r="118" spans="1:10" ht="14.95" thickBot="1" x14ac:dyDescent="0.3">
      <c r="A118" s="340" t="s">
        <v>68</v>
      </c>
      <c r="B118" s="341">
        <v>0</v>
      </c>
      <c r="C118" s="342">
        <v>0</v>
      </c>
      <c r="D118" s="343">
        <v>0</v>
      </c>
      <c r="E118" s="344">
        <f>SUM(B118:D118)</f>
        <v>0</v>
      </c>
      <c r="F118" s="182" t="s">
        <v>68</v>
      </c>
      <c r="G118" s="78">
        <v>0</v>
      </c>
      <c r="H118" s="322">
        <v>0</v>
      </c>
      <c r="I118" s="226">
        <v>0</v>
      </c>
      <c r="J118" s="204">
        <f>SUM(G118:I118)</f>
        <v>0</v>
      </c>
    </row>
    <row r="119" spans="1:10" ht="14.95" thickBot="1" x14ac:dyDescent="0.3">
      <c r="A119" s="340" t="s">
        <v>3</v>
      </c>
      <c r="B119" s="341">
        <f>SUM(B63:B118)</f>
        <v>64</v>
      </c>
      <c r="C119" s="342">
        <f>SUM(C63:C118)</f>
        <v>36</v>
      </c>
      <c r="D119" s="343">
        <f>SUM(D63:D118)</f>
        <v>43</v>
      </c>
      <c r="E119" s="344">
        <f t="shared" ref="E63:E119" si="22">SUM(B119:D119)</f>
        <v>143</v>
      </c>
      <c r="F119" s="181" t="s">
        <v>3</v>
      </c>
      <c r="G119" s="78">
        <f>SUM(G63:G118)</f>
        <v>436</v>
      </c>
      <c r="H119" s="322">
        <f>SUM(H63:H118)</f>
        <v>254</v>
      </c>
      <c r="I119" s="226">
        <f>SUM(I63:I118)</f>
        <v>271</v>
      </c>
      <c r="J119" s="204">
        <f t="shared" ref="J63:J119" si="23">SUM(G119:I119)</f>
        <v>961</v>
      </c>
    </row>
    <row r="120" spans="1:10" ht="16.3" x14ac:dyDescent="0.3">
      <c r="A120" s="447" t="s">
        <v>34</v>
      </c>
      <c r="B120" s="448"/>
      <c r="C120" s="448"/>
      <c r="D120" s="448"/>
      <c r="E120" s="448"/>
      <c r="F120" s="448"/>
      <c r="G120" s="448"/>
      <c r="H120" s="448"/>
      <c r="I120" s="448"/>
      <c r="J120" s="448"/>
    </row>
  </sheetData>
  <sortState xmlns:xlrd2="http://schemas.microsoft.com/office/spreadsheetml/2017/richdata2" ref="F63:J118">
    <sortCondition descending="1" ref="J63:J118"/>
  </sortState>
  <mergeCells count="65">
    <mergeCell ref="A1:J1"/>
    <mergeCell ref="R1:S2"/>
    <mergeCell ref="R15:T16"/>
    <mergeCell ref="K15:K16"/>
    <mergeCell ref="K1:K2"/>
    <mergeCell ref="L1:N2"/>
    <mergeCell ref="L15:N16"/>
    <mergeCell ref="O15:Q16"/>
    <mergeCell ref="O1:Q2"/>
    <mergeCell ref="K22:K23"/>
    <mergeCell ref="L22:N23"/>
    <mergeCell ref="R22:T23"/>
    <mergeCell ref="R30:T31"/>
    <mergeCell ref="U22:W23"/>
    <mergeCell ref="U30:W31"/>
    <mergeCell ref="A60:H60"/>
    <mergeCell ref="AO22:AQ23"/>
    <mergeCell ref="AO30:AQ31"/>
    <mergeCell ref="K41:Y41"/>
    <mergeCell ref="K42:Y42"/>
    <mergeCell ref="AF22:AH23"/>
    <mergeCell ref="AF30:AH31"/>
    <mergeCell ref="O22:Q23"/>
    <mergeCell ref="O30:Q31"/>
    <mergeCell ref="AL22:AN23"/>
    <mergeCell ref="AL30:AN31"/>
    <mergeCell ref="K30:K31"/>
    <mergeCell ref="L30:N31"/>
    <mergeCell ref="AI22:AK23"/>
    <mergeCell ref="AI30:AK31"/>
    <mergeCell ref="K43:Y43"/>
    <mergeCell ref="W1:Y2"/>
    <mergeCell ref="T1:V2"/>
    <mergeCell ref="AL1:AN2"/>
    <mergeCell ref="AO15:AQ16"/>
    <mergeCell ref="U15:W16"/>
    <mergeCell ref="AI1:AK2"/>
    <mergeCell ref="AI15:AK16"/>
    <mergeCell ref="AL15:AN16"/>
    <mergeCell ref="AF1:AH2"/>
    <mergeCell ref="AF15:AH16"/>
    <mergeCell ref="AC15:AE16"/>
    <mergeCell ref="AC41:AQ41"/>
    <mergeCell ref="AU22:AW23"/>
    <mergeCell ref="AC1:AE2"/>
    <mergeCell ref="AR1:AT2"/>
    <mergeCell ref="AR15:AT16"/>
    <mergeCell ref="AO1:AQ2"/>
    <mergeCell ref="AC22:AE23"/>
    <mergeCell ref="A120:J120"/>
    <mergeCell ref="AC30:AE31"/>
    <mergeCell ref="AC42:AQ42"/>
    <mergeCell ref="AR30:AT31"/>
    <mergeCell ref="BG1:BI2"/>
    <mergeCell ref="BA1:BC2"/>
    <mergeCell ref="AX1:AZ2"/>
    <mergeCell ref="BD1:BF2"/>
    <mergeCell ref="BA15:BC16"/>
    <mergeCell ref="AX15:AZ16"/>
    <mergeCell ref="AR22:AT23"/>
    <mergeCell ref="AU1:AW2"/>
    <mergeCell ref="AU15:AW16"/>
    <mergeCell ref="AX22:AZ23"/>
    <mergeCell ref="BA22:BC23"/>
    <mergeCell ref="AU30:AW3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D8030-C84B-454F-B894-8046D17AFCDD}">
  <sheetPr codeName="Sheet10"/>
  <dimension ref="A1:BH116"/>
  <sheetViews>
    <sheetView workbookViewId="0">
      <selection activeCell="M18" sqref="M18"/>
    </sheetView>
  </sheetViews>
  <sheetFormatPr defaultRowHeight="14.3" x14ac:dyDescent="0.25"/>
  <cols>
    <col min="1" max="1" width="16.125" bestFit="1" customWidth="1"/>
    <col min="2" max="4" width="3.75" customWidth="1"/>
    <col min="5" max="5" width="4.75" customWidth="1"/>
    <col min="6" max="6" width="16.125" bestFit="1" customWidth="1"/>
    <col min="7" max="10" width="5.25" customWidth="1"/>
    <col min="11" max="11" width="15.75" customWidth="1"/>
    <col min="12" max="51" width="5.75" customWidth="1"/>
    <col min="52" max="60" width="5.625" customWidth="1"/>
  </cols>
  <sheetData>
    <row r="1" spans="1:60" ht="17" thickBot="1" x14ac:dyDescent="0.3">
      <c r="A1" s="551" t="s">
        <v>908</v>
      </c>
      <c r="B1" s="552"/>
      <c r="C1" s="552"/>
      <c r="D1" s="552"/>
      <c r="E1" s="552"/>
      <c r="F1" s="552"/>
      <c r="G1" s="552"/>
      <c r="H1" s="552"/>
      <c r="I1" s="552"/>
      <c r="J1" s="553"/>
      <c r="K1" s="467" t="s">
        <v>187</v>
      </c>
      <c r="L1" s="457" t="s">
        <v>14</v>
      </c>
      <c r="M1" s="461"/>
      <c r="N1" s="458"/>
      <c r="O1" s="457" t="s">
        <v>40</v>
      </c>
      <c r="P1" s="461"/>
      <c r="Q1" s="458"/>
      <c r="R1" s="457" t="s">
        <v>186</v>
      </c>
      <c r="S1" s="458"/>
      <c r="T1" s="449" t="s">
        <v>226</v>
      </c>
      <c r="U1" s="450"/>
      <c r="V1" s="451"/>
      <c r="W1" s="449" t="s">
        <v>875</v>
      </c>
      <c r="X1" s="450"/>
      <c r="Y1" s="451"/>
      <c r="Z1" s="160"/>
      <c r="AA1" s="94"/>
      <c r="AB1" s="449" t="s">
        <v>581</v>
      </c>
      <c r="AC1" s="450"/>
      <c r="AD1" s="451"/>
      <c r="AE1" s="449" t="s">
        <v>477</v>
      </c>
      <c r="AF1" s="450"/>
      <c r="AG1" s="451"/>
      <c r="AH1" s="449" t="s">
        <v>392</v>
      </c>
      <c r="AI1" s="450"/>
      <c r="AJ1" s="451"/>
      <c r="AK1" s="449" t="s">
        <v>300</v>
      </c>
      <c r="AL1" s="450"/>
      <c r="AM1" s="451"/>
      <c r="AN1" s="449" t="s">
        <v>219</v>
      </c>
      <c r="AO1" s="450"/>
      <c r="AP1" s="451"/>
      <c r="AQ1" s="449" t="s">
        <v>165</v>
      </c>
      <c r="AR1" s="450"/>
      <c r="AS1" s="451"/>
      <c r="AT1" s="449" t="s">
        <v>78</v>
      </c>
      <c r="AU1" s="450"/>
      <c r="AV1" s="451"/>
      <c r="AW1" s="449" t="s">
        <v>54</v>
      </c>
      <c r="AX1" s="450"/>
      <c r="AY1" s="451"/>
      <c r="AZ1" s="449" t="s">
        <v>50</v>
      </c>
      <c r="BA1" s="450"/>
      <c r="BB1" s="451"/>
      <c r="BC1" s="449" t="s">
        <v>37</v>
      </c>
      <c r="BD1" s="450"/>
      <c r="BE1" s="451"/>
      <c r="BF1" s="449" t="s">
        <v>45</v>
      </c>
      <c r="BG1" s="450"/>
      <c r="BH1" s="451"/>
    </row>
    <row r="2" spans="1:60" ht="14.95" customHeight="1" thickBot="1" x14ac:dyDescent="0.3">
      <c r="A2" s="285" t="s">
        <v>0</v>
      </c>
      <c r="B2" s="206" t="s">
        <v>218</v>
      </c>
      <c r="C2" s="257" t="s">
        <v>30</v>
      </c>
      <c r="D2" s="236" t="s">
        <v>326</v>
      </c>
      <c r="E2" s="287" t="s">
        <v>1</v>
      </c>
      <c r="F2" s="241" t="s">
        <v>2</v>
      </c>
      <c r="G2" s="240" t="s">
        <v>218</v>
      </c>
      <c r="H2" s="329" t="s">
        <v>30</v>
      </c>
      <c r="I2" s="238" t="s">
        <v>326</v>
      </c>
      <c r="J2" s="239" t="s">
        <v>1</v>
      </c>
      <c r="K2" s="468"/>
      <c r="L2" s="459"/>
      <c r="M2" s="462"/>
      <c r="N2" s="460"/>
      <c r="O2" s="459"/>
      <c r="P2" s="462"/>
      <c r="Q2" s="460"/>
      <c r="R2" s="459"/>
      <c r="S2" s="460"/>
      <c r="T2" s="452"/>
      <c r="U2" s="453"/>
      <c r="V2" s="454"/>
      <c r="W2" s="452"/>
      <c r="X2" s="453"/>
      <c r="Y2" s="454"/>
      <c r="Z2" s="94"/>
      <c r="AA2" s="94"/>
      <c r="AB2" s="452"/>
      <c r="AC2" s="453"/>
      <c r="AD2" s="454"/>
      <c r="AE2" s="452"/>
      <c r="AF2" s="453"/>
      <c r="AG2" s="454"/>
      <c r="AH2" s="452"/>
      <c r="AI2" s="453"/>
      <c r="AJ2" s="454"/>
      <c r="AK2" s="452"/>
      <c r="AL2" s="453"/>
      <c r="AM2" s="454"/>
      <c r="AN2" s="452"/>
      <c r="AO2" s="453"/>
      <c r="AP2" s="454"/>
      <c r="AQ2" s="452"/>
      <c r="AR2" s="453"/>
      <c r="AS2" s="454"/>
      <c r="AT2" s="452"/>
      <c r="AU2" s="453"/>
      <c r="AV2" s="454"/>
      <c r="AW2" s="452"/>
      <c r="AX2" s="453"/>
      <c r="AY2" s="454"/>
      <c r="AZ2" s="452"/>
      <c r="BA2" s="453"/>
      <c r="BB2" s="454"/>
      <c r="BC2" s="452"/>
      <c r="BD2" s="453"/>
      <c r="BE2" s="454"/>
      <c r="BF2" s="452"/>
      <c r="BG2" s="453"/>
      <c r="BH2" s="454"/>
    </row>
    <row r="3" spans="1:60" ht="14.95" customHeight="1" thickBot="1" x14ac:dyDescent="0.3">
      <c r="A3" s="286" t="s">
        <v>1049</v>
      </c>
      <c r="B3" s="207">
        <v>0</v>
      </c>
      <c r="C3" s="258">
        <v>0</v>
      </c>
      <c r="D3" s="237">
        <v>2</v>
      </c>
      <c r="E3" s="288">
        <f>SUM(B3:D3)</f>
        <v>2</v>
      </c>
      <c r="F3" s="242" t="s">
        <v>1049</v>
      </c>
      <c r="G3" s="243">
        <v>0</v>
      </c>
      <c r="H3" s="330">
        <v>0</v>
      </c>
      <c r="I3" s="244">
        <v>10</v>
      </c>
      <c r="J3" s="245">
        <f>SUM(G3:I3)</f>
        <v>10</v>
      </c>
      <c r="K3" s="218" t="s">
        <v>21</v>
      </c>
      <c r="L3" s="3" t="s">
        <v>46</v>
      </c>
      <c r="M3" s="3" t="s">
        <v>9</v>
      </c>
      <c r="N3" s="3" t="s">
        <v>10</v>
      </c>
      <c r="O3" s="3" t="s">
        <v>46</v>
      </c>
      <c r="P3" s="3" t="s">
        <v>9</v>
      </c>
      <c r="Q3" s="3" t="s">
        <v>10</v>
      </c>
      <c r="R3" s="3" t="s">
        <v>187</v>
      </c>
      <c r="S3" s="3" t="s">
        <v>58</v>
      </c>
      <c r="T3" s="7" t="s">
        <v>46</v>
      </c>
      <c r="U3" s="7" t="s">
        <v>9</v>
      </c>
      <c r="V3" s="7" t="s">
        <v>10</v>
      </c>
      <c r="W3" s="148" t="s">
        <v>46</v>
      </c>
      <c r="X3" s="7" t="s">
        <v>9</v>
      </c>
      <c r="Y3" s="7" t="s">
        <v>10</v>
      </c>
      <c r="Z3" s="94"/>
      <c r="AA3" s="94"/>
      <c r="AB3" s="148" t="s">
        <v>46</v>
      </c>
      <c r="AC3" s="7" t="s">
        <v>9</v>
      </c>
      <c r="AD3" s="7" t="s">
        <v>10</v>
      </c>
      <c r="AE3" s="148" t="s">
        <v>46</v>
      </c>
      <c r="AF3" s="7" t="s">
        <v>9</v>
      </c>
      <c r="AG3" s="7" t="s">
        <v>10</v>
      </c>
      <c r="AH3" s="148" t="s">
        <v>46</v>
      </c>
      <c r="AI3" s="7" t="s">
        <v>9</v>
      </c>
      <c r="AJ3" s="7" t="s">
        <v>10</v>
      </c>
      <c r="AK3" s="148" t="s">
        <v>46</v>
      </c>
      <c r="AL3" s="7" t="s">
        <v>9</v>
      </c>
      <c r="AM3" s="7" t="s">
        <v>10</v>
      </c>
      <c r="AN3" s="148" t="s">
        <v>46</v>
      </c>
      <c r="AO3" s="7" t="s">
        <v>9</v>
      </c>
      <c r="AP3" s="7" t="s">
        <v>10</v>
      </c>
      <c r="AQ3" s="148" t="s">
        <v>46</v>
      </c>
      <c r="AR3" s="7" t="s">
        <v>9</v>
      </c>
      <c r="AS3" s="7" t="s">
        <v>10</v>
      </c>
      <c r="AT3" s="148" t="s">
        <v>46</v>
      </c>
      <c r="AU3" s="7" t="s">
        <v>9</v>
      </c>
      <c r="AV3" s="7" t="s">
        <v>10</v>
      </c>
      <c r="AW3" s="148" t="s">
        <v>46</v>
      </c>
      <c r="AX3" s="7" t="s">
        <v>9</v>
      </c>
      <c r="AY3" s="7" t="s">
        <v>10</v>
      </c>
      <c r="AZ3" s="7" t="s">
        <v>46</v>
      </c>
      <c r="BA3" s="7" t="s">
        <v>9</v>
      </c>
      <c r="BB3" s="7" t="s">
        <v>10</v>
      </c>
      <c r="BC3" s="7" t="s">
        <v>46</v>
      </c>
      <c r="BD3" s="7" t="s">
        <v>9</v>
      </c>
      <c r="BE3" s="7" t="s">
        <v>10</v>
      </c>
      <c r="BF3" s="7" t="s">
        <v>46</v>
      </c>
      <c r="BG3" s="7" t="s">
        <v>9</v>
      </c>
      <c r="BH3" s="7" t="s">
        <v>10</v>
      </c>
    </row>
    <row r="4" spans="1:60" ht="14.95" customHeight="1" thickBot="1" x14ac:dyDescent="0.3">
      <c r="A4" s="286" t="s">
        <v>900</v>
      </c>
      <c r="B4" s="207">
        <v>0</v>
      </c>
      <c r="C4" s="258">
        <v>0</v>
      </c>
      <c r="D4" s="237">
        <v>0</v>
      </c>
      <c r="E4" s="288">
        <f>SUM(B4:D4)</f>
        <v>0</v>
      </c>
      <c r="F4" s="242" t="s">
        <v>900</v>
      </c>
      <c r="G4" s="243">
        <v>0</v>
      </c>
      <c r="H4" s="330">
        <v>0</v>
      </c>
      <c r="I4" s="244">
        <v>0</v>
      </c>
      <c r="J4" s="245">
        <f>SUM(G4:I4)</f>
        <v>0</v>
      </c>
      <c r="K4" s="286" t="s">
        <v>759</v>
      </c>
      <c r="L4" s="288">
        <v>6</v>
      </c>
      <c r="M4" s="288">
        <v>7</v>
      </c>
      <c r="N4" s="289">
        <f t="shared" ref="N4:N5" si="0">SUM(L4/M4)*100</f>
        <v>85.714285714285708</v>
      </c>
      <c r="O4" s="288">
        <v>1</v>
      </c>
      <c r="P4" s="288">
        <v>1</v>
      </c>
      <c r="Q4" s="289">
        <f t="shared" ref="Q4" si="1">SUM(O4/P4)*100</f>
        <v>100</v>
      </c>
      <c r="R4" s="288">
        <v>5</v>
      </c>
      <c r="S4" s="288">
        <v>2</v>
      </c>
      <c r="T4" s="7">
        <v>28</v>
      </c>
      <c r="U4" s="7">
        <v>43</v>
      </c>
      <c r="V4" s="7">
        <v>65</v>
      </c>
      <c r="W4" s="7">
        <v>8</v>
      </c>
      <c r="X4" s="7">
        <v>13</v>
      </c>
      <c r="Y4" s="7">
        <v>62</v>
      </c>
      <c r="Z4" s="94"/>
      <c r="AA4" s="94"/>
      <c r="AB4" s="148" t="s">
        <v>15</v>
      </c>
      <c r="AC4" s="7" t="s">
        <v>15</v>
      </c>
      <c r="AD4" s="7" t="s">
        <v>15</v>
      </c>
      <c r="AE4" s="148" t="s">
        <v>15</v>
      </c>
      <c r="AF4" s="7" t="s">
        <v>15</v>
      </c>
      <c r="AG4" s="7" t="s">
        <v>15</v>
      </c>
      <c r="AH4" s="148" t="s">
        <v>15</v>
      </c>
      <c r="AI4" s="7" t="s">
        <v>15</v>
      </c>
      <c r="AJ4" s="153" t="s">
        <v>15</v>
      </c>
      <c r="AK4" s="148" t="s">
        <v>15</v>
      </c>
      <c r="AL4" s="7" t="s">
        <v>15</v>
      </c>
      <c r="AM4" s="153" t="s">
        <v>15</v>
      </c>
      <c r="AN4" s="148" t="s">
        <v>15</v>
      </c>
      <c r="AO4" s="7" t="s">
        <v>15</v>
      </c>
      <c r="AP4" s="153" t="s">
        <v>15</v>
      </c>
      <c r="AQ4" s="148" t="s">
        <v>15</v>
      </c>
      <c r="AR4" s="7" t="s">
        <v>15</v>
      </c>
      <c r="AS4" s="153" t="s">
        <v>15</v>
      </c>
      <c r="AT4" s="148" t="s">
        <v>15</v>
      </c>
      <c r="AU4" s="7" t="s">
        <v>15</v>
      </c>
      <c r="AV4" s="153" t="s">
        <v>15</v>
      </c>
      <c r="AW4" s="148" t="s">
        <v>15</v>
      </c>
      <c r="AX4" s="7" t="s">
        <v>15</v>
      </c>
      <c r="AY4" s="153" t="s">
        <v>15</v>
      </c>
      <c r="AZ4" s="148" t="s">
        <v>15</v>
      </c>
      <c r="BA4" s="7" t="s">
        <v>15</v>
      </c>
      <c r="BB4" s="153" t="s">
        <v>15</v>
      </c>
      <c r="BC4" s="148" t="s">
        <v>15</v>
      </c>
      <c r="BD4" s="7" t="s">
        <v>15</v>
      </c>
      <c r="BE4" s="153" t="s">
        <v>15</v>
      </c>
      <c r="BF4" s="148" t="s">
        <v>15</v>
      </c>
      <c r="BG4" s="7" t="s">
        <v>15</v>
      </c>
      <c r="BH4" s="153" t="s">
        <v>15</v>
      </c>
    </row>
    <row r="5" spans="1:60" ht="14.95" customHeight="1" thickBot="1" x14ac:dyDescent="0.3">
      <c r="A5" s="286" t="s">
        <v>868</v>
      </c>
      <c r="B5" s="207">
        <v>1</v>
      </c>
      <c r="C5" s="258">
        <v>1</v>
      </c>
      <c r="D5" s="237">
        <v>3</v>
      </c>
      <c r="E5" s="288">
        <f>SUM(B5:D5)</f>
        <v>5</v>
      </c>
      <c r="F5" s="242" t="s">
        <v>868</v>
      </c>
      <c r="G5" s="243">
        <v>5</v>
      </c>
      <c r="H5" s="330">
        <v>5</v>
      </c>
      <c r="I5" s="244">
        <v>15</v>
      </c>
      <c r="J5" s="245">
        <f>SUM(G5:I5)</f>
        <v>25</v>
      </c>
      <c r="K5" s="285" t="s">
        <v>325</v>
      </c>
      <c r="L5" s="288">
        <v>0</v>
      </c>
      <c r="M5" s="288">
        <v>1</v>
      </c>
      <c r="N5" s="289">
        <f t="shared" si="0"/>
        <v>0</v>
      </c>
      <c r="O5" s="288" t="s">
        <v>15</v>
      </c>
      <c r="P5" s="288" t="s">
        <v>15</v>
      </c>
      <c r="Q5" s="289" t="s">
        <v>15</v>
      </c>
      <c r="R5" s="290">
        <v>-2</v>
      </c>
      <c r="S5" s="290">
        <v>-2</v>
      </c>
      <c r="T5" s="7">
        <v>2</v>
      </c>
      <c r="U5" s="7">
        <v>3</v>
      </c>
      <c r="V5" s="7">
        <v>67</v>
      </c>
      <c r="W5" s="7">
        <v>10</v>
      </c>
      <c r="X5" s="7">
        <v>12</v>
      </c>
      <c r="Y5" s="7">
        <v>83</v>
      </c>
      <c r="Z5" s="94"/>
      <c r="AA5" s="94"/>
      <c r="AB5" s="148">
        <v>7</v>
      </c>
      <c r="AC5" s="7">
        <v>9</v>
      </c>
      <c r="AD5" s="6">
        <v>78</v>
      </c>
      <c r="AE5" s="148">
        <v>1</v>
      </c>
      <c r="AF5" s="7">
        <v>2</v>
      </c>
      <c r="AG5" s="6">
        <f>SUM(AE5/AF5)*100</f>
        <v>50</v>
      </c>
      <c r="AH5" s="148" t="s">
        <v>15</v>
      </c>
      <c r="AI5" s="7" t="s">
        <v>15</v>
      </c>
      <c r="AJ5" s="153" t="s">
        <v>15</v>
      </c>
      <c r="AK5" s="148">
        <v>3</v>
      </c>
      <c r="AL5" s="7">
        <v>3</v>
      </c>
      <c r="AM5" s="7">
        <v>100</v>
      </c>
      <c r="AN5" s="148">
        <v>5</v>
      </c>
      <c r="AO5" s="7">
        <v>10</v>
      </c>
      <c r="AP5" s="7">
        <v>50</v>
      </c>
      <c r="AQ5" s="148">
        <v>4</v>
      </c>
      <c r="AR5" s="7">
        <v>5</v>
      </c>
      <c r="AS5" s="153">
        <v>80</v>
      </c>
      <c r="AT5" s="148">
        <v>1</v>
      </c>
      <c r="AU5" s="7">
        <v>3</v>
      </c>
      <c r="AV5" s="153">
        <v>33.333333333333329</v>
      </c>
      <c r="AW5" s="148">
        <v>13</v>
      </c>
      <c r="AX5" s="7">
        <v>20</v>
      </c>
      <c r="AY5" s="7">
        <v>65</v>
      </c>
      <c r="AZ5" s="7">
        <v>3</v>
      </c>
      <c r="BA5" s="7">
        <v>3</v>
      </c>
      <c r="BB5" s="7">
        <v>100</v>
      </c>
      <c r="BC5" s="9">
        <v>2</v>
      </c>
      <c r="BD5" s="9">
        <v>6</v>
      </c>
      <c r="BE5" s="212">
        <v>33.333333333333329</v>
      </c>
      <c r="BF5" s="6" t="s">
        <v>15</v>
      </c>
      <c r="BG5" s="6" t="s">
        <v>15</v>
      </c>
      <c r="BH5" s="6" t="s">
        <v>15</v>
      </c>
    </row>
    <row r="6" spans="1:60" ht="14.95" customHeight="1" thickBot="1" x14ac:dyDescent="0.3">
      <c r="A6" s="286" t="s">
        <v>858</v>
      </c>
      <c r="B6" s="207">
        <v>3</v>
      </c>
      <c r="C6" s="258">
        <v>0</v>
      </c>
      <c r="D6" s="237">
        <v>4</v>
      </c>
      <c r="E6" s="288">
        <f>SUM(B6:D6)</f>
        <v>7</v>
      </c>
      <c r="F6" s="242" t="s">
        <v>858</v>
      </c>
      <c r="G6" s="243">
        <v>15</v>
      </c>
      <c r="H6" s="330">
        <v>0</v>
      </c>
      <c r="I6" s="244">
        <v>20</v>
      </c>
      <c r="J6" s="245">
        <f>SUM(G6:I6)</f>
        <v>35</v>
      </c>
      <c r="K6" s="286" t="s">
        <v>929</v>
      </c>
      <c r="L6" s="288">
        <v>43</v>
      </c>
      <c r="M6" s="288">
        <v>60</v>
      </c>
      <c r="N6" s="289">
        <f t="shared" ref="N6" si="2">SUM(L6/M6)*100</f>
        <v>71.666666666666671</v>
      </c>
      <c r="O6" s="288">
        <v>2</v>
      </c>
      <c r="P6" s="288">
        <v>3</v>
      </c>
      <c r="Q6" s="289">
        <f t="shared" ref="Q6" si="3">SUM(O6/P6)*100</f>
        <v>66.666666666666657</v>
      </c>
      <c r="R6" s="288">
        <v>2</v>
      </c>
      <c r="S6" s="288">
        <v>-1</v>
      </c>
      <c r="T6" s="7" t="s">
        <v>15</v>
      </c>
      <c r="U6" s="7" t="s">
        <v>15</v>
      </c>
      <c r="V6" s="7" t="s">
        <v>15</v>
      </c>
      <c r="W6" s="7">
        <v>41</v>
      </c>
      <c r="X6" s="7">
        <v>58</v>
      </c>
      <c r="Y6" s="7">
        <v>71</v>
      </c>
      <c r="Z6" s="94"/>
      <c r="AA6" s="94"/>
      <c r="AB6" s="6">
        <v>55</v>
      </c>
      <c r="AC6" s="7">
        <v>71</v>
      </c>
      <c r="AD6" s="153">
        <v>77.464788732394368</v>
      </c>
      <c r="AE6" s="7">
        <v>55</v>
      </c>
      <c r="AF6" s="7">
        <v>65</v>
      </c>
      <c r="AG6" s="153">
        <f>SUM(AE6/AF6)*100</f>
        <v>84.615384615384613</v>
      </c>
      <c r="AH6" s="148">
        <v>47</v>
      </c>
      <c r="AI6" s="7">
        <v>56</v>
      </c>
      <c r="AJ6" s="153">
        <f>(AH6/AI6)*100</f>
        <v>83.928571428571431</v>
      </c>
      <c r="AK6" s="148">
        <v>27</v>
      </c>
      <c r="AL6" s="7">
        <v>36</v>
      </c>
      <c r="AM6" s="153">
        <f>SUM(AK6/AL6)*100</f>
        <v>75</v>
      </c>
      <c r="AN6" s="148">
        <v>59</v>
      </c>
      <c r="AO6" s="7">
        <v>80</v>
      </c>
      <c r="AP6" s="153">
        <f>SUM(AN6/AO6)*100</f>
        <v>73.75</v>
      </c>
      <c r="AQ6" s="148">
        <v>82</v>
      </c>
      <c r="AR6" s="7">
        <v>105</v>
      </c>
      <c r="AS6" s="153">
        <f>SUM(AQ6/AR6)*100</f>
        <v>78.095238095238102</v>
      </c>
      <c r="AT6" s="148">
        <v>31</v>
      </c>
      <c r="AU6" s="7">
        <v>43</v>
      </c>
      <c r="AV6" s="153">
        <f>SUM(AT6/AU6)*100</f>
        <v>72.093023255813947</v>
      </c>
      <c r="AW6" s="148">
        <v>43</v>
      </c>
      <c r="AX6" s="7">
        <v>55</v>
      </c>
      <c r="AY6" s="153">
        <f>SUM(AW6/AX6)*100</f>
        <v>78.181818181818187</v>
      </c>
      <c r="AZ6" s="7">
        <v>50</v>
      </c>
      <c r="BA6" s="7">
        <v>61</v>
      </c>
      <c r="BB6" s="153">
        <f>SUM(AZ6/BA6)*100</f>
        <v>81.967213114754102</v>
      </c>
      <c r="BC6" s="7">
        <v>58</v>
      </c>
      <c r="BD6" s="7">
        <v>75</v>
      </c>
      <c r="BE6" s="153">
        <f>SUM(BC6/BD6)*100</f>
        <v>77.333333333333329</v>
      </c>
      <c r="BF6" s="7">
        <v>46</v>
      </c>
      <c r="BG6" s="7">
        <v>62</v>
      </c>
      <c r="BH6" s="7">
        <v>74</v>
      </c>
    </row>
    <row r="7" spans="1:60" ht="14.95" customHeight="1" thickBot="1" x14ac:dyDescent="0.3">
      <c r="A7" s="286" t="s">
        <v>1075</v>
      </c>
      <c r="B7" s="207">
        <v>0</v>
      </c>
      <c r="C7" s="258">
        <v>0</v>
      </c>
      <c r="D7" s="237">
        <v>1</v>
      </c>
      <c r="E7" s="288">
        <f t="shared" ref="E7:E56" si="4">SUM(B7:D7)</f>
        <v>1</v>
      </c>
      <c r="F7" s="242" t="s">
        <v>1075</v>
      </c>
      <c r="G7" s="243">
        <v>0</v>
      </c>
      <c r="H7" s="330">
        <v>0</v>
      </c>
      <c r="I7" s="244">
        <v>5</v>
      </c>
      <c r="J7" s="245">
        <f t="shared" ref="J7:J57" si="5">SUM(G7:I7)</f>
        <v>5</v>
      </c>
      <c r="K7" s="286" t="s">
        <v>758</v>
      </c>
      <c r="L7" s="288" t="s">
        <v>15</v>
      </c>
      <c r="M7" s="288" t="s">
        <v>15</v>
      </c>
      <c r="N7" s="289" t="s">
        <v>15</v>
      </c>
      <c r="O7" s="288" t="s">
        <v>15</v>
      </c>
      <c r="P7" s="288" t="s">
        <v>15</v>
      </c>
      <c r="Q7" s="289" t="s">
        <v>15</v>
      </c>
      <c r="R7" s="288">
        <v>9</v>
      </c>
      <c r="S7" s="288">
        <v>3</v>
      </c>
      <c r="T7" s="7">
        <v>3</v>
      </c>
      <c r="U7" s="7">
        <v>3</v>
      </c>
      <c r="V7" s="153">
        <v>100</v>
      </c>
      <c r="W7" s="7">
        <v>6</v>
      </c>
      <c r="X7" s="7">
        <v>6</v>
      </c>
      <c r="Y7" s="153">
        <v>100</v>
      </c>
      <c r="Z7" s="94"/>
      <c r="AA7" s="94"/>
      <c r="AB7" s="148" t="s">
        <v>15</v>
      </c>
      <c r="AC7" s="7" t="s">
        <v>15</v>
      </c>
      <c r="AD7" s="7" t="s">
        <v>15</v>
      </c>
      <c r="AE7" s="6" t="s">
        <v>15</v>
      </c>
      <c r="AF7" s="7" t="s">
        <v>15</v>
      </c>
      <c r="AG7" s="7" t="s">
        <v>15</v>
      </c>
      <c r="AH7" s="7" t="s">
        <v>15</v>
      </c>
      <c r="AI7" s="7" t="s">
        <v>15</v>
      </c>
      <c r="AJ7" s="7" t="s">
        <v>15</v>
      </c>
      <c r="AK7" s="7" t="s">
        <v>15</v>
      </c>
      <c r="AL7" s="7" t="s">
        <v>15</v>
      </c>
      <c r="AM7" s="7" t="s">
        <v>15</v>
      </c>
      <c r="AN7" s="7" t="s">
        <v>15</v>
      </c>
      <c r="AO7" s="7" t="s">
        <v>15</v>
      </c>
      <c r="AP7" s="7" t="s">
        <v>15</v>
      </c>
      <c r="AQ7" s="7" t="s">
        <v>15</v>
      </c>
      <c r="AR7" s="7" t="s">
        <v>15</v>
      </c>
      <c r="AS7" s="7" t="s">
        <v>15</v>
      </c>
      <c r="AT7" s="7" t="s">
        <v>15</v>
      </c>
      <c r="AU7" s="7" t="s">
        <v>15</v>
      </c>
      <c r="AV7" s="7" t="s">
        <v>15</v>
      </c>
      <c r="AW7" s="7" t="s">
        <v>15</v>
      </c>
      <c r="AX7" s="7" t="s">
        <v>15</v>
      </c>
      <c r="AY7" s="7" t="s">
        <v>15</v>
      </c>
      <c r="AZ7" s="7" t="s">
        <v>15</v>
      </c>
      <c r="BA7" s="7" t="s">
        <v>15</v>
      </c>
      <c r="BB7" s="7" t="s">
        <v>15</v>
      </c>
      <c r="BC7" s="7" t="s">
        <v>15</v>
      </c>
      <c r="BD7" s="7" t="s">
        <v>15</v>
      </c>
      <c r="BE7" s="7" t="s">
        <v>15</v>
      </c>
      <c r="BF7" s="7" t="s">
        <v>15</v>
      </c>
      <c r="BG7" s="7" t="s">
        <v>15</v>
      </c>
      <c r="BH7" s="7" t="s">
        <v>15</v>
      </c>
    </row>
    <row r="8" spans="1:60" ht="14.95" customHeight="1" thickBot="1" x14ac:dyDescent="0.3">
      <c r="A8" s="286" t="s">
        <v>745</v>
      </c>
      <c r="B8" s="207">
        <v>0</v>
      </c>
      <c r="C8" s="258">
        <v>0</v>
      </c>
      <c r="D8" s="237">
        <v>0</v>
      </c>
      <c r="E8" s="288">
        <f t="shared" si="4"/>
        <v>0</v>
      </c>
      <c r="F8" s="242" t="s">
        <v>745</v>
      </c>
      <c r="G8" s="243">
        <v>0</v>
      </c>
      <c r="H8" s="330">
        <v>0</v>
      </c>
      <c r="I8" s="244">
        <v>0</v>
      </c>
      <c r="J8" s="245">
        <f t="shared" si="5"/>
        <v>0</v>
      </c>
      <c r="K8" s="286" t="s">
        <v>307</v>
      </c>
      <c r="L8" s="288" t="s">
        <v>15</v>
      </c>
      <c r="M8" s="288" t="s">
        <v>15</v>
      </c>
      <c r="N8" s="289" t="s">
        <v>15</v>
      </c>
      <c r="O8" s="288" t="s">
        <v>15</v>
      </c>
      <c r="P8" s="288" t="s">
        <v>15</v>
      </c>
      <c r="Q8" s="289" t="s">
        <v>15</v>
      </c>
      <c r="R8" s="288">
        <v>-2</v>
      </c>
      <c r="S8" s="288">
        <v>2</v>
      </c>
      <c r="T8" s="7">
        <v>28</v>
      </c>
      <c r="U8" s="7">
        <v>45</v>
      </c>
      <c r="V8" s="153">
        <v>62.222222222222221</v>
      </c>
      <c r="W8" s="7">
        <v>13</v>
      </c>
      <c r="X8" s="7">
        <v>18</v>
      </c>
      <c r="Y8" s="153">
        <v>72.222222222222214</v>
      </c>
      <c r="Z8" s="94"/>
      <c r="AA8" s="94"/>
      <c r="AB8" s="148">
        <v>1</v>
      </c>
      <c r="AC8" s="7">
        <v>1</v>
      </c>
      <c r="AD8" s="153">
        <v>100</v>
      </c>
      <c r="AE8" s="148">
        <v>66</v>
      </c>
      <c r="AF8" s="7">
        <v>87</v>
      </c>
      <c r="AG8" s="153">
        <f>SUM(AE8/AF8)*100</f>
        <v>75.862068965517238</v>
      </c>
      <c r="AH8" s="148" t="s">
        <v>15</v>
      </c>
      <c r="AI8" s="7" t="s">
        <v>15</v>
      </c>
      <c r="AJ8" s="153" t="s">
        <v>15</v>
      </c>
      <c r="AK8" s="148">
        <v>5</v>
      </c>
      <c r="AL8" s="7">
        <v>9</v>
      </c>
      <c r="AM8" s="153">
        <f>SUM(AK8/AL8)*100</f>
        <v>55.555555555555557</v>
      </c>
      <c r="AN8" s="148">
        <v>21</v>
      </c>
      <c r="AO8" s="7">
        <v>27</v>
      </c>
      <c r="AP8" s="153">
        <f>SUM(AN8/AO8)*100</f>
        <v>77.777777777777786</v>
      </c>
      <c r="AQ8" s="148">
        <v>26</v>
      </c>
      <c r="AR8" s="7">
        <v>38</v>
      </c>
      <c r="AS8" s="153">
        <f>SUM(AQ8/AR8)*100</f>
        <v>68.421052631578945</v>
      </c>
      <c r="AT8" s="148">
        <v>54</v>
      </c>
      <c r="AU8" s="7">
        <v>78</v>
      </c>
      <c r="AV8" s="153">
        <f>SUM(AT8/AU8)*100</f>
        <v>69.230769230769226</v>
      </c>
      <c r="AW8" s="148">
        <v>4</v>
      </c>
      <c r="AX8" s="7">
        <v>4</v>
      </c>
      <c r="AY8" s="153">
        <f>SUM(AW8/AX8)*100</f>
        <v>100</v>
      </c>
      <c r="AZ8" s="7">
        <v>14</v>
      </c>
      <c r="BA8" s="7">
        <v>17</v>
      </c>
      <c r="BB8" s="153">
        <f>SUM(AZ8/BA8)*100</f>
        <v>82.35294117647058</v>
      </c>
      <c r="BC8" s="7" t="s">
        <v>15</v>
      </c>
      <c r="BD8" s="7" t="s">
        <v>15</v>
      </c>
      <c r="BE8" s="7" t="s">
        <v>15</v>
      </c>
      <c r="BF8" s="7" t="s">
        <v>15</v>
      </c>
      <c r="BG8" s="7" t="s">
        <v>15</v>
      </c>
      <c r="BH8" s="7" t="s">
        <v>15</v>
      </c>
    </row>
    <row r="9" spans="1:60" ht="14.95" customHeight="1" thickBot="1" x14ac:dyDescent="0.3">
      <c r="A9" s="286" t="s">
        <v>735</v>
      </c>
      <c r="B9" s="207">
        <v>3</v>
      </c>
      <c r="C9" s="258">
        <v>0</v>
      </c>
      <c r="D9" s="237">
        <v>0</v>
      </c>
      <c r="E9" s="288">
        <f t="shared" si="4"/>
        <v>3</v>
      </c>
      <c r="F9" s="242" t="s">
        <v>735</v>
      </c>
      <c r="G9" s="243">
        <v>28</v>
      </c>
      <c r="H9" s="330">
        <v>16</v>
      </c>
      <c r="I9" s="244">
        <v>0</v>
      </c>
      <c r="J9" s="245">
        <f t="shared" si="5"/>
        <v>44</v>
      </c>
      <c r="K9" s="353"/>
      <c r="L9" s="354"/>
      <c r="M9" s="51"/>
      <c r="N9" s="51"/>
      <c r="O9" s="354"/>
      <c r="P9" s="51"/>
      <c r="Q9" s="53"/>
      <c r="R9" s="35"/>
      <c r="S9" s="35"/>
      <c r="T9" s="35"/>
      <c r="U9" s="35"/>
      <c r="V9" s="35"/>
    </row>
    <row r="10" spans="1:60" ht="14.95" customHeight="1" thickBot="1" x14ac:dyDescent="0.3">
      <c r="A10" s="286" t="s">
        <v>994</v>
      </c>
      <c r="B10" s="207">
        <v>12</v>
      </c>
      <c r="C10" s="258">
        <v>2</v>
      </c>
      <c r="D10" s="237">
        <v>0</v>
      </c>
      <c r="E10" s="288">
        <f t="shared" si="4"/>
        <v>14</v>
      </c>
      <c r="F10" s="242" t="s">
        <v>994</v>
      </c>
      <c r="G10" s="243">
        <v>60</v>
      </c>
      <c r="H10" s="330">
        <v>10</v>
      </c>
      <c r="I10" s="244">
        <v>0</v>
      </c>
      <c r="J10" s="245">
        <f t="shared" si="5"/>
        <v>70</v>
      </c>
      <c r="K10" s="465" t="s">
        <v>188</v>
      </c>
      <c r="L10" s="457" t="s">
        <v>14</v>
      </c>
      <c r="M10" s="461"/>
      <c r="N10" s="458"/>
      <c r="O10" s="478" t="s">
        <v>226</v>
      </c>
      <c r="P10" s="479"/>
      <c r="Q10" s="480"/>
      <c r="R10" s="449" t="s">
        <v>875</v>
      </c>
      <c r="S10" s="450"/>
      <c r="T10" s="451"/>
      <c r="U10" s="449" t="s">
        <v>581</v>
      </c>
      <c r="V10" s="450"/>
      <c r="W10" s="451"/>
      <c r="X10" s="160"/>
      <c r="Y10" s="160"/>
      <c r="Z10" s="160"/>
      <c r="AA10" s="160"/>
      <c r="AB10" s="449" t="s">
        <v>477</v>
      </c>
      <c r="AC10" s="486"/>
      <c r="AD10" s="487"/>
      <c r="AE10" s="449" t="s">
        <v>300</v>
      </c>
      <c r="AF10" s="450"/>
      <c r="AG10" s="451"/>
      <c r="AH10" s="449" t="s">
        <v>219</v>
      </c>
      <c r="AI10" s="450"/>
      <c r="AJ10" s="451"/>
      <c r="AK10" s="449" t="s">
        <v>165</v>
      </c>
      <c r="AL10" s="450"/>
      <c r="AM10" s="451"/>
      <c r="AN10" s="449" t="s">
        <v>78</v>
      </c>
      <c r="AO10" s="450"/>
      <c r="AP10" s="451"/>
      <c r="AQ10" s="449" t="s">
        <v>54</v>
      </c>
      <c r="AR10" s="450"/>
      <c r="AS10" s="451"/>
      <c r="AT10" s="449" t="s">
        <v>50</v>
      </c>
      <c r="AU10" s="450"/>
      <c r="AV10" s="451"/>
      <c r="AW10" s="449" t="s">
        <v>60</v>
      </c>
      <c r="AX10" s="450"/>
      <c r="AY10" s="451"/>
    </row>
    <row r="11" spans="1:60" ht="14.95" customHeight="1" thickBot="1" x14ac:dyDescent="0.3">
      <c r="A11" s="286" t="s">
        <v>742</v>
      </c>
      <c r="B11" s="207">
        <v>1</v>
      </c>
      <c r="C11" s="258">
        <v>0</v>
      </c>
      <c r="D11" s="237">
        <v>0</v>
      </c>
      <c r="E11" s="288">
        <f t="shared" si="4"/>
        <v>1</v>
      </c>
      <c r="F11" s="242" t="s">
        <v>742</v>
      </c>
      <c r="G11" s="243">
        <v>5</v>
      </c>
      <c r="H11" s="330">
        <v>0</v>
      </c>
      <c r="I11" s="244">
        <v>0</v>
      </c>
      <c r="J11" s="245">
        <f t="shared" si="5"/>
        <v>5</v>
      </c>
      <c r="K11" s="466"/>
      <c r="L11" s="459"/>
      <c r="M11" s="462"/>
      <c r="N11" s="460"/>
      <c r="O11" s="481"/>
      <c r="P11" s="482"/>
      <c r="Q11" s="483"/>
      <c r="R11" s="452"/>
      <c r="S11" s="453"/>
      <c r="T11" s="454"/>
      <c r="U11" s="452"/>
      <c r="V11" s="453"/>
      <c r="W11" s="454"/>
      <c r="X11" s="160"/>
      <c r="Y11" s="160"/>
      <c r="Z11" s="160"/>
      <c r="AA11" s="160"/>
      <c r="AB11" s="488"/>
      <c r="AC11" s="489"/>
      <c r="AD11" s="490"/>
      <c r="AE11" s="452"/>
      <c r="AF11" s="453"/>
      <c r="AG11" s="454"/>
      <c r="AH11" s="452"/>
      <c r="AI11" s="453"/>
      <c r="AJ11" s="454"/>
      <c r="AK11" s="452"/>
      <c r="AL11" s="453"/>
      <c r="AM11" s="454"/>
      <c r="AN11" s="452"/>
      <c r="AO11" s="453"/>
      <c r="AP11" s="454"/>
      <c r="AQ11" s="452"/>
      <c r="AR11" s="453"/>
      <c r="AS11" s="454"/>
      <c r="AT11" s="452"/>
      <c r="AU11" s="453"/>
      <c r="AV11" s="454"/>
      <c r="AW11" s="452"/>
      <c r="AX11" s="453"/>
      <c r="AY11" s="454"/>
    </row>
    <row r="12" spans="1:60" ht="14.95" customHeight="1" thickBot="1" x14ac:dyDescent="0.3">
      <c r="A12" s="286" t="s">
        <v>537</v>
      </c>
      <c r="B12" s="207">
        <v>0</v>
      </c>
      <c r="C12" s="258">
        <v>2</v>
      </c>
      <c r="D12" s="237">
        <v>0</v>
      </c>
      <c r="E12" s="288">
        <f t="shared" si="4"/>
        <v>2</v>
      </c>
      <c r="F12" s="242" t="s">
        <v>537</v>
      </c>
      <c r="G12" s="243">
        <v>0</v>
      </c>
      <c r="H12" s="330">
        <v>10</v>
      </c>
      <c r="I12" s="244">
        <v>0</v>
      </c>
      <c r="J12" s="245">
        <f t="shared" si="5"/>
        <v>10</v>
      </c>
      <c r="K12" s="251" t="s">
        <v>21</v>
      </c>
      <c r="L12" s="3" t="s">
        <v>46</v>
      </c>
      <c r="M12" s="3" t="s">
        <v>9</v>
      </c>
      <c r="N12" s="3" t="s">
        <v>10</v>
      </c>
      <c r="O12" s="79" t="s">
        <v>46</v>
      </c>
      <c r="P12" s="79" t="s">
        <v>9</v>
      </c>
      <c r="Q12" s="79" t="s">
        <v>10</v>
      </c>
      <c r="R12" s="79" t="s">
        <v>46</v>
      </c>
      <c r="S12" s="79" t="s">
        <v>9</v>
      </c>
      <c r="T12" s="79" t="s">
        <v>10</v>
      </c>
      <c r="U12" s="79" t="s">
        <v>46</v>
      </c>
      <c r="V12" s="79" t="s">
        <v>9</v>
      </c>
      <c r="W12" s="79" t="s">
        <v>10</v>
      </c>
      <c r="AB12" s="84" t="s">
        <v>46</v>
      </c>
      <c r="AC12" s="79" t="s">
        <v>9</v>
      </c>
      <c r="AD12" s="79" t="s">
        <v>10</v>
      </c>
      <c r="AE12" s="148" t="s">
        <v>46</v>
      </c>
      <c r="AF12" s="7" t="s">
        <v>9</v>
      </c>
      <c r="AG12" s="7" t="s">
        <v>10</v>
      </c>
      <c r="AH12" s="148" t="s">
        <v>46</v>
      </c>
      <c r="AI12" s="7" t="s">
        <v>9</v>
      </c>
      <c r="AJ12" s="7" t="s">
        <v>10</v>
      </c>
      <c r="AK12" s="148" t="s">
        <v>46</v>
      </c>
      <c r="AL12" s="7" t="s">
        <v>9</v>
      </c>
      <c r="AM12" s="7" t="s">
        <v>10</v>
      </c>
      <c r="AN12" s="148" t="s">
        <v>46</v>
      </c>
      <c r="AO12" s="7" t="s">
        <v>9</v>
      </c>
      <c r="AP12" s="7" t="s">
        <v>10</v>
      </c>
      <c r="AQ12" s="148" t="s">
        <v>46</v>
      </c>
      <c r="AR12" s="7" t="s">
        <v>9</v>
      </c>
      <c r="AS12" s="7" t="s">
        <v>10</v>
      </c>
      <c r="AT12" s="148" t="s">
        <v>46</v>
      </c>
      <c r="AU12" s="7" t="s">
        <v>9</v>
      </c>
      <c r="AV12" s="7" t="s">
        <v>10</v>
      </c>
      <c r="AW12" s="148" t="s">
        <v>46</v>
      </c>
      <c r="AX12" s="7" t="s">
        <v>9</v>
      </c>
      <c r="AY12" s="7" t="s">
        <v>10</v>
      </c>
    </row>
    <row r="13" spans="1:60" ht="14.95" customHeight="1" thickBot="1" x14ac:dyDescent="0.3">
      <c r="A13" s="286" t="s">
        <v>306</v>
      </c>
      <c r="B13" s="207">
        <v>0</v>
      </c>
      <c r="C13" s="258">
        <v>0</v>
      </c>
      <c r="D13" s="237">
        <v>0</v>
      </c>
      <c r="E13" s="288">
        <f t="shared" si="4"/>
        <v>0</v>
      </c>
      <c r="F13" s="242" t="s">
        <v>306</v>
      </c>
      <c r="G13" s="243">
        <v>0</v>
      </c>
      <c r="H13" s="330">
        <v>0</v>
      </c>
      <c r="I13" s="244">
        <v>0</v>
      </c>
      <c r="J13" s="245">
        <f t="shared" si="5"/>
        <v>0</v>
      </c>
      <c r="K13" s="286" t="s">
        <v>735</v>
      </c>
      <c r="L13" s="288">
        <v>7</v>
      </c>
      <c r="M13" s="288">
        <v>11</v>
      </c>
      <c r="N13" s="289">
        <f t="shared" ref="N13" si="6">SUM(L13/M13)*100</f>
        <v>63.636363636363633</v>
      </c>
      <c r="O13" s="7">
        <v>14</v>
      </c>
      <c r="P13" s="7">
        <v>19</v>
      </c>
      <c r="Q13" s="153">
        <v>73.68421052631578</v>
      </c>
      <c r="R13" s="7" t="s">
        <v>15</v>
      </c>
      <c r="S13" s="7" t="s">
        <v>15</v>
      </c>
      <c r="T13" s="153" t="s">
        <v>15</v>
      </c>
      <c r="U13" s="7" t="s">
        <v>15</v>
      </c>
      <c r="V13" s="7" t="s">
        <v>15</v>
      </c>
      <c r="W13" s="153" t="s">
        <v>15</v>
      </c>
      <c r="AB13" s="148" t="s">
        <v>15</v>
      </c>
      <c r="AC13" s="7" t="s">
        <v>15</v>
      </c>
      <c r="AD13" s="153" t="s">
        <v>15</v>
      </c>
      <c r="AE13" s="148" t="s">
        <v>15</v>
      </c>
      <c r="AF13" s="7" t="s">
        <v>15</v>
      </c>
      <c r="AG13" s="153" t="s">
        <v>15</v>
      </c>
      <c r="AH13" s="148" t="s">
        <v>15</v>
      </c>
      <c r="AI13" s="7" t="s">
        <v>15</v>
      </c>
      <c r="AJ13" s="153" t="s">
        <v>15</v>
      </c>
      <c r="AK13" s="148" t="s">
        <v>15</v>
      </c>
      <c r="AL13" s="7" t="s">
        <v>15</v>
      </c>
      <c r="AM13" s="153" t="s">
        <v>15</v>
      </c>
      <c r="AN13" s="148" t="s">
        <v>15</v>
      </c>
      <c r="AO13" s="7" t="s">
        <v>15</v>
      </c>
      <c r="AP13" s="153" t="s">
        <v>15</v>
      </c>
      <c r="AQ13" s="148" t="s">
        <v>15</v>
      </c>
      <c r="AR13" s="7" t="s">
        <v>15</v>
      </c>
      <c r="AS13" s="153" t="s">
        <v>15</v>
      </c>
      <c r="AT13" s="148" t="s">
        <v>15</v>
      </c>
      <c r="AU13" s="7" t="s">
        <v>15</v>
      </c>
      <c r="AV13" s="153" t="s">
        <v>15</v>
      </c>
      <c r="AW13" s="148" t="s">
        <v>15</v>
      </c>
      <c r="AX13" s="7" t="s">
        <v>15</v>
      </c>
      <c r="AY13" s="153" t="s">
        <v>15</v>
      </c>
    </row>
    <row r="14" spans="1:60" ht="14.95" customHeight="1" thickBot="1" x14ac:dyDescent="0.3">
      <c r="A14" s="286" t="s">
        <v>61</v>
      </c>
      <c r="B14" s="207">
        <v>0</v>
      </c>
      <c r="C14" s="258">
        <v>0</v>
      </c>
      <c r="D14" s="237">
        <v>1</v>
      </c>
      <c r="E14" s="288">
        <f t="shared" si="4"/>
        <v>1</v>
      </c>
      <c r="F14" s="242" t="s">
        <v>61</v>
      </c>
      <c r="G14" s="243">
        <v>0</v>
      </c>
      <c r="H14" s="330">
        <v>0</v>
      </c>
      <c r="I14" s="244">
        <v>5</v>
      </c>
      <c r="J14" s="245">
        <f t="shared" si="5"/>
        <v>5</v>
      </c>
      <c r="K14" s="286" t="s">
        <v>325</v>
      </c>
      <c r="L14" s="288" t="s">
        <v>15</v>
      </c>
      <c r="M14" s="288" t="s">
        <v>15</v>
      </c>
      <c r="N14" s="289" t="s">
        <v>15</v>
      </c>
      <c r="O14" s="7">
        <v>1</v>
      </c>
      <c r="P14" s="7">
        <v>1</v>
      </c>
      <c r="Q14" s="153">
        <v>100</v>
      </c>
      <c r="R14" s="7" t="s">
        <v>15</v>
      </c>
      <c r="S14" s="7" t="s">
        <v>15</v>
      </c>
      <c r="T14" s="153" t="s">
        <v>15</v>
      </c>
      <c r="U14" s="7">
        <v>1</v>
      </c>
      <c r="V14" s="7">
        <v>1</v>
      </c>
      <c r="W14" s="153">
        <v>100</v>
      </c>
      <c r="AB14" s="148" t="s">
        <v>15</v>
      </c>
      <c r="AC14" s="7" t="s">
        <v>15</v>
      </c>
      <c r="AD14" s="153" t="s">
        <v>15</v>
      </c>
      <c r="AE14" s="148">
        <v>3</v>
      </c>
      <c r="AF14" s="7">
        <v>6</v>
      </c>
      <c r="AG14" s="153">
        <f>SUM(AE14/AF14)*100</f>
        <v>50</v>
      </c>
      <c r="AH14" s="148">
        <v>2</v>
      </c>
      <c r="AI14" s="7">
        <v>2</v>
      </c>
      <c r="AJ14" s="7">
        <v>100</v>
      </c>
      <c r="AK14" s="148">
        <v>3</v>
      </c>
      <c r="AL14" s="7">
        <v>4</v>
      </c>
      <c r="AM14" s="153">
        <v>75</v>
      </c>
      <c r="AN14" s="148" t="s">
        <v>15</v>
      </c>
      <c r="AO14" s="7" t="s">
        <v>15</v>
      </c>
      <c r="AP14" s="153" t="s">
        <v>15</v>
      </c>
      <c r="AQ14" s="148">
        <v>3</v>
      </c>
      <c r="AR14" s="7">
        <v>10</v>
      </c>
      <c r="AS14" s="7">
        <v>30</v>
      </c>
      <c r="AT14" s="148">
        <v>1</v>
      </c>
      <c r="AU14" s="7">
        <v>1</v>
      </c>
      <c r="AV14" s="153">
        <v>100</v>
      </c>
      <c r="AW14" s="148" t="s">
        <v>15</v>
      </c>
      <c r="AX14" s="7" t="s">
        <v>15</v>
      </c>
      <c r="AY14" s="7" t="s">
        <v>15</v>
      </c>
    </row>
    <row r="15" spans="1:60" ht="14.95" customHeight="1" thickBot="1" x14ac:dyDescent="0.3">
      <c r="A15" s="286" t="s">
        <v>297</v>
      </c>
      <c r="B15" s="207">
        <v>0</v>
      </c>
      <c r="C15" s="258">
        <v>0</v>
      </c>
      <c r="D15" s="237">
        <v>0</v>
      </c>
      <c r="E15" s="288">
        <f t="shared" si="4"/>
        <v>0</v>
      </c>
      <c r="F15" s="242" t="s">
        <v>297</v>
      </c>
      <c r="G15" s="243">
        <v>0</v>
      </c>
      <c r="H15" s="330">
        <v>0</v>
      </c>
      <c r="I15" s="244">
        <v>0</v>
      </c>
      <c r="J15" s="245">
        <f t="shared" si="5"/>
        <v>0</v>
      </c>
      <c r="K15" s="286" t="s">
        <v>929</v>
      </c>
      <c r="L15" s="288">
        <v>8</v>
      </c>
      <c r="M15" s="288">
        <v>10</v>
      </c>
      <c r="N15" s="289">
        <f t="shared" ref="N15" si="7">SUM(L15/M15)*100</f>
        <v>80</v>
      </c>
      <c r="O15" s="7" t="s">
        <v>15</v>
      </c>
      <c r="P15" s="7" t="s">
        <v>15</v>
      </c>
      <c r="Q15" s="153" t="s">
        <v>15</v>
      </c>
      <c r="R15" s="7">
        <v>16</v>
      </c>
      <c r="S15" s="7">
        <v>25</v>
      </c>
      <c r="T15" s="153">
        <v>64</v>
      </c>
      <c r="U15" s="7">
        <v>16</v>
      </c>
      <c r="V15" s="7">
        <v>22</v>
      </c>
      <c r="W15" s="153">
        <v>72.727272727272734</v>
      </c>
      <c r="AB15" s="148" t="s">
        <v>15</v>
      </c>
      <c r="AC15" s="7" t="s">
        <v>15</v>
      </c>
      <c r="AD15" s="153" t="s">
        <v>15</v>
      </c>
      <c r="AE15" s="148">
        <v>7</v>
      </c>
      <c r="AF15" s="7">
        <v>9</v>
      </c>
      <c r="AG15" s="153">
        <f>SUM(AE15/AF15)*100</f>
        <v>77.777777777777786</v>
      </c>
      <c r="AH15" s="148">
        <v>36</v>
      </c>
      <c r="AI15" s="7">
        <v>42</v>
      </c>
      <c r="AJ15" s="153">
        <f>SUM(AH15/AI15)*100</f>
        <v>85.714285714285708</v>
      </c>
      <c r="AK15" s="148">
        <v>37</v>
      </c>
      <c r="AL15" s="7">
        <v>42</v>
      </c>
      <c r="AM15" s="153">
        <f>SUM(AK15/AL15)*100</f>
        <v>88.095238095238088</v>
      </c>
      <c r="AN15" s="148">
        <v>47</v>
      </c>
      <c r="AO15" s="7">
        <v>57</v>
      </c>
      <c r="AP15" s="153">
        <f>SUM(AN15/AO15)*100</f>
        <v>82.456140350877192</v>
      </c>
      <c r="AQ15" s="148">
        <v>48</v>
      </c>
      <c r="AR15" s="7">
        <v>64</v>
      </c>
      <c r="AS15" s="153">
        <f>SUM(AQ15/AR15)*100</f>
        <v>75</v>
      </c>
      <c r="AT15" s="148">
        <v>15</v>
      </c>
      <c r="AU15" s="7">
        <v>19</v>
      </c>
      <c r="AV15" s="153">
        <f>SUM(AT15/AU15)*100</f>
        <v>78.94736842105263</v>
      </c>
      <c r="AW15" s="148">
        <v>24</v>
      </c>
      <c r="AX15" s="7">
        <v>33</v>
      </c>
      <c r="AY15" s="153">
        <f>SUM(AW15/AX15)*100</f>
        <v>72.727272727272734</v>
      </c>
    </row>
    <row r="16" spans="1:60" ht="14.95" customHeight="1" thickBot="1" x14ac:dyDescent="0.3">
      <c r="A16" s="286" t="s">
        <v>463</v>
      </c>
      <c r="B16" s="207">
        <v>3</v>
      </c>
      <c r="C16" s="258">
        <v>2</v>
      </c>
      <c r="D16" s="237">
        <v>1</v>
      </c>
      <c r="E16" s="288">
        <f t="shared" si="4"/>
        <v>6</v>
      </c>
      <c r="F16" s="242" t="s">
        <v>463</v>
      </c>
      <c r="G16" s="243">
        <v>15</v>
      </c>
      <c r="H16" s="330">
        <v>10</v>
      </c>
      <c r="I16" s="244">
        <v>5</v>
      </c>
      <c r="J16" s="245">
        <f t="shared" si="5"/>
        <v>30</v>
      </c>
      <c r="K16" s="286" t="s">
        <v>737</v>
      </c>
      <c r="L16" s="288" t="s">
        <v>15</v>
      </c>
      <c r="M16" s="288" t="s">
        <v>15</v>
      </c>
      <c r="N16" s="289" t="s">
        <v>15</v>
      </c>
      <c r="O16" s="7" t="s">
        <v>15</v>
      </c>
      <c r="P16" s="7" t="s">
        <v>15</v>
      </c>
      <c r="Q16" s="153" t="s">
        <v>15</v>
      </c>
      <c r="R16" s="7" t="s">
        <v>15</v>
      </c>
      <c r="S16" s="7" t="s">
        <v>15</v>
      </c>
      <c r="T16" s="153" t="s">
        <v>15</v>
      </c>
      <c r="U16" s="7" t="s">
        <v>15</v>
      </c>
      <c r="V16" s="7" t="s">
        <v>15</v>
      </c>
      <c r="W16" s="153" t="s">
        <v>15</v>
      </c>
      <c r="AB16" s="148" t="s">
        <v>15</v>
      </c>
      <c r="AC16" s="7" t="s">
        <v>15</v>
      </c>
      <c r="AD16" s="153" t="s">
        <v>15</v>
      </c>
      <c r="AE16" s="148" t="s">
        <v>15</v>
      </c>
      <c r="AF16" s="7" t="s">
        <v>15</v>
      </c>
      <c r="AG16" s="153" t="s">
        <v>15</v>
      </c>
      <c r="AH16" s="148" t="s">
        <v>15</v>
      </c>
      <c r="AI16" s="7" t="s">
        <v>15</v>
      </c>
      <c r="AJ16" s="7" t="s">
        <v>15</v>
      </c>
      <c r="AK16" s="148" t="s">
        <v>15</v>
      </c>
      <c r="AL16" s="7" t="s">
        <v>15</v>
      </c>
      <c r="AM16" s="7" t="s">
        <v>15</v>
      </c>
      <c r="AN16" s="148" t="s">
        <v>15</v>
      </c>
      <c r="AO16" s="7" t="s">
        <v>15</v>
      </c>
      <c r="AP16" s="7" t="s">
        <v>15</v>
      </c>
      <c r="AQ16" s="148" t="s">
        <v>15</v>
      </c>
      <c r="AR16" s="7" t="s">
        <v>15</v>
      </c>
      <c r="AS16" s="7" t="s">
        <v>15</v>
      </c>
      <c r="AT16" s="148" t="s">
        <v>15</v>
      </c>
      <c r="AU16" s="7" t="s">
        <v>15</v>
      </c>
      <c r="AV16" s="153" t="s">
        <v>15</v>
      </c>
      <c r="AW16" s="148" t="s">
        <v>15</v>
      </c>
      <c r="AX16" s="7" t="s">
        <v>15</v>
      </c>
      <c r="AY16" s="153" t="s">
        <v>15</v>
      </c>
    </row>
    <row r="17" spans="1:54" ht="14.95" customHeight="1" thickBot="1" x14ac:dyDescent="0.3">
      <c r="A17" s="286" t="s">
        <v>342</v>
      </c>
      <c r="B17" s="207">
        <v>0</v>
      </c>
      <c r="C17" s="258">
        <v>0</v>
      </c>
      <c r="D17" s="237">
        <v>1</v>
      </c>
      <c r="E17" s="288">
        <f t="shared" si="4"/>
        <v>1</v>
      </c>
      <c r="F17" s="242" t="s">
        <v>342</v>
      </c>
      <c r="G17" s="243">
        <v>0</v>
      </c>
      <c r="H17" s="330">
        <v>0</v>
      </c>
      <c r="I17" s="244">
        <v>5</v>
      </c>
      <c r="J17" s="245">
        <f t="shared" si="5"/>
        <v>5</v>
      </c>
      <c r="K17" s="286" t="s">
        <v>307</v>
      </c>
      <c r="L17" s="288" t="s">
        <v>15</v>
      </c>
      <c r="M17" s="288" t="s">
        <v>15</v>
      </c>
      <c r="N17" s="289" t="s">
        <v>15</v>
      </c>
      <c r="O17" s="7">
        <v>5</v>
      </c>
      <c r="P17" s="7">
        <v>7</v>
      </c>
      <c r="Q17" s="153">
        <v>71.428571428571431</v>
      </c>
      <c r="R17" s="7" t="s">
        <v>15</v>
      </c>
      <c r="S17" s="7" t="s">
        <v>15</v>
      </c>
      <c r="T17" s="153" t="s">
        <v>15</v>
      </c>
      <c r="U17" s="7" t="s">
        <v>15</v>
      </c>
      <c r="V17" s="7" t="s">
        <v>15</v>
      </c>
      <c r="W17" s="153" t="s">
        <v>15</v>
      </c>
      <c r="AB17" s="148" t="s">
        <v>15</v>
      </c>
      <c r="AC17" s="7" t="s">
        <v>15</v>
      </c>
      <c r="AD17" s="153" t="s">
        <v>15</v>
      </c>
      <c r="AE17" s="148" t="s">
        <v>15</v>
      </c>
      <c r="AF17" s="7" t="s">
        <v>15</v>
      </c>
      <c r="AG17" s="153" t="s">
        <v>15</v>
      </c>
      <c r="AH17" s="148">
        <v>11</v>
      </c>
      <c r="AI17" s="7">
        <v>13</v>
      </c>
      <c r="AJ17" s="153">
        <f>SUM(AH17/AI17)*100</f>
        <v>84.615384615384613</v>
      </c>
      <c r="AK17" s="148" t="s">
        <v>15</v>
      </c>
      <c r="AL17" s="7" t="s">
        <v>15</v>
      </c>
      <c r="AM17" s="7" t="s">
        <v>15</v>
      </c>
      <c r="AN17" s="148">
        <v>2</v>
      </c>
      <c r="AO17" s="7">
        <v>5</v>
      </c>
      <c r="AP17" s="153">
        <f>SUM(AN17/AO17)*100</f>
        <v>40</v>
      </c>
      <c r="AQ17" s="148" t="s">
        <v>15</v>
      </c>
      <c r="AR17" s="7" t="s">
        <v>15</v>
      </c>
      <c r="AS17" s="7" t="s">
        <v>15</v>
      </c>
      <c r="AT17" s="148">
        <v>4</v>
      </c>
      <c r="AU17" s="7">
        <v>4</v>
      </c>
      <c r="AV17" s="153">
        <f>SUM(AT17/AU17)*100</f>
        <v>100</v>
      </c>
      <c r="AW17" s="148" t="s">
        <v>15</v>
      </c>
      <c r="AX17" s="7" t="s">
        <v>15</v>
      </c>
      <c r="AY17" s="7" t="s">
        <v>15</v>
      </c>
    </row>
    <row r="18" spans="1:54" ht="14.95" customHeight="1" thickBot="1" x14ac:dyDescent="0.3">
      <c r="A18" s="286" t="s">
        <v>308</v>
      </c>
      <c r="B18" s="207">
        <v>2</v>
      </c>
      <c r="C18" s="258">
        <v>0</v>
      </c>
      <c r="D18" s="237">
        <v>0</v>
      </c>
      <c r="E18" s="288">
        <f t="shared" si="4"/>
        <v>2</v>
      </c>
      <c r="F18" s="242" t="s">
        <v>308</v>
      </c>
      <c r="G18" s="243">
        <v>10</v>
      </c>
      <c r="H18" s="330">
        <v>0</v>
      </c>
      <c r="I18" s="244">
        <v>0</v>
      </c>
      <c r="J18" s="245">
        <f t="shared" si="5"/>
        <v>10</v>
      </c>
    </row>
    <row r="19" spans="1:54" ht="14.95" customHeight="1" thickBot="1" x14ac:dyDescent="0.3">
      <c r="A19" s="286" t="s">
        <v>756</v>
      </c>
      <c r="B19" s="207">
        <v>0</v>
      </c>
      <c r="C19" s="258">
        <v>0</v>
      </c>
      <c r="D19" s="237">
        <v>0</v>
      </c>
      <c r="E19" s="288">
        <f t="shared" si="4"/>
        <v>0</v>
      </c>
      <c r="F19" s="242" t="s">
        <v>756</v>
      </c>
      <c r="G19" s="243">
        <v>0</v>
      </c>
      <c r="H19" s="330">
        <v>0</v>
      </c>
      <c r="I19" s="244">
        <v>0</v>
      </c>
      <c r="J19" s="245">
        <f t="shared" si="5"/>
        <v>0</v>
      </c>
      <c r="K19" s="554" t="s">
        <v>189</v>
      </c>
      <c r="L19" s="449" t="s">
        <v>14</v>
      </c>
      <c r="M19" s="450"/>
      <c r="N19" s="451"/>
      <c r="O19" s="449" t="s">
        <v>226</v>
      </c>
      <c r="P19" s="450"/>
      <c r="Q19" s="451"/>
      <c r="R19" s="449" t="s">
        <v>875</v>
      </c>
      <c r="S19" s="450"/>
      <c r="T19" s="451"/>
      <c r="U19" s="449" t="s">
        <v>581</v>
      </c>
      <c r="V19" s="450"/>
      <c r="W19" s="451"/>
      <c r="AB19" s="449" t="s">
        <v>477</v>
      </c>
      <c r="AC19" s="450"/>
      <c r="AD19" s="451"/>
      <c r="AE19" s="449" t="s">
        <v>391</v>
      </c>
      <c r="AF19" s="486"/>
      <c r="AG19" s="487"/>
      <c r="AH19" s="449" t="s">
        <v>300</v>
      </c>
      <c r="AI19" s="450"/>
      <c r="AJ19" s="451"/>
      <c r="AK19" s="449" t="s">
        <v>219</v>
      </c>
      <c r="AL19" s="450"/>
      <c r="AM19" s="451"/>
      <c r="AN19" s="449" t="s">
        <v>165</v>
      </c>
      <c r="AO19" s="450"/>
      <c r="AP19" s="451"/>
      <c r="AQ19" s="449" t="s">
        <v>78</v>
      </c>
      <c r="AR19" s="450"/>
      <c r="AS19" s="451"/>
      <c r="AT19" s="449" t="s">
        <v>54</v>
      </c>
      <c r="AU19" s="450"/>
      <c r="AV19" s="451"/>
      <c r="AW19" s="449" t="s">
        <v>50</v>
      </c>
      <c r="AX19" s="450"/>
      <c r="AY19" s="451"/>
      <c r="AZ19" s="449" t="s">
        <v>60</v>
      </c>
      <c r="BA19" s="450"/>
      <c r="BB19" s="451"/>
    </row>
    <row r="20" spans="1:54" ht="14.95" customHeight="1" thickBot="1" x14ac:dyDescent="0.3">
      <c r="A20" s="286" t="s">
        <v>433</v>
      </c>
      <c r="B20" s="207">
        <v>3</v>
      </c>
      <c r="C20" s="258">
        <v>0</v>
      </c>
      <c r="D20" s="237">
        <v>0</v>
      </c>
      <c r="E20" s="288">
        <f t="shared" si="4"/>
        <v>3</v>
      </c>
      <c r="F20" s="242" t="s">
        <v>433</v>
      </c>
      <c r="G20" s="243">
        <v>15</v>
      </c>
      <c r="H20" s="330">
        <v>0</v>
      </c>
      <c r="I20" s="244">
        <v>0</v>
      </c>
      <c r="J20" s="245">
        <f t="shared" si="5"/>
        <v>15</v>
      </c>
      <c r="K20" s="555"/>
      <c r="L20" s="452"/>
      <c r="M20" s="453"/>
      <c r="N20" s="454"/>
      <c r="O20" s="452"/>
      <c r="P20" s="453"/>
      <c r="Q20" s="454"/>
      <c r="R20" s="452"/>
      <c r="S20" s="453"/>
      <c r="T20" s="454"/>
      <c r="U20" s="452"/>
      <c r="V20" s="453"/>
      <c r="W20" s="454"/>
      <c r="AB20" s="452"/>
      <c r="AC20" s="453"/>
      <c r="AD20" s="454"/>
      <c r="AE20" s="488"/>
      <c r="AF20" s="489"/>
      <c r="AG20" s="490"/>
      <c r="AH20" s="452"/>
      <c r="AI20" s="453"/>
      <c r="AJ20" s="454"/>
      <c r="AK20" s="452"/>
      <c r="AL20" s="453"/>
      <c r="AM20" s="454"/>
      <c r="AN20" s="452"/>
      <c r="AO20" s="453"/>
      <c r="AP20" s="454"/>
      <c r="AQ20" s="452"/>
      <c r="AR20" s="453"/>
      <c r="AS20" s="454"/>
      <c r="AT20" s="452"/>
      <c r="AU20" s="453"/>
      <c r="AV20" s="454"/>
      <c r="AW20" s="452"/>
      <c r="AX20" s="453"/>
      <c r="AY20" s="454"/>
      <c r="AZ20" s="452"/>
      <c r="BA20" s="453"/>
      <c r="BB20" s="454"/>
    </row>
    <row r="21" spans="1:54" ht="14.95" customHeight="1" thickBot="1" x14ac:dyDescent="0.3">
      <c r="A21" s="286" t="s">
        <v>996</v>
      </c>
      <c r="B21" s="207">
        <v>0</v>
      </c>
      <c r="C21" s="258">
        <v>0</v>
      </c>
      <c r="D21" s="237">
        <v>0</v>
      </c>
      <c r="E21" s="288">
        <f t="shared" si="4"/>
        <v>0</v>
      </c>
      <c r="F21" s="242" t="s">
        <v>996</v>
      </c>
      <c r="G21" s="243">
        <v>96</v>
      </c>
      <c r="H21" s="330">
        <v>19</v>
      </c>
      <c r="I21" s="244">
        <v>0</v>
      </c>
      <c r="J21" s="245">
        <f t="shared" si="5"/>
        <v>115</v>
      </c>
      <c r="K21" s="246" t="s">
        <v>21</v>
      </c>
      <c r="L21" s="7" t="s">
        <v>46</v>
      </c>
      <c r="M21" s="7" t="s">
        <v>9</v>
      </c>
      <c r="N21" s="7" t="s">
        <v>10</v>
      </c>
      <c r="O21" s="7" t="s">
        <v>46</v>
      </c>
      <c r="P21" s="7" t="s">
        <v>9</v>
      </c>
      <c r="Q21" s="7" t="s">
        <v>10</v>
      </c>
      <c r="R21" s="7" t="s">
        <v>46</v>
      </c>
      <c r="S21" s="7" t="s">
        <v>9</v>
      </c>
      <c r="T21" s="7" t="s">
        <v>10</v>
      </c>
      <c r="U21" s="7" t="s">
        <v>46</v>
      </c>
      <c r="V21" s="7" t="s">
        <v>9</v>
      </c>
      <c r="W21" s="7" t="s">
        <v>10</v>
      </c>
      <c r="AB21" s="148" t="s">
        <v>46</v>
      </c>
      <c r="AC21" s="7" t="s">
        <v>9</v>
      </c>
      <c r="AD21" s="7" t="s">
        <v>10</v>
      </c>
      <c r="AE21" s="84" t="s">
        <v>46</v>
      </c>
      <c r="AF21" s="79" t="s">
        <v>9</v>
      </c>
      <c r="AG21" s="79" t="s">
        <v>10</v>
      </c>
      <c r="AH21" s="148" t="s">
        <v>46</v>
      </c>
      <c r="AI21" s="7" t="s">
        <v>9</v>
      </c>
      <c r="AJ21" s="7" t="s">
        <v>10</v>
      </c>
      <c r="AK21" s="148" t="s">
        <v>46</v>
      </c>
      <c r="AL21" s="7" t="s">
        <v>9</v>
      </c>
      <c r="AM21" s="7" t="s">
        <v>10</v>
      </c>
      <c r="AN21" s="148" t="s">
        <v>46</v>
      </c>
      <c r="AO21" s="7" t="s">
        <v>9</v>
      </c>
      <c r="AP21" s="7" t="s">
        <v>10</v>
      </c>
      <c r="AQ21" s="148" t="s">
        <v>46</v>
      </c>
      <c r="AR21" s="7" t="s">
        <v>9</v>
      </c>
      <c r="AS21" s="7" t="s">
        <v>10</v>
      </c>
      <c r="AT21" s="148" t="s">
        <v>46</v>
      </c>
      <c r="AU21" s="7" t="s">
        <v>9</v>
      </c>
      <c r="AV21" s="7" t="s">
        <v>10</v>
      </c>
      <c r="AW21" s="148" t="s">
        <v>46</v>
      </c>
      <c r="AX21" s="7" t="s">
        <v>9</v>
      </c>
      <c r="AY21" s="7" t="s">
        <v>10</v>
      </c>
      <c r="AZ21" s="148" t="s">
        <v>46</v>
      </c>
      <c r="BA21" s="7" t="s">
        <v>9</v>
      </c>
      <c r="BB21" s="7" t="s">
        <v>10</v>
      </c>
    </row>
    <row r="22" spans="1:54" ht="14.95" customHeight="1" thickBot="1" x14ac:dyDescent="0.3">
      <c r="A22" s="286" t="s">
        <v>292</v>
      </c>
      <c r="B22" s="207">
        <v>0</v>
      </c>
      <c r="C22" s="258">
        <v>0</v>
      </c>
      <c r="D22" s="237">
        <v>0</v>
      </c>
      <c r="E22" s="288">
        <f t="shared" si="4"/>
        <v>0</v>
      </c>
      <c r="F22" s="242" t="s">
        <v>292</v>
      </c>
      <c r="G22" s="243">
        <v>0</v>
      </c>
      <c r="H22" s="330">
        <v>0</v>
      </c>
      <c r="I22" s="244">
        <v>0</v>
      </c>
      <c r="J22" s="245">
        <f t="shared" si="5"/>
        <v>0</v>
      </c>
      <c r="K22" s="286" t="s">
        <v>735</v>
      </c>
      <c r="L22" s="7" t="s">
        <v>15</v>
      </c>
      <c r="M22" s="7" t="s">
        <v>15</v>
      </c>
      <c r="N22" s="153" t="s">
        <v>15</v>
      </c>
      <c r="O22" s="7" t="s">
        <v>15</v>
      </c>
      <c r="P22" s="7" t="s">
        <v>15</v>
      </c>
      <c r="Q22" s="153" t="s">
        <v>15</v>
      </c>
      <c r="R22" s="7" t="s">
        <v>15</v>
      </c>
      <c r="S22" s="7" t="s">
        <v>15</v>
      </c>
      <c r="T22" s="153" t="s">
        <v>15</v>
      </c>
      <c r="U22" s="7" t="s">
        <v>15</v>
      </c>
      <c r="V22" s="7" t="s">
        <v>15</v>
      </c>
      <c r="W22" s="153" t="s">
        <v>15</v>
      </c>
      <c r="AB22" s="148" t="s">
        <v>15</v>
      </c>
      <c r="AC22" s="7" t="s">
        <v>15</v>
      </c>
      <c r="AD22" s="153" t="s">
        <v>15</v>
      </c>
      <c r="AE22" s="148" t="s">
        <v>15</v>
      </c>
      <c r="AF22" s="7" t="s">
        <v>15</v>
      </c>
      <c r="AG22" s="153" t="s">
        <v>15</v>
      </c>
      <c r="AH22" s="148" t="s">
        <v>15</v>
      </c>
      <c r="AI22" s="7" t="s">
        <v>15</v>
      </c>
      <c r="AJ22" s="153" t="s">
        <v>15</v>
      </c>
      <c r="AK22" s="148" t="s">
        <v>15</v>
      </c>
      <c r="AL22" s="7" t="s">
        <v>15</v>
      </c>
      <c r="AM22" s="153" t="s">
        <v>15</v>
      </c>
      <c r="AN22" s="148" t="s">
        <v>15</v>
      </c>
      <c r="AO22" s="7" t="s">
        <v>15</v>
      </c>
      <c r="AP22" s="153" t="s">
        <v>15</v>
      </c>
      <c r="AQ22" s="6" t="s">
        <v>15</v>
      </c>
      <c r="AR22" s="7" t="s">
        <v>15</v>
      </c>
      <c r="AS22" s="153" t="s">
        <v>15</v>
      </c>
      <c r="AT22" s="7" t="s">
        <v>15</v>
      </c>
      <c r="AU22" s="7" t="s">
        <v>15</v>
      </c>
      <c r="AV22" s="153" t="s">
        <v>15</v>
      </c>
      <c r="AW22" s="7" t="s">
        <v>15</v>
      </c>
      <c r="AX22" s="7" t="s">
        <v>15</v>
      </c>
      <c r="AY22" s="153" t="s">
        <v>15</v>
      </c>
      <c r="AZ22" s="7" t="s">
        <v>15</v>
      </c>
      <c r="BA22" s="7" t="s">
        <v>15</v>
      </c>
      <c r="BB22" s="153" t="s">
        <v>15</v>
      </c>
    </row>
    <row r="23" spans="1:54" ht="14.95" customHeight="1" thickBot="1" x14ac:dyDescent="0.3">
      <c r="A23" s="286" t="s">
        <v>523</v>
      </c>
      <c r="B23" s="207">
        <v>5</v>
      </c>
      <c r="C23" s="258">
        <v>0</v>
      </c>
      <c r="D23" s="237">
        <v>0</v>
      </c>
      <c r="E23" s="288">
        <f t="shared" si="4"/>
        <v>5</v>
      </c>
      <c r="F23" s="242" t="s">
        <v>523</v>
      </c>
      <c r="G23" s="243">
        <v>25</v>
      </c>
      <c r="H23" s="330">
        <v>0</v>
      </c>
      <c r="I23" s="244">
        <v>0</v>
      </c>
      <c r="J23" s="245">
        <f t="shared" si="5"/>
        <v>25</v>
      </c>
      <c r="K23" s="286" t="s">
        <v>325</v>
      </c>
      <c r="L23" s="7" t="s">
        <v>15</v>
      </c>
      <c r="M23" s="7" t="s">
        <v>15</v>
      </c>
      <c r="N23" s="153" t="s">
        <v>15</v>
      </c>
      <c r="O23" s="7" t="s">
        <v>15</v>
      </c>
      <c r="P23" s="7" t="s">
        <v>15</v>
      </c>
      <c r="Q23" s="153" t="s">
        <v>15</v>
      </c>
      <c r="R23" s="7" t="s">
        <v>15</v>
      </c>
      <c r="S23" s="7" t="s">
        <v>15</v>
      </c>
      <c r="T23" s="153" t="s">
        <v>15</v>
      </c>
      <c r="U23" s="7" t="s">
        <v>15</v>
      </c>
      <c r="V23" s="7" t="s">
        <v>15</v>
      </c>
      <c r="W23" s="153" t="s">
        <v>15</v>
      </c>
      <c r="AB23" s="148">
        <v>0</v>
      </c>
      <c r="AC23" s="7">
        <v>1</v>
      </c>
      <c r="AD23" s="153">
        <f>SUM(AB23/AC23)*100</f>
        <v>0</v>
      </c>
      <c r="AE23" s="148" t="s">
        <v>15</v>
      </c>
      <c r="AF23" s="7" t="s">
        <v>15</v>
      </c>
      <c r="AG23" s="153" t="s">
        <v>15</v>
      </c>
      <c r="AH23" s="148">
        <v>3</v>
      </c>
      <c r="AI23" s="7">
        <v>6</v>
      </c>
      <c r="AJ23" s="153">
        <f>SUM(AH23/AI23)*100</f>
        <v>50</v>
      </c>
      <c r="AK23" s="148">
        <v>2</v>
      </c>
      <c r="AL23" s="7">
        <v>2</v>
      </c>
      <c r="AM23" s="7">
        <v>100</v>
      </c>
      <c r="AN23" s="148">
        <v>3</v>
      </c>
      <c r="AO23" s="7">
        <v>4</v>
      </c>
      <c r="AP23" s="153">
        <v>75</v>
      </c>
      <c r="AQ23" s="148" t="s">
        <v>15</v>
      </c>
      <c r="AR23" s="7" t="s">
        <v>15</v>
      </c>
      <c r="AS23" s="153" t="s">
        <v>15</v>
      </c>
      <c r="AT23" s="148">
        <v>3</v>
      </c>
      <c r="AU23" s="7">
        <v>10</v>
      </c>
      <c r="AV23" s="7">
        <v>30</v>
      </c>
      <c r="AW23" s="148">
        <v>1</v>
      </c>
      <c r="AX23" s="7">
        <v>1</v>
      </c>
      <c r="AY23" s="153">
        <v>100</v>
      </c>
      <c r="AZ23" s="148">
        <v>1</v>
      </c>
      <c r="BA23" s="7">
        <v>1</v>
      </c>
      <c r="BB23" s="153">
        <v>100</v>
      </c>
    </row>
    <row r="24" spans="1:54" ht="14.95" customHeight="1" thickBot="1" x14ac:dyDescent="0.3">
      <c r="A24" s="286" t="s">
        <v>557</v>
      </c>
      <c r="B24" s="207">
        <v>2</v>
      </c>
      <c r="C24" s="258">
        <v>1</v>
      </c>
      <c r="D24" s="237">
        <v>0</v>
      </c>
      <c r="E24" s="288">
        <f t="shared" si="4"/>
        <v>3</v>
      </c>
      <c r="F24" s="242" t="s">
        <v>557</v>
      </c>
      <c r="G24" s="243">
        <v>10</v>
      </c>
      <c r="H24" s="330">
        <v>5</v>
      </c>
      <c r="I24" s="244">
        <v>0</v>
      </c>
      <c r="J24" s="245">
        <f t="shared" si="5"/>
        <v>15</v>
      </c>
      <c r="K24" s="286" t="s">
        <v>929</v>
      </c>
      <c r="L24" s="7" t="s">
        <v>15</v>
      </c>
      <c r="M24" s="7" t="s">
        <v>15</v>
      </c>
      <c r="N24" s="153" t="s">
        <v>15</v>
      </c>
      <c r="O24" s="7" t="s">
        <v>15</v>
      </c>
      <c r="P24" s="7" t="s">
        <v>15</v>
      </c>
      <c r="Q24" s="153" t="s">
        <v>15</v>
      </c>
      <c r="R24" s="7" t="s">
        <v>15</v>
      </c>
      <c r="S24" s="7" t="s">
        <v>15</v>
      </c>
      <c r="T24" s="153" t="s">
        <v>15</v>
      </c>
      <c r="U24" s="7" t="s">
        <v>15</v>
      </c>
      <c r="V24" s="7" t="s">
        <v>15</v>
      </c>
      <c r="W24" s="153" t="s">
        <v>15</v>
      </c>
      <c r="AB24" s="6">
        <v>25</v>
      </c>
      <c r="AC24" s="7">
        <v>30</v>
      </c>
      <c r="AD24" s="153">
        <f>SUM(AB24/AC24)*100</f>
        <v>83.333333333333343</v>
      </c>
      <c r="AE24" s="6" t="s">
        <v>15</v>
      </c>
      <c r="AF24" s="7" t="s">
        <v>15</v>
      </c>
      <c r="AG24" s="153" t="s">
        <v>15</v>
      </c>
      <c r="AH24" s="7" t="s">
        <v>15</v>
      </c>
      <c r="AI24" s="7" t="s">
        <v>15</v>
      </c>
      <c r="AJ24" s="153" t="s">
        <v>15</v>
      </c>
      <c r="AK24" s="7" t="s">
        <v>15</v>
      </c>
      <c r="AL24" s="7" t="s">
        <v>15</v>
      </c>
      <c r="AM24" s="153" t="s">
        <v>15</v>
      </c>
      <c r="AN24" s="7" t="s">
        <v>15</v>
      </c>
      <c r="AO24" s="7" t="s">
        <v>15</v>
      </c>
      <c r="AP24" s="153" t="s">
        <v>15</v>
      </c>
      <c r="AQ24" s="7" t="s">
        <v>15</v>
      </c>
      <c r="AR24" s="7" t="s">
        <v>15</v>
      </c>
      <c r="AS24" s="153" t="s">
        <v>15</v>
      </c>
      <c r="AT24" s="7" t="s">
        <v>15</v>
      </c>
      <c r="AU24" s="7" t="s">
        <v>15</v>
      </c>
      <c r="AV24" s="153" t="s">
        <v>15</v>
      </c>
      <c r="AW24" s="7" t="s">
        <v>15</v>
      </c>
      <c r="AX24" s="7" t="s">
        <v>15</v>
      </c>
      <c r="AY24" s="153" t="s">
        <v>15</v>
      </c>
      <c r="AZ24" s="7" t="s">
        <v>15</v>
      </c>
      <c r="BA24" s="7" t="s">
        <v>15</v>
      </c>
      <c r="BB24" s="153" t="s">
        <v>15</v>
      </c>
    </row>
    <row r="25" spans="1:54" ht="14.95" customHeight="1" thickBot="1" x14ac:dyDescent="0.3">
      <c r="A25" s="286" t="s">
        <v>802</v>
      </c>
      <c r="B25" s="207">
        <v>0</v>
      </c>
      <c r="C25" s="258">
        <v>0</v>
      </c>
      <c r="D25" s="237">
        <v>2</v>
      </c>
      <c r="E25" s="288">
        <f t="shared" si="4"/>
        <v>2</v>
      </c>
      <c r="F25" s="242" t="s">
        <v>802</v>
      </c>
      <c r="G25" s="243">
        <v>0</v>
      </c>
      <c r="H25" s="330">
        <v>0</v>
      </c>
      <c r="I25" s="244">
        <v>10</v>
      </c>
      <c r="J25" s="245">
        <f t="shared" si="5"/>
        <v>10</v>
      </c>
      <c r="K25" s="286" t="s">
        <v>758</v>
      </c>
      <c r="L25" s="7" t="s">
        <v>15</v>
      </c>
      <c r="M25" s="7" t="s">
        <v>15</v>
      </c>
      <c r="N25" s="153" t="s">
        <v>15</v>
      </c>
      <c r="O25" s="7" t="s">
        <v>15</v>
      </c>
      <c r="P25" s="7" t="s">
        <v>15</v>
      </c>
      <c r="Q25" s="153" t="s">
        <v>15</v>
      </c>
      <c r="R25" s="7">
        <v>9</v>
      </c>
      <c r="S25" s="7">
        <v>9</v>
      </c>
      <c r="T25" s="153">
        <v>100</v>
      </c>
      <c r="U25" s="7" t="s">
        <v>15</v>
      </c>
      <c r="V25" s="7" t="s">
        <v>15</v>
      </c>
      <c r="W25" s="153" t="s">
        <v>15</v>
      </c>
      <c r="AB25" s="148" t="s">
        <v>15</v>
      </c>
      <c r="AC25" s="7" t="s">
        <v>15</v>
      </c>
      <c r="AD25" s="153" t="s">
        <v>15</v>
      </c>
      <c r="AE25" s="148" t="s">
        <v>15</v>
      </c>
      <c r="AF25" s="7" t="s">
        <v>15</v>
      </c>
      <c r="AG25" s="153" t="s">
        <v>15</v>
      </c>
      <c r="AH25" s="148" t="s">
        <v>15</v>
      </c>
      <c r="AI25" s="7" t="s">
        <v>15</v>
      </c>
      <c r="AJ25" s="153" t="s">
        <v>15</v>
      </c>
      <c r="AK25" s="148" t="s">
        <v>15</v>
      </c>
      <c r="AL25" s="7" t="s">
        <v>15</v>
      </c>
      <c r="AM25" s="7" t="s">
        <v>15</v>
      </c>
      <c r="AN25" s="148" t="s">
        <v>15</v>
      </c>
      <c r="AO25" s="7" t="s">
        <v>15</v>
      </c>
      <c r="AP25" s="7" t="s">
        <v>15</v>
      </c>
      <c r="AQ25" s="148" t="s">
        <v>15</v>
      </c>
      <c r="AR25" s="7" t="s">
        <v>15</v>
      </c>
      <c r="AS25" s="7" t="s">
        <v>15</v>
      </c>
      <c r="AT25" s="148" t="s">
        <v>15</v>
      </c>
      <c r="AU25" s="7" t="s">
        <v>15</v>
      </c>
      <c r="AV25" s="7" t="s">
        <v>15</v>
      </c>
      <c r="AW25" s="148" t="s">
        <v>15</v>
      </c>
      <c r="AX25" s="7" t="s">
        <v>15</v>
      </c>
      <c r="AY25" s="153" t="s">
        <v>15</v>
      </c>
      <c r="AZ25" s="148" t="s">
        <v>15</v>
      </c>
      <c r="BA25" s="7" t="s">
        <v>15</v>
      </c>
      <c r="BB25" s="153" t="s">
        <v>15</v>
      </c>
    </row>
    <row r="26" spans="1:54" ht="14.95" customHeight="1" thickBot="1" x14ac:dyDescent="0.3">
      <c r="A26" s="286" t="s">
        <v>804</v>
      </c>
      <c r="B26" s="207">
        <v>0</v>
      </c>
      <c r="C26" s="258">
        <v>0</v>
      </c>
      <c r="D26" s="237">
        <v>0</v>
      </c>
      <c r="E26" s="288">
        <f t="shared" si="4"/>
        <v>0</v>
      </c>
      <c r="F26" s="242" t="s">
        <v>804</v>
      </c>
      <c r="G26" s="243">
        <v>0</v>
      </c>
      <c r="H26" s="330">
        <v>0</v>
      </c>
      <c r="I26" s="244">
        <v>0</v>
      </c>
      <c r="J26" s="245">
        <f t="shared" si="5"/>
        <v>0</v>
      </c>
      <c r="K26" s="286" t="s">
        <v>307</v>
      </c>
      <c r="L26" s="7" t="s">
        <v>15</v>
      </c>
      <c r="M26" s="7" t="s">
        <v>15</v>
      </c>
      <c r="N26" s="153" t="s">
        <v>15</v>
      </c>
      <c r="O26" s="7" t="s">
        <v>15</v>
      </c>
      <c r="P26" s="7" t="s">
        <v>15</v>
      </c>
      <c r="Q26" s="153" t="s">
        <v>15</v>
      </c>
      <c r="R26" s="7" t="s">
        <v>15</v>
      </c>
      <c r="S26" s="7" t="s">
        <v>15</v>
      </c>
      <c r="T26" s="153" t="s">
        <v>15</v>
      </c>
      <c r="U26" s="7" t="s">
        <v>15</v>
      </c>
      <c r="V26" s="7" t="s">
        <v>15</v>
      </c>
      <c r="W26" s="153" t="s">
        <v>15</v>
      </c>
      <c r="AB26" s="148" t="s">
        <v>15</v>
      </c>
      <c r="AC26" s="7" t="s">
        <v>15</v>
      </c>
      <c r="AD26" s="153" t="s">
        <v>15</v>
      </c>
      <c r="AE26" s="148" t="s">
        <v>15</v>
      </c>
      <c r="AF26" s="7" t="s">
        <v>15</v>
      </c>
      <c r="AG26" s="153" t="s">
        <v>15</v>
      </c>
      <c r="AH26" s="148" t="s">
        <v>15</v>
      </c>
      <c r="AI26" s="7" t="s">
        <v>15</v>
      </c>
      <c r="AJ26" s="153" t="s">
        <v>15</v>
      </c>
      <c r="AK26" s="148">
        <v>11</v>
      </c>
      <c r="AL26" s="7">
        <v>13</v>
      </c>
      <c r="AM26" s="153">
        <f>SUM(AK26/AL26)*100</f>
        <v>84.615384615384613</v>
      </c>
      <c r="AN26" s="148" t="s">
        <v>15</v>
      </c>
      <c r="AO26" s="7" t="s">
        <v>15</v>
      </c>
      <c r="AP26" s="7" t="s">
        <v>15</v>
      </c>
      <c r="AQ26" s="148">
        <v>2</v>
      </c>
      <c r="AR26" s="7">
        <v>5</v>
      </c>
      <c r="AS26" s="153">
        <f>SUM(AQ26/AR26)*100</f>
        <v>40</v>
      </c>
      <c r="AT26" s="148" t="s">
        <v>15</v>
      </c>
      <c r="AU26" s="7" t="s">
        <v>15</v>
      </c>
      <c r="AV26" s="7" t="s">
        <v>15</v>
      </c>
      <c r="AW26" s="148">
        <v>4</v>
      </c>
      <c r="AX26" s="7">
        <v>4</v>
      </c>
      <c r="AY26" s="153">
        <f>SUM(AW26/AX26)*100</f>
        <v>100</v>
      </c>
      <c r="AZ26" s="148" t="s">
        <v>15</v>
      </c>
      <c r="BA26" s="7" t="s">
        <v>15</v>
      </c>
      <c r="BB26" s="7" t="s">
        <v>15</v>
      </c>
    </row>
    <row r="27" spans="1:54" ht="14.95" customHeight="1" thickBot="1" x14ac:dyDescent="0.3">
      <c r="A27" s="286" t="s">
        <v>428</v>
      </c>
      <c r="B27" s="207">
        <v>0</v>
      </c>
      <c r="C27" s="258">
        <v>0</v>
      </c>
      <c r="D27" s="237">
        <v>3</v>
      </c>
      <c r="E27" s="288">
        <f t="shared" si="4"/>
        <v>3</v>
      </c>
      <c r="F27" s="242" t="s">
        <v>428</v>
      </c>
      <c r="G27" s="243">
        <v>0</v>
      </c>
      <c r="H27" s="330">
        <v>0</v>
      </c>
      <c r="I27" s="244">
        <v>15</v>
      </c>
      <c r="J27" s="245">
        <f t="shared" si="5"/>
        <v>15</v>
      </c>
      <c r="K27" s="556"/>
      <c r="L27" s="477"/>
      <c r="M27" s="477"/>
      <c r="N27" s="477"/>
      <c r="O27" s="477"/>
      <c r="P27" s="477"/>
      <c r="Q27" s="477"/>
      <c r="R27" s="477"/>
      <c r="S27" s="477"/>
      <c r="T27" s="477"/>
      <c r="U27" s="477"/>
      <c r="V27" s="477"/>
      <c r="AB27" s="172"/>
      <c r="AC27" s="86"/>
      <c r="AD27" s="86"/>
      <c r="AE27" s="172"/>
      <c r="AF27" s="86"/>
      <c r="AG27" s="173"/>
      <c r="AH27" s="86"/>
      <c r="AI27" s="86"/>
      <c r="AJ27" s="173"/>
    </row>
    <row r="28" spans="1:54" ht="14.95" customHeight="1" thickBot="1" x14ac:dyDescent="0.3">
      <c r="A28" s="286" t="s">
        <v>899</v>
      </c>
      <c r="B28" s="207">
        <v>0</v>
      </c>
      <c r="C28" s="258">
        <v>0</v>
      </c>
      <c r="D28" s="237">
        <v>0</v>
      </c>
      <c r="E28" s="288">
        <f t="shared" si="4"/>
        <v>0</v>
      </c>
      <c r="F28" s="242" t="s">
        <v>899</v>
      </c>
      <c r="G28" s="243">
        <v>0</v>
      </c>
      <c r="H28" s="330">
        <v>0</v>
      </c>
      <c r="I28" s="244">
        <v>0</v>
      </c>
      <c r="J28" s="245">
        <f t="shared" si="5"/>
        <v>0</v>
      </c>
      <c r="K28" s="472" t="s">
        <v>1003</v>
      </c>
      <c r="L28" s="457" t="s">
        <v>14</v>
      </c>
      <c r="M28" s="461"/>
      <c r="N28" s="458"/>
      <c r="O28" s="449" t="s">
        <v>226</v>
      </c>
      <c r="P28" s="450"/>
      <c r="Q28" s="451"/>
      <c r="R28" s="449" t="s">
        <v>875</v>
      </c>
      <c r="S28" s="450"/>
      <c r="T28" s="451"/>
      <c r="U28" s="449" t="s">
        <v>581</v>
      </c>
      <c r="V28" s="450"/>
      <c r="W28" s="451"/>
      <c r="AB28" s="449" t="s">
        <v>477</v>
      </c>
      <c r="AC28" s="450"/>
      <c r="AD28" s="451"/>
      <c r="AE28" s="449" t="s">
        <v>300</v>
      </c>
      <c r="AF28" s="450"/>
      <c r="AG28" s="451"/>
      <c r="AH28" s="449" t="s">
        <v>219</v>
      </c>
      <c r="AI28" s="450"/>
      <c r="AJ28" s="451"/>
      <c r="AK28" s="449" t="s">
        <v>165</v>
      </c>
      <c r="AL28" s="450"/>
      <c r="AM28" s="451"/>
      <c r="AN28" s="449" t="s">
        <v>78</v>
      </c>
      <c r="AO28" s="450"/>
      <c r="AP28" s="451"/>
      <c r="AQ28" s="449" t="s">
        <v>50</v>
      </c>
      <c r="AR28" s="450"/>
      <c r="AS28" s="451"/>
      <c r="AT28" s="449" t="s">
        <v>37</v>
      </c>
      <c r="AU28" s="450"/>
      <c r="AV28" s="451"/>
    </row>
    <row r="29" spans="1:54" ht="14.95" customHeight="1" thickBot="1" x14ac:dyDescent="0.3">
      <c r="A29" s="286" t="s">
        <v>255</v>
      </c>
      <c r="B29" s="207">
        <v>1</v>
      </c>
      <c r="C29" s="258">
        <v>0</v>
      </c>
      <c r="D29" s="237">
        <v>0</v>
      </c>
      <c r="E29" s="288">
        <f t="shared" si="4"/>
        <v>1</v>
      </c>
      <c r="F29" s="242" t="s">
        <v>255</v>
      </c>
      <c r="G29" s="243">
        <v>5</v>
      </c>
      <c r="H29" s="330">
        <v>0</v>
      </c>
      <c r="I29" s="244">
        <v>0</v>
      </c>
      <c r="J29" s="245">
        <f t="shared" si="5"/>
        <v>5</v>
      </c>
      <c r="K29" s="473"/>
      <c r="L29" s="459"/>
      <c r="M29" s="462"/>
      <c r="N29" s="460"/>
      <c r="O29" s="452"/>
      <c r="P29" s="453"/>
      <c r="Q29" s="454"/>
      <c r="R29" s="452"/>
      <c r="S29" s="453"/>
      <c r="T29" s="454"/>
      <c r="U29" s="452"/>
      <c r="V29" s="453"/>
      <c r="W29" s="454"/>
      <c r="AB29" s="452"/>
      <c r="AC29" s="453"/>
      <c r="AD29" s="454"/>
      <c r="AE29" s="452"/>
      <c r="AF29" s="453"/>
      <c r="AG29" s="454"/>
      <c r="AH29" s="452"/>
      <c r="AI29" s="453"/>
      <c r="AJ29" s="454"/>
      <c r="AK29" s="452"/>
      <c r="AL29" s="453"/>
      <c r="AM29" s="454"/>
      <c r="AN29" s="452"/>
      <c r="AO29" s="453"/>
      <c r="AP29" s="454"/>
      <c r="AQ29" s="452"/>
      <c r="AR29" s="453"/>
      <c r="AS29" s="454"/>
      <c r="AT29" s="452"/>
      <c r="AU29" s="453"/>
      <c r="AV29" s="454"/>
    </row>
    <row r="30" spans="1:54" ht="14.95" customHeight="1" thickBot="1" x14ac:dyDescent="0.3">
      <c r="A30" s="286" t="s">
        <v>293</v>
      </c>
      <c r="B30" s="207">
        <v>0</v>
      </c>
      <c r="C30" s="258">
        <v>0</v>
      </c>
      <c r="D30" s="237">
        <v>0</v>
      </c>
      <c r="E30" s="288">
        <f t="shared" si="4"/>
        <v>0</v>
      </c>
      <c r="F30" s="242" t="s">
        <v>293</v>
      </c>
      <c r="G30" s="243">
        <v>0</v>
      </c>
      <c r="H30" s="330">
        <v>0</v>
      </c>
      <c r="I30" s="244">
        <v>0</v>
      </c>
      <c r="J30" s="245">
        <f t="shared" si="5"/>
        <v>0</v>
      </c>
      <c r="K30" s="359" t="s">
        <v>21</v>
      </c>
      <c r="L30" s="3" t="s">
        <v>46</v>
      </c>
      <c r="M30" s="3" t="s">
        <v>9</v>
      </c>
      <c r="N30" s="3" t="s">
        <v>10</v>
      </c>
      <c r="O30" s="7" t="s">
        <v>46</v>
      </c>
      <c r="P30" s="7" t="s">
        <v>9</v>
      </c>
      <c r="Q30" s="7" t="s">
        <v>10</v>
      </c>
      <c r="R30" s="7" t="s">
        <v>46</v>
      </c>
      <c r="S30" s="7" t="s">
        <v>9</v>
      </c>
      <c r="T30" s="7" t="s">
        <v>10</v>
      </c>
      <c r="U30" s="7" t="s">
        <v>46</v>
      </c>
      <c r="V30" s="7" t="s">
        <v>9</v>
      </c>
      <c r="W30" s="7" t="s">
        <v>10</v>
      </c>
      <c r="AB30" s="148" t="s">
        <v>46</v>
      </c>
      <c r="AC30" s="7" t="s">
        <v>9</v>
      </c>
      <c r="AD30" s="7" t="s">
        <v>10</v>
      </c>
      <c r="AE30" s="148" t="s">
        <v>46</v>
      </c>
      <c r="AF30" s="7" t="s">
        <v>9</v>
      </c>
      <c r="AG30" s="7" t="s">
        <v>10</v>
      </c>
      <c r="AH30" s="148" t="s">
        <v>46</v>
      </c>
      <c r="AI30" s="7" t="s">
        <v>9</v>
      </c>
      <c r="AJ30" s="7" t="s">
        <v>10</v>
      </c>
      <c r="AK30" s="148" t="s">
        <v>46</v>
      </c>
      <c r="AL30" s="7" t="s">
        <v>9</v>
      </c>
      <c r="AM30" s="7" t="s">
        <v>10</v>
      </c>
      <c r="AN30" s="148" t="s">
        <v>46</v>
      </c>
      <c r="AO30" s="7" t="s">
        <v>9</v>
      </c>
      <c r="AP30" s="7" t="s">
        <v>10</v>
      </c>
      <c r="AQ30" s="148" t="s">
        <v>46</v>
      </c>
      <c r="AR30" s="7" t="s">
        <v>9</v>
      </c>
      <c r="AS30" s="7" t="s">
        <v>10</v>
      </c>
      <c r="AT30" s="148" t="s">
        <v>46</v>
      </c>
      <c r="AU30" s="7" t="s">
        <v>9</v>
      </c>
      <c r="AV30" s="7" t="s">
        <v>10</v>
      </c>
    </row>
    <row r="31" spans="1:54" ht="14.95" customHeight="1" thickBot="1" x14ac:dyDescent="0.3">
      <c r="A31" s="286" t="s">
        <v>167</v>
      </c>
      <c r="B31" s="207">
        <v>1</v>
      </c>
      <c r="C31" s="258">
        <v>0</v>
      </c>
      <c r="D31" s="237">
        <v>5</v>
      </c>
      <c r="E31" s="288">
        <f t="shared" si="4"/>
        <v>6</v>
      </c>
      <c r="F31" s="242" t="s">
        <v>167</v>
      </c>
      <c r="G31" s="243">
        <v>5</v>
      </c>
      <c r="H31" s="330">
        <v>0</v>
      </c>
      <c r="I31" s="244">
        <v>25</v>
      </c>
      <c r="J31" s="245">
        <f t="shared" si="5"/>
        <v>30</v>
      </c>
      <c r="K31" s="286" t="s">
        <v>735</v>
      </c>
      <c r="L31" s="288">
        <v>0</v>
      </c>
      <c r="M31" s="288">
        <v>1</v>
      </c>
      <c r="N31" s="289">
        <f t="shared" ref="N31:N34" si="8">SUM(L31/M31)*100</f>
        <v>0</v>
      </c>
      <c r="O31" s="6">
        <v>8</v>
      </c>
      <c r="P31" s="6">
        <v>12</v>
      </c>
      <c r="Q31" s="157">
        <v>66.666666666666657</v>
      </c>
      <c r="R31" s="6" t="s">
        <v>15</v>
      </c>
      <c r="S31" s="6" t="s">
        <v>15</v>
      </c>
      <c r="T31" s="157" t="s">
        <v>15</v>
      </c>
      <c r="U31" s="6" t="s">
        <v>15</v>
      </c>
      <c r="V31" s="6" t="s">
        <v>15</v>
      </c>
      <c r="W31" s="157" t="s">
        <v>15</v>
      </c>
      <c r="AB31" s="148">
        <v>7</v>
      </c>
      <c r="AC31" s="7">
        <v>8</v>
      </c>
      <c r="AD31" s="153">
        <v>87.5</v>
      </c>
      <c r="AE31" s="6">
        <v>9</v>
      </c>
      <c r="AF31" s="6">
        <v>9</v>
      </c>
      <c r="AG31" s="6">
        <f>SUM(AE31/AF31)*100</f>
        <v>100</v>
      </c>
      <c r="AH31" s="6">
        <v>1</v>
      </c>
      <c r="AI31" s="6">
        <v>1</v>
      </c>
      <c r="AJ31" s="153">
        <f t="shared" ref="AJ31" si="9">SUM(AH31/AI31)*100</f>
        <v>100</v>
      </c>
      <c r="AK31" s="6"/>
      <c r="AL31" s="7"/>
      <c r="AM31" s="153"/>
      <c r="AN31" s="7"/>
      <c r="AO31" s="7"/>
      <c r="AP31" s="153"/>
      <c r="AQ31" s="7"/>
      <c r="AR31" s="7"/>
      <c r="AS31" s="153"/>
      <c r="AT31" s="7"/>
      <c r="AU31" s="7"/>
      <c r="AV31" s="153"/>
    </row>
    <row r="32" spans="1:54" ht="14.95" customHeight="1" thickBot="1" x14ac:dyDescent="0.3">
      <c r="A32" s="286" t="s">
        <v>737</v>
      </c>
      <c r="B32" s="207">
        <v>0</v>
      </c>
      <c r="C32" s="258">
        <v>0</v>
      </c>
      <c r="D32" s="237">
        <v>0</v>
      </c>
      <c r="E32" s="288">
        <f t="shared" si="4"/>
        <v>0</v>
      </c>
      <c r="F32" s="242" t="s">
        <v>737</v>
      </c>
      <c r="G32" s="243">
        <v>0</v>
      </c>
      <c r="H32" s="330">
        <v>0</v>
      </c>
      <c r="I32" s="244">
        <v>51</v>
      </c>
      <c r="J32" s="245">
        <f t="shared" si="5"/>
        <v>51</v>
      </c>
      <c r="K32" s="286" t="s">
        <v>433</v>
      </c>
      <c r="L32" s="288" t="s">
        <v>15</v>
      </c>
      <c r="M32" s="288" t="s">
        <v>15</v>
      </c>
      <c r="N32" s="289" t="s">
        <v>15</v>
      </c>
      <c r="O32" s="6" t="s">
        <v>15</v>
      </c>
      <c r="P32" s="6" t="s">
        <v>15</v>
      </c>
      <c r="Q32" s="157" t="s">
        <v>15</v>
      </c>
      <c r="R32" s="6" t="s">
        <v>15</v>
      </c>
      <c r="S32" s="6" t="s">
        <v>15</v>
      </c>
      <c r="T32" s="157" t="s">
        <v>15</v>
      </c>
      <c r="U32" s="7">
        <v>2</v>
      </c>
      <c r="V32" s="7">
        <v>2</v>
      </c>
      <c r="W32" s="153">
        <v>100</v>
      </c>
      <c r="AB32" s="148" t="s">
        <v>15</v>
      </c>
      <c r="AC32" s="7" t="s">
        <v>15</v>
      </c>
      <c r="AD32" s="153" t="s">
        <v>15</v>
      </c>
      <c r="AE32" s="148" t="s">
        <v>15</v>
      </c>
      <c r="AF32" s="7" t="s">
        <v>15</v>
      </c>
      <c r="AG32" s="153" t="s">
        <v>15</v>
      </c>
      <c r="AH32" s="148" t="s">
        <v>15</v>
      </c>
      <c r="AI32" s="7" t="s">
        <v>15</v>
      </c>
      <c r="AJ32" s="153" t="s">
        <v>15</v>
      </c>
      <c r="AK32" s="6" t="s">
        <v>15</v>
      </c>
      <c r="AL32" s="7" t="s">
        <v>15</v>
      </c>
      <c r="AM32" s="153" t="s">
        <v>15</v>
      </c>
      <c r="AN32" s="7" t="s">
        <v>15</v>
      </c>
      <c r="AO32" s="7" t="s">
        <v>15</v>
      </c>
      <c r="AP32" s="153" t="s">
        <v>15</v>
      </c>
      <c r="AQ32" s="7" t="s">
        <v>15</v>
      </c>
      <c r="AR32" s="7" t="s">
        <v>15</v>
      </c>
      <c r="AS32" s="153" t="s">
        <v>15</v>
      </c>
      <c r="AT32" s="7" t="s">
        <v>15</v>
      </c>
      <c r="AU32" s="7" t="s">
        <v>15</v>
      </c>
      <c r="AV32" s="153" t="s">
        <v>15</v>
      </c>
    </row>
    <row r="33" spans="1:55" ht="14.95" customHeight="1" thickBot="1" x14ac:dyDescent="0.3">
      <c r="A33" s="286" t="s">
        <v>1084</v>
      </c>
      <c r="B33" s="207">
        <v>0</v>
      </c>
      <c r="C33" s="258">
        <v>0</v>
      </c>
      <c r="D33" s="237">
        <v>1</v>
      </c>
      <c r="E33" s="288">
        <f t="shared" si="4"/>
        <v>1</v>
      </c>
      <c r="F33" s="242" t="s">
        <v>1084</v>
      </c>
      <c r="G33" s="243">
        <v>0</v>
      </c>
      <c r="H33" s="330">
        <v>0</v>
      </c>
      <c r="I33" s="244">
        <v>5</v>
      </c>
      <c r="J33" s="245">
        <f t="shared" si="5"/>
        <v>5</v>
      </c>
      <c r="K33" s="286" t="s">
        <v>758</v>
      </c>
      <c r="L33" s="288">
        <v>25</v>
      </c>
      <c r="M33" s="288">
        <v>37</v>
      </c>
      <c r="N33" s="289">
        <f t="shared" si="8"/>
        <v>67.567567567567565</v>
      </c>
      <c r="O33" s="7">
        <v>8</v>
      </c>
      <c r="P33" s="7">
        <v>15</v>
      </c>
      <c r="Q33" s="153">
        <v>53.333333333333336</v>
      </c>
      <c r="R33" s="7">
        <v>10</v>
      </c>
      <c r="S33" s="7">
        <v>12</v>
      </c>
      <c r="T33" s="153">
        <v>83</v>
      </c>
      <c r="U33" s="7">
        <v>1</v>
      </c>
      <c r="V33" s="7">
        <v>1</v>
      </c>
      <c r="W33" s="153">
        <v>100</v>
      </c>
      <c r="AB33" s="148" t="s">
        <v>15</v>
      </c>
      <c r="AC33" s="7" t="s">
        <v>15</v>
      </c>
      <c r="AD33" s="153" t="s">
        <v>15</v>
      </c>
      <c r="AE33" s="148" t="s">
        <v>15</v>
      </c>
      <c r="AF33" s="7" t="s">
        <v>15</v>
      </c>
      <c r="AG33" s="153" t="s">
        <v>15</v>
      </c>
      <c r="AH33" s="7" t="s">
        <v>15</v>
      </c>
      <c r="AI33" s="7" t="s">
        <v>15</v>
      </c>
      <c r="AJ33" s="153" t="s">
        <v>15</v>
      </c>
      <c r="AK33" s="7" t="s">
        <v>15</v>
      </c>
      <c r="AL33" s="7" t="s">
        <v>15</v>
      </c>
      <c r="AM33" s="153" t="s">
        <v>15</v>
      </c>
      <c r="AN33" s="7" t="s">
        <v>15</v>
      </c>
      <c r="AO33" s="7" t="s">
        <v>15</v>
      </c>
      <c r="AP33" s="153" t="s">
        <v>15</v>
      </c>
      <c r="AQ33" s="7" t="s">
        <v>15</v>
      </c>
      <c r="AR33" s="7" t="s">
        <v>15</v>
      </c>
      <c r="AS33" s="153" t="s">
        <v>15</v>
      </c>
      <c r="AT33" s="7" t="s">
        <v>15</v>
      </c>
      <c r="AU33" s="7" t="s">
        <v>15</v>
      </c>
      <c r="AV33" s="153" t="s">
        <v>15</v>
      </c>
    </row>
    <row r="34" spans="1:55" ht="14.95" customHeight="1" thickBot="1" x14ac:dyDescent="0.3">
      <c r="A34" s="286" t="s">
        <v>1043</v>
      </c>
      <c r="B34" s="207">
        <v>0</v>
      </c>
      <c r="C34" s="258">
        <v>0</v>
      </c>
      <c r="D34" s="237">
        <v>1</v>
      </c>
      <c r="E34" s="288">
        <f t="shared" si="4"/>
        <v>1</v>
      </c>
      <c r="F34" s="242" t="s">
        <v>1043</v>
      </c>
      <c r="G34" s="243">
        <v>0</v>
      </c>
      <c r="H34" s="330">
        <v>0</v>
      </c>
      <c r="I34" s="244">
        <v>5</v>
      </c>
      <c r="J34" s="245">
        <f t="shared" si="5"/>
        <v>5</v>
      </c>
      <c r="K34" s="285" t="s">
        <v>307</v>
      </c>
      <c r="L34" s="288">
        <v>4</v>
      </c>
      <c r="M34" s="288">
        <v>5</v>
      </c>
      <c r="N34" s="289">
        <f t="shared" si="8"/>
        <v>80</v>
      </c>
      <c r="O34" s="6" t="s">
        <v>15</v>
      </c>
      <c r="P34" s="6" t="s">
        <v>15</v>
      </c>
      <c r="Q34" s="157" t="s">
        <v>15</v>
      </c>
      <c r="R34" s="6">
        <v>6</v>
      </c>
      <c r="S34" s="6">
        <v>7</v>
      </c>
      <c r="T34" s="157">
        <v>86</v>
      </c>
      <c r="U34" s="6" t="s">
        <v>15</v>
      </c>
      <c r="V34" s="6" t="s">
        <v>15</v>
      </c>
      <c r="W34" s="157" t="s">
        <v>15</v>
      </c>
      <c r="AB34" s="6" t="s">
        <v>15</v>
      </c>
      <c r="AC34" s="6" t="s">
        <v>15</v>
      </c>
      <c r="AD34" s="157" t="s">
        <v>15</v>
      </c>
      <c r="AE34" s="6" t="s">
        <v>15</v>
      </c>
      <c r="AF34" s="6" t="s">
        <v>15</v>
      </c>
      <c r="AG34" s="157" t="s">
        <v>15</v>
      </c>
      <c r="AH34" s="148">
        <v>11</v>
      </c>
      <c r="AI34" s="7">
        <v>12</v>
      </c>
      <c r="AJ34" s="153">
        <f>SUM(AH34/AI34)*100</f>
        <v>91.666666666666657</v>
      </c>
      <c r="AK34" s="148">
        <v>0</v>
      </c>
      <c r="AL34" s="7">
        <v>1</v>
      </c>
      <c r="AM34" s="153">
        <f>SUM(AK34/AL34)*100</f>
        <v>0</v>
      </c>
      <c r="AN34" s="148">
        <v>0</v>
      </c>
      <c r="AO34" s="7">
        <v>1</v>
      </c>
      <c r="AP34" s="153">
        <f>SUM(AN34/AO34)*100</f>
        <v>0</v>
      </c>
      <c r="AQ34" s="148">
        <v>21</v>
      </c>
      <c r="AR34" s="7">
        <v>25</v>
      </c>
      <c r="AS34" s="153">
        <f>SUM(AQ34/AR34)*100</f>
        <v>84</v>
      </c>
      <c r="AT34" s="148" t="s">
        <v>15</v>
      </c>
      <c r="AU34" s="7" t="s">
        <v>15</v>
      </c>
      <c r="AV34" s="7" t="s">
        <v>15</v>
      </c>
    </row>
    <row r="35" spans="1:55" ht="14.95" customHeight="1" thickBot="1" x14ac:dyDescent="0.3">
      <c r="A35" s="286" t="s">
        <v>451</v>
      </c>
      <c r="B35" s="207">
        <v>0</v>
      </c>
      <c r="C35" s="258">
        <v>0</v>
      </c>
      <c r="D35" s="237">
        <v>0</v>
      </c>
      <c r="E35" s="288">
        <f t="shared" ref="E35" si="10">SUM(B35:D35)</f>
        <v>0</v>
      </c>
      <c r="F35" s="242" t="s">
        <v>451</v>
      </c>
      <c r="G35" s="243">
        <v>0</v>
      </c>
      <c r="H35" s="330">
        <v>0</v>
      </c>
      <c r="I35" s="244">
        <v>0</v>
      </c>
      <c r="J35" s="245">
        <f t="shared" ref="J35" si="11">SUM(G35:I35)</f>
        <v>0</v>
      </c>
      <c r="K35" s="285" t="s">
        <v>17</v>
      </c>
      <c r="L35" s="288" t="s">
        <v>15</v>
      </c>
      <c r="M35" s="288" t="s">
        <v>15</v>
      </c>
      <c r="N35" s="289" t="s">
        <v>15</v>
      </c>
      <c r="O35" s="6" t="s">
        <v>15</v>
      </c>
      <c r="P35" s="6" t="s">
        <v>15</v>
      </c>
      <c r="Q35" s="157" t="s">
        <v>15</v>
      </c>
      <c r="R35" s="6">
        <v>3</v>
      </c>
      <c r="S35" s="6">
        <v>3</v>
      </c>
      <c r="T35" s="157">
        <v>100</v>
      </c>
      <c r="U35" s="6" t="s">
        <v>15</v>
      </c>
      <c r="V35" s="6" t="s">
        <v>15</v>
      </c>
      <c r="W35" s="157" t="s">
        <v>15</v>
      </c>
      <c r="AB35" s="6" t="s">
        <v>15</v>
      </c>
      <c r="AC35" s="6" t="s">
        <v>15</v>
      </c>
      <c r="AD35" s="157" t="s">
        <v>15</v>
      </c>
      <c r="AE35" s="6" t="s">
        <v>15</v>
      </c>
      <c r="AF35" s="6" t="s">
        <v>15</v>
      </c>
      <c r="AG35" s="157" t="s">
        <v>15</v>
      </c>
      <c r="AH35" s="6" t="s">
        <v>15</v>
      </c>
      <c r="AI35" s="6" t="s">
        <v>15</v>
      </c>
      <c r="AJ35" s="157" t="s">
        <v>15</v>
      </c>
      <c r="AK35" s="6" t="s">
        <v>15</v>
      </c>
      <c r="AL35" s="6" t="s">
        <v>15</v>
      </c>
      <c r="AM35" s="157" t="s">
        <v>15</v>
      </c>
      <c r="AN35" s="6" t="s">
        <v>15</v>
      </c>
      <c r="AO35" s="6" t="s">
        <v>15</v>
      </c>
      <c r="AP35" s="157" t="s">
        <v>15</v>
      </c>
      <c r="AQ35" s="6" t="s">
        <v>15</v>
      </c>
      <c r="AR35" s="6" t="s">
        <v>15</v>
      </c>
      <c r="AS35" s="157" t="s">
        <v>15</v>
      </c>
      <c r="AT35" s="6" t="s">
        <v>15</v>
      </c>
      <c r="AU35" s="6" t="s">
        <v>15</v>
      </c>
      <c r="AV35" s="157" t="s">
        <v>15</v>
      </c>
      <c r="BC35" s="70"/>
    </row>
    <row r="36" spans="1:55" ht="14.95" customHeight="1" thickBot="1" x14ac:dyDescent="0.3">
      <c r="A36" s="286" t="s">
        <v>307</v>
      </c>
      <c r="B36" s="207">
        <v>0</v>
      </c>
      <c r="C36" s="258">
        <v>0</v>
      </c>
      <c r="D36" s="237">
        <v>1</v>
      </c>
      <c r="E36" s="288">
        <f t="shared" si="4"/>
        <v>1</v>
      </c>
      <c r="F36" s="242" t="s">
        <v>307</v>
      </c>
      <c r="G36" s="243">
        <v>0</v>
      </c>
      <c r="H36" s="330">
        <v>0</v>
      </c>
      <c r="I36" s="244">
        <v>13</v>
      </c>
      <c r="J36" s="245">
        <f t="shared" si="5"/>
        <v>13</v>
      </c>
      <c r="K36" s="474" t="s">
        <v>901</v>
      </c>
      <c r="L36" s="477"/>
      <c r="M36" s="477"/>
      <c r="N36" s="477"/>
      <c r="O36" s="477"/>
      <c r="P36" s="477"/>
      <c r="Q36" s="477"/>
      <c r="R36" s="477"/>
      <c r="S36" s="477"/>
      <c r="T36" s="477"/>
      <c r="U36" s="477"/>
      <c r="V36" s="477"/>
      <c r="W36" s="477"/>
      <c r="X36" s="477"/>
      <c r="Y36" s="477"/>
      <c r="Z36" s="477"/>
      <c r="AA36" s="477"/>
      <c r="AB36" s="477"/>
      <c r="AC36" s="477"/>
      <c r="AD36" s="477"/>
      <c r="AE36" s="477"/>
      <c r="AF36" s="477"/>
      <c r="AG36" s="477"/>
      <c r="AH36" s="477"/>
      <c r="AI36" s="477"/>
      <c r="AJ36" s="477"/>
      <c r="AK36" s="477"/>
      <c r="AL36" s="477"/>
      <c r="AM36" s="477"/>
      <c r="AN36" s="477"/>
      <c r="AO36" s="477"/>
      <c r="AP36" s="477"/>
      <c r="AQ36" s="477"/>
      <c r="AR36" s="477"/>
      <c r="AS36" s="477"/>
      <c r="AT36" s="70"/>
      <c r="AU36" s="70"/>
      <c r="AV36" s="70"/>
    </row>
    <row r="37" spans="1:55" ht="14.95" customHeight="1" thickBot="1" x14ac:dyDescent="0.3">
      <c r="A37" s="286" t="s">
        <v>928</v>
      </c>
      <c r="B37" s="207">
        <v>5</v>
      </c>
      <c r="C37" s="258">
        <v>2</v>
      </c>
      <c r="D37" s="237">
        <v>1</v>
      </c>
      <c r="E37" s="288">
        <f t="shared" si="4"/>
        <v>8</v>
      </c>
      <c r="F37" s="242" t="s">
        <v>928</v>
      </c>
      <c r="G37" s="243">
        <v>25</v>
      </c>
      <c r="H37" s="330">
        <v>10</v>
      </c>
      <c r="I37" s="244">
        <v>5</v>
      </c>
      <c r="J37" s="245">
        <f t="shared" si="5"/>
        <v>40</v>
      </c>
      <c r="K37" s="474" t="s">
        <v>930</v>
      </c>
      <c r="L37" s="477"/>
      <c r="M37" s="477"/>
      <c r="N37" s="477"/>
      <c r="O37" s="477"/>
      <c r="P37" s="477"/>
      <c r="Q37" s="477"/>
      <c r="R37" s="477"/>
      <c r="S37" s="477"/>
      <c r="T37" s="477"/>
      <c r="U37" s="477"/>
      <c r="V37" s="477"/>
      <c r="W37" s="477"/>
    </row>
    <row r="38" spans="1:55" ht="14.95" customHeight="1" thickBot="1" x14ac:dyDescent="0.3">
      <c r="A38" s="286" t="s">
        <v>296</v>
      </c>
      <c r="B38" s="207">
        <v>1</v>
      </c>
      <c r="C38" s="258">
        <v>0</v>
      </c>
      <c r="D38" s="237">
        <v>0</v>
      </c>
      <c r="E38" s="288">
        <f t="shared" si="4"/>
        <v>1</v>
      </c>
      <c r="F38" s="242" t="s">
        <v>296</v>
      </c>
      <c r="G38" s="243">
        <v>5</v>
      </c>
      <c r="H38" s="330">
        <v>0</v>
      </c>
      <c r="I38" s="244">
        <v>0</v>
      </c>
      <c r="J38" s="245">
        <f t="shared" si="5"/>
        <v>5</v>
      </c>
      <c r="K38" s="474"/>
      <c r="L38" s="477"/>
      <c r="M38" s="477"/>
      <c r="N38" s="477"/>
      <c r="O38" s="477"/>
      <c r="P38" s="477"/>
      <c r="Q38" s="477"/>
      <c r="R38" s="477"/>
      <c r="S38" s="477"/>
      <c r="T38" s="477"/>
      <c r="U38" s="477"/>
      <c r="V38" s="477"/>
      <c r="W38" s="477"/>
      <c r="X38" s="477"/>
      <c r="Y38" s="477"/>
    </row>
    <row r="39" spans="1:55" ht="14.95" customHeight="1" thickBot="1" x14ac:dyDescent="0.3">
      <c r="A39" s="286" t="s">
        <v>305</v>
      </c>
      <c r="B39" s="207">
        <v>3</v>
      </c>
      <c r="C39" s="258">
        <v>0</v>
      </c>
      <c r="D39" s="237">
        <v>0</v>
      </c>
      <c r="E39" s="288">
        <f t="shared" si="4"/>
        <v>3</v>
      </c>
      <c r="F39" s="242" t="s">
        <v>305</v>
      </c>
      <c r="G39" s="243">
        <v>15</v>
      </c>
      <c r="H39" s="330">
        <v>0</v>
      </c>
      <c r="I39" s="244">
        <v>0</v>
      </c>
      <c r="J39" s="245">
        <f t="shared" si="5"/>
        <v>15</v>
      </c>
    </row>
    <row r="40" spans="1:55" ht="14.95" customHeight="1" thickBot="1" x14ac:dyDescent="0.3">
      <c r="A40" s="286" t="s">
        <v>750</v>
      </c>
      <c r="B40" s="207">
        <v>0</v>
      </c>
      <c r="C40" s="258">
        <v>0</v>
      </c>
      <c r="D40" s="237">
        <v>0</v>
      </c>
      <c r="E40" s="288">
        <f t="shared" si="4"/>
        <v>0</v>
      </c>
      <c r="F40" s="242" t="s">
        <v>750</v>
      </c>
      <c r="G40" s="243">
        <v>0</v>
      </c>
      <c r="H40" s="330">
        <v>0</v>
      </c>
      <c r="I40" s="244">
        <v>0</v>
      </c>
      <c r="J40" s="245">
        <f t="shared" si="5"/>
        <v>0</v>
      </c>
    </row>
    <row r="41" spans="1:55" ht="14.95" customHeight="1" thickBot="1" x14ac:dyDescent="0.3">
      <c r="A41" s="286" t="s">
        <v>751</v>
      </c>
      <c r="B41" s="207">
        <v>0</v>
      </c>
      <c r="C41" s="258">
        <v>0</v>
      </c>
      <c r="D41" s="237">
        <v>2</v>
      </c>
      <c r="E41" s="288">
        <f t="shared" si="4"/>
        <v>2</v>
      </c>
      <c r="F41" s="242" t="s">
        <v>751</v>
      </c>
      <c r="G41" s="243">
        <v>0</v>
      </c>
      <c r="H41" s="330">
        <v>0</v>
      </c>
      <c r="I41" s="244">
        <v>10</v>
      </c>
      <c r="J41" s="245">
        <f t="shared" si="5"/>
        <v>10</v>
      </c>
    </row>
    <row r="42" spans="1:55" ht="14.95" customHeight="1" thickBot="1" x14ac:dyDescent="0.3">
      <c r="A42" s="286" t="s">
        <v>760</v>
      </c>
      <c r="B42" s="207">
        <v>2</v>
      </c>
      <c r="C42" s="258">
        <v>0</v>
      </c>
      <c r="D42" s="237">
        <v>0</v>
      </c>
      <c r="E42" s="288">
        <f t="shared" si="4"/>
        <v>2</v>
      </c>
      <c r="F42" s="242" t="s">
        <v>760</v>
      </c>
      <c r="G42" s="243">
        <v>10</v>
      </c>
      <c r="H42" s="330">
        <v>0</v>
      </c>
      <c r="I42" s="244">
        <v>0</v>
      </c>
      <c r="J42" s="245">
        <f t="shared" si="5"/>
        <v>10</v>
      </c>
    </row>
    <row r="43" spans="1:55" ht="14.95" customHeight="1" thickBot="1" x14ac:dyDescent="0.3">
      <c r="A43" s="286" t="s">
        <v>4</v>
      </c>
      <c r="B43" s="207">
        <v>3</v>
      </c>
      <c r="C43" s="258">
        <v>0</v>
      </c>
      <c r="D43" s="237">
        <v>0</v>
      </c>
      <c r="E43" s="288">
        <f t="shared" si="4"/>
        <v>3</v>
      </c>
      <c r="F43" s="242" t="s">
        <v>4</v>
      </c>
      <c r="G43" s="243">
        <v>21</v>
      </c>
      <c r="H43" s="330">
        <v>0</v>
      </c>
      <c r="I43" s="244">
        <v>0</v>
      </c>
      <c r="J43" s="245">
        <f t="shared" si="5"/>
        <v>21</v>
      </c>
    </row>
    <row r="44" spans="1:55" ht="14.95" customHeight="1" thickBot="1" x14ac:dyDescent="0.3">
      <c r="A44" s="286" t="s">
        <v>304</v>
      </c>
      <c r="B44" s="207">
        <v>0</v>
      </c>
      <c r="C44" s="258">
        <v>0</v>
      </c>
      <c r="D44" s="237">
        <v>0</v>
      </c>
      <c r="E44" s="288">
        <f t="shared" si="4"/>
        <v>0</v>
      </c>
      <c r="F44" s="242" t="s">
        <v>304</v>
      </c>
      <c r="G44" s="243">
        <v>0</v>
      </c>
      <c r="H44" s="330">
        <v>0</v>
      </c>
      <c r="I44" s="244">
        <v>0</v>
      </c>
      <c r="J44" s="245">
        <f t="shared" si="5"/>
        <v>0</v>
      </c>
    </row>
    <row r="45" spans="1:55" ht="14.95" customHeight="1" thickBot="1" x14ac:dyDescent="0.3">
      <c r="A45" s="286" t="s">
        <v>291</v>
      </c>
      <c r="B45" s="207">
        <v>1</v>
      </c>
      <c r="C45" s="258">
        <v>2</v>
      </c>
      <c r="D45" s="237">
        <v>5</v>
      </c>
      <c r="E45" s="288">
        <f t="shared" si="4"/>
        <v>8</v>
      </c>
      <c r="F45" s="242" t="s">
        <v>291</v>
      </c>
      <c r="G45" s="243">
        <v>5</v>
      </c>
      <c r="H45" s="330">
        <v>10</v>
      </c>
      <c r="I45" s="244">
        <v>25</v>
      </c>
      <c r="J45" s="245">
        <f t="shared" si="5"/>
        <v>40</v>
      </c>
    </row>
    <row r="46" spans="1:55" ht="14.95" customHeight="1" thickBot="1" x14ac:dyDescent="0.3">
      <c r="A46" s="286" t="s">
        <v>17</v>
      </c>
      <c r="B46" s="207">
        <v>0</v>
      </c>
      <c r="C46" s="258">
        <v>0</v>
      </c>
      <c r="D46" s="237">
        <v>1</v>
      </c>
      <c r="E46" s="288">
        <f t="shared" si="4"/>
        <v>1</v>
      </c>
      <c r="F46" s="242" t="s">
        <v>17</v>
      </c>
      <c r="G46" s="243">
        <v>0</v>
      </c>
      <c r="H46" s="330">
        <v>0</v>
      </c>
      <c r="I46" s="244">
        <v>5</v>
      </c>
      <c r="J46" s="245">
        <f t="shared" si="5"/>
        <v>5</v>
      </c>
    </row>
    <row r="47" spans="1:55" ht="14.95" customHeight="1" thickBot="1" x14ac:dyDescent="0.3">
      <c r="A47" s="286" t="s">
        <v>733</v>
      </c>
      <c r="B47" s="207">
        <v>0</v>
      </c>
      <c r="C47" s="258">
        <v>1</v>
      </c>
      <c r="D47" s="237">
        <v>1</v>
      </c>
      <c r="E47" s="288">
        <f t="shared" si="4"/>
        <v>2</v>
      </c>
      <c r="F47" s="242" t="s">
        <v>733</v>
      </c>
      <c r="G47" s="243">
        <v>0</v>
      </c>
      <c r="H47" s="330">
        <v>5</v>
      </c>
      <c r="I47" s="244">
        <v>5</v>
      </c>
      <c r="J47" s="245">
        <f t="shared" si="5"/>
        <v>10</v>
      </c>
    </row>
    <row r="48" spans="1:55" ht="14.95" customHeight="1" thickBot="1" x14ac:dyDescent="0.3">
      <c r="A48" s="286" t="s">
        <v>813</v>
      </c>
      <c r="B48" s="207">
        <v>0</v>
      </c>
      <c r="C48" s="258">
        <v>0</v>
      </c>
      <c r="D48" s="237">
        <v>0</v>
      </c>
      <c r="E48" s="288">
        <f t="shared" si="4"/>
        <v>0</v>
      </c>
      <c r="F48" s="242" t="s">
        <v>813</v>
      </c>
      <c r="G48" s="243">
        <v>0</v>
      </c>
      <c r="H48" s="330">
        <v>0</v>
      </c>
      <c r="I48" s="244">
        <v>0</v>
      </c>
      <c r="J48" s="245">
        <f t="shared" si="5"/>
        <v>0</v>
      </c>
    </row>
    <row r="49" spans="1:10" ht="14.95" customHeight="1" thickBot="1" x14ac:dyDescent="0.3">
      <c r="A49" s="286" t="s">
        <v>747</v>
      </c>
      <c r="B49" s="207">
        <v>3</v>
      </c>
      <c r="C49" s="258">
        <v>1</v>
      </c>
      <c r="D49" s="237">
        <v>0</v>
      </c>
      <c r="E49" s="288">
        <f t="shared" si="4"/>
        <v>4</v>
      </c>
      <c r="F49" s="242" t="s">
        <v>747</v>
      </c>
      <c r="G49" s="243">
        <v>15</v>
      </c>
      <c r="H49" s="330">
        <v>5</v>
      </c>
      <c r="I49" s="244">
        <v>0</v>
      </c>
      <c r="J49" s="245">
        <f t="shared" si="5"/>
        <v>20</v>
      </c>
    </row>
    <row r="50" spans="1:10" ht="14.95" customHeight="1" thickBot="1" x14ac:dyDescent="0.3">
      <c r="A50" s="286" t="s">
        <v>295</v>
      </c>
      <c r="B50" s="207">
        <v>4</v>
      </c>
      <c r="C50" s="258">
        <v>0</v>
      </c>
      <c r="D50" s="237">
        <v>2</v>
      </c>
      <c r="E50" s="288">
        <f t="shared" si="4"/>
        <v>6</v>
      </c>
      <c r="F50" s="242" t="s">
        <v>295</v>
      </c>
      <c r="G50" s="243">
        <v>20</v>
      </c>
      <c r="H50" s="330">
        <v>0</v>
      </c>
      <c r="I50" s="244">
        <v>10</v>
      </c>
      <c r="J50" s="245">
        <f t="shared" si="5"/>
        <v>30</v>
      </c>
    </row>
    <row r="51" spans="1:10" ht="14.95" customHeight="1" thickBot="1" x14ac:dyDescent="0.3">
      <c r="A51" s="286" t="s">
        <v>897</v>
      </c>
      <c r="B51" s="207">
        <v>0</v>
      </c>
      <c r="C51" s="258">
        <v>0</v>
      </c>
      <c r="D51" s="237">
        <v>0</v>
      </c>
      <c r="E51" s="288">
        <f t="shared" si="4"/>
        <v>0</v>
      </c>
      <c r="F51" s="242" t="s">
        <v>897</v>
      </c>
      <c r="G51" s="243">
        <v>0</v>
      </c>
      <c r="H51" s="330">
        <v>0</v>
      </c>
      <c r="I51" s="244">
        <v>0</v>
      </c>
      <c r="J51" s="245">
        <f t="shared" si="5"/>
        <v>0</v>
      </c>
    </row>
    <row r="52" spans="1:10" ht="14.95" thickBot="1" x14ac:dyDescent="0.3">
      <c r="A52" s="286" t="s">
        <v>303</v>
      </c>
      <c r="B52" s="207">
        <v>1</v>
      </c>
      <c r="C52" s="258">
        <v>0</v>
      </c>
      <c r="D52" s="237">
        <v>1</v>
      </c>
      <c r="E52" s="288">
        <f t="shared" si="4"/>
        <v>2</v>
      </c>
      <c r="F52" s="242" t="s">
        <v>303</v>
      </c>
      <c r="G52" s="243">
        <v>5</v>
      </c>
      <c r="H52" s="330">
        <v>0</v>
      </c>
      <c r="I52" s="244">
        <v>5</v>
      </c>
      <c r="J52" s="245">
        <f t="shared" si="5"/>
        <v>10</v>
      </c>
    </row>
    <row r="53" spans="1:10" ht="14.95" thickBot="1" x14ac:dyDescent="0.3">
      <c r="A53" s="286" t="s">
        <v>711</v>
      </c>
      <c r="B53" s="207">
        <v>0</v>
      </c>
      <c r="C53" s="258">
        <v>0</v>
      </c>
      <c r="D53" s="237">
        <v>1</v>
      </c>
      <c r="E53" s="288">
        <f t="shared" si="4"/>
        <v>1</v>
      </c>
      <c r="F53" s="242" t="s">
        <v>711</v>
      </c>
      <c r="G53" s="243">
        <v>0</v>
      </c>
      <c r="H53" s="330">
        <v>0</v>
      </c>
      <c r="I53" s="244">
        <v>5</v>
      </c>
      <c r="J53" s="245">
        <f t="shared" si="5"/>
        <v>5</v>
      </c>
    </row>
    <row r="54" spans="1:10" ht="14.95" thickBot="1" x14ac:dyDescent="0.3">
      <c r="A54" s="286" t="s">
        <v>502</v>
      </c>
      <c r="B54" s="207">
        <v>0</v>
      </c>
      <c r="C54" s="258">
        <v>2</v>
      </c>
      <c r="D54" s="237">
        <v>1</v>
      </c>
      <c r="E54" s="288">
        <f t="shared" si="4"/>
        <v>3</v>
      </c>
      <c r="F54" s="242" t="s">
        <v>502</v>
      </c>
      <c r="G54" s="243">
        <v>0</v>
      </c>
      <c r="H54" s="330">
        <v>10</v>
      </c>
      <c r="I54" s="244">
        <v>5</v>
      </c>
      <c r="J54" s="245">
        <f t="shared" si="5"/>
        <v>15</v>
      </c>
    </row>
    <row r="55" spans="1:10" ht="14.95" thickBot="1" x14ac:dyDescent="0.3">
      <c r="A55" s="286" t="s">
        <v>749</v>
      </c>
      <c r="B55" s="207">
        <v>0</v>
      </c>
      <c r="C55" s="258">
        <v>0</v>
      </c>
      <c r="D55" s="237">
        <v>0</v>
      </c>
      <c r="E55" s="288">
        <f t="shared" si="4"/>
        <v>0</v>
      </c>
      <c r="F55" s="242" t="s">
        <v>749</v>
      </c>
      <c r="G55" s="243">
        <v>0</v>
      </c>
      <c r="H55" s="330">
        <v>0</v>
      </c>
      <c r="I55" s="244">
        <v>0</v>
      </c>
      <c r="J55" s="245">
        <f t="shared" si="5"/>
        <v>0</v>
      </c>
    </row>
    <row r="56" spans="1:10" ht="14.95" thickBot="1" x14ac:dyDescent="0.3">
      <c r="A56" s="286" t="s">
        <v>842</v>
      </c>
      <c r="B56" s="207">
        <v>0</v>
      </c>
      <c r="C56" s="258">
        <v>0</v>
      </c>
      <c r="D56" s="237">
        <v>0</v>
      </c>
      <c r="E56" s="288">
        <f t="shared" si="4"/>
        <v>0</v>
      </c>
      <c r="F56" s="242" t="s">
        <v>842</v>
      </c>
      <c r="G56" s="243">
        <v>0</v>
      </c>
      <c r="H56" s="330">
        <v>0</v>
      </c>
      <c r="I56" s="244">
        <v>0</v>
      </c>
      <c r="J56" s="245">
        <f t="shared" si="5"/>
        <v>0</v>
      </c>
    </row>
    <row r="57" spans="1:10" ht="14.95" thickBot="1" x14ac:dyDescent="0.3">
      <c r="A57" s="286" t="s">
        <v>3</v>
      </c>
      <c r="B57" s="207">
        <f>SUM(B3:B56)</f>
        <v>60</v>
      </c>
      <c r="C57" s="258">
        <f>SUM(C3:C56)</f>
        <v>16</v>
      </c>
      <c r="D57" s="237">
        <f>SUM(D3:D56)</f>
        <v>41</v>
      </c>
      <c r="E57" s="288">
        <f>SUM(B57:D57)</f>
        <v>117</v>
      </c>
      <c r="F57" s="242" t="s">
        <v>3</v>
      </c>
      <c r="G57" s="243">
        <f>SUM(G3:G56)</f>
        <v>415</v>
      </c>
      <c r="H57" s="330">
        <f>SUM(H3:H56)</f>
        <v>115</v>
      </c>
      <c r="I57" s="244">
        <f>SUM(I3:I56)</f>
        <v>264</v>
      </c>
      <c r="J57" s="245">
        <f t="shared" si="5"/>
        <v>794</v>
      </c>
    </row>
    <row r="58" spans="1:10" x14ac:dyDescent="0.25">
      <c r="A58" s="208"/>
      <c r="B58" s="209"/>
      <c r="C58" s="210"/>
      <c r="D58" s="231"/>
      <c r="E58" s="51"/>
      <c r="F58" s="208"/>
      <c r="G58" s="211"/>
      <c r="H58" s="210"/>
      <c r="I58" s="231"/>
      <c r="J58" s="51"/>
    </row>
    <row r="59" spans="1:10" ht="14.95" thickBot="1" x14ac:dyDescent="0.3">
      <c r="A59" s="47" t="s">
        <v>12</v>
      </c>
      <c r="B59" s="209"/>
      <c r="C59" s="210"/>
      <c r="D59" s="210"/>
      <c r="E59" s="51"/>
      <c r="F59" s="208"/>
      <c r="G59" s="211"/>
      <c r="H59" s="210"/>
      <c r="I59" s="210"/>
      <c r="J59" s="51"/>
    </row>
    <row r="60" spans="1:10" ht="14.95" thickBot="1" x14ac:dyDescent="0.3">
      <c r="A60" s="285" t="s">
        <v>0</v>
      </c>
      <c r="B60" s="206" t="s">
        <v>218</v>
      </c>
      <c r="C60" s="257" t="s">
        <v>30</v>
      </c>
      <c r="D60" s="236" t="s">
        <v>326</v>
      </c>
      <c r="E60" s="287" t="s">
        <v>1</v>
      </c>
      <c r="F60" s="241" t="s">
        <v>2</v>
      </c>
      <c r="G60" s="240" t="s">
        <v>218</v>
      </c>
      <c r="H60" s="329" t="s">
        <v>30</v>
      </c>
      <c r="I60" s="238" t="s">
        <v>326</v>
      </c>
      <c r="J60" s="239" t="s">
        <v>1</v>
      </c>
    </row>
    <row r="61" spans="1:10" ht="14.95" thickBot="1" x14ac:dyDescent="0.3">
      <c r="A61" s="286" t="s">
        <v>994</v>
      </c>
      <c r="B61" s="207">
        <v>12</v>
      </c>
      <c r="C61" s="258">
        <v>2</v>
      </c>
      <c r="D61" s="237">
        <v>0</v>
      </c>
      <c r="E61" s="288">
        <f t="shared" ref="E61:E92" si="12">SUM(B61:D61)</f>
        <v>14</v>
      </c>
      <c r="F61" s="242" t="s">
        <v>996</v>
      </c>
      <c r="G61" s="243">
        <v>96</v>
      </c>
      <c r="H61" s="330">
        <v>19</v>
      </c>
      <c r="I61" s="244">
        <v>0</v>
      </c>
      <c r="J61" s="245">
        <f t="shared" ref="J61:J92" si="13">SUM(G61:I61)</f>
        <v>115</v>
      </c>
    </row>
    <row r="62" spans="1:10" ht="14.95" thickBot="1" x14ac:dyDescent="0.3">
      <c r="A62" s="286" t="s">
        <v>928</v>
      </c>
      <c r="B62" s="207">
        <v>5</v>
      </c>
      <c r="C62" s="258">
        <v>2</v>
      </c>
      <c r="D62" s="237">
        <v>1</v>
      </c>
      <c r="E62" s="288">
        <f t="shared" si="12"/>
        <v>8</v>
      </c>
      <c r="F62" s="242" t="s">
        <v>994</v>
      </c>
      <c r="G62" s="243">
        <v>60</v>
      </c>
      <c r="H62" s="330">
        <v>10</v>
      </c>
      <c r="I62" s="244">
        <v>0</v>
      </c>
      <c r="J62" s="245">
        <f t="shared" si="13"/>
        <v>70</v>
      </c>
    </row>
    <row r="63" spans="1:10" ht="14.95" thickBot="1" x14ac:dyDescent="0.3">
      <c r="A63" s="286" t="s">
        <v>291</v>
      </c>
      <c r="B63" s="207">
        <v>1</v>
      </c>
      <c r="C63" s="258">
        <v>2</v>
      </c>
      <c r="D63" s="237">
        <v>5</v>
      </c>
      <c r="E63" s="288">
        <f t="shared" si="12"/>
        <v>8</v>
      </c>
      <c r="F63" s="242" t="s">
        <v>737</v>
      </c>
      <c r="G63" s="243">
        <v>0</v>
      </c>
      <c r="H63" s="330">
        <v>0</v>
      </c>
      <c r="I63" s="244">
        <v>51</v>
      </c>
      <c r="J63" s="245">
        <f t="shared" si="13"/>
        <v>51</v>
      </c>
    </row>
    <row r="64" spans="1:10" ht="14.95" thickBot="1" x14ac:dyDescent="0.3">
      <c r="A64" s="286" t="s">
        <v>858</v>
      </c>
      <c r="B64" s="207">
        <v>3</v>
      </c>
      <c r="C64" s="258">
        <v>0</v>
      </c>
      <c r="D64" s="237">
        <v>4</v>
      </c>
      <c r="E64" s="288">
        <f t="shared" si="12"/>
        <v>7</v>
      </c>
      <c r="F64" s="242" t="s">
        <v>735</v>
      </c>
      <c r="G64" s="243">
        <v>28</v>
      </c>
      <c r="H64" s="330">
        <v>16</v>
      </c>
      <c r="I64" s="244">
        <v>0</v>
      </c>
      <c r="J64" s="245">
        <f t="shared" si="13"/>
        <v>44</v>
      </c>
    </row>
    <row r="65" spans="1:10" ht="14.95" thickBot="1" x14ac:dyDescent="0.3">
      <c r="A65" s="286" t="s">
        <v>463</v>
      </c>
      <c r="B65" s="207">
        <v>3</v>
      </c>
      <c r="C65" s="258">
        <v>2</v>
      </c>
      <c r="D65" s="237">
        <v>1</v>
      </c>
      <c r="E65" s="288">
        <f t="shared" si="12"/>
        <v>6</v>
      </c>
      <c r="F65" s="242" t="s">
        <v>928</v>
      </c>
      <c r="G65" s="243">
        <v>25</v>
      </c>
      <c r="H65" s="330">
        <v>10</v>
      </c>
      <c r="I65" s="244">
        <v>5</v>
      </c>
      <c r="J65" s="245">
        <f t="shared" si="13"/>
        <v>40</v>
      </c>
    </row>
    <row r="66" spans="1:10" ht="14.95" thickBot="1" x14ac:dyDescent="0.3">
      <c r="A66" s="286" t="s">
        <v>167</v>
      </c>
      <c r="B66" s="207">
        <v>1</v>
      </c>
      <c r="C66" s="258">
        <v>0</v>
      </c>
      <c r="D66" s="237">
        <v>5</v>
      </c>
      <c r="E66" s="288">
        <f t="shared" si="12"/>
        <v>6</v>
      </c>
      <c r="F66" s="242" t="s">
        <v>291</v>
      </c>
      <c r="G66" s="243">
        <v>5</v>
      </c>
      <c r="H66" s="330">
        <v>10</v>
      </c>
      <c r="I66" s="244">
        <v>25</v>
      </c>
      <c r="J66" s="245">
        <f t="shared" si="13"/>
        <v>40</v>
      </c>
    </row>
    <row r="67" spans="1:10" ht="14.95" thickBot="1" x14ac:dyDescent="0.3">
      <c r="A67" s="286" t="s">
        <v>295</v>
      </c>
      <c r="B67" s="207">
        <v>4</v>
      </c>
      <c r="C67" s="258">
        <v>0</v>
      </c>
      <c r="D67" s="237">
        <v>2</v>
      </c>
      <c r="E67" s="288">
        <f t="shared" si="12"/>
        <v>6</v>
      </c>
      <c r="F67" s="242" t="s">
        <v>858</v>
      </c>
      <c r="G67" s="243">
        <v>15</v>
      </c>
      <c r="H67" s="330">
        <v>0</v>
      </c>
      <c r="I67" s="244">
        <v>20</v>
      </c>
      <c r="J67" s="245">
        <f t="shared" si="13"/>
        <v>35</v>
      </c>
    </row>
    <row r="68" spans="1:10" ht="14.95" thickBot="1" x14ac:dyDescent="0.3">
      <c r="A68" s="286" t="s">
        <v>868</v>
      </c>
      <c r="B68" s="207">
        <v>1</v>
      </c>
      <c r="C68" s="258">
        <v>1</v>
      </c>
      <c r="D68" s="237">
        <v>3</v>
      </c>
      <c r="E68" s="288">
        <f t="shared" si="12"/>
        <v>5</v>
      </c>
      <c r="F68" s="242" t="s">
        <v>463</v>
      </c>
      <c r="G68" s="243">
        <v>15</v>
      </c>
      <c r="H68" s="330">
        <v>10</v>
      </c>
      <c r="I68" s="244">
        <v>5</v>
      </c>
      <c r="J68" s="245">
        <f t="shared" si="13"/>
        <v>30</v>
      </c>
    </row>
    <row r="69" spans="1:10" ht="14.95" thickBot="1" x14ac:dyDescent="0.3">
      <c r="A69" s="286" t="s">
        <v>523</v>
      </c>
      <c r="B69" s="207">
        <v>5</v>
      </c>
      <c r="C69" s="258">
        <v>0</v>
      </c>
      <c r="D69" s="237">
        <v>0</v>
      </c>
      <c r="E69" s="288">
        <f t="shared" si="12"/>
        <v>5</v>
      </c>
      <c r="F69" s="242" t="s">
        <v>167</v>
      </c>
      <c r="G69" s="243">
        <v>5</v>
      </c>
      <c r="H69" s="330">
        <v>0</v>
      </c>
      <c r="I69" s="244">
        <v>25</v>
      </c>
      <c r="J69" s="245">
        <f t="shared" si="13"/>
        <v>30</v>
      </c>
    </row>
    <row r="70" spans="1:10" ht="14.95" thickBot="1" x14ac:dyDescent="0.3">
      <c r="A70" s="286" t="s">
        <v>747</v>
      </c>
      <c r="B70" s="207">
        <v>3</v>
      </c>
      <c r="C70" s="258">
        <v>1</v>
      </c>
      <c r="D70" s="237">
        <v>0</v>
      </c>
      <c r="E70" s="288">
        <f t="shared" si="12"/>
        <v>4</v>
      </c>
      <c r="F70" s="242" t="s">
        <v>295</v>
      </c>
      <c r="G70" s="243">
        <v>20</v>
      </c>
      <c r="H70" s="330">
        <v>0</v>
      </c>
      <c r="I70" s="244">
        <v>10</v>
      </c>
      <c r="J70" s="245">
        <f t="shared" si="13"/>
        <v>30</v>
      </c>
    </row>
    <row r="71" spans="1:10" ht="14.95" thickBot="1" x14ac:dyDescent="0.3">
      <c r="A71" s="286" t="s">
        <v>735</v>
      </c>
      <c r="B71" s="207">
        <v>3</v>
      </c>
      <c r="C71" s="258">
        <v>0</v>
      </c>
      <c r="D71" s="237">
        <v>0</v>
      </c>
      <c r="E71" s="288">
        <f t="shared" si="12"/>
        <v>3</v>
      </c>
      <c r="F71" s="242" t="s">
        <v>868</v>
      </c>
      <c r="G71" s="243">
        <v>5</v>
      </c>
      <c r="H71" s="330">
        <v>5</v>
      </c>
      <c r="I71" s="244">
        <v>15</v>
      </c>
      <c r="J71" s="245">
        <f t="shared" si="13"/>
        <v>25</v>
      </c>
    </row>
    <row r="72" spans="1:10" ht="14.95" thickBot="1" x14ac:dyDescent="0.3">
      <c r="A72" s="286" t="s">
        <v>433</v>
      </c>
      <c r="B72" s="207">
        <v>3</v>
      </c>
      <c r="C72" s="258">
        <v>0</v>
      </c>
      <c r="D72" s="237">
        <v>0</v>
      </c>
      <c r="E72" s="288">
        <f t="shared" si="12"/>
        <v>3</v>
      </c>
      <c r="F72" s="242" t="s">
        <v>523</v>
      </c>
      <c r="G72" s="243">
        <v>25</v>
      </c>
      <c r="H72" s="330">
        <v>0</v>
      </c>
      <c r="I72" s="244">
        <v>0</v>
      </c>
      <c r="J72" s="245">
        <f t="shared" si="13"/>
        <v>25</v>
      </c>
    </row>
    <row r="73" spans="1:10" ht="14.95" thickBot="1" x14ac:dyDescent="0.3">
      <c r="A73" s="286" t="s">
        <v>557</v>
      </c>
      <c r="B73" s="207">
        <v>2</v>
      </c>
      <c r="C73" s="258">
        <v>1</v>
      </c>
      <c r="D73" s="237">
        <v>0</v>
      </c>
      <c r="E73" s="288">
        <f t="shared" si="12"/>
        <v>3</v>
      </c>
      <c r="F73" s="242" t="s">
        <v>4</v>
      </c>
      <c r="G73" s="243">
        <v>21</v>
      </c>
      <c r="H73" s="330">
        <v>0</v>
      </c>
      <c r="I73" s="244">
        <v>0</v>
      </c>
      <c r="J73" s="245">
        <f t="shared" si="13"/>
        <v>21</v>
      </c>
    </row>
    <row r="74" spans="1:10" ht="14.95" thickBot="1" x14ac:dyDescent="0.3">
      <c r="A74" s="286" t="s">
        <v>428</v>
      </c>
      <c r="B74" s="207">
        <v>0</v>
      </c>
      <c r="C74" s="258">
        <v>0</v>
      </c>
      <c r="D74" s="237">
        <v>3</v>
      </c>
      <c r="E74" s="288">
        <f t="shared" si="12"/>
        <v>3</v>
      </c>
      <c r="F74" s="242" t="s">
        <v>747</v>
      </c>
      <c r="G74" s="243">
        <v>15</v>
      </c>
      <c r="H74" s="330">
        <v>5</v>
      </c>
      <c r="I74" s="244">
        <v>0</v>
      </c>
      <c r="J74" s="245">
        <f t="shared" si="13"/>
        <v>20</v>
      </c>
    </row>
    <row r="75" spans="1:10" ht="14.95" thickBot="1" x14ac:dyDescent="0.3">
      <c r="A75" s="286" t="s">
        <v>305</v>
      </c>
      <c r="B75" s="207">
        <v>3</v>
      </c>
      <c r="C75" s="258">
        <v>0</v>
      </c>
      <c r="D75" s="237">
        <v>0</v>
      </c>
      <c r="E75" s="288">
        <f t="shared" si="12"/>
        <v>3</v>
      </c>
      <c r="F75" s="242" t="s">
        <v>433</v>
      </c>
      <c r="G75" s="243">
        <v>15</v>
      </c>
      <c r="H75" s="330">
        <v>0</v>
      </c>
      <c r="I75" s="244">
        <v>0</v>
      </c>
      <c r="J75" s="245">
        <f t="shared" si="13"/>
        <v>15</v>
      </c>
    </row>
    <row r="76" spans="1:10" ht="14.95" thickBot="1" x14ac:dyDescent="0.3">
      <c r="A76" s="286" t="s">
        <v>4</v>
      </c>
      <c r="B76" s="207">
        <v>3</v>
      </c>
      <c r="C76" s="258">
        <v>0</v>
      </c>
      <c r="D76" s="237">
        <v>0</v>
      </c>
      <c r="E76" s="288">
        <f t="shared" si="12"/>
        <v>3</v>
      </c>
      <c r="F76" s="242" t="s">
        <v>557</v>
      </c>
      <c r="G76" s="243">
        <v>10</v>
      </c>
      <c r="H76" s="330">
        <v>5</v>
      </c>
      <c r="I76" s="244">
        <v>0</v>
      </c>
      <c r="J76" s="245">
        <f t="shared" si="13"/>
        <v>15</v>
      </c>
    </row>
    <row r="77" spans="1:10" ht="14.95" thickBot="1" x14ac:dyDescent="0.3">
      <c r="A77" s="286" t="s">
        <v>502</v>
      </c>
      <c r="B77" s="207">
        <v>0</v>
      </c>
      <c r="C77" s="258">
        <v>2</v>
      </c>
      <c r="D77" s="237">
        <v>1</v>
      </c>
      <c r="E77" s="288">
        <f t="shared" si="12"/>
        <v>3</v>
      </c>
      <c r="F77" s="242" t="s">
        <v>428</v>
      </c>
      <c r="G77" s="243">
        <v>0</v>
      </c>
      <c r="H77" s="330">
        <v>0</v>
      </c>
      <c r="I77" s="244">
        <v>15</v>
      </c>
      <c r="J77" s="245">
        <f t="shared" si="13"/>
        <v>15</v>
      </c>
    </row>
    <row r="78" spans="1:10" ht="14.95" thickBot="1" x14ac:dyDescent="0.3">
      <c r="A78" s="286" t="s">
        <v>1049</v>
      </c>
      <c r="B78" s="207">
        <v>0</v>
      </c>
      <c r="C78" s="258">
        <v>0</v>
      </c>
      <c r="D78" s="237">
        <v>2</v>
      </c>
      <c r="E78" s="288">
        <f t="shared" si="12"/>
        <v>2</v>
      </c>
      <c r="F78" s="242" t="s">
        <v>305</v>
      </c>
      <c r="G78" s="243">
        <v>15</v>
      </c>
      <c r="H78" s="330">
        <v>0</v>
      </c>
      <c r="I78" s="244">
        <v>0</v>
      </c>
      <c r="J78" s="245">
        <f t="shared" si="13"/>
        <v>15</v>
      </c>
    </row>
    <row r="79" spans="1:10" ht="14.95" thickBot="1" x14ac:dyDescent="0.3">
      <c r="A79" s="286" t="s">
        <v>537</v>
      </c>
      <c r="B79" s="207">
        <v>0</v>
      </c>
      <c r="C79" s="258">
        <v>2</v>
      </c>
      <c r="D79" s="237">
        <v>0</v>
      </c>
      <c r="E79" s="288">
        <f t="shared" si="12"/>
        <v>2</v>
      </c>
      <c r="F79" s="242" t="s">
        <v>502</v>
      </c>
      <c r="G79" s="243">
        <v>0</v>
      </c>
      <c r="H79" s="330">
        <v>10</v>
      </c>
      <c r="I79" s="244">
        <v>5</v>
      </c>
      <c r="J79" s="245">
        <f t="shared" si="13"/>
        <v>15</v>
      </c>
    </row>
    <row r="80" spans="1:10" ht="14.95" thickBot="1" x14ac:dyDescent="0.3">
      <c r="A80" s="286" t="s">
        <v>308</v>
      </c>
      <c r="B80" s="207">
        <v>2</v>
      </c>
      <c r="C80" s="258">
        <v>0</v>
      </c>
      <c r="D80" s="237">
        <v>0</v>
      </c>
      <c r="E80" s="288">
        <f t="shared" si="12"/>
        <v>2</v>
      </c>
      <c r="F80" s="242" t="s">
        <v>307</v>
      </c>
      <c r="G80" s="243">
        <v>0</v>
      </c>
      <c r="H80" s="330">
        <v>0</v>
      </c>
      <c r="I80" s="244">
        <v>13</v>
      </c>
      <c r="J80" s="245">
        <f t="shared" si="13"/>
        <v>13</v>
      </c>
    </row>
    <row r="81" spans="1:10" ht="14.95" thickBot="1" x14ac:dyDescent="0.3">
      <c r="A81" s="286" t="s">
        <v>802</v>
      </c>
      <c r="B81" s="207">
        <v>0</v>
      </c>
      <c r="C81" s="258">
        <v>0</v>
      </c>
      <c r="D81" s="237">
        <v>2</v>
      </c>
      <c r="E81" s="288">
        <f t="shared" si="12"/>
        <v>2</v>
      </c>
      <c r="F81" s="242" t="s">
        <v>1049</v>
      </c>
      <c r="G81" s="243">
        <v>0</v>
      </c>
      <c r="H81" s="330">
        <v>0</v>
      </c>
      <c r="I81" s="244">
        <v>10</v>
      </c>
      <c r="J81" s="245">
        <f t="shared" si="13"/>
        <v>10</v>
      </c>
    </row>
    <row r="82" spans="1:10" ht="14.95" thickBot="1" x14ac:dyDescent="0.3">
      <c r="A82" s="286" t="s">
        <v>751</v>
      </c>
      <c r="B82" s="207">
        <v>0</v>
      </c>
      <c r="C82" s="258">
        <v>0</v>
      </c>
      <c r="D82" s="237">
        <v>2</v>
      </c>
      <c r="E82" s="288">
        <f t="shared" si="12"/>
        <v>2</v>
      </c>
      <c r="F82" s="242" t="s">
        <v>537</v>
      </c>
      <c r="G82" s="243">
        <v>0</v>
      </c>
      <c r="H82" s="330">
        <v>10</v>
      </c>
      <c r="I82" s="244">
        <v>0</v>
      </c>
      <c r="J82" s="245">
        <f t="shared" si="13"/>
        <v>10</v>
      </c>
    </row>
    <row r="83" spans="1:10" ht="14.95" thickBot="1" x14ac:dyDescent="0.3">
      <c r="A83" s="286" t="s">
        <v>760</v>
      </c>
      <c r="B83" s="207">
        <v>2</v>
      </c>
      <c r="C83" s="258">
        <v>0</v>
      </c>
      <c r="D83" s="237">
        <v>0</v>
      </c>
      <c r="E83" s="288">
        <f t="shared" si="12"/>
        <v>2</v>
      </c>
      <c r="F83" s="242" t="s">
        <v>308</v>
      </c>
      <c r="G83" s="243">
        <v>10</v>
      </c>
      <c r="H83" s="330">
        <v>0</v>
      </c>
      <c r="I83" s="244">
        <v>0</v>
      </c>
      <c r="J83" s="245">
        <f t="shared" si="13"/>
        <v>10</v>
      </c>
    </row>
    <row r="84" spans="1:10" ht="14.95" thickBot="1" x14ac:dyDescent="0.3">
      <c r="A84" s="286" t="s">
        <v>733</v>
      </c>
      <c r="B84" s="207">
        <v>0</v>
      </c>
      <c r="C84" s="258">
        <v>1</v>
      </c>
      <c r="D84" s="237">
        <v>1</v>
      </c>
      <c r="E84" s="288">
        <f t="shared" si="12"/>
        <v>2</v>
      </c>
      <c r="F84" s="242" t="s">
        <v>802</v>
      </c>
      <c r="G84" s="243">
        <v>0</v>
      </c>
      <c r="H84" s="330">
        <v>0</v>
      </c>
      <c r="I84" s="244">
        <v>10</v>
      </c>
      <c r="J84" s="245">
        <f t="shared" si="13"/>
        <v>10</v>
      </c>
    </row>
    <row r="85" spans="1:10" ht="14.95" thickBot="1" x14ac:dyDescent="0.3">
      <c r="A85" s="286" t="s">
        <v>303</v>
      </c>
      <c r="B85" s="207">
        <v>1</v>
      </c>
      <c r="C85" s="258">
        <v>0</v>
      </c>
      <c r="D85" s="237">
        <v>1</v>
      </c>
      <c r="E85" s="288">
        <f t="shared" si="12"/>
        <v>2</v>
      </c>
      <c r="F85" s="242" t="s">
        <v>751</v>
      </c>
      <c r="G85" s="243">
        <v>0</v>
      </c>
      <c r="H85" s="330">
        <v>0</v>
      </c>
      <c r="I85" s="244">
        <v>10</v>
      </c>
      <c r="J85" s="245">
        <f t="shared" si="13"/>
        <v>10</v>
      </c>
    </row>
    <row r="86" spans="1:10" ht="14.95" thickBot="1" x14ac:dyDescent="0.3">
      <c r="A86" s="286" t="s">
        <v>1075</v>
      </c>
      <c r="B86" s="207">
        <v>0</v>
      </c>
      <c r="C86" s="258">
        <v>0</v>
      </c>
      <c r="D86" s="237">
        <v>1</v>
      </c>
      <c r="E86" s="288">
        <f t="shared" si="12"/>
        <v>1</v>
      </c>
      <c r="F86" s="242" t="s">
        <v>760</v>
      </c>
      <c r="G86" s="243">
        <v>10</v>
      </c>
      <c r="H86" s="330">
        <v>0</v>
      </c>
      <c r="I86" s="244">
        <v>0</v>
      </c>
      <c r="J86" s="245">
        <f t="shared" si="13"/>
        <v>10</v>
      </c>
    </row>
    <row r="87" spans="1:10" ht="14.95" thickBot="1" x14ac:dyDescent="0.3">
      <c r="A87" s="286" t="s">
        <v>742</v>
      </c>
      <c r="B87" s="207">
        <v>1</v>
      </c>
      <c r="C87" s="258">
        <v>0</v>
      </c>
      <c r="D87" s="237">
        <v>0</v>
      </c>
      <c r="E87" s="288">
        <f t="shared" si="12"/>
        <v>1</v>
      </c>
      <c r="F87" s="242" t="s">
        <v>733</v>
      </c>
      <c r="G87" s="243">
        <v>0</v>
      </c>
      <c r="H87" s="330">
        <v>5</v>
      </c>
      <c r="I87" s="244">
        <v>5</v>
      </c>
      <c r="J87" s="245">
        <f t="shared" si="13"/>
        <v>10</v>
      </c>
    </row>
    <row r="88" spans="1:10" ht="14.95" thickBot="1" x14ac:dyDescent="0.3">
      <c r="A88" s="286" t="s">
        <v>61</v>
      </c>
      <c r="B88" s="207">
        <v>0</v>
      </c>
      <c r="C88" s="258">
        <v>0</v>
      </c>
      <c r="D88" s="237">
        <v>1</v>
      </c>
      <c r="E88" s="288">
        <f t="shared" si="12"/>
        <v>1</v>
      </c>
      <c r="F88" s="242" t="s">
        <v>303</v>
      </c>
      <c r="G88" s="243">
        <v>5</v>
      </c>
      <c r="H88" s="330">
        <v>0</v>
      </c>
      <c r="I88" s="244">
        <v>5</v>
      </c>
      <c r="J88" s="245">
        <f t="shared" si="13"/>
        <v>10</v>
      </c>
    </row>
    <row r="89" spans="1:10" ht="14.95" thickBot="1" x14ac:dyDescent="0.3">
      <c r="A89" s="286" t="s">
        <v>342</v>
      </c>
      <c r="B89" s="207">
        <v>0</v>
      </c>
      <c r="C89" s="258">
        <v>0</v>
      </c>
      <c r="D89" s="237">
        <v>1</v>
      </c>
      <c r="E89" s="288">
        <f t="shared" si="12"/>
        <v>1</v>
      </c>
      <c r="F89" s="242" t="s">
        <v>1075</v>
      </c>
      <c r="G89" s="243">
        <v>0</v>
      </c>
      <c r="H89" s="330">
        <v>0</v>
      </c>
      <c r="I89" s="244">
        <v>5</v>
      </c>
      <c r="J89" s="245">
        <f t="shared" si="13"/>
        <v>5</v>
      </c>
    </row>
    <row r="90" spans="1:10" ht="14.95" thickBot="1" x14ac:dyDescent="0.3">
      <c r="A90" s="286" t="s">
        <v>255</v>
      </c>
      <c r="B90" s="207">
        <v>1</v>
      </c>
      <c r="C90" s="258">
        <v>0</v>
      </c>
      <c r="D90" s="237">
        <v>0</v>
      </c>
      <c r="E90" s="288">
        <f t="shared" si="12"/>
        <v>1</v>
      </c>
      <c r="F90" s="242" t="s">
        <v>742</v>
      </c>
      <c r="G90" s="243">
        <v>5</v>
      </c>
      <c r="H90" s="330">
        <v>0</v>
      </c>
      <c r="I90" s="244">
        <v>0</v>
      </c>
      <c r="J90" s="245">
        <f t="shared" si="13"/>
        <v>5</v>
      </c>
    </row>
    <row r="91" spans="1:10" ht="14.95" thickBot="1" x14ac:dyDescent="0.3">
      <c r="A91" s="286" t="s">
        <v>1084</v>
      </c>
      <c r="B91" s="207">
        <v>0</v>
      </c>
      <c r="C91" s="258">
        <v>0</v>
      </c>
      <c r="D91" s="237">
        <v>1</v>
      </c>
      <c r="E91" s="288">
        <f t="shared" si="12"/>
        <v>1</v>
      </c>
      <c r="F91" s="242" t="s">
        <v>61</v>
      </c>
      <c r="G91" s="243">
        <v>0</v>
      </c>
      <c r="H91" s="330">
        <v>0</v>
      </c>
      <c r="I91" s="244">
        <v>5</v>
      </c>
      <c r="J91" s="245">
        <f t="shared" si="13"/>
        <v>5</v>
      </c>
    </row>
    <row r="92" spans="1:10" ht="14.95" thickBot="1" x14ac:dyDescent="0.3">
      <c r="A92" s="286" t="s">
        <v>1043</v>
      </c>
      <c r="B92" s="207">
        <v>0</v>
      </c>
      <c r="C92" s="258">
        <v>0</v>
      </c>
      <c r="D92" s="237">
        <v>1</v>
      </c>
      <c r="E92" s="288">
        <f t="shared" si="12"/>
        <v>1</v>
      </c>
      <c r="F92" s="242" t="s">
        <v>342</v>
      </c>
      <c r="G92" s="243">
        <v>0</v>
      </c>
      <c r="H92" s="330">
        <v>0</v>
      </c>
      <c r="I92" s="244">
        <v>5</v>
      </c>
      <c r="J92" s="245">
        <f t="shared" si="13"/>
        <v>5</v>
      </c>
    </row>
    <row r="93" spans="1:10" ht="14.95" thickBot="1" x14ac:dyDescent="0.3">
      <c r="A93" s="286" t="s">
        <v>307</v>
      </c>
      <c r="B93" s="207">
        <v>0</v>
      </c>
      <c r="C93" s="258">
        <v>0</v>
      </c>
      <c r="D93" s="237">
        <v>1</v>
      </c>
      <c r="E93" s="288">
        <f t="shared" ref="E93:E124" si="14">SUM(B93:D93)</f>
        <v>1</v>
      </c>
      <c r="F93" s="242" t="s">
        <v>255</v>
      </c>
      <c r="G93" s="243">
        <v>5</v>
      </c>
      <c r="H93" s="330">
        <v>0</v>
      </c>
      <c r="I93" s="244">
        <v>0</v>
      </c>
      <c r="J93" s="245">
        <f t="shared" ref="J93:J124" si="15">SUM(G93:I93)</f>
        <v>5</v>
      </c>
    </row>
    <row r="94" spans="1:10" ht="14.95" thickBot="1" x14ac:dyDescent="0.3">
      <c r="A94" s="286" t="s">
        <v>296</v>
      </c>
      <c r="B94" s="207">
        <v>1</v>
      </c>
      <c r="C94" s="258">
        <v>0</v>
      </c>
      <c r="D94" s="237">
        <v>0</v>
      </c>
      <c r="E94" s="288">
        <f t="shared" si="14"/>
        <v>1</v>
      </c>
      <c r="F94" s="242" t="s">
        <v>1084</v>
      </c>
      <c r="G94" s="243">
        <v>0</v>
      </c>
      <c r="H94" s="330">
        <v>0</v>
      </c>
      <c r="I94" s="244">
        <v>5</v>
      </c>
      <c r="J94" s="245">
        <f t="shared" si="15"/>
        <v>5</v>
      </c>
    </row>
    <row r="95" spans="1:10" ht="14.95" thickBot="1" x14ac:dyDescent="0.3">
      <c r="A95" s="286" t="s">
        <v>17</v>
      </c>
      <c r="B95" s="207">
        <v>0</v>
      </c>
      <c r="C95" s="258">
        <v>0</v>
      </c>
      <c r="D95" s="237">
        <v>1</v>
      </c>
      <c r="E95" s="288">
        <f t="shared" si="14"/>
        <v>1</v>
      </c>
      <c r="F95" s="242" t="s">
        <v>1043</v>
      </c>
      <c r="G95" s="243">
        <v>0</v>
      </c>
      <c r="H95" s="330">
        <v>0</v>
      </c>
      <c r="I95" s="244">
        <v>5</v>
      </c>
      <c r="J95" s="245">
        <f t="shared" si="15"/>
        <v>5</v>
      </c>
    </row>
    <row r="96" spans="1:10" ht="14.95" thickBot="1" x14ac:dyDescent="0.3">
      <c r="A96" s="286" t="s">
        <v>711</v>
      </c>
      <c r="B96" s="207">
        <v>0</v>
      </c>
      <c r="C96" s="258">
        <v>0</v>
      </c>
      <c r="D96" s="237">
        <v>1</v>
      </c>
      <c r="E96" s="288">
        <f t="shared" si="14"/>
        <v>1</v>
      </c>
      <c r="F96" s="242" t="s">
        <v>296</v>
      </c>
      <c r="G96" s="243">
        <v>5</v>
      </c>
      <c r="H96" s="330">
        <v>0</v>
      </c>
      <c r="I96" s="244">
        <v>0</v>
      </c>
      <c r="J96" s="245">
        <f t="shared" si="15"/>
        <v>5</v>
      </c>
    </row>
    <row r="97" spans="1:10" ht="14.95" thickBot="1" x14ac:dyDescent="0.3">
      <c r="A97" s="286" t="s">
        <v>900</v>
      </c>
      <c r="B97" s="207">
        <v>0</v>
      </c>
      <c r="C97" s="258">
        <v>0</v>
      </c>
      <c r="D97" s="237">
        <v>0</v>
      </c>
      <c r="E97" s="288">
        <f t="shared" si="14"/>
        <v>0</v>
      </c>
      <c r="F97" s="242" t="s">
        <v>17</v>
      </c>
      <c r="G97" s="243">
        <v>0</v>
      </c>
      <c r="H97" s="330">
        <v>0</v>
      </c>
      <c r="I97" s="244">
        <v>5</v>
      </c>
      <c r="J97" s="245">
        <f t="shared" si="15"/>
        <v>5</v>
      </c>
    </row>
    <row r="98" spans="1:10" ht="14.95" thickBot="1" x14ac:dyDescent="0.3">
      <c r="A98" s="286" t="s">
        <v>745</v>
      </c>
      <c r="B98" s="207">
        <v>0</v>
      </c>
      <c r="C98" s="258">
        <v>0</v>
      </c>
      <c r="D98" s="237">
        <v>0</v>
      </c>
      <c r="E98" s="288">
        <f t="shared" si="14"/>
        <v>0</v>
      </c>
      <c r="F98" s="242" t="s">
        <v>711</v>
      </c>
      <c r="G98" s="243">
        <v>0</v>
      </c>
      <c r="H98" s="330">
        <v>0</v>
      </c>
      <c r="I98" s="244">
        <v>5</v>
      </c>
      <c r="J98" s="245">
        <f t="shared" si="15"/>
        <v>5</v>
      </c>
    </row>
    <row r="99" spans="1:10" ht="14.95" thickBot="1" x14ac:dyDescent="0.3">
      <c r="A99" s="286" t="s">
        <v>306</v>
      </c>
      <c r="B99" s="207">
        <v>0</v>
      </c>
      <c r="C99" s="258">
        <v>0</v>
      </c>
      <c r="D99" s="237">
        <v>0</v>
      </c>
      <c r="E99" s="288">
        <f t="shared" si="14"/>
        <v>0</v>
      </c>
      <c r="F99" s="242" t="s">
        <v>900</v>
      </c>
      <c r="G99" s="243">
        <v>0</v>
      </c>
      <c r="H99" s="330">
        <v>0</v>
      </c>
      <c r="I99" s="244">
        <v>0</v>
      </c>
      <c r="J99" s="245">
        <f t="shared" si="15"/>
        <v>0</v>
      </c>
    </row>
    <row r="100" spans="1:10" ht="14.95" thickBot="1" x14ac:dyDescent="0.3">
      <c r="A100" s="286" t="s">
        <v>297</v>
      </c>
      <c r="B100" s="207">
        <v>0</v>
      </c>
      <c r="C100" s="258">
        <v>0</v>
      </c>
      <c r="D100" s="237">
        <v>0</v>
      </c>
      <c r="E100" s="288">
        <f t="shared" si="14"/>
        <v>0</v>
      </c>
      <c r="F100" s="242" t="s">
        <v>745</v>
      </c>
      <c r="G100" s="243">
        <v>0</v>
      </c>
      <c r="H100" s="330">
        <v>0</v>
      </c>
      <c r="I100" s="244">
        <v>0</v>
      </c>
      <c r="J100" s="245">
        <f t="shared" si="15"/>
        <v>0</v>
      </c>
    </row>
    <row r="101" spans="1:10" ht="14.95" thickBot="1" x14ac:dyDescent="0.3">
      <c r="A101" s="286" t="s">
        <v>756</v>
      </c>
      <c r="B101" s="207">
        <v>0</v>
      </c>
      <c r="C101" s="258">
        <v>0</v>
      </c>
      <c r="D101" s="237">
        <v>0</v>
      </c>
      <c r="E101" s="288">
        <f t="shared" si="14"/>
        <v>0</v>
      </c>
      <c r="F101" s="242" t="s">
        <v>306</v>
      </c>
      <c r="G101" s="243">
        <v>0</v>
      </c>
      <c r="H101" s="330">
        <v>0</v>
      </c>
      <c r="I101" s="244">
        <v>0</v>
      </c>
      <c r="J101" s="245">
        <f t="shared" si="15"/>
        <v>0</v>
      </c>
    </row>
    <row r="102" spans="1:10" ht="14.95" thickBot="1" x14ac:dyDescent="0.3">
      <c r="A102" s="286" t="s">
        <v>996</v>
      </c>
      <c r="B102" s="207">
        <v>0</v>
      </c>
      <c r="C102" s="258">
        <v>0</v>
      </c>
      <c r="D102" s="237">
        <v>0</v>
      </c>
      <c r="E102" s="288">
        <f t="shared" si="14"/>
        <v>0</v>
      </c>
      <c r="F102" s="242" t="s">
        <v>297</v>
      </c>
      <c r="G102" s="243">
        <v>0</v>
      </c>
      <c r="H102" s="330">
        <v>0</v>
      </c>
      <c r="I102" s="244">
        <v>0</v>
      </c>
      <c r="J102" s="245">
        <f t="shared" si="15"/>
        <v>0</v>
      </c>
    </row>
    <row r="103" spans="1:10" ht="14.95" thickBot="1" x14ac:dyDescent="0.3">
      <c r="A103" s="286" t="s">
        <v>292</v>
      </c>
      <c r="B103" s="207">
        <v>0</v>
      </c>
      <c r="C103" s="258">
        <v>0</v>
      </c>
      <c r="D103" s="237">
        <v>0</v>
      </c>
      <c r="E103" s="288">
        <f t="shared" si="14"/>
        <v>0</v>
      </c>
      <c r="F103" s="242" t="s">
        <v>756</v>
      </c>
      <c r="G103" s="243">
        <v>0</v>
      </c>
      <c r="H103" s="330">
        <v>0</v>
      </c>
      <c r="I103" s="244">
        <v>0</v>
      </c>
      <c r="J103" s="245">
        <f t="shared" si="15"/>
        <v>0</v>
      </c>
    </row>
    <row r="104" spans="1:10" ht="14.95" thickBot="1" x14ac:dyDescent="0.3">
      <c r="A104" s="286" t="s">
        <v>804</v>
      </c>
      <c r="B104" s="207">
        <v>0</v>
      </c>
      <c r="C104" s="258">
        <v>0</v>
      </c>
      <c r="D104" s="237">
        <v>0</v>
      </c>
      <c r="E104" s="288">
        <f t="shared" si="14"/>
        <v>0</v>
      </c>
      <c r="F104" s="242" t="s">
        <v>292</v>
      </c>
      <c r="G104" s="243">
        <v>0</v>
      </c>
      <c r="H104" s="330">
        <v>0</v>
      </c>
      <c r="I104" s="244">
        <v>0</v>
      </c>
      <c r="J104" s="245">
        <f t="shared" si="15"/>
        <v>0</v>
      </c>
    </row>
    <row r="105" spans="1:10" ht="14.95" thickBot="1" x14ac:dyDescent="0.3">
      <c r="A105" s="286" t="s">
        <v>899</v>
      </c>
      <c r="B105" s="207">
        <v>0</v>
      </c>
      <c r="C105" s="258">
        <v>0</v>
      </c>
      <c r="D105" s="237">
        <v>0</v>
      </c>
      <c r="E105" s="288">
        <f t="shared" si="14"/>
        <v>0</v>
      </c>
      <c r="F105" s="242" t="s">
        <v>804</v>
      </c>
      <c r="G105" s="243">
        <v>0</v>
      </c>
      <c r="H105" s="330">
        <v>0</v>
      </c>
      <c r="I105" s="244">
        <v>0</v>
      </c>
      <c r="J105" s="245">
        <f t="shared" si="15"/>
        <v>0</v>
      </c>
    </row>
    <row r="106" spans="1:10" ht="14.95" thickBot="1" x14ac:dyDescent="0.3">
      <c r="A106" s="286" t="s">
        <v>293</v>
      </c>
      <c r="B106" s="207">
        <v>0</v>
      </c>
      <c r="C106" s="258">
        <v>0</v>
      </c>
      <c r="D106" s="237">
        <v>0</v>
      </c>
      <c r="E106" s="288">
        <f t="shared" si="14"/>
        <v>0</v>
      </c>
      <c r="F106" s="242" t="s">
        <v>899</v>
      </c>
      <c r="G106" s="243">
        <v>0</v>
      </c>
      <c r="H106" s="330">
        <v>0</v>
      </c>
      <c r="I106" s="244">
        <v>0</v>
      </c>
      <c r="J106" s="245">
        <f t="shared" si="15"/>
        <v>0</v>
      </c>
    </row>
    <row r="107" spans="1:10" ht="14.95" thickBot="1" x14ac:dyDescent="0.3">
      <c r="A107" s="286" t="s">
        <v>737</v>
      </c>
      <c r="B107" s="207">
        <v>0</v>
      </c>
      <c r="C107" s="258">
        <v>0</v>
      </c>
      <c r="D107" s="237">
        <v>0</v>
      </c>
      <c r="E107" s="288">
        <f t="shared" si="14"/>
        <v>0</v>
      </c>
      <c r="F107" s="242" t="s">
        <v>293</v>
      </c>
      <c r="G107" s="243">
        <v>0</v>
      </c>
      <c r="H107" s="330">
        <v>0</v>
      </c>
      <c r="I107" s="244">
        <v>0</v>
      </c>
      <c r="J107" s="245">
        <f t="shared" si="15"/>
        <v>0</v>
      </c>
    </row>
    <row r="108" spans="1:10" ht="14.95" thickBot="1" x14ac:dyDescent="0.3">
      <c r="A108" s="286" t="s">
        <v>451</v>
      </c>
      <c r="B108" s="207">
        <v>0</v>
      </c>
      <c r="C108" s="258">
        <v>0</v>
      </c>
      <c r="D108" s="237">
        <v>0</v>
      </c>
      <c r="E108" s="288">
        <f t="shared" si="14"/>
        <v>0</v>
      </c>
      <c r="F108" s="242" t="s">
        <v>451</v>
      </c>
      <c r="G108" s="243">
        <v>0</v>
      </c>
      <c r="H108" s="330">
        <v>0</v>
      </c>
      <c r="I108" s="244">
        <v>0</v>
      </c>
      <c r="J108" s="245">
        <f t="shared" si="15"/>
        <v>0</v>
      </c>
    </row>
    <row r="109" spans="1:10" ht="14.95" thickBot="1" x14ac:dyDescent="0.3">
      <c r="A109" s="286" t="s">
        <v>750</v>
      </c>
      <c r="B109" s="207">
        <v>0</v>
      </c>
      <c r="C109" s="258">
        <v>0</v>
      </c>
      <c r="D109" s="237">
        <v>0</v>
      </c>
      <c r="E109" s="288">
        <f t="shared" si="14"/>
        <v>0</v>
      </c>
      <c r="F109" s="242" t="s">
        <v>750</v>
      </c>
      <c r="G109" s="243">
        <v>0</v>
      </c>
      <c r="H109" s="330">
        <v>0</v>
      </c>
      <c r="I109" s="244">
        <v>0</v>
      </c>
      <c r="J109" s="245">
        <f t="shared" si="15"/>
        <v>0</v>
      </c>
    </row>
    <row r="110" spans="1:10" ht="14.95" thickBot="1" x14ac:dyDescent="0.3">
      <c r="A110" s="286" t="s">
        <v>304</v>
      </c>
      <c r="B110" s="207">
        <v>0</v>
      </c>
      <c r="C110" s="258">
        <v>0</v>
      </c>
      <c r="D110" s="237">
        <v>0</v>
      </c>
      <c r="E110" s="288">
        <f t="shared" si="14"/>
        <v>0</v>
      </c>
      <c r="F110" s="242" t="s">
        <v>304</v>
      </c>
      <c r="G110" s="243">
        <v>0</v>
      </c>
      <c r="H110" s="330">
        <v>0</v>
      </c>
      <c r="I110" s="244">
        <v>0</v>
      </c>
      <c r="J110" s="245">
        <f t="shared" si="15"/>
        <v>0</v>
      </c>
    </row>
    <row r="111" spans="1:10" ht="14.95" thickBot="1" x14ac:dyDescent="0.3">
      <c r="A111" s="286" t="s">
        <v>813</v>
      </c>
      <c r="B111" s="207">
        <v>0</v>
      </c>
      <c r="C111" s="258">
        <v>0</v>
      </c>
      <c r="D111" s="237">
        <v>0</v>
      </c>
      <c r="E111" s="288">
        <f t="shared" si="14"/>
        <v>0</v>
      </c>
      <c r="F111" s="242" t="s">
        <v>813</v>
      </c>
      <c r="G111" s="243">
        <v>0</v>
      </c>
      <c r="H111" s="330">
        <v>0</v>
      </c>
      <c r="I111" s="244">
        <v>0</v>
      </c>
      <c r="J111" s="245">
        <f t="shared" si="15"/>
        <v>0</v>
      </c>
    </row>
    <row r="112" spans="1:10" ht="14.95" thickBot="1" x14ac:dyDescent="0.3">
      <c r="A112" s="286" t="s">
        <v>897</v>
      </c>
      <c r="B112" s="207">
        <v>0</v>
      </c>
      <c r="C112" s="258">
        <v>0</v>
      </c>
      <c r="D112" s="237">
        <v>0</v>
      </c>
      <c r="E112" s="288">
        <f t="shared" si="14"/>
        <v>0</v>
      </c>
      <c r="F112" s="242" t="s">
        <v>897</v>
      </c>
      <c r="G112" s="243">
        <v>0</v>
      </c>
      <c r="H112" s="330">
        <v>0</v>
      </c>
      <c r="I112" s="244">
        <v>0</v>
      </c>
      <c r="J112" s="245">
        <f t="shared" si="15"/>
        <v>0</v>
      </c>
    </row>
    <row r="113" spans="1:10" ht="16.3" customHeight="1" thickBot="1" x14ac:dyDescent="0.3">
      <c r="A113" s="286" t="s">
        <v>749</v>
      </c>
      <c r="B113" s="207">
        <v>0</v>
      </c>
      <c r="C113" s="258">
        <v>0</v>
      </c>
      <c r="D113" s="237">
        <v>0</v>
      </c>
      <c r="E113" s="288">
        <f t="shared" si="14"/>
        <v>0</v>
      </c>
      <c r="F113" s="242" t="s">
        <v>749</v>
      </c>
      <c r="G113" s="243">
        <v>0</v>
      </c>
      <c r="H113" s="330">
        <v>0</v>
      </c>
      <c r="I113" s="244">
        <v>0</v>
      </c>
      <c r="J113" s="245">
        <f t="shared" si="15"/>
        <v>0</v>
      </c>
    </row>
    <row r="114" spans="1:10" ht="14.95" thickBot="1" x14ac:dyDescent="0.3">
      <c r="A114" s="286" t="s">
        <v>842</v>
      </c>
      <c r="B114" s="207">
        <v>0</v>
      </c>
      <c r="C114" s="258">
        <v>0</v>
      </c>
      <c r="D114" s="237">
        <v>0</v>
      </c>
      <c r="E114" s="288">
        <f t="shared" si="14"/>
        <v>0</v>
      </c>
      <c r="F114" s="242" t="s">
        <v>842</v>
      </c>
      <c r="G114" s="243">
        <v>0</v>
      </c>
      <c r="H114" s="330">
        <v>0</v>
      </c>
      <c r="I114" s="244">
        <v>0</v>
      </c>
      <c r="J114" s="245">
        <f t="shared" si="15"/>
        <v>0</v>
      </c>
    </row>
    <row r="115" spans="1:10" ht="14.95" thickBot="1" x14ac:dyDescent="0.3">
      <c r="A115" s="286" t="s">
        <v>3</v>
      </c>
      <c r="B115" s="207">
        <f>SUM(B61:B114)</f>
        <v>60</v>
      </c>
      <c r="C115" s="258">
        <f>SUM(C61:C114)</f>
        <v>16</v>
      </c>
      <c r="D115" s="237">
        <f>SUM(D61:D114)</f>
        <v>41</v>
      </c>
      <c r="E115" s="288">
        <f t="shared" si="14"/>
        <v>117</v>
      </c>
      <c r="F115" s="242" t="s">
        <v>3</v>
      </c>
      <c r="G115" s="243">
        <f>SUM(G61:G114)</f>
        <v>415</v>
      </c>
      <c r="H115" s="330">
        <f>SUM(H61:H114)</f>
        <v>115</v>
      </c>
      <c r="I115" s="244">
        <f>SUM(I61:I114)</f>
        <v>264</v>
      </c>
      <c r="J115" s="245">
        <f t="shared" ref="J115" si="16">SUM(G115:I115)</f>
        <v>794</v>
      </c>
    </row>
    <row r="116" spans="1:10" x14ac:dyDescent="0.25">
      <c r="A116" s="447" t="s">
        <v>34</v>
      </c>
      <c r="B116" s="485"/>
      <c r="C116" s="485"/>
    </row>
  </sheetData>
  <sortState xmlns:xlrd2="http://schemas.microsoft.com/office/spreadsheetml/2017/richdata2" ref="F61:J114">
    <sortCondition descending="1" ref="J61:J114"/>
  </sortState>
  <mergeCells count="62">
    <mergeCell ref="A116:C116"/>
    <mergeCell ref="AZ19:BB20"/>
    <mergeCell ref="AN28:AP29"/>
    <mergeCell ref="AQ28:AS29"/>
    <mergeCell ref="AT28:AV29"/>
    <mergeCell ref="U28:W29"/>
    <mergeCell ref="AW19:AY20"/>
    <mergeCell ref="AQ19:AS20"/>
    <mergeCell ref="AT19:AV20"/>
    <mergeCell ref="AH19:AJ20"/>
    <mergeCell ref="K38:Y38"/>
    <mergeCell ref="K37:W37"/>
    <mergeCell ref="AE19:AG20"/>
    <mergeCell ref="AE28:AG29"/>
    <mergeCell ref="O28:Q29"/>
    <mergeCell ref="K36:AS36"/>
    <mergeCell ref="AK28:AM29"/>
    <mergeCell ref="AB28:AD29"/>
    <mergeCell ref="AN19:AP20"/>
    <mergeCell ref="O19:Q20"/>
    <mergeCell ref="AK10:AM11"/>
    <mergeCell ref="U10:W11"/>
    <mergeCell ref="AB19:AD20"/>
    <mergeCell ref="AH28:AJ29"/>
    <mergeCell ref="AK19:AM20"/>
    <mergeCell ref="A1:J1"/>
    <mergeCell ref="K1:K2"/>
    <mergeCell ref="L1:N2"/>
    <mergeCell ref="K28:K29"/>
    <mergeCell ref="L28:N29"/>
    <mergeCell ref="K19:K20"/>
    <mergeCell ref="L19:N20"/>
    <mergeCell ref="K27:V27"/>
    <mergeCell ref="R19:T20"/>
    <mergeCell ref="U19:W20"/>
    <mergeCell ref="R28:T29"/>
    <mergeCell ref="O1:Q2"/>
    <mergeCell ref="K10:K11"/>
    <mergeCell ref="L10:N11"/>
    <mergeCell ref="O10:Q11"/>
    <mergeCell ref="R1:S2"/>
    <mergeCell ref="AN1:AP2"/>
    <mergeCell ref="AH10:AJ11"/>
    <mergeCell ref="BF1:BH2"/>
    <mergeCell ref="AW10:AY11"/>
    <mergeCell ref="AW1:AY2"/>
    <mergeCell ref="AZ1:BB2"/>
    <mergeCell ref="AN10:AP11"/>
    <mergeCell ref="AT1:AV2"/>
    <mergeCell ref="AQ10:AS11"/>
    <mergeCell ref="AT10:AV11"/>
    <mergeCell ref="BC1:BE2"/>
    <mergeCell ref="AQ1:AS2"/>
    <mergeCell ref="T1:V2"/>
    <mergeCell ref="AK1:AM2"/>
    <mergeCell ref="AH1:AJ2"/>
    <mergeCell ref="AE10:AG11"/>
    <mergeCell ref="AE1:AG2"/>
    <mergeCell ref="W1:Y2"/>
    <mergeCell ref="AB1:AD2"/>
    <mergeCell ref="AB10:AD11"/>
    <mergeCell ref="R10:T11"/>
  </mergeCells>
  <pageMargins left="0.7" right="0.7" top="0.75" bottom="0.75" header="0.3" footer="0.3"/>
  <pageSetup paperSize="9" orientation="portrait" horizontalDpi="0" verticalDpi="0" r:id="rId1"/>
  <ignoredErrors>
    <ignoredError sqref="J35 E35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1:K640"/>
  <sheetViews>
    <sheetView tabSelected="1" topLeftCell="A453" workbookViewId="0">
      <selection activeCell="F474" sqref="F474"/>
    </sheetView>
  </sheetViews>
  <sheetFormatPr defaultColWidth="8.875" defaultRowHeight="14.3" x14ac:dyDescent="0.25"/>
  <cols>
    <col min="1" max="1" width="21.375" bestFit="1" customWidth="1"/>
    <col min="2" max="2" width="5.125" bestFit="1" customWidth="1"/>
    <col min="3" max="3" width="5.75" customWidth="1"/>
    <col min="4" max="4" width="21.375" bestFit="1" customWidth="1"/>
    <col min="5" max="5" width="5.125" bestFit="1" customWidth="1"/>
    <col min="6" max="6" width="5.75" customWidth="1"/>
    <col min="7" max="7" width="18.5" bestFit="1" customWidth="1"/>
    <col min="8" max="8" width="5.125" bestFit="1" customWidth="1"/>
    <col min="9" max="9" width="5.75" customWidth="1"/>
    <col min="10" max="10" width="5.25" customWidth="1"/>
    <col min="11" max="11" width="5.75" customWidth="1"/>
  </cols>
  <sheetData>
    <row r="1" spans="1:11" x14ac:dyDescent="0.25">
      <c r="A1" s="416" t="s">
        <v>953</v>
      </c>
    </row>
    <row r="2" spans="1:11" ht="14.95" customHeight="1" thickBot="1" x14ac:dyDescent="0.3">
      <c r="A2" s="358" t="s">
        <v>1126</v>
      </c>
    </row>
    <row r="3" spans="1:11" ht="14.95" customHeight="1" thickBot="1" x14ac:dyDescent="0.3">
      <c r="A3" s="31" t="s">
        <v>26</v>
      </c>
      <c r="B3" s="116"/>
      <c r="C3" s="11"/>
      <c r="D3" s="27" t="s">
        <v>8</v>
      </c>
      <c r="E3" s="27"/>
      <c r="F3" s="24"/>
      <c r="G3" s="557" t="s">
        <v>35</v>
      </c>
      <c r="H3" s="558"/>
      <c r="I3" s="28" t="s">
        <v>46</v>
      </c>
      <c r="J3" s="28" t="s">
        <v>9</v>
      </c>
      <c r="K3" s="29" t="s">
        <v>10</v>
      </c>
    </row>
    <row r="4" spans="1:11" ht="14.95" customHeight="1" thickBot="1" x14ac:dyDescent="0.3">
      <c r="A4" s="61" t="s">
        <v>995</v>
      </c>
      <c r="B4" s="61" t="s">
        <v>309</v>
      </c>
      <c r="C4" s="9">
        <f>Caluorisartries</f>
        <v>12</v>
      </c>
      <c r="D4" s="2" t="s">
        <v>132</v>
      </c>
      <c r="E4" s="2" t="s">
        <v>88</v>
      </c>
      <c r="F4" s="19">
        <f>Sladeexepts</f>
        <v>121</v>
      </c>
      <c r="G4" s="32" t="s">
        <v>140</v>
      </c>
      <c r="H4" s="30" t="s">
        <v>87</v>
      </c>
      <c r="I4" s="194">
        <f>Smithhargls</f>
        <v>23</v>
      </c>
      <c r="J4" s="194">
        <f>smithharatt</f>
        <v>27</v>
      </c>
      <c r="K4" s="352">
        <f t="shared" ref="K4:K35" si="0">SUM(I4/J4)*100</f>
        <v>85.18518518518519</v>
      </c>
    </row>
    <row r="5" spans="1:11" ht="14.95" customHeight="1" thickBot="1" x14ac:dyDescent="0.3">
      <c r="A5" s="61" t="s">
        <v>276</v>
      </c>
      <c r="B5" s="61" t="s">
        <v>82</v>
      </c>
      <c r="C5" s="9">
        <f>Freemannortries</f>
        <v>10</v>
      </c>
      <c r="D5" s="2" t="s">
        <v>997</v>
      </c>
      <c r="E5" s="2" t="s">
        <v>309</v>
      </c>
      <c r="F5" s="19">
        <f>Farrellsarptssecondspell</f>
        <v>96</v>
      </c>
      <c r="G5" s="30" t="s">
        <v>715</v>
      </c>
      <c r="H5" s="30" t="s">
        <v>90</v>
      </c>
      <c r="I5" s="192">
        <f>worsleybrigls</f>
        <v>20</v>
      </c>
      <c r="J5" s="194">
        <f>worsleybriatt</f>
        <v>24</v>
      </c>
      <c r="K5" s="352">
        <f t="shared" si="0"/>
        <v>83.333333333333343</v>
      </c>
    </row>
    <row r="6" spans="1:11" ht="14.95" customHeight="1" thickBot="1" x14ac:dyDescent="0.3">
      <c r="A6" s="61" t="s">
        <v>970</v>
      </c>
      <c r="B6" s="61" t="s">
        <v>81</v>
      </c>
      <c r="C6" s="9">
        <f>Baileybthtries</f>
        <v>8</v>
      </c>
      <c r="D6" s="2" t="s">
        <v>959</v>
      </c>
      <c r="E6" s="2" t="s">
        <v>527</v>
      </c>
      <c r="F6" s="19">
        <f>RogersonLEIpts</f>
        <v>92</v>
      </c>
      <c r="G6" s="30" t="s">
        <v>959</v>
      </c>
      <c r="H6" s="30" t="s">
        <v>527</v>
      </c>
      <c r="I6" s="192">
        <f>Searleleigls</f>
        <v>37</v>
      </c>
      <c r="J6" s="194">
        <f>searleleiatt</f>
        <v>45</v>
      </c>
      <c r="K6" s="352">
        <f t="shared" si="0"/>
        <v>82.222222222222214</v>
      </c>
    </row>
    <row r="7" spans="1:11" ht="14.95" customHeight="1" thickBot="1" x14ac:dyDescent="0.3">
      <c r="A7" s="61" t="s">
        <v>455</v>
      </c>
      <c r="B7" s="61" t="s">
        <v>88</v>
      </c>
      <c r="C7" s="48">
        <f>Feyi_Wabosoexetries</f>
        <v>8</v>
      </c>
      <c r="D7" s="2" t="s">
        <v>507</v>
      </c>
      <c r="E7" s="2" t="s">
        <v>81</v>
      </c>
      <c r="F7" s="19">
        <f>Russellbthpts</f>
        <v>85</v>
      </c>
      <c r="G7" s="30" t="s">
        <v>937</v>
      </c>
      <c r="H7" s="30" t="s">
        <v>82</v>
      </c>
      <c r="I7" s="192">
        <f>belleaunorgls</f>
        <v>23</v>
      </c>
      <c r="J7" s="194">
        <f>belleaunoratt</f>
        <v>28</v>
      </c>
      <c r="K7" s="352">
        <f t="shared" si="0"/>
        <v>82.142857142857139</v>
      </c>
    </row>
    <row r="8" spans="1:11" ht="14.95" customHeight="1" thickBot="1" x14ac:dyDescent="0.3">
      <c r="A8" s="10" t="s">
        <v>598</v>
      </c>
      <c r="B8" s="10" t="s">
        <v>90</v>
      </c>
      <c r="C8" s="9">
        <f>Ravouvoufijtries</f>
        <v>8</v>
      </c>
      <c r="D8" s="2" t="s">
        <v>468</v>
      </c>
      <c r="E8" s="2" t="s">
        <v>80</v>
      </c>
      <c r="F8" s="19">
        <f>Fordgeorgesalpts</f>
        <v>84</v>
      </c>
      <c r="G8" s="30" t="s">
        <v>98</v>
      </c>
      <c r="H8" s="30" t="s">
        <v>81</v>
      </c>
      <c r="I8" s="192">
        <f>spcncerbthgls</f>
        <v>9</v>
      </c>
      <c r="J8" s="194">
        <f>spencerbthatt</f>
        <v>11</v>
      </c>
      <c r="K8" s="352">
        <f t="shared" si="0"/>
        <v>81.818181818181827</v>
      </c>
    </row>
    <row r="9" spans="1:11" ht="14.95" customHeight="1" thickBot="1" x14ac:dyDescent="0.3">
      <c r="A9" s="61" t="s">
        <v>125</v>
      </c>
      <c r="B9" s="61" t="s">
        <v>80</v>
      </c>
      <c r="C9" s="9">
        <f>Neildsaltries</f>
        <v>7</v>
      </c>
      <c r="D9" s="2" t="s">
        <v>283</v>
      </c>
      <c r="E9" s="2" t="s">
        <v>82</v>
      </c>
      <c r="F9" s="19">
        <f>Tonksnorpts</f>
        <v>70</v>
      </c>
      <c r="G9" s="30" t="s">
        <v>507</v>
      </c>
      <c r="H9" s="30" t="s">
        <v>81</v>
      </c>
      <c r="I9" s="192">
        <f>Searlebthgls</f>
        <v>37</v>
      </c>
      <c r="J9" s="194">
        <f>searlebthatt</f>
        <v>46</v>
      </c>
      <c r="K9" s="352">
        <f t="shared" si="0"/>
        <v>80.434782608695656</v>
      </c>
    </row>
    <row r="10" spans="1:11" ht="14.95" customHeight="1" thickBot="1" x14ac:dyDescent="0.3">
      <c r="A10" s="61" t="s">
        <v>531</v>
      </c>
      <c r="B10" s="61" t="s">
        <v>90</v>
      </c>
      <c r="C10" s="9">
        <f>Oghrebritries</f>
        <v>7</v>
      </c>
      <c r="D10" s="2" t="s">
        <v>140</v>
      </c>
      <c r="E10" s="2" t="s">
        <v>87</v>
      </c>
      <c r="F10" s="19">
        <f>Smithharpts</f>
        <v>70</v>
      </c>
      <c r="G10" s="429" t="s">
        <v>248</v>
      </c>
      <c r="H10" s="30" t="s">
        <v>889</v>
      </c>
      <c r="I10" s="194">
        <f>Hodgsoncharliegoals</f>
        <v>26</v>
      </c>
      <c r="J10" s="194">
        <f>hodgsoncharlieatt</f>
        <v>33</v>
      </c>
      <c r="K10" s="352">
        <f t="shared" si="0"/>
        <v>78.787878787878782</v>
      </c>
    </row>
    <row r="11" spans="1:11" ht="14.95" customHeight="1" thickBot="1" x14ac:dyDescent="0.3">
      <c r="A11" s="61" t="s">
        <v>999</v>
      </c>
      <c r="B11" s="61" t="s">
        <v>82</v>
      </c>
      <c r="C11" s="9">
        <f>Todaronortries</f>
        <v>7</v>
      </c>
      <c r="D11" s="2" t="s">
        <v>248</v>
      </c>
      <c r="E11" s="2" t="s">
        <v>889</v>
      </c>
      <c r="F11" s="19">
        <f>Connonnewptscorrectthisone</f>
        <v>61</v>
      </c>
      <c r="G11" s="216" t="s">
        <v>468</v>
      </c>
      <c r="H11" s="30" t="s">
        <v>80</v>
      </c>
      <c r="I11" s="192">
        <f>fordsalgls</f>
        <v>35</v>
      </c>
      <c r="J11" s="194">
        <f>fordsalatt</f>
        <v>45</v>
      </c>
      <c r="K11" s="352">
        <f t="shared" si="0"/>
        <v>77.777777777777786</v>
      </c>
    </row>
    <row r="12" spans="1:11" ht="14.95" customHeight="1" thickBot="1" x14ac:dyDescent="0.3">
      <c r="A12" s="61" t="s">
        <v>162</v>
      </c>
      <c r="B12" s="61" t="s">
        <v>82</v>
      </c>
      <c r="C12" s="9">
        <f>Colesnortries</f>
        <v>6</v>
      </c>
      <c r="D12" s="2" t="s">
        <v>937</v>
      </c>
      <c r="E12" s="2" t="s">
        <v>82</v>
      </c>
      <c r="F12" s="19">
        <f>Braleynorptscorrect</f>
        <v>60</v>
      </c>
      <c r="G12" s="216" t="s">
        <v>132</v>
      </c>
      <c r="H12" s="30" t="s">
        <v>88</v>
      </c>
      <c r="I12" s="192">
        <f>sladegoals</f>
        <v>41</v>
      </c>
      <c r="J12" s="194">
        <f>sladeatt</f>
        <v>53</v>
      </c>
      <c r="K12" s="352">
        <f t="shared" si="0"/>
        <v>77.358490566037744</v>
      </c>
    </row>
    <row r="13" spans="1:11" ht="14.95" customHeight="1" thickBot="1" x14ac:dyDescent="0.3">
      <c r="A13" s="61" t="s">
        <v>818</v>
      </c>
      <c r="B13" s="61" t="s">
        <v>82</v>
      </c>
      <c r="C13" s="6">
        <f>PearsonNOR_tries</f>
        <v>6</v>
      </c>
      <c r="D13" s="2" t="s">
        <v>995</v>
      </c>
      <c r="E13" s="2" t="s">
        <v>309</v>
      </c>
      <c r="F13" s="19">
        <f>Caluorisarpts</f>
        <v>60</v>
      </c>
      <c r="G13" s="30" t="s">
        <v>880</v>
      </c>
      <c r="H13" s="30" t="s">
        <v>79</v>
      </c>
      <c r="I13" s="192">
        <f>chapmanglogls</f>
        <v>23</v>
      </c>
      <c r="J13" s="194">
        <f>chapmangloatt</f>
        <v>31</v>
      </c>
      <c r="K13" s="352">
        <f t="shared" si="0"/>
        <v>74.193548387096769</v>
      </c>
    </row>
    <row r="14" spans="1:11" ht="14.95" customHeight="1" thickBot="1" x14ac:dyDescent="0.3">
      <c r="A14" s="10" t="s">
        <v>249</v>
      </c>
      <c r="B14" s="10" t="s">
        <v>527</v>
      </c>
      <c r="C14" s="9">
        <f>Radwanleitries</f>
        <v>6</v>
      </c>
      <c r="D14" s="2" t="s">
        <v>276</v>
      </c>
      <c r="E14" s="2" t="s">
        <v>82</v>
      </c>
      <c r="F14" s="19">
        <f>Freemannorpts</f>
        <v>50</v>
      </c>
      <c r="G14" s="30" t="s">
        <v>508</v>
      </c>
      <c r="H14" s="30" t="s">
        <v>87</v>
      </c>
      <c r="I14" s="192">
        <f>Marchanthargls</f>
        <v>8</v>
      </c>
      <c r="J14" s="194">
        <f>marchantharatt</f>
        <v>11</v>
      </c>
      <c r="K14" s="352">
        <f t="shared" si="0"/>
        <v>72.727272727272734</v>
      </c>
    </row>
    <row r="15" spans="1:11" ht="14.95" customHeight="1" thickBot="1" x14ac:dyDescent="0.3">
      <c r="A15" s="10" t="s">
        <v>177</v>
      </c>
      <c r="B15" s="10" t="s">
        <v>80</v>
      </c>
      <c r="C15" s="9">
        <f>Roebucksaltries</f>
        <v>6</v>
      </c>
      <c r="D15" s="2" t="s">
        <v>715</v>
      </c>
      <c r="E15" s="2" t="s">
        <v>90</v>
      </c>
      <c r="F15" s="19">
        <f>Worsleybripts</f>
        <v>49</v>
      </c>
      <c r="G15" s="30" t="s">
        <v>997</v>
      </c>
      <c r="H15" s="30" t="s">
        <v>309</v>
      </c>
      <c r="I15" s="192">
        <f>Farrellsarglssecondspell</f>
        <v>43</v>
      </c>
      <c r="J15" s="194">
        <f>Farrellsarattsecondspell</f>
        <v>60</v>
      </c>
      <c r="K15" s="352">
        <f t="shared" si="0"/>
        <v>71.666666666666671</v>
      </c>
    </row>
    <row r="16" spans="1:11" ht="14.95" customHeight="1" thickBot="1" x14ac:dyDescent="0.3">
      <c r="A16" s="61" t="s">
        <v>132</v>
      </c>
      <c r="B16" s="61" t="s">
        <v>88</v>
      </c>
      <c r="C16" s="9">
        <f>Sladeexetries</f>
        <v>6</v>
      </c>
      <c r="D16" s="17" t="s">
        <v>880</v>
      </c>
      <c r="E16" s="2" t="s">
        <v>79</v>
      </c>
      <c r="F16" s="19">
        <f>Byrneglopts</f>
        <v>48</v>
      </c>
      <c r="G16" s="30" t="s">
        <v>283</v>
      </c>
      <c r="H16" s="30" t="s">
        <v>82</v>
      </c>
      <c r="I16" s="192">
        <f>Smithnorgls</f>
        <v>29</v>
      </c>
      <c r="J16" s="194">
        <f>smithnoratt</f>
        <v>41</v>
      </c>
      <c r="K16" s="352">
        <f t="shared" si="0"/>
        <v>70.731707317073173</v>
      </c>
    </row>
    <row r="17" spans="1:11" ht="14.95" customHeight="1" thickBot="1" x14ac:dyDescent="0.3">
      <c r="A17" s="61" t="s">
        <v>511</v>
      </c>
      <c r="B17" s="61" t="s">
        <v>88</v>
      </c>
      <c r="C17" s="48">
        <f>FisilauEXEtries</f>
        <v>5</v>
      </c>
      <c r="D17" s="2" t="s">
        <v>970</v>
      </c>
      <c r="E17" s="2" t="s">
        <v>81</v>
      </c>
      <c r="F17" s="19">
        <f>Baileybthpts</f>
        <v>40</v>
      </c>
      <c r="G17" s="30" t="s">
        <v>983</v>
      </c>
      <c r="H17" s="30" t="s">
        <v>527</v>
      </c>
      <c r="I17" s="192">
        <f>Shillcockleicgls</f>
        <v>8</v>
      </c>
      <c r="J17" s="194">
        <f>shillcockleicatt</f>
        <v>12</v>
      </c>
      <c r="K17" s="352">
        <f t="shared" si="0"/>
        <v>66.666666666666657</v>
      </c>
    </row>
    <row r="18" spans="1:11" ht="14.95" customHeight="1" thickBot="1" x14ac:dyDescent="0.3">
      <c r="A18" s="61" t="s">
        <v>338</v>
      </c>
      <c r="B18" s="61" t="s">
        <v>81</v>
      </c>
      <c r="C18" s="9">
        <f>Garveymatttries</f>
        <v>5</v>
      </c>
      <c r="D18" s="2" t="s">
        <v>455</v>
      </c>
      <c r="E18" s="2" t="s">
        <v>88</v>
      </c>
      <c r="F18" s="19">
        <f>Feyi_Wabosoexepts</f>
        <v>40</v>
      </c>
      <c r="G18" s="32" t="s">
        <v>267</v>
      </c>
      <c r="H18" s="30" t="s">
        <v>81</v>
      </c>
      <c r="I18" s="192">
        <f>Baileybthgls</f>
        <v>8</v>
      </c>
      <c r="J18" s="194">
        <f>baileybthatt</f>
        <v>13</v>
      </c>
      <c r="K18" s="352">
        <f t="shared" si="0"/>
        <v>61.53846153846154</v>
      </c>
    </row>
    <row r="19" spans="1:11" ht="14.95" customHeight="1" thickBot="1" x14ac:dyDescent="0.3">
      <c r="A19" s="61" t="s">
        <v>524</v>
      </c>
      <c r="B19" s="61" t="s">
        <v>309</v>
      </c>
      <c r="C19" s="9">
        <f>Gonzalezsartries</f>
        <v>5</v>
      </c>
      <c r="D19" s="17" t="s">
        <v>598</v>
      </c>
      <c r="E19" s="17" t="s">
        <v>90</v>
      </c>
      <c r="F19" s="19">
        <f>Ravouvoubripts</f>
        <v>40</v>
      </c>
      <c r="G19" s="32" t="s">
        <v>1002</v>
      </c>
      <c r="H19" s="30" t="s">
        <v>90</v>
      </c>
      <c r="I19" s="194">
        <f>Jordanbrigls</f>
        <v>14</v>
      </c>
      <c r="J19" s="194">
        <f>jordanbriatt</f>
        <v>24</v>
      </c>
      <c r="K19" s="352">
        <f t="shared" si="0"/>
        <v>58.333333333333336</v>
      </c>
    </row>
    <row r="20" spans="1:11" ht="14.95" customHeight="1" thickBot="1" x14ac:dyDescent="0.3">
      <c r="A20" s="61" t="s">
        <v>285</v>
      </c>
      <c r="B20" s="61" t="s">
        <v>90</v>
      </c>
      <c r="C20" s="9">
        <f>Hardingbritries</f>
        <v>5</v>
      </c>
      <c r="D20" s="2" t="s">
        <v>1002</v>
      </c>
      <c r="E20" s="2" t="s">
        <v>90</v>
      </c>
      <c r="F20" s="19">
        <f>JordanBRIPTS</f>
        <v>36</v>
      </c>
      <c r="G20" s="30" t="s">
        <v>204</v>
      </c>
      <c r="H20" s="30" t="s">
        <v>81</v>
      </c>
      <c r="I20" s="192">
        <f>de_Glanvillebthgls</f>
        <v>1</v>
      </c>
      <c r="J20" s="417">
        <f>deglanvillebthatt</f>
        <v>1</v>
      </c>
      <c r="K20" s="352">
        <f t="shared" si="0"/>
        <v>100</v>
      </c>
    </row>
    <row r="21" spans="1:11" ht="14.95" customHeight="1" thickBot="1" x14ac:dyDescent="0.3">
      <c r="A21" s="12" t="s">
        <v>1007</v>
      </c>
      <c r="B21" s="12" t="s">
        <v>79</v>
      </c>
      <c r="C21" s="6">
        <f>Josephglotries</f>
        <v>5</v>
      </c>
      <c r="D21" s="2" t="s">
        <v>125</v>
      </c>
      <c r="E21" s="2" t="s">
        <v>80</v>
      </c>
      <c r="F21" s="19">
        <f>Neildsalpts</f>
        <v>35</v>
      </c>
      <c r="G21" s="30" t="s">
        <v>1123</v>
      </c>
      <c r="H21" s="30" t="s">
        <v>889</v>
      </c>
      <c r="I21" s="192">
        <f>Healynrbgls</f>
        <v>1</v>
      </c>
      <c r="J21" s="417">
        <f>Healynrbat</f>
        <v>1</v>
      </c>
      <c r="K21" s="352">
        <f t="shared" si="0"/>
        <v>100</v>
      </c>
    </row>
    <row r="22" spans="1:11" ht="14.95" customHeight="1" thickBot="1" x14ac:dyDescent="0.3">
      <c r="A22" s="61" t="s">
        <v>351</v>
      </c>
      <c r="B22" s="61" t="s">
        <v>82</v>
      </c>
      <c r="C22" s="9">
        <f>Litchfieldnortries</f>
        <v>5</v>
      </c>
      <c r="D22" s="2" t="s">
        <v>531</v>
      </c>
      <c r="E22" s="2" t="s">
        <v>90</v>
      </c>
      <c r="F22" s="19">
        <f>Oghrebripts</f>
        <v>35</v>
      </c>
      <c r="G22" s="30" t="s">
        <v>213</v>
      </c>
      <c r="H22" s="30" t="s">
        <v>88</v>
      </c>
      <c r="I22" s="192">
        <f>Hodgeexegls</f>
        <v>1</v>
      </c>
      <c r="J22" s="417">
        <f>Hodgeexeatt</f>
        <v>1</v>
      </c>
      <c r="K22" s="352">
        <f t="shared" si="0"/>
        <v>100</v>
      </c>
    </row>
    <row r="23" spans="1:11" ht="14.95" customHeight="1" thickBot="1" x14ac:dyDescent="0.3">
      <c r="A23" s="61" t="s">
        <v>525</v>
      </c>
      <c r="B23" s="61" t="s">
        <v>309</v>
      </c>
      <c r="C23" s="9">
        <f>Malinssartries2ndspell</f>
        <v>5</v>
      </c>
      <c r="D23" s="2" t="s">
        <v>999</v>
      </c>
      <c r="E23" s="2" t="s">
        <v>82</v>
      </c>
      <c r="F23" s="19">
        <f>Todaronorpts</f>
        <v>35</v>
      </c>
      <c r="G23" s="30" t="s">
        <v>114</v>
      </c>
      <c r="H23" s="30" t="s">
        <v>82</v>
      </c>
      <c r="I23" s="192">
        <f>hutchinsonnorgls</f>
        <v>1</v>
      </c>
      <c r="J23" s="417">
        <f>hutchinsonnoratt</f>
        <v>1</v>
      </c>
      <c r="K23" s="352">
        <f t="shared" si="0"/>
        <v>100</v>
      </c>
    </row>
    <row r="24" spans="1:11" ht="14.95" customHeight="1" thickBot="1" x14ac:dyDescent="0.3">
      <c r="A24" s="61" t="s">
        <v>785</v>
      </c>
      <c r="B24" s="61" t="s">
        <v>90</v>
      </c>
      <c r="C24" s="9">
        <f>MarmionBRItries</f>
        <v>5</v>
      </c>
      <c r="D24" s="2" t="s">
        <v>152</v>
      </c>
      <c r="E24" s="2" t="s">
        <v>80</v>
      </c>
      <c r="F24" s="19">
        <f>du_Preez_Rsalpts</f>
        <v>31</v>
      </c>
      <c r="G24" s="30" t="s">
        <v>122</v>
      </c>
      <c r="H24" s="30" t="s">
        <v>90</v>
      </c>
      <c r="I24" s="192">
        <f>MacGintybrigls</f>
        <v>1</v>
      </c>
      <c r="J24" s="417">
        <f>macgintybriatt</f>
        <v>1</v>
      </c>
      <c r="K24" s="352">
        <f t="shared" si="0"/>
        <v>100</v>
      </c>
    </row>
    <row r="25" spans="1:11" ht="14.95" customHeight="1" thickBot="1" x14ac:dyDescent="0.3">
      <c r="A25" s="61" t="s">
        <v>754</v>
      </c>
      <c r="B25" s="61" t="s">
        <v>82</v>
      </c>
      <c r="C25" s="9">
        <f>McParlandNORtries</f>
        <v>5</v>
      </c>
      <c r="D25" s="2" t="s">
        <v>162</v>
      </c>
      <c r="E25" s="2" t="s">
        <v>82</v>
      </c>
      <c r="F25" s="19">
        <f>Colesnorpts</f>
        <v>30</v>
      </c>
      <c r="G25" s="30" t="s">
        <v>346</v>
      </c>
      <c r="H25" s="30" t="s">
        <v>87</v>
      </c>
      <c r="I25" s="192">
        <f>bensonhargls</f>
        <v>3</v>
      </c>
      <c r="J25" s="417">
        <f>bensonharatt</f>
        <v>3</v>
      </c>
      <c r="K25" s="352">
        <f t="shared" si="0"/>
        <v>100</v>
      </c>
    </row>
    <row r="26" spans="1:11" ht="14.95" customHeight="1" thickBot="1" x14ac:dyDescent="0.3">
      <c r="A26" s="61" t="s">
        <v>765</v>
      </c>
      <c r="B26" s="61" t="s">
        <v>88</v>
      </c>
      <c r="C26" s="9">
        <f>Brown_Bampoeexetries</f>
        <v>4</v>
      </c>
      <c r="D26" s="2" t="s">
        <v>818</v>
      </c>
      <c r="E26" s="2" t="s">
        <v>82</v>
      </c>
      <c r="F26" s="19">
        <f>PearsonNOR_pts</f>
        <v>30</v>
      </c>
      <c r="G26" s="30" t="s">
        <v>152</v>
      </c>
      <c r="H26" s="30" t="s">
        <v>80</v>
      </c>
      <c r="I26" s="192">
        <f>dupreezsalgls</f>
        <v>8</v>
      </c>
      <c r="J26" s="417">
        <f>dupreezsalatt</f>
        <v>9</v>
      </c>
      <c r="K26" s="352">
        <f t="shared" si="0"/>
        <v>88.888888888888886</v>
      </c>
    </row>
    <row r="27" spans="1:11" ht="14.95" customHeight="1" thickBot="1" x14ac:dyDescent="0.3">
      <c r="A27" s="61" t="s">
        <v>107</v>
      </c>
      <c r="B27" s="61" t="s">
        <v>87</v>
      </c>
      <c r="C27" s="9">
        <f>Dombrandthartries</f>
        <v>4</v>
      </c>
      <c r="D27" s="2" t="s">
        <v>249</v>
      </c>
      <c r="E27" s="2" t="s">
        <v>527</v>
      </c>
      <c r="F27" s="19">
        <f>Radwanleipts</f>
        <v>30</v>
      </c>
      <c r="G27" s="32" t="s">
        <v>180</v>
      </c>
      <c r="H27" s="30" t="s">
        <v>90</v>
      </c>
      <c r="I27" s="194">
        <f>williamsbrigls</f>
        <v>7</v>
      </c>
      <c r="J27" s="417">
        <f>williamsbriatt</f>
        <v>8</v>
      </c>
      <c r="K27" s="352">
        <f t="shared" si="0"/>
        <v>87.5</v>
      </c>
    </row>
    <row r="28" spans="1:11" ht="14.95" customHeight="1" thickBot="1" x14ac:dyDescent="0.3">
      <c r="A28" s="61" t="s">
        <v>265</v>
      </c>
      <c r="B28" s="61" t="s">
        <v>87</v>
      </c>
      <c r="C28" s="9">
        <f>Evanshartries</f>
        <v>4</v>
      </c>
      <c r="D28" s="17" t="s">
        <v>177</v>
      </c>
      <c r="E28" s="17" t="s">
        <v>80</v>
      </c>
      <c r="F28" s="20">
        <f>Roebucksalpts</f>
        <v>30</v>
      </c>
      <c r="G28" s="30" t="s">
        <v>736</v>
      </c>
      <c r="H28" s="30" t="s">
        <v>309</v>
      </c>
      <c r="I28" s="192">
        <f>elliottsargls</f>
        <v>6</v>
      </c>
      <c r="J28" s="417">
        <f>elliottsaratt</f>
        <v>7</v>
      </c>
      <c r="K28" s="352">
        <f t="shared" si="0"/>
        <v>85.714285714285708</v>
      </c>
    </row>
    <row r="29" spans="1:11" ht="14.95" customHeight="1" thickBot="1" x14ac:dyDescent="0.3">
      <c r="A29" s="12" t="s">
        <v>274</v>
      </c>
      <c r="B29" s="12" t="s">
        <v>87</v>
      </c>
      <c r="C29" s="6">
        <f>Greenhartries</f>
        <v>4</v>
      </c>
      <c r="D29" s="2" t="s">
        <v>736</v>
      </c>
      <c r="E29" s="2" t="s">
        <v>309</v>
      </c>
      <c r="F29" s="19">
        <f>Bryansarpts</f>
        <v>28</v>
      </c>
      <c r="G29" s="30" t="s">
        <v>170</v>
      </c>
      <c r="H29" s="30" t="s">
        <v>79</v>
      </c>
      <c r="I29" s="192">
        <f>Bartonglogls</f>
        <v>3</v>
      </c>
      <c r="J29" s="417">
        <f>Bartongloatt</f>
        <v>4</v>
      </c>
      <c r="K29" s="352">
        <f t="shared" si="0"/>
        <v>75</v>
      </c>
    </row>
    <row r="30" spans="1:11" ht="14.95" customHeight="1" thickBot="1" x14ac:dyDescent="0.3">
      <c r="A30" s="61" t="s">
        <v>352</v>
      </c>
      <c r="B30" s="61" t="s">
        <v>82</v>
      </c>
      <c r="C30" s="9">
        <f>Hendynortries</f>
        <v>4</v>
      </c>
      <c r="D30" s="2" t="s">
        <v>98</v>
      </c>
      <c r="E30" s="2" t="s">
        <v>81</v>
      </c>
      <c r="F30" s="19">
        <f>Spencer_Bbthpts</f>
        <v>28</v>
      </c>
      <c r="G30" s="30" t="s">
        <v>149</v>
      </c>
      <c r="H30" s="30" t="s">
        <v>88</v>
      </c>
      <c r="I30" s="192">
        <f>Skinnerexegls</f>
        <v>4</v>
      </c>
      <c r="J30" s="420">
        <f>Skinnerexeatt</f>
        <v>6</v>
      </c>
      <c r="K30" s="352">
        <f t="shared" si="0"/>
        <v>66.666666666666657</v>
      </c>
    </row>
    <row r="31" spans="1:11" ht="14.95" customHeight="1" thickBot="1" x14ac:dyDescent="0.3">
      <c r="A31" s="61" t="s">
        <v>72</v>
      </c>
      <c r="B31" s="61" t="s">
        <v>80</v>
      </c>
      <c r="C31" s="9">
        <f>James_Lsaltries</f>
        <v>4</v>
      </c>
      <c r="D31" s="2" t="s">
        <v>511</v>
      </c>
      <c r="E31" s="2" t="s">
        <v>88</v>
      </c>
      <c r="F31" s="19">
        <f>FisilauEXEpts</f>
        <v>25</v>
      </c>
      <c r="G31" s="30" t="s">
        <v>112</v>
      </c>
      <c r="H31" s="30" t="s">
        <v>82</v>
      </c>
      <c r="I31" s="192">
        <f>furbanknorgls</f>
        <v>1</v>
      </c>
      <c r="J31" s="417">
        <f>furbanknoratt</f>
        <v>2</v>
      </c>
      <c r="K31" s="352">
        <f t="shared" si="0"/>
        <v>50</v>
      </c>
    </row>
    <row r="32" spans="1:11" ht="14.95" customHeight="1" thickBot="1" x14ac:dyDescent="0.3">
      <c r="A32" s="10" t="s">
        <v>412</v>
      </c>
      <c r="B32" s="10" t="s">
        <v>80</v>
      </c>
      <c r="C32" s="9">
        <f>Jibulusaltries</f>
        <v>4</v>
      </c>
      <c r="D32" s="2" t="s">
        <v>338</v>
      </c>
      <c r="E32" s="2" t="s">
        <v>81</v>
      </c>
      <c r="F32" s="19">
        <f>Garveymattpts</f>
        <v>25</v>
      </c>
      <c r="G32" s="32" t="s">
        <v>258</v>
      </c>
      <c r="H32" s="30" t="s">
        <v>79</v>
      </c>
      <c r="I32" s="192">
        <f>atkinsonCglogls</f>
        <v>4</v>
      </c>
      <c r="J32" s="417">
        <f>atkinsonCgloatt</f>
        <v>8</v>
      </c>
      <c r="K32" s="352">
        <f t="shared" si="0"/>
        <v>50</v>
      </c>
    </row>
    <row r="33" spans="1:11" ht="14.95" customHeight="1" thickBot="1" x14ac:dyDescent="0.3">
      <c r="A33" s="61" t="s">
        <v>683</v>
      </c>
      <c r="B33" s="61" t="s">
        <v>889</v>
      </c>
      <c r="C33" s="9">
        <f>Georgesartries</f>
        <v>4</v>
      </c>
      <c r="D33" s="2" t="s">
        <v>524</v>
      </c>
      <c r="E33" s="2" t="s">
        <v>309</v>
      </c>
      <c r="F33" s="19">
        <f>Gonzalezsarpts</f>
        <v>25</v>
      </c>
      <c r="G33" s="30" t="s">
        <v>280</v>
      </c>
      <c r="H33" s="30" t="s">
        <v>527</v>
      </c>
      <c r="I33" s="192">
        <f>Kellyleicgls</f>
        <v>4</v>
      </c>
      <c r="J33" s="417">
        <f>kellyleicatt</f>
        <v>8</v>
      </c>
      <c r="K33" s="352">
        <f t="shared" si="0"/>
        <v>50</v>
      </c>
    </row>
    <row r="34" spans="1:11" ht="14.95" customHeight="1" thickBot="1" x14ac:dyDescent="0.3">
      <c r="A34" s="61" t="s">
        <v>431</v>
      </c>
      <c r="B34" s="61" t="s">
        <v>82</v>
      </c>
      <c r="C34" s="9">
        <f>Pollocknortries</f>
        <v>4</v>
      </c>
      <c r="D34" s="2" t="s">
        <v>285</v>
      </c>
      <c r="E34" s="2" t="s">
        <v>90</v>
      </c>
      <c r="F34" s="19">
        <f>Hardingbripts</f>
        <v>25</v>
      </c>
      <c r="G34" s="30" t="s">
        <v>873</v>
      </c>
      <c r="H34" s="30" t="s">
        <v>527</v>
      </c>
      <c r="I34" s="192">
        <f>youngsbgoals</f>
        <v>0</v>
      </c>
      <c r="J34" s="417">
        <f>youngsbatt</f>
        <v>1</v>
      </c>
      <c r="K34" s="352">
        <f t="shared" si="0"/>
        <v>0</v>
      </c>
    </row>
    <row r="35" spans="1:11" ht="14.95" customHeight="1" thickBot="1" x14ac:dyDescent="0.3">
      <c r="A35" s="61" t="s">
        <v>927</v>
      </c>
      <c r="B35" s="61" t="s">
        <v>90</v>
      </c>
      <c r="C35" s="9">
        <f>Rees_Zammitbritries</f>
        <v>4</v>
      </c>
      <c r="D35" s="2" t="s">
        <v>1007</v>
      </c>
      <c r="E35" s="2" t="s">
        <v>79</v>
      </c>
      <c r="F35" s="19">
        <f>Josephglopts</f>
        <v>25</v>
      </c>
      <c r="G35" s="32" t="s">
        <v>992</v>
      </c>
      <c r="H35" s="30" t="s">
        <v>889</v>
      </c>
      <c r="I35" s="194">
        <f>Chamberlainnrbgls</f>
        <v>0</v>
      </c>
      <c r="J35" s="417">
        <f>Chamberlainnrbatt</f>
        <v>2</v>
      </c>
      <c r="K35" s="352">
        <f t="shared" si="0"/>
        <v>0</v>
      </c>
    </row>
    <row r="36" spans="1:11" ht="14.95" customHeight="1" thickBot="1" x14ac:dyDescent="0.3">
      <c r="A36" s="61" t="s">
        <v>1054</v>
      </c>
      <c r="B36" s="61" t="s">
        <v>88</v>
      </c>
      <c r="C36" s="9">
        <f>Ridlexetries</f>
        <v>4</v>
      </c>
      <c r="D36" s="2" t="s">
        <v>351</v>
      </c>
      <c r="E36" s="2" t="s">
        <v>82</v>
      </c>
      <c r="F36" s="19">
        <f>Litchfieldnorpts</f>
        <v>25</v>
      </c>
      <c r="G36" s="30" t="s">
        <v>358</v>
      </c>
      <c r="H36" s="30" t="s">
        <v>87</v>
      </c>
      <c r="I36" s="192" t="str">
        <f>beardhargls</f>
        <v>-</v>
      </c>
      <c r="J36" s="417" t="str">
        <f>beardharatt</f>
        <v>-</v>
      </c>
      <c r="K36" s="352"/>
    </row>
    <row r="37" spans="1:11" ht="14.95" customHeight="1" thickBot="1" x14ac:dyDescent="0.3">
      <c r="A37" s="61" t="s">
        <v>140</v>
      </c>
      <c r="B37" s="61" t="s">
        <v>87</v>
      </c>
      <c r="C37" s="9">
        <f>Smithhartries</f>
        <v>4</v>
      </c>
      <c r="D37" s="2" t="s">
        <v>525</v>
      </c>
      <c r="E37" s="2" t="s">
        <v>309</v>
      </c>
      <c r="F37" s="19">
        <f>malinssarpts2ndspell</f>
        <v>25</v>
      </c>
      <c r="G37" s="30" t="s">
        <v>425</v>
      </c>
      <c r="H37" s="30" t="s">
        <v>88</v>
      </c>
      <c r="I37" s="192" t="str">
        <f>becconsallexegls</f>
        <v>-</v>
      </c>
      <c r="J37" s="417" t="str">
        <f>becconsallexeatt</f>
        <v>-</v>
      </c>
      <c r="K37" s="352"/>
    </row>
    <row r="38" spans="1:11" ht="14.95" customHeight="1" thickBot="1" x14ac:dyDescent="0.3">
      <c r="A38" s="61" t="s">
        <v>194</v>
      </c>
      <c r="B38" s="10" t="s">
        <v>527</v>
      </c>
      <c r="C38" s="6">
        <f>Stevensleictries</f>
        <v>4</v>
      </c>
      <c r="D38" s="17" t="s">
        <v>785</v>
      </c>
      <c r="E38" s="17" t="s">
        <v>90</v>
      </c>
      <c r="F38" s="19">
        <f>MarmionBRIpts</f>
        <v>25</v>
      </c>
      <c r="G38" s="30" t="s">
        <v>150</v>
      </c>
      <c r="H38" s="30" t="s">
        <v>80</v>
      </c>
      <c r="I38" s="192" t="str">
        <f>bedlowsalglscorrect</f>
        <v>-</v>
      </c>
      <c r="J38" s="417" t="str">
        <f>bedlowsalattcorrect</f>
        <v>-</v>
      </c>
      <c r="K38" s="352"/>
    </row>
    <row r="39" spans="1:11" ht="14.95" customHeight="1" thickBot="1" x14ac:dyDescent="0.3">
      <c r="A39" s="61" t="s">
        <v>323</v>
      </c>
      <c r="B39" s="61" t="s">
        <v>309</v>
      </c>
      <c r="C39" s="9">
        <f>Tompkinssartriescorrect</f>
        <v>4</v>
      </c>
      <c r="D39" s="2" t="s">
        <v>754</v>
      </c>
      <c r="E39" s="2" t="s">
        <v>82</v>
      </c>
      <c r="F39" s="19">
        <f>McParlandNORpts</f>
        <v>25</v>
      </c>
      <c r="G39" s="30" t="s">
        <v>1089</v>
      </c>
      <c r="H39" s="30" t="s">
        <v>87</v>
      </c>
      <c r="I39" s="192" t="str">
        <f>bellamyhargls</f>
        <v>-</v>
      </c>
      <c r="J39" s="417" t="str">
        <f>bellamyharatt</f>
        <v>-</v>
      </c>
      <c r="K39" s="352"/>
    </row>
    <row r="40" spans="1:11" ht="14.95" customHeight="1" thickBot="1" x14ac:dyDescent="0.3">
      <c r="A40" s="61" t="s">
        <v>202</v>
      </c>
      <c r="B40" s="61" t="s">
        <v>88</v>
      </c>
      <c r="C40" s="9">
        <f>van_der_Sluysexetries</f>
        <v>4</v>
      </c>
      <c r="D40" s="2" t="s">
        <v>267</v>
      </c>
      <c r="E40" s="2" t="s">
        <v>81</v>
      </c>
      <c r="F40" s="19">
        <f>Carrerasbthpts</f>
        <v>21</v>
      </c>
      <c r="G40" s="30" t="s">
        <v>179</v>
      </c>
      <c r="H40" s="30" t="s">
        <v>80</v>
      </c>
      <c r="I40" s="192" t="str">
        <f>CURTISSALGLS</f>
        <v>-</v>
      </c>
      <c r="J40" s="417" t="str">
        <f>CURTISSALATT</f>
        <v>-</v>
      </c>
      <c r="K40" s="352"/>
    </row>
    <row r="41" spans="1:11" ht="14.95" customHeight="1" thickBot="1" x14ac:dyDescent="0.3">
      <c r="A41" s="61" t="s">
        <v>137</v>
      </c>
      <c r="B41" s="61" t="s">
        <v>88</v>
      </c>
      <c r="C41" s="9">
        <f>Woodburnexetries</f>
        <v>4</v>
      </c>
      <c r="D41" s="2" t="s">
        <v>4</v>
      </c>
      <c r="E41" s="2" t="s">
        <v>309</v>
      </c>
      <c r="F41" s="19">
        <f>Penalty_Triessarptscorrect</f>
        <v>21</v>
      </c>
      <c r="G41" s="30" t="s">
        <v>839</v>
      </c>
      <c r="H41" s="30" t="s">
        <v>81</v>
      </c>
      <c r="I41" s="192" t="str">
        <f>odonoghuebthgls</f>
        <v>-</v>
      </c>
      <c r="J41" s="417" t="str">
        <f>odonoghuebthatt</f>
        <v>-</v>
      </c>
      <c r="K41" s="352"/>
    </row>
    <row r="42" spans="1:11" ht="14.95" customHeight="1" thickBot="1" x14ac:dyDescent="0.3">
      <c r="A42" s="61" t="s">
        <v>504</v>
      </c>
      <c r="B42" s="61" t="s">
        <v>81</v>
      </c>
      <c r="C42" s="9">
        <f>Barbearybthtries</f>
        <v>3</v>
      </c>
      <c r="D42" s="2" t="s">
        <v>765</v>
      </c>
      <c r="E42" s="2" t="s">
        <v>88</v>
      </c>
      <c r="F42" s="19">
        <f>Brown_Bampoeexepts</f>
        <v>20</v>
      </c>
      <c r="G42" s="32" t="s">
        <v>787</v>
      </c>
      <c r="H42" s="30" t="s">
        <v>90</v>
      </c>
      <c r="I42" s="192" t="str">
        <f>elizaldebrigls</f>
        <v>-</v>
      </c>
      <c r="J42" s="417" t="str">
        <f>elizaldebriatt</f>
        <v>-</v>
      </c>
      <c r="K42" s="352"/>
    </row>
    <row r="43" spans="1:11" ht="14.95" customHeight="1" thickBot="1" x14ac:dyDescent="0.3">
      <c r="A43" s="61" t="s">
        <v>238</v>
      </c>
      <c r="B43" s="10" t="s">
        <v>527</v>
      </c>
      <c r="C43" s="9">
        <f>Beetsleictries</f>
        <v>3</v>
      </c>
      <c r="D43" s="2" t="s">
        <v>107</v>
      </c>
      <c r="E43" s="2" t="s">
        <v>87</v>
      </c>
      <c r="F43" s="19">
        <f>Dombrandtharpts</f>
        <v>20</v>
      </c>
      <c r="G43" s="32" t="s">
        <v>780</v>
      </c>
      <c r="H43" s="30" t="s">
        <v>81</v>
      </c>
      <c r="I43" s="192" t="str">
        <f>emensbthgls</f>
        <v>-</v>
      </c>
      <c r="J43" s="417" t="str">
        <f>emensbthatt</f>
        <v>-</v>
      </c>
      <c r="K43" s="352"/>
    </row>
    <row r="44" spans="1:11" ht="14.95" customHeight="1" thickBot="1" x14ac:dyDescent="0.3">
      <c r="A44" s="61" t="s">
        <v>858</v>
      </c>
      <c r="B44" s="61" t="s">
        <v>309</v>
      </c>
      <c r="C44" s="9">
        <f>Brackensartries</f>
        <v>3</v>
      </c>
      <c r="D44" s="2" t="s">
        <v>508</v>
      </c>
      <c r="E44" s="2" t="s">
        <v>87</v>
      </c>
      <c r="F44" s="19">
        <f>Evans_Jharptscorrect</f>
        <v>20</v>
      </c>
      <c r="G44" s="30" t="s">
        <v>571</v>
      </c>
      <c r="H44" s="30" t="s">
        <v>79</v>
      </c>
      <c r="I44" s="192" t="str">
        <f>englefieldglogls</f>
        <v>-</v>
      </c>
      <c r="J44" s="417" t="str">
        <f>englefieldgloatt</f>
        <v>-</v>
      </c>
      <c r="K44" s="352"/>
    </row>
    <row r="45" spans="1:11" ht="14.95" customHeight="1" thickBot="1" x14ac:dyDescent="0.3">
      <c r="A45" s="61" t="s">
        <v>736</v>
      </c>
      <c r="B45" s="61" t="s">
        <v>309</v>
      </c>
      <c r="C45" s="9">
        <f>Bryansartries</f>
        <v>3</v>
      </c>
      <c r="D45" s="2" t="s">
        <v>265</v>
      </c>
      <c r="E45" s="2" t="s">
        <v>87</v>
      </c>
      <c r="F45" s="19">
        <f>Evanswharpts</f>
        <v>20</v>
      </c>
      <c r="G45" s="32" t="s">
        <v>763</v>
      </c>
      <c r="H45" s="49" t="s">
        <v>889</v>
      </c>
      <c r="I45" s="194" t="str">
        <f>Graysonnewgls</f>
        <v>-</v>
      </c>
      <c r="J45" s="417" t="str">
        <f>Graysonnewatt</f>
        <v>-</v>
      </c>
      <c r="K45" s="352"/>
    </row>
    <row r="46" spans="1:11" ht="14.95" customHeight="1" thickBot="1" x14ac:dyDescent="0.3">
      <c r="A46" s="61" t="s">
        <v>333</v>
      </c>
      <c r="B46" s="61" t="s">
        <v>79</v>
      </c>
      <c r="C46" s="9">
        <f>Coetzerglotries</f>
        <v>3</v>
      </c>
      <c r="D46" s="2" t="s">
        <v>274</v>
      </c>
      <c r="E46" s="2" t="s">
        <v>87</v>
      </c>
      <c r="F46" s="19">
        <f>Greenharpts</f>
        <v>20</v>
      </c>
      <c r="G46" s="30" t="s">
        <v>448</v>
      </c>
      <c r="H46" s="30" t="s">
        <v>81</v>
      </c>
      <c r="I46" s="192" t="str">
        <f>Harrisbthgls</f>
        <v>-</v>
      </c>
      <c r="J46" s="417" t="str">
        <f>harisbthatt</f>
        <v>-</v>
      </c>
      <c r="K46" s="352"/>
    </row>
    <row r="47" spans="1:11" ht="14.95" customHeight="1" thickBot="1" x14ac:dyDescent="0.3">
      <c r="A47" s="10" t="s">
        <v>539</v>
      </c>
      <c r="B47" s="10" t="s">
        <v>80</v>
      </c>
      <c r="C47" s="9">
        <f>Cowan_Dickiesaltries</f>
        <v>3</v>
      </c>
      <c r="D47" s="2" t="s">
        <v>352</v>
      </c>
      <c r="E47" s="2" t="s">
        <v>82</v>
      </c>
      <c r="F47" s="19">
        <f>Hendynorpts</f>
        <v>20</v>
      </c>
      <c r="G47" s="30" t="s">
        <v>823</v>
      </c>
      <c r="H47" s="30" t="s">
        <v>88</v>
      </c>
      <c r="I47" s="192" t="str">
        <f>HAYDONWOODEXEGLS</f>
        <v>-</v>
      </c>
      <c r="J47" s="417" t="str">
        <f>HAYDONWOODEXEATT</f>
        <v>-</v>
      </c>
      <c r="K47" s="352"/>
    </row>
    <row r="48" spans="1:11" ht="14.95" customHeight="1" thickBot="1" x14ac:dyDescent="0.3">
      <c r="A48" s="61" t="s">
        <v>464</v>
      </c>
      <c r="B48" s="61" t="s">
        <v>309</v>
      </c>
      <c r="C48" s="9">
        <f>Dansartries</f>
        <v>3</v>
      </c>
      <c r="D48" s="2" t="s">
        <v>72</v>
      </c>
      <c r="E48" s="2" t="s">
        <v>80</v>
      </c>
      <c r="F48" s="19">
        <f>James_Lsalpts</f>
        <v>20</v>
      </c>
      <c r="G48" s="30" t="s">
        <v>453</v>
      </c>
      <c r="H48" s="30" t="s">
        <v>90</v>
      </c>
      <c r="I48" s="192" t="str">
        <f>Ibitoyebrigls</f>
        <v>-</v>
      </c>
      <c r="J48" s="417" t="str">
        <f>ibitoyebriatt</f>
        <v>-</v>
      </c>
      <c r="K48" s="352"/>
    </row>
    <row r="49" spans="1:11" ht="14.95" customHeight="1" thickBot="1" x14ac:dyDescent="0.3">
      <c r="A49" s="61" t="s">
        <v>152</v>
      </c>
      <c r="B49" s="61" t="s">
        <v>80</v>
      </c>
      <c r="C49" s="9">
        <f>du_Preez_Rsaltries</f>
        <v>3</v>
      </c>
      <c r="D49" s="17" t="s">
        <v>412</v>
      </c>
      <c r="E49" s="2" t="s">
        <v>80</v>
      </c>
      <c r="F49" s="19">
        <f>Jibulusalpts</f>
        <v>20</v>
      </c>
      <c r="G49" s="30" t="s">
        <v>260</v>
      </c>
      <c r="H49" s="30" t="s">
        <v>82</v>
      </c>
      <c r="I49" s="192" t="str">
        <f>Jamesnorgls</f>
        <v>-</v>
      </c>
      <c r="J49" s="417" t="str">
        <f>jamesnoratt</f>
        <v>-</v>
      </c>
      <c r="K49" s="352"/>
    </row>
    <row r="50" spans="1:11" ht="14.95" customHeight="1" thickBot="1" x14ac:dyDescent="0.3">
      <c r="A50" s="61" t="s">
        <v>519</v>
      </c>
      <c r="B50" s="61" t="s">
        <v>81</v>
      </c>
      <c r="C50" s="9">
        <f>du_Toitbthtries</f>
        <v>3</v>
      </c>
      <c r="D50" s="2" t="s">
        <v>683</v>
      </c>
      <c r="E50" s="2" t="s">
        <v>889</v>
      </c>
      <c r="F50" s="19">
        <f>Georgesarpts</f>
        <v>20</v>
      </c>
      <c r="G50" s="30" t="s">
        <v>556</v>
      </c>
      <c r="H50" s="30" t="s">
        <v>90</v>
      </c>
      <c r="I50" s="192" t="str">
        <f>LloydBriGls</f>
        <v>-</v>
      </c>
      <c r="J50" s="417" t="str">
        <f>LloydBriAtt</f>
        <v>-</v>
      </c>
      <c r="K50" s="352"/>
    </row>
    <row r="51" spans="1:11" ht="14.95" customHeight="1" thickBot="1" x14ac:dyDescent="0.3">
      <c r="A51" s="10" t="s">
        <v>108</v>
      </c>
      <c r="B51" s="10" t="s">
        <v>81</v>
      </c>
      <c r="C51" s="9">
        <f>Dunnbattries</f>
        <v>3</v>
      </c>
      <c r="D51" s="2" t="s">
        <v>431</v>
      </c>
      <c r="E51" s="2" t="s">
        <v>82</v>
      </c>
      <c r="F51" s="20">
        <f>Pollocknorpts</f>
        <v>20</v>
      </c>
      <c r="G51" s="30" t="s">
        <v>444</v>
      </c>
      <c r="H51" s="30" t="s">
        <v>88</v>
      </c>
      <c r="I51" s="192" t="str">
        <f>jenkinsiexegls</f>
        <v>-</v>
      </c>
      <c r="J51" s="417" t="str">
        <f>jenkinsiexeatt</f>
        <v>-</v>
      </c>
      <c r="K51" s="352"/>
    </row>
    <row r="52" spans="1:11" ht="14.95" customHeight="1" thickBot="1" x14ac:dyDescent="0.3">
      <c r="A52" s="61" t="s">
        <v>540</v>
      </c>
      <c r="B52" s="61" t="s">
        <v>88</v>
      </c>
      <c r="C52" s="9">
        <f>Dunneexetries</f>
        <v>3</v>
      </c>
      <c r="D52" s="2" t="s">
        <v>927</v>
      </c>
      <c r="E52" s="2" t="s">
        <v>90</v>
      </c>
      <c r="F52" s="19">
        <f>Rees_Zammitbripts</f>
        <v>20</v>
      </c>
      <c r="G52" s="32" t="s">
        <v>738</v>
      </c>
      <c r="H52" s="49" t="s">
        <v>309</v>
      </c>
      <c r="I52" s="194" t="str">
        <f>farrellsarglscorrect</f>
        <v>-</v>
      </c>
      <c r="J52" s="417" t="str">
        <f>farrellsarattcorrect</f>
        <v>-</v>
      </c>
      <c r="K52" s="352"/>
    </row>
    <row r="53" spans="1:11" ht="14.95" customHeight="1" thickBot="1" x14ac:dyDescent="0.3">
      <c r="A53" s="61" t="s">
        <v>434</v>
      </c>
      <c r="B53" s="61" t="s">
        <v>309</v>
      </c>
      <c r="C53" s="9">
        <f>farrellsartriescorrect</f>
        <v>3</v>
      </c>
      <c r="D53" s="2" t="s">
        <v>1054</v>
      </c>
      <c r="E53" s="2" t="s">
        <v>88</v>
      </c>
      <c r="F53" s="19">
        <f>Ridlexepts</f>
        <v>20</v>
      </c>
      <c r="G53" s="30" t="s">
        <v>376</v>
      </c>
      <c r="H53" s="30" t="s">
        <v>90</v>
      </c>
      <c r="I53" s="192" t="str">
        <f>lanebrigls</f>
        <v>-</v>
      </c>
      <c r="J53" s="417" t="str">
        <f>lanebriatt</f>
        <v>-</v>
      </c>
      <c r="K53" s="352"/>
    </row>
    <row r="54" spans="1:11" ht="14.95" customHeight="1" thickBot="1" x14ac:dyDescent="0.3">
      <c r="A54" s="61" t="s">
        <v>1073</v>
      </c>
      <c r="B54" s="61" t="s">
        <v>527</v>
      </c>
      <c r="C54" s="9">
        <f>Hamer_Webbleitries</f>
        <v>3</v>
      </c>
      <c r="D54" s="2" t="s">
        <v>194</v>
      </c>
      <c r="E54" s="2" t="s">
        <v>527</v>
      </c>
      <c r="F54" s="19">
        <f>Stevensleicpts</f>
        <v>20</v>
      </c>
      <c r="G54" s="32" t="s">
        <v>316</v>
      </c>
      <c r="H54" s="49" t="s">
        <v>309</v>
      </c>
      <c r="I54" s="194" t="str">
        <f>lozowskisarglscorrect</f>
        <v>-</v>
      </c>
      <c r="J54" s="417" t="str">
        <f>lozowksisarattcorrect</f>
        <v>-</v>
      </c>
      <c r="K54" s="352"/>
    </row>
    <row r="55" spans="1:11" ht="14.95" customHeight="1" thickBot="1" x14ac:dyDescent="0.3">
      <c r="A55" s="61" t="s">
        <v>768</v>
      </c>
      <c r="B55" s="61" t="s">
        <v>87</v>
      </c>
      <c r="C55" s="6">
        <f>Isgrohartries</f>
        <v>3</v>
      </c>
      <c r="D55" s="2" t="s">
        <v>323</v>
      </c>
      <c r="E55" s="2" t="s">
        <v>309</v>
      </c>
      <c r="F55" s="19">
        <f>Tompkinssarptscorrect2</f>
        <v>20</v>
      </c>
      <c r="G55" s="30" t="s">
        <v>123</v>
      </c>
      <c r="H55" s="30" t="s">
        <v>82</v>
      </c>
      <c r="I55" s="192" t="str">
        <f>Mitchellnoryrgls</f>
        <v>-</v>
      </c>
      <c r="J55" s="417" t="str">
        <f>mitchellnoryratt</f>
        <v>-</v>
      </c>
      <c r="K55" s="352"/>
    </row>
    <row r="56" spans="1:11" ht="14.95" customHeight="1" thickBot="1" x14ac:dyDescent="0.3">
      <c r="A56" s="61" t="s">
        <v>119</v>
      </c>
      <c r="B56" s="61" t="s">
        <v>81</v>
      </c>
      <c r="C56" s="9">
        <f>Lawrencebthtries</f>
        <v>3</v>
      </c>
      <c r="D56" s="21" t="s">
        <v>202</v>
      </c>
      <c r="E56" s="21" t="s">
        <v>88</v>
      </c>
      <c r="F56" s="19">
        <f>van_der_Sluysexepts</f>
        <v>20</v>
      </c>
      <c r="G56" s="30" t="s">
        <v>181</v>
      </c>
      <c r="H56" s="30" t="s">
        <v>79</v>
      </c>
      <c r="I56" s="192" t="str">
        <f>Morrisjglogls</f>
        <v>-</v>
      </c>
      <c r="J56" s="417" t="str">
        <f>morrisjgloatt</f>
        <v>-</v>
      </c>
      <c r="K56" s="352"/>
    </row>
    <row r="57" spans="1:11" ht="14.95" customHeight="1" thickBot="1" x14ac:dyDescent="0.3">
      <c r="A57" s="8" t="s">
        <v>318</v>
      </c>
      <c r="B57" s="61" t="s">
        <v>309</v>
      </c>
      <c r="C57" s="9">
        <f>McFarlandsartriescorrect</f>
        <v>3</v>
      </c>
      <c r="D57" s="21" t="s">
        <v>137</v>
      </c>
      <c r="E57" s="21" t="s">
        <v>88</v>
      </c>
      <c r="F57" s="19">
        <f>Woodburnexepts</f>
        <v>20</v>
      </c>
      <c r="G57" s="30" t="s">
        <v>1025</v>
      </c>
      <c r="H57" s="30" t="s">
        <v>82</v>
      </c>
      <c r="I57" s="192" t="str">
        <f>paternorgls</f>
        <v>-</v>
      </c>
      <c r="J57" s="417" t="str">
        <f>paternoratt</f>
        <v>-</v>
      </c>
      <c r="K57" s="352"/>
    </row>
    <row r="58" spans="1:11" ht="14.95" customHeight="1" thickBot="1" x14ac:dyDescent="0.3">
      <c r="A58" s="9" t="s">
        <v>955</v>
      </c>
      <c r="B58" s="10" t="s">
        <v>527</v>
      </c>
      <c r="C58" s="9">
        <f>Mayleictries</f>
        <v>3</v>
      </c>
      <c r="D58" s="21" t="s">
        <v>258</v>
      </c>
      <c r="E58" s="21" t="s">
        <v>79</v>
      </c>
      <c r="F58" s="19">
        <f>Atkinson_Cglopts</f>
        <v>18</v>
      </c>
      <c r="G58" s="30" t="s">
        <v>128</v>
      </c>
      <c r="H58" s="30" t="s">
        <v>81</v>
      </c>
      <c r="I58" s="192" t="str">
        <f>repathbthgls</f>
        <v>-</v>
      </c>
      <c r="J58" s="417" t="str">
        <f>redpathbthatt</f>
        <v>-</v>
      </c>
      <c r="K58" s="352"/>
    </row>
    <row r="59" spans="1:11" ht="14.95" customHeight="1" thickBot="1" x14ac:dyDescent="0.3">
      <c r="A59" s="9" t="s">
        <v>124</v>
      </c>
      <c r="B59" s="10" t="s">
        <v>81</v>
      </c>
      <c r="C59" s="6">
        <f>Obanobthtries</f>
        <v>3</v>
      </c>
      <c r="D59" s="21" t="s">
        <v>280</v>
      </c>
      <c r="E59" s="21" t="s">
        <v>527</v>
      </c>
      <c r="F59" s="19">
        <f>BassettLEIpts</f>
        <v>18</v>
      </c>
      <c r="G59" s="30" t="s">
        <v>1099</v>
      </c>
      <c r="H59" s="30" t="s">
        <v>81</v>
      </c>
      <c r="I59" s="192" t="str">
        <f>rouebthgls</f>
        <v>-</v>
      </c>
      <c r="J59" s="417" t="str">
        <f>rouebthatt</f>
        <v>-</v>
      </c>
      <c r="K59" s="352"/>
    </row>
    <row r="60" spans="1:11" ht="14.95" customHeight="1" thickBot="1" x14ac:dyDescent="0.3">
      <c r="A60" s="8" t="s">
        <v>4</v>
      </c>
      <c r="B60" s="61" t="s">
        <v>309</v>
      </c>
      <c r="C60" s="9">
        <f>Penalty_Triessartriescorrect</f>
        <v>3</v>
      </c>
      <c r="D60" s="21" t="s">
        <v>983</v>
      </c>
      <c r="E60" s="21" t="s">
        <v>527</v>
      </c>
      <c r="F60" s="19">
        <f>O_Connorleipts</f>
        <v>18</v>
      </c>
      <c r="G60" s="30" t="s">
        <v>415</v>
      </c>
      <c r="H60" s="30" t="s">
        <v>87</v>
      </c>
      <c r="I60" s="192" t="str">
        <f>SlevinHARgls</f>
        <v>-</v>
      </c>
      <c r="J60" s="417" t="str">
        <f>SlevinHARatt</f>
        <v>-</v>
      </c>
      <c r="K60" s="352"/>
    </row>
    <row r="61" spans="1:11" ht="14.95" customHeight="1" thickBot="1" x14ac:dyDescent="0.3">
      <c r="A61" s="8" t="s">
        <v>440</v>
      </c>
      <c r="B61" s="61" t="s">
        <v>81</v>
      </c>
      <c r="C61" s="9">
        <f>Pepperbthtries</f>
        <v>3</v>
      </c>
      <c r="D61" s="21" t="s">
        <v>149</v>
      </c>
      <c r="E61" s="21" t="s">
        <v>88</v>
      </c>
      <c r="F61" s="19">
        <f>Skinner_Hexepts</f>
        <v>18</v>
      </c>
      <c r="G61" s="30" t="s">
        <v>194</v>
      </c>
      <c r="H61" s="30" t="s">
        <v>527</v>
      </c>
      <c r="I61" s="192" t="str">
        <f>Stewardleicgls</f>
        <v>-</v>
      </c>
      <c r="J61" s="193" t="str">
        <f>stewardleicatt</f>
        <v>-</v>
      </c>
      <c r="K61" s="352"/>
    </row>
    <row r="62" spans="1:11" ht="14.95" customHeight="1" thickBot="1" x14ac:dyDescent="0.3">
      <c r="A62" s="8" t="s">
        <v>128</v>
      </c>
      <c r="B62" s="61" t="s">
        <v>81</v>
      </c>
      <c r="C62" s="9">
        <f>Redpathbthtries</f>
        <v>3</v>
      </c>
      <c r="D62" s="21" t="s">
        <v>504</v>
      </c>
      <c r="E62" s="21" t="s">
        <v>81</v>
      </c>
      <c r="F62" s="19">
        <f>Barbearybthpts</f>
        <v>15</v>
      </c>
      <c r="G62" s="30" t="s">
        <v>246</v>
      </c>
      <c r="H62" s="30" t="s">
        <v>889</v>
      </c>
      <c r="I62" s="192" t="str">
        <f>Vunipola_Msaratt</f>
        <v>-</v>
      </c>
      <c r="J62" s="193" t="str">
        <f>Vunipola_Msargls</f>
        <v>-</v>
      </c>
      <c r="K62" s="352"/>
    </row>
    <row r="63" spans="1:11" ht="14.95" customHeight="1" thickBot="1" x14ac:dyDescent="0.3">
      <c r="A63" s="8" t="s">
        <v>551</v>
      </c>
      <c r="B63" s="61" t="s">
        <v>79</v>
      </c>
      <c r="C63" s="9">
        <f>Reevesglotries</f>
        <v>3</v>
      </c>
      <c r="D63" s="21" t="s">
        <v>238</v>
      </c>
      <c r="E63" s="21" t="s">
        <v>527</v>
      </c>
      <c r="F63" s="19">
        <f>Beetsleicpts</f>
        <v>15</v>
      </c>
      <c r="G63" s="30" t="s">
        <v>798</v>
      </c>
      <c r="H63" s="30" t="s">
        <v>527</v>
      </c>
      <c r="I63" s="192" t="str">
        <f>threlfallleigls</f>
        <v>-</v>
      </c>
      <c r="J63" s="193" t="str">
        <f>threlfallleiatt</f>
        <v>-</v>
      </c>
      <c r="K63" s="352"/>
    </row>
    <row r="64" spans="1:11" ht="14.95" customHeight="1" thickBot="1" x14ac:dyDescent="0.3">
      <c r="A64" s="8" t="s">
        <v>129</v>
      </c>
      <c r="B64" s="61" t="s">
        <v>80</v>
      </c>
      <c r="C64" s="9">
        <f>Readsaltries</f>
        <v>3</v>
      </c>
      <c r="D64" s="21" t="s">
        <v>858</v>
      </c>
      <c r="E64" s="21" t="s">
        <v>309</v>
      </c>
      <c r="F64" s="19">
        <f>Brackensarpts</f>
        <v>15</v>
      </c>
      <c r="G64" s="30" t="s">
        <v>341</v>
      </c>
      <c r="H64" s="30" t="s">
        <v>80</v>
      </c>
      <c r="I64" s="192" t="str">
        <f>WarrSALgls</f>
        <v>-</v>
      </c>
      <c r="J64" s="193" t="str">
        <f>WarrSALatt</f>
        <v>-</v>
      </c>
      <c r="K64" s="352"/>
    </row>
    <row r="65" spans="1:11" ht="14.95" customHeight="1" thickBot="1" x14ac:dyDescent="0.3">
      <c r="A65" s="8" t="s">
        <v>151</v>
      </c>
      <c r="B65" s="10" t="s">
        <v>527</v>
      </c>
      <c r="C65" s="9">
        <f>Salvijuliantries</f>
        <v>3</v>
      </c>
      <c r="D65" s="21" t="s">
        <v>333</v>
      </c>
      <c r="E65" s="21" t="s">
        <v>79</v>
      </c>
      <c r="F65" s="19">
        <f>Coetzerglopts</f>
        <v>15</v>
      </c>
      <c r="G65" s="30" t="s">
        <v>1019</v>
      </c>
      <c r="H65" s="30" t="s">
        <v>90</v>
      </c>
      <c r="I65" s="192" t="str">
        <f>westonbrigls</f>
        <v>-</v>
      </c>
      <c r="J65" s="417" t="str">
        <f>westonbriatt</f>
        <v>-</v>
      </c>
      <c r="K65" s="352"/>
    </row>
    <row r="66" spans="1:11" ht="14.95" customHeight="1" thickBot="1" x14ac:dyDescent="0.3">
      <c r="A66" s="8" t="s">
        <v>688</v>
      </c>
      <c r="B66" s="61" t="s">
        <v>889</v>
      </c>
      <c r="C66" s="9">
        <f>Smithrnewtries</f>
        <v>3</v>
      </c>
      <c r="D66" s="19" t="s">
        <v>539</v>
      </c>
      <c r="E66" s="19" t="s">
        <v>80</v>
      </c>
      <c r="F66" s="19">
        <f>Cowan_Dickiesalpts</f>
        <v>15</v>
      </c>
      <c r="G66" s="30" t="s">
        <v>302</v>
      </c>
      <c r="H66" s="30" t="s">
        <v>527</v>
      </c>
      <c r="I66" s="192" t="str">
        <f>whiteleyleigls</f>
        <v>-</v>
      </c>
      <c r="J66" s="193" t="str">
        <f>whiteleyleiatt</f>
        <v>-</v>
      </c>
      <c r="K66" s="352"/>
    </row>
    <row r="67" spans="1:11" ht="14.95" customHeight="1" thickBot="1" x14ac:dyDescent="0.3">
      <c r="A67" s="8" t="s">
        <v>133</v>
      </c>
      <c r="B67" s="61" t="s">
        <v>79</v>
      </c>
      <c r="C67" s="9">
        <f>Thorleyglotriescorrect</f>
        <v>3</v>
      </c>
      <c r="D67" s="21" t="s">
        <v>464</v>
      </c>
      <c r="E67" s="21" t="s">
        <v>309</v>
      </c>
      <c r="F67" s="19">
        <f>Dansarpts</f>
        <v>15</v>
      </c>
      <c r="G67" s="32" t="s">
        <v>646</v>
      </c>
      <c r="H67" s="30" t="s">
        <v>79</v>
      </c>
      <c r="I67" s="192" t="str">
        <f>Williamsglogls</f>
        <v>-</v>
      </c>
      <c r="J67" s="193" t="str">
        <f>williamsgloatt</f>
        <v>-</v>
      </c>
      <c r="K67" s="352"/>
    </row>
    <row r="68" spans="1:11" ht="14.95" customHeight="1" thickBot="1" x14ac:dyDescent="0.3">
      <c r="A68" s="295" t="s">
        <v>748</v>
      </c>
      <c r="B68" s="61" t="s">
        <v>309</v>
      </c>
      <c r="C68" s="6">
        <f>Tizardsartries</f>
        <v>3</v>
      </c>
      <c r="D68" s="21" t="s">
        <v>519</v>
      </c>
      <c r="E68" s="21" t="s">
        <v>81</v>
      </c>
      <c r="F68" s="19">
        <f>du_Toitbthpts</f>
        <v>15</v>
      </c>
      <c r="G68" s="419" t="s">
        <v>1057</v>
      </c>
    </row>
    <row r="69" spans="1:11" ht="14.95" customHeight="1" thickBot="1" x14ac:dyDescent="0.3">
      <c r="A69" s="8" t="s">
        <v>135</v>
      </c>
      <c r="B69" s="61" t="s">
        <v>81</v>
      </c>
      <c r="C69" s="9">
        <f>Underhillbthtries</f>
        <v>3</v>
      </c>
      <c r="D69" s="19" t="s">
        <v>108</v>
      </c>
      <c r="E69" s="19" t="s">
        <v>81</v>
      </c>
      <c r="F69" s="19">
        <f>Dunntompts</f>
        <v>15</v>
      </c>
    </row>
    <row r="70" spans="1:11" ht="14.95" customHeight="1" thickBot="1" x14ac:dyDescent="0.3">
      <c r="A70" s="9" t="s">
        <v>270</v>
      </c>
      <c r="B70" s="10" t="s">
        <v>527</v>
      </c>
      <c r="C70" s="9">
        <f>van_Poortvlietleictries</f>
        <v>3</v>
      </c>
      <c r="D70" s="21" t="s">
        <v>540</v>
      </c>
      <c r="E70" s="21" t="s">
        <v>88</v>
      </c>
      <c r="F70" s="20">
        <f>Dunneexepts</f>
        <v>15</v>
      </c>
    </row>
    <row r="71" spans="1:11" ht="14.95" customHeight="1" thickBot="1" x14ac:dyDescent="0.3">
      <c r="A71" s="8" t="s">
        <v>724</v>
      </c>
      <c r="B71" s="61" t="s">
        <v>80</v>
      </c>
      <c r="C71" s="9">
        <f>Tuitupousamtries</f>
        <v>3</v>
      </c>
      <c r="D71" s="21" t="s">
        <v>434</v>
      </c>
      <c r="E71" s="21" t="s">
        <v>309</v>
      </c>
      <c r="F71" s="19">
        <f>Farrellsarptscorrect</f>
        <v>15</v>
      </c>
    </row>
    <row r="72" spans="1:11" ht="14.95" customHeight="1" thickBot="1" x14ac:dyDescent="0.3">
      <c r="A72" s="8" t="s">
        <v>521</v>
      </c>
      <c r="B72" s="61" t="s">
        <v>88</v>
      </c>
      <c r="C72" s="9">
        <f>Whittentries</f>
        <v>3</v>
      </c>
      <c r="D72" s="21" t="s">
        <v>1073</v>
      </c>
      <c r="E72" s="21" t="s">
        <v>527</v>
      </c>
      <c r="F72" s="19">
        <f>Hamer_Webbleipts</f>
        <v>15</v>
      </c>
    </row>
    <row r="73" spans="1:11" ht="14.95" customHeight="1" thickBot="1" x14ac:dyDescent="0.3">
      <c r="A73" s="8" t="s">
        <v>657</v>
      </c>
      <c r="B73" s="10" t="s">
        <v>527</v>
      </c>
      <c r="C73" s="9">
        <f>Walshleitries</f>
        <v>3</v>
      </c>
      <c r="D73" s="418" t="s">
        <v>768</v>
      </c>
      <c r="E73" s="418" t="s">
        <v>87</v>
      </c>
      <c r="F73" s="18">
        <f>Isgroharpts</f>
        <v>15</v>
      </c>
    </row>
    <row r="74" spans="1:11" ht="14.95" customHeight="1" thickBot="1" x14ac:dyDescent="0.3">
      <c r="A74" s="8" t="s">
        <v>217</v>
      </c>
      <c r="B74" s="61" t="s">
        <v>79</v>
      </c>
      <c r="C74" s="48">
        <f>Alemannoglotries</f>
        <v>2</v>
      </c>
      <c r="D74" s="21" t="s">
        <v>119</v>
      </c>
      <c r="E74" s="21" t="s">
        <v>81</v>
      </c>
      <c r="F74" s="19">
        <f>Lawrencebthpts</f>
        <v>15</v>
      </c>
    </row>
    <row r="75" spans="1:11" ht="14.95" customHeight="1" thickBot="1" x14ac:dyDescent="0.3">
      <c r="A75" s="8" t="s">
        <v>258</v>
      </c>
      <c r="B75" s="61" t="s">
        <v>79</v>
      </c>
      <c r="C75" s="9">
        <f>Atkinson_Cglotries</f>
        <v>2</v>
      </c>
      <c r="D75" s="21" t="s">
        <v>318</v>
      </c>
      <c r="E75" s="21" t="s">
        <v>309</v>
      </c>
      <c r="F75" s="19">
        <f>McFarlandsarptscorrect</f>
        <v>15</v>
      </c>
    </row>
    <row r="76" spans="1:11" ht="14.95" customHeight="1" thickBot="1" x14ac:dyDescent="0.3">
      <c r="A76" s="8" t="s">
        <v>280</v>
      </c>
      <c r="B76" s="10" t="s">
        <v>527</v>
      </c>
      <c r="C76" s="9">
        <f>BassettLEItries</f>
        <v>2</v>
      </c>
      <c r="D76" s="21" t="s">
        <v>955</v>
      </c>
      <c r="E76" s="21" t="s">
        <v>527</v>
      </c>
      <c r="F76" s="19">
        <f>Mayleicpts</f>
        <v>15</v>
      </c>
    </row>
    <row r="77" spans="1:11" ht="14.95" customHeight="1" thickBot="1" x14ac:dyDescent="0.3">
      <c r="A77" s="8" t="s">
        <v>937</v>
      </c>
      <c r="B77" s="61" t="s">
        <v>82</v>
      </c>
      <c r="C77" s="9">
        <f>Braleynortriescorrect</f>
        <v>2</v>
      </c>
      <c r="D77" s="19" t="s">
        <v>124</v>
      </c>
      <c r="E77" s="19" t="s">
        <v>81</v>
      </c>
      <c r="F77" s="19">
        <f>Obanobthpts</f>
        <v>15</v>
      </c>
    </row>
    <row r="78" spans="1:11" ht="14.95" customHeight="1" thickBot="1" x14ac:dyDescent="0.3">
      <c r="A78" s="295" t="s">
        <v>1070</v>
      </c>
      <c r="B78" s="12" t="s">
        <v>889</v>
      </c>
      <c r="C78" s="6">
        <f>Barrittbradtries</f>
        <v>2</v>
      </c>
      <c r="D78" s="21" t="s">
        <v>440</v>
      </c>
      <c r="E78" s="21" t="s">
        <v>81</v>
      </c>
      <c r="F78" s="19">
        <f>Pepperbthpts</f>
        <v>15</v>
      </c>
    </row>
    <row r="79" spans="1:11" ht="14.95" customHeight="1" thickBot="1" x14ac:dyDescent="0.3">
      <c r="A79" s="8" t="s">
        <v>299</v>
      </c>
      <c r="B79" s="61" t="s">
        <v>81</v>
      </c>
      <c r="C79" s="9">
        <f>Buttbthtries</f>
        <v>2</v>
      </c>
      <c r="D79" s="21" t="s">
        <v>128</v>
      </c>
      <c r="E79" s="21" t="s">
        <v>81</v>
      </c>
      <c r="F79" s="19">
        <f>Redpathbthpts</f>
        <v>15</v>
      </c>
    </row>
    <row r="80" spans="1:11" ht="14.95" customHeight="1" thickBot="1" x14ac:dyDescent="0.3">
      <c r="A80" s="9" t="s">
        <v>384</v>
      </c>
      <c r="B80" s="10" t="s">
        <v>80</v>
      </c>
      <c r="C80" s="9">
        <f>Carpentersaltries</f>
        <v>2</v>
      </c>
      <c r="D80" s="21" t="s">
        <v>551</v>
      </c>
      <c r="E80" s="21" t="s">
        <v>79</v>
      </c>
      <c r="F80" s="19">
        <f>Reevesglopts</f>
        <v>15</v>
      </c>
    </row>
    <row r="81" spans="1:6" ht="14.95" customHeight="1" thickBot="1" x14ac:dyDescent="0.3">
      <c r="A81" s="8" t="s">
        <v>1060</v>
      </c>
      <c r="B81" s="10" t="s">
        <v>889</v>
      </c>
      <c r="C81" s="48">
        <f>Christienrbtries</f>
        <v>2</v>
      </c>
      <c r="D81" s="21" t="s">
        <v>129</v>
      </c>
      <c r="E81" s="21" t="s">
        <v>80</v>
      </c>
      <c r="F81" s="19">
        <f>Readsalpts</f>
        <v>15</v>
      </c>
    </row>
    <row r="82" spans="1:6" ht="14.95" customHeight="1" thickBot="1" x14ac:dyDescent="0.3">
      <c r="A82" s="8" t="s">
        <v>427</v>
      </c>
      <c r="B82" s="61" t="s">
        <v>79</v>
      </c>
      <c r="C82" s="9">
        <f>Clarkglotries</f>
        <v>2</v>
      </c>
      <c r="D82" s="21" t="s">
        <v>151</v>
      </c>
      <c r="E82" s="21" t="s">
        <v>527</v>
      </c>
      <c r="F82" s="19">
        <f>Salvijulianpts</f>
        <v>15</v>
      </c>
    </row>
    <row r="83" spans="1:6" ht="14.95" customHeight="1" thickBot="1" x14ac:dyDescent="0.3">
      <c r="A83" s="295" t="s">
        <v>387</v>
      </c>
      <c r="B83" s="12" t="s">
        <v>87</v>
      </c>
      <c r="C83" s="9">
        <f>Cleaveshartries</f>
        <v>2</v>
      </c>
      <c r="D83" s="21" t="s">
        <v>688</v>
      </c>
      <c r="E83" s="21" t="s">
        <v>889</v>
      </c>
      <c r="F83" s="19">
        <f>Smithrnewpts</f>
        <v>15</v>
      </c>
    </row>
    <row r="84" spans="1:6" ht="14.95" customHeight="1" thickBot="1" x14ac:dyDescent="0.3">
      <c r="A84" s="8" t="s">
        <v>362</v>
      </c>
      <c r="B84" s="10" t="s">
        <v>527</v>
      </c>
      <c r="C84" s="48">
        <f>Cracknellleitries</f>
        <v>2</v>
      </c>
      <c r="D84" s="21" t="s">
        <v>133</v>
      </c>
      <c r="E84" s="21" t="s">
        <v>79</v>
      </c>
      <c r="F84" s="19">
        <f>Thorleygloptscorrect</f>
        <v>15</v>
      </c>
    </row>
    <row r="85" spans="1:6" ht="14.95" customHeight="1" thickBot="1" x14ac:dyDescent="0.3">
      <c r="A85" s="8" t="s">
        <v>204</v>
      </c>
      <c r="B85" s="8" t="s">
        <v>81</v>
      </c>
      <c r="C85" s="9">
        <f>Delmasbthtries</f>
        <v>2</v>
      </c>
      <c r="D85" s="21" t="s">
        <v>748</v>
      </c>
      <c r="E85" s="21" t="s">
        <v>309</v>
      </c>
      <c r="F85" s="19">
        <f>Tizardsarpts</f>
        <v>15</v>
      </c>
    </row>
    <row r="86" spans="1:6" ht="14.95" customHeight="1" thickBot="1" x14ac:dyDescent="0.3">
      <c r="A86" s="8" t="s">
        <v>109</v>
      </c>
      <c r="B86" s="8" t="s">
        <v>309</v>
      </c>
      <c r="C86" s="9">
        <f>Earlsartriescorrect</f>
        <v>2</v>
      </c>
      <c r="D86" s="21" t="s">
        <v>135</v>
      </c>
      <c r="E86" s="21" t="s">
        <v>81</v>
      </c>
      <c r="F86" s="19">
        <f>Underhillbthpts</f>
        <v>15</v>
      </c>
    </row>
    <row r="87" spans="1:6" ht="14.95" customHeight="1" thickBot="1" x14ac:dyDescent="0.3">
      <c r="A87" s="9" t="s">
        <v>639</v>
      </c>
      <c r="B87" s="8" t="s">
        <v>79</v>
      </c>
      <c r="C87" s="9">
        <f>Evans_Lglotries</f>
        <v>2</v>
      </c>
      <c r="D87" s="21" t="s">
        <v>270</v>
      </c>
      <c r="E87" s="21" t="s">
        <v>527</v>
      </c>
      <c r="F87" s="19">
        <f>van_Poortvlietleicpts</f>
        <v>15</v>
      </c>
    </row>
    <row r="88" spans="1:6" ht="14.95" customHeight="1" thickBot="1" x14ac:dyDescent="0.3">
      <c r="A88" s="8" t="s">
        <v>1067</v>
      </c>
      <c r="B88" s="8" t="s">
        <v>82</v>
      </c>
      <c r="C88" s="9">
        <f>Fischettinortries</f>
        <v>2</v>
      </c>
      <c r="D88" s="21" t="s">
        <v>724</v>
      </c>
      <c r="E88" s="21" t="s">
        <v>80</v>
      </c>
      <c r="F88" s="19">
        <f>Tuitupousampts</f>
        <v>15</v>
      </c>
    </row>
    <row r="89" spans="1:6" ht="14.95" customHeight="1" thickBot="1" x14ac:dyDescent="0.3">
      <c r="A89" s="8" t="s">
        <v>789</v>
      </c>
      <c r="B89" s="8" t="s">
        <v>81</v>
      </c>
      <c r="C89" s="48">
        <f>Greenbthtriescorrect</f>
        <v>2</v>
      </c>
      <c r="D89" s="21" t="s">
        <v>521</v>
      </c>
      <c r="E89" s="21" t="s">
        <v>88</v>
      </c>
      <c r="F89" s="19">
        <f>Whittenpts</f>
        <v>15</v>
      </c>
    </row>
    <row r="90" spans="1:6" ht="14.95" customHeight="1" thickBot="1" x14ac:dyDescent="0.3">
      <c r="A90" s="9" t="s">
        <v>864</v>
      </c>
      <c r="B90" s="9" t="s">
        <v>81</v>
      </c>
      <c r="C90" s="9">
        <f>Griffinbthtries</f>
        <v>2</v>
      </c>
      <c r="D90" s="21" t="s">
        <v>657</v>
      </c>
      <c r="E90" s="21" t="s">
        <v>527</v>
      </c>
      <c r="F90" s="18">
        <f>Walshleipts</f>
        <v>15</v>
      </c>
    </row>
    <row r="91" spans="1:6" ht="14.95" customHeight="1" thickBot="1" x14ac:dyDescent="0.3">
      <c r="A91" s="8" t="s">
        <v>558</v>
      </c>
      <c r="B91" s="8" t="s">
        <v>309</v>
      </c>
      <c r="C91" s="9">
        <f>Hadfieldsartries</f>
        <v>2</v>
      </c>
      <c r="D91" s="21" t="s">
        <v>180</v>
      </c>
      <c r="E91" s="21" t="s">
        <v>90</v>
      </c>
      <c r="F91" s="19">
        <f>Williamsbripts</f>
        <v>15</v>
      </c>
    </row>
    <row r="92" spans="1:6" ht="14.95" customHeight="1" thickBot="1" x14ac:dyDescent="0.3">
      <c r="A92" s="8" t="s">
        <v>693</v>
      </c>
      <c r="B92" s="8" t="s">
        <v>889</v>
      </c>
      <c r="C92" s="9">
        <f>Hearlenewtries</f>
        <v>2</v>
      </c>
      <c r="D92" s="21" t="s">
        <v>204</v>
      </c>
      <c r="E92" s="21" t="s">
        <v>81</v>
      </c>
      <c r="F92" s="19">
        <f>Delmasbthpts</f>
        <v>12</v>
      </c>
    </row>
    <row r="93" spans="1:6" ht="14.95" customHeight="1" thickBot="1" x14ac:dyDescent="0.3">
      <c r="A93" s="9" t="s">
        <v>207</v>
      </c>
      <c r="B93" s="9" t="s">
        <v>527</v>
      </c>
      <c r="C93" s="9">
        <f>Harrisonsamtries</f>
        <v>2</v>
      </c>
      <c r="D93" s="21" t="s">
        <v>217</v>
      </c>
      <c r="E93" s="21" t="s">
        <v>79</v>
      </c>
      <c r="F93" s="19">
        <f>Alemannoglopts</f>
        <v>10</v>
      </c>
    </row>
    <row r="94" spans="1:6" ht="14.95" customHeight="1" thickBot="1" x14ac:dyDescent="0.3">
      <c r="A94" s="8" t="s">
        <v>807</v>
      </c>
      <c r="B94" s="8" t="s">
        <v>81</v>
      </c>
      <c r="C94" s="9">
        <f>HennesseyBTHtries</f>
        <v>2</v>
      </c>
      <c r="D94" s="351" t="s">
        <v>1070</v>
      </c>
      <c r="E94" s="351" t="s">
        <v>889</v>
      </c>
      <c r="F94" s="19">
        <f>Barrittbradpts</f>
        <v>10</v>
      </c>
    </row>
    <row r="95" spans="1:6" ht="14.95" customHeight="1" thickBot="1" x14ac:dyDescent="0.3">
      <c r="A95" s="8" t="s">
        <v>465</v>
      </c>
      <c r="B95" s="8" t="s">
        <v>90</v>
      </c>
      <c r="C95" s="9">
        <f>Hewardbritries</f>
        <v>2</v>
      </c>
      <c r="D95" s="21" t="s">
        <v>299</v>
      </c>
      <c r="E95" s="21" t="s">
        <v>81</v>
      </c>
      <c r="F95" s="19">
        <f>Buttbthpts</f>
        <v>10</v>
      </c>
    </row>
    <row r="96" spans="1:6" ht="14.95" customHeight="1" thickBot="1" x14ac:dyDescent="0.3">
      <c r="A96" s="8" t="s">
        <v>360</v>
      </c>
      <c r="B96" s="8" t="s">
        <v>79</v>
      </c>
      <c r="C96" s="9">
        <f>Krielglotries</f>
        <v>2</v>
      </c>
      <c r="D96" s="19" t="s">
        <v>384</v>
      </c>
      <c r="E96" s="21" t="s">
        <v>80</v>
      </c>
      <c r="F96" s="19">
        <f>Carpentersalpts</f>
        <v>10</v>
      </c>
    </row>
    <row r="97" spans="1:6" ht="14.95" customHeight="1" thickBot="1" x14ac:dyDescent="0.3">
      <c r="A97" s="8" t="s">
        <v>762</v>
      </c>
      <c r="B97" s="8" t="s">
        <v>82</v>
      </c>
      <c r="C97" s="9">
        <f>Kemenynortries</f>
        <v>2</v>
      </c>
      <c r="D97" s="19" t="s">
        <v>1060</v>
      </c>
      <c r="E97" s="19" t="s">
        <v>889</v>
      </c>
      <c r="F97" s="20">
        <f>Christienrbpts</f>
        <v>10</v>
      </c>
    </row>
    <row r="98" spans="1:6" ht="14.95" customHeight="1" thickBot="1" x14ac:dyDescent="0.3">
      <c r="A98" s="8" t="s">
        <v>290</v>
      </c>
      <c r="B98" s="8" t="s">
        <v>87</v>
      </c>
      <c r="C98" s="9">
        <f>Kenninghamhartries</f>
        <v>2</v>
      </c>
      <c r="D98" s="21" t="s">
        <v>427</v>
      </c>
      <c r="E98" s="21" t="s">
        <v>79</v>
      </c>
      <c r="F98" s="19">
        <f>Clarkglopts</f>
        <v>10</v>
      </c>
    </row>
    <row r="99" spans="1:6" ht="14.95" customHeight="1" thickBot="1" x14ac:dyDescent="0.3">
      <c r="A99" s="8" t="s">
        <v>1013</v>
      </c>
      <c r="B99" s="8" t="s">
        <v>889</v>
      </c>
      <c r="C99" s="9">
        <f>Mafinrbtries</f>
        <v>2</v>
      </c>
      <c r="D99" s="351" t="s">
        <v>387</v>
      </c>
      <c r="E99" s="351" t="s">
        <v>87</v>
      </c>
      <c r="F99" s="19">
        <f>Cleavesharpts</f>
        <v>10</v>
      </c>
    </row>
    <row r="100" spans="1:6" ht="14.95" customHeight="1" thickBot="1" x14ac:dyDescent="0.3">
      <c r="A100" s="8" t="s">
        <v>594</v>
      </c>
      <c r="B100" s="8" t="s">
        <v>90</v>
      </c>
      <c r="C100" s="9">
        <f>McNallylirtries</f>
        <v>2</v>
      </c>
      <c r="D100" s="21" t="s">
        <v>362</v>
      </c>
      <c r="E100" s="21" t="s">
        <v>527</v>
      </c>
      <c r="F100" s="19">
        <f>Cracknellleipts</f>
        <v>10</v>
      </c>
    </row>
    <row r="101" spans="1:6" ht="14.95" customHeight="1" thickBot="1" x14ac:dyDescent="0.3">
      <c r="A101" s="8" t="s">
        <v>550</v>
      </c>
      <c r="B101" s="8" t="s">
        <v>889</v>
      </c>
      <c r="C101" s="6">
        <f>McCallumnewtries</f>
        <v>2</v>
      </c>
      <c r="D101" s="21" t="s">
        <v>109</v>
      </c>
      <c r="E101" s="21" t="s">
        <v>309</v>
      </c>
      <c r="F101" s="19">
        <f>Earlsarptscorrect</f>
        <v>10</v>
      </c>
    </row>
    <row r="102" spans="1:6" ht="14.95" customHeight="1" thickBot="1" x14ac:dyDescent="0.3">
      <c r="A102" s="9" t="s">
        <v>492</v>
      </c>
      <c r="B102" s="8" t="s">
        <v>889</v>
      </c>
      <c r="C102" s="9">
        <f>McDonaldNEWtries</f>
        <v>2</v>
      </c>
      <c r="D102" s="19" t="s">
        <v>639</v>
      </c>
      <c r="E102" s="19" t="s">
        <v>79</v>
      </c>
      <c r="F102" s="19">
        <f>Evans_Lglopts</f>
        <v>10</v>
      </c>
    </row>
    <row r="103" spans="1:6" ht="14.95" customHeight="1" thickBot="1" x14ac:dyDescent="0.3">
      <c r="A103" s="8" t="s">
        <v>123</v>
      </c>
      <c r="B103" s="8" t="s">
        <v>82</v>
      </c>
      <c r="C103" s="9">
        <f>Mitchellnortries</f>
        <v>2</v>
      </c>
      <c r="D103" s="21" t="s">
        <v>1067</v>
      </c>
      <c r="E103" s="21" t="s">
        <v>82</v>
      </c>
      <c r="F103" s="18">
        <f>Fischettinorpts</f>
        <v>10</v>
      </c>
    </row>
    <row r="104" spans="1:6" ht="14.95" customHeight="1" thickBot="1" x14ac:dyDescent="0.3">
      <c r="A104" s="8" t="s">
        <v>1064</v>
      </c>
      <c r="B104" s="8" t="s">
        <v>90</v>
      </c>
      <c r="C104" s="9">
        <f>MulchronelirtriesCORRECT</f>
        <v>2</v>
      </c>
      <c r="D104" s="21" t="s">
        <v>789</v>
      </c>
      <c r="E104" s="21" t="s">
        <v>81</v>
      </c>
      <c r="F104" s="19">
        <f>Greenbthptscorrect</f>
        <v>10</v>
      </c>
    </row>
    <row r="105" spans="1:6" ht="14.95" customHeight="1" thickBot="1" x14ac:dyDescent="0.3">
      <c r="A105" s="8" t="s">
        <v>993</v>
      </c>
      <c r="B105" s="8" t="s">
        <v>309</v>
      </c>
      <c r="C105" s="9">
        <f>Moore_Aionosartries</f>
        <v>2</v>
      </c>
      <c r="D105" s="21" t="s">
        <v>864</v>
      </c>
      <c r="E105" s="21" t="s">
        <v>81</v>
      </c>
      <c r="F105" s="19">
        <f>Griffinbthpts</f>
        <v>10</v>
      </c>
    </row>
    <row r="106" spans="1:6" ht="14.95" customHeight="1" thickBot="1" x14ac:dyDescent="0.3">
      <c r="A106" s="9" t="s">
        <v>655</v>
      </c>
      <c r="B106" s="9" t="s">
        <v>527</v>
      </c>
      <c r="C106" s="9">
        <f>Parlingleitries</f>
        <v>2</v>
      </c>
      <c r="D106" s="19" t="s">
        <v>558</v>
      </c>
      <c r="E106" s="19" t="s">
        <v>309</v>
      </c>
      <c r="F106" s="19">
        <f>Hadfieldsarpts</f>
        <v>10</v>
      </c>
    </row>
    <row r="107" spans="1:6" ht="14.95" customHeight="1" thickBot="1" x14ac:dyDescent="0.3">
      <c r="A107" s="8" t="s">
        <v>522</v>
      </c>
      <c r="B107" s="8" t="s">
        <v>87</v>
      </c>
      <c r="C107" s="9">
        <f>Porterhartries</f>
        <v>2</v>
      </c>
      <c r="D107" s="21" t="s">
        <v>693</v>
      </c>
      <c r="E107" s="21" t="s">
        <v>889</v>
      </c>
      <c r="F107" s="19">
        <f>Hearlenewpts</f>
        <v>10</v>
      </c>
    </row>
    <row r="108" spans="1:6" ht="14.95" customHeight="1" thickBot="1" x14ac:dyDescent="0.3">
      <c r="A108" s="8" t="s">
        <v>287</v>
      </c>
      <c r="B108" s="8" t="s">
        <v>80</v>
      </c>
      <c r="C108" s="9">
        <f>Quirkesaltries</f>
        <v>2</v>
      </c>
      <c r="D108" s="17" t="s">
        <v>207</v>
      </c>
      <c r="E108" s="17" t="s">
        <v>527</v>
      </c>
      <c r="F108" s="19">
        <f>Harrisonsampts</f>
        <v>10</v>
      </c>
    </row>
    <row r="109" spans="1:6" ht="14.95" customHeight="1" thickBot="1" x14ac:dyDescent="0.3">
      <c r="A109" s="8" t="s">
        <v>370</v>
      </c>
      <c r="B109" s="8" t="s">
        <v>81</v>
      </c>
      <c r="C109" s="9">
        <f>Richardsbthtries</f>
        <v>2</v>
      </c>
      <c r="D109" s="2" t="s">
        <v>807</v>
      </c>
      <c r="E109" s="2" t="s">
        <v>81</v>
      </c>
      <c r="F109" s="19">
        <f>HennesseyBTHpts</f>
        <v>10</v>
      </c>
    </row>
    <row r="110" spans="1:6" ht="14.95" customHeight="1" thickBot="1" x14ac:dyDescent="0.3">
      <c r="A110" s="61" t="s">
        <v>149</v>
      </c>
      <c r="B110" s="61" t="s">
        <v>88</v>
      </c>
      <c r="C110" s="9">
        <f>Skinner_Hexetries</f>
        <v>2</v>
      </c>
      <c r="D110" s="2" t="s">
        <v>465</v>
      </c>
      <c r="E110" s="2" t="s">
        <v>90</v>
      </c>
      <c r="F110" s="19">
        <f>Hewardbripts</f>
        <v>10</v>
      </c>
    </row>
    <row r="111" spans="1:6" ht="14.95" customHeight="1" thickBot="1" x14ac:dyDescent="0.3">
      <c r="A111" s="61" t="s">
        <v>283</v>
      </c>
      <c r="B111" s="61" t="s">
        <v>82</v>
      </c>
      <c r="C111" s="9">
        <f>Tonksnortries</f>
        <v>2</v>
      </c>
      <c r="D111" s="2" t="s">
        <v>360</v>
      </c>
      <c r="E111" s="2" t="s">
        <v>79</v>
      </c>
      <c r="F111" s="19">
        <f>Krielglopts</f>
        <v>10</v>
      </c>
    </row>
    <row r="112" spans="1:6" ht="14.95" customHeight="1" thickBot="1" x14ac:dyDescent="0.3">
      <c r="A112" s="61" t="s">
        <v>98</v>
      </c>
      <c r="B112" s="61" t="s">
        <v>81</v>
      </c>
      <c r="C112" s="9">
        <f>Spencer_Bbthtries</f>
        <v>2</v>
      </c>
      <c r="D112" s="2" t="s">
        <v>762</v>
      </c>
      <c r="E112" s="2" t="s">
        <v>82</v>
      </c>
      <c r="F112" s="20">
        <f>Kemenynorpts</f>
        <v>10</v>
      </c>
    </row>
    <row r="113" spans="1:6" ht="14.95" customHeight="1" thickBot="1" x14ac:dyDescent="0.3">
      <c r="A113" s="61" t="s">
        <v>388</v>
      </c>
      <c r="B113" s="61" t="s">
        <v>79</v>
      </c>
      <c r="C113" s="9">
        <f>Thomasglotries</f>
        <v>2</v>
      </c>
      <c r="D113" s="2" t="s">
        <v>290</v>
      </c>
      <c r="E113" s="2" t="s">
        <v>87</v>
      </c>
      <c r="F113" s="16">
        <f>Kenninghamharpts</f>
        <v>10</v>
      </c>
    </row>
    <row r="114" spans="1:6" ht="14.95" customHeight="1" thickBot="1" x14ac:dyDescent="0.3">
      <c r="A114" s="61" t="s">
        <v>1055</v>
      </c>
      <c r="B114" s="61" t="s">
        <v>527</v>
      </c>
      <c r="C114" s="9">
        <f>Thompsonleitries</f>
        <v>2</v>
      </c>
      <c r="D114" s="2" t="s">
        <v>1013</v>
      </c>
      <c r="E114" s="2" t="s">
        <v>889</v>
      </c>
      <c r="F114" s="16">
        <f>Mafinrbpts</f>
        <v>10</v>
      </c>
    </row>
    <row r="115" spans="1:6" ht="14.95" customHeight="1" thickBot="1" x14ac:dyDescent="0.3">
      <c r="A115" s="61" t="s">
        <v>1119</v>
      </c>
      <c r="B115" s="10" t="s">
        <v>81</v>
      </c>
      <c r="C115" s="9">
        <f>van_der_Lindebthtries</f>
        <v>2</v>
      </c>
      <c r="D115" s="2" t="s">
        <v>594</v>
      </c>
      <c r="E115" s="2" t="s">
        <v>90</v>
      </c>
      <c r="F115" s="16">
        <f>McNallylirpts</f>
        <v>10</v>
      </c>
    </row>
    <row r="116" spans="1:6" ht="14.95" customHeight="1" thickBot="1" x14ac:dyDescent="0.3">
      <c r="A116" s="61" t="s">
        <v>944</v>
      </c>
      <c r="B116" s="61" t="s">
        <v>82</v>
      </c>
      <c r="C116" s="9">
        <f>van_der_Meschtnortries</f>
        <v>2</v>
      </c>
      <c r="D116" s="2" t="s">
        <v>550</v>
      </c>
      <c r="E116" s="2" t="s">
        <v>889</v>
      </c>
      <c r="F116" s="16">
        <f>McCallumnewpts</f>
        <v>10</v>
      </c>
    </row>
    <row r="117" spans="1:6" ht="14.95" customHeight="1" thickBot="1" x14ac:dyDescent="0.3">
      <c r="A117" s="61" t="s">
        <v>1006</v>
      </c>
      <c r="B117" s="61" t="s">
        <v>79</v>
      </c>
      <c r="C117" s="9">
        <f>Wardglotries</f>
        <v>2</v>
      </c>
      <c r="D117" s="2" t="s">
        <v>492</v>
      </c>
      <c r="E117" s="2" t="s">
        <v>889</v>
      </c>
      <c r="F117" s="16">
        <f>McDonaldNEWpts</f>
        <v>10</v>
      </c>
    </row>
    <row r="118" spans="1:6" ht="14.95" customHeight="1" thickBot="1" x14ac:dyDescent="0.3">
      <c r="A118" s="61" t="s">
        <v>173</v>
      </c>
      <c r="B118" s="10" t="s">
        <v>80</v>
      </c>
      <c r="C118" s="9">
        <f>Vermeulensaltries</f>
        <v>2</v>
      </c>
      <c r="D118" s="2" t="s">
        <v>123</v>
      </c>
      <c r="E118" s="2" t="s">
        <v>82</v>
      </c>
      <c r="F118" s="16">
        <f>Mitchellnorpts</f>
        <v>10</v>
      </c>
    </row>
    <row r="119" spans="1:6" ht="14.95" customHeight="1" thickBot="1" x14ac:dyDescent="0.3">
      <c r="A119" s="61" t="s">
        <v>146</v>
      </c>
      <c r="B119" s="10" t="s">
        <v>527</v>
      </c>
      <c r="C119" s="9">
        <f>Wellsleictries</f>
        <v>2</v>
      </c>
      <c r="D119" s="2" t="s">
        <v>1064</v>
      </c>
      <c r="E119" s="2" t="s">
        <v>90</v>
      </c>
      <c r="F119" s="16">
        <f>Geraghtypts</f>
        <v>10</v>
      </c>
    </row>
    <row r="120" spans="1:6" ht="14.95" customHeight="1" thickBot="1" x14ac:dyDescent="0.3">
      <c r="A120" s="61" t="s">
        <v>302</v>
      </c>
      <c r="B120" s="10" t="s">
        <v>527</v>
      </c>
      <c r="C120" s="9">
        <f>WhiteleyLEItries</f>
        <v>2</v>
      </c>
      <c r="D120" s="2" t="s">
        <v>993</v>
      </c>
      <c r="E120" s="2" t="s">
        <v>309</v>
      </c>
      <c r="F120" s="16">
        <f>Moore_Aionosarpts</f>
        <v>10</v>
      </c>
    </row>
    <row r="121" spans="1:6" ht="14.95" customHeight="1" thickBot="1" x14ac:dyDescent="0.3">
      <c r="A121" s="61" t="s">
        <v>731</v>
      </c>
      <c r="B121" s="61" t="s">
        <v>80</v>
      </c>
      <c r="C121" s="9">
        <f>Webbersaltries</f>
        <v>2</v>
      </c>
      <c r="D121" s="17" t="s">
        <v>655</v>
      </c>
      <c r="E121" s="17" t="s">
        <v>527</v>
      </c>
      <c r="F121" s="16">
        <f>Parlingleipts</f>
        <v>10</v>
      </c>
    </row>
    <row r="122" spans="1:6" ht="14.95" customHeight="1" thickBot="1" x14ac:dyDescent="0.3">
      <c r="A122" s="61" t="s">
        <v>139</v>
      </c>
      <c r="B122" s="61" t="s">
        <v>88</v>
      </c>
      <c r="C122" s="9">
        <f>Yeandlejacktries</f>
        <v>2</v>
      </c>
      <c r="D122" s="2" t="s">
        <v>522</v>
      </c>
      <c r="E122" s="2" t="s">
        <v>87</v>
      </c>
      <c r="F122" s="16">
        <f>Porterharpts</f>
        <v>10</v>
      </c>
    </row>
    <row r="123" spans="1:6" ht="14.95" customHeight="1" thickBot="1" x14ac:dyDescent="0.3">
      <c r="A123" s="10" t="s">
        <v>726</v>
      </c>
      <c r="B123" s="10" t="s">
        <v>80</v>
      </c>
      <c r="C123" s="9">
        <f>Andrewssaltries</f>
        <v>1</v>
      </c>
      <c r="D123" s="2" t="s">
        <v>287</v>
      </c>
      <c r="E123" s="2" t="s">
        <v>80</v>
      </c>
      <c r="F123" s="16">
        <f>Quirkesalpts</f>
        <v>10</v>
      </c>
    </row>
    <row r="124" spans="1:6" ht="14.95" customHeight="1" thickBot="1" x14ac:dyDescent="0.3">
      <c r="A124" s="61" t="s">
        <v>368</v>
      </c>
      <c r="B124" s="61" t="s">
        <v>79</v>
      </c>
      <c r="C124" s="9">
        <f>Atkinson_Sglotries</f>
        <v>1</v>
      </c>
      <c r="D124" s="2" t="s">
        <v>370</v>
      </c>
      <c r="E124" s="2" t="s">
        <v>81</v>
      </c>
      <c r="F124" s="16">
        <f>Richardsbthpts</f>
        <v>10</v>
      </c>
    </row>
    <row r="125" spans="1:6" ht="14.95" customHeight="1" thickBot="1" x14ac:dyDescent="0.3">
      <c r="A125" s="61" t="s">
        <v>1066</v>
      </c>
      <c r="B125" s="61" t="s">
        <v>79</v>
      </c>
      <c r="C125" s="9">
        <f>Austinglotries</f>
        <v>1</v>
      </c>
      <c r="D125" s="2" t="s">
        <v>388</v>
      </c>
      <c r="E125" s="2" t="s">
        <v>79</v>
      </c>
      <c r="F125" s="16">
        <f>Thomasglopts</f>
        <v>10</v>
      </c>
    </row>
    <row r="126" spans="1:6" ht="14.95" customHeight="1" thickBot="1" x14ac:dyDescent="0.3">
      <c r="A126" s="61" t="s">
        <v>282</v>
      </c>
      <c r="B126" s="61" t="s">
        <v>90</v>
      </c>
      <c r="C126" s="9">
        <f>Batleybritriescorrect</f>
        <v>1</v>
      </c>
      <c r="D126" s="2" t="s">
        <v>1055</v>
      </c>
      <c r="E126" s="2" t="s">
        <v>527</v>
      </c>
      <c r="F126" s="16">
        <f>Thompsonleipts</f>
        <v>10</v>
      </c>
    </row>
    <row r="127" spans="1:6" ht="14.95" customHeight="1" thickBot="1" x14ac:dyDescent="0.3">
      <c r="A127" s="61" t="s">
        <v>102</v>
      </c>
      <c r="B127" s="61" t="s">
        <v>81</v>
      </c>
      <c r="C127" s="9">
        <f>Baylissbthtries</f>
        <v>1</v>
      </c>
      <c r="D127" s="2" t="s">
        <v>1119</v>
      </c>
      <c r="E127" s="201" t="s">
        <v>81</v>
      </c>
      <c r="F127" s="16">
        <f>van_der_Lindebthpts</f>
        <v>10</v>
      </c>
    </row>
    <row r="128" spans="1:6" ht="14.95" customHeight="1" thickBot="1" x14ac:dyDescent="0.3">
      <c r="A128" s="61" t="s">
        <v>364</v>
      </c>
      <c r="B128" s="61" t="s">
        <v>79</v>
      </c>
      <c r="C128" s="9">
        <f>Blakeglotries</f>
        <v>1</v>
      </c>
      <c r="D128" s="2" t="s">
        <v>944</v>
      </c>
      <c r="E128" s="2" t="s">
        <v>82</v>
      </c>
      <c r="F128" s="16">
        <f>van_der_Meschtnorpts</f>
        <v>10</v>
      </c>
    </row>
    <row r="129" spans="1:6" ht="14.95" customHeight="1" thickBot="1" x14ac:dyDescent="0.3">
      <c r="A129" s="61" t="s">
        <v>1128</v>
      </c>
      <c r="B129" s="61" t="s">
        <v>79</v>
      </c>
      <c r="C129" s="9">
        <f>Bleulerglotries</f>
        <v>1</v>
      </c>
      <c r="D129" s="2" t="s">
        <v>1006</v>
      </c>
      <c r="E129" s="2" t="s">
        <v>79</v>
      </c>
      <c r="F129" s="16">
        <f>Wardglopts</f>
        <v>10</v>
      </c>
    </row>
    <row r="130" spans="1:6" ht="14.95" customHeight="1" thickBot="1" x14ac:dyDescent="0.3">
      <c r="A130" s="61" t="s">
        <v>609</v>
      </c>
      <c r="B130" s="61" t="s">
        <v>90</v>
      </c>
      <c r="C130" s="9">
        <f>bedlowbritries</f>
        <v>1</v>
      </c>
      <c r="D130" s="2" t="s">
        <v>173</v>
      </c>
      <c r="E130" s="2" t="s">
        <v>80</v>
      </c>
      <c r="F130" s="16">
        <f>Vermeulensalpts</f>
        <v>10</v>
      </c>
    </row>
    <row r="131" spans="1:6" ht="14.95" customHeight="1" thickBot="1" x14ac:dyDescent="0.3">
      <c r="A131" s="61" t="s">
        <v>868</v>
      </c>
      <c r="B131" s="61" t="s">
        <v>309</v>
      </c>
      <c r="C131" s="9">
        <f>Bracken_CSARTRIES</f>
        <v>1</v>
      </c>
      <c r="D131" s="2" t="s">
        <v>146</v>
      </c>
      <c r="E131" s="2" t="s">
        <v>527</v>
      </c>
      <c r="F131" s="426">
        <f>Wellsleicpts</f>
        <v>10</v>
      </c>
    </row>
    <row r="132" spans="1:6" ht="14.95" customHeight="1" thickBot="1" x14ac:dyDescent="0.3">
      <c r="A132" s="61" t="s">
        <v>743</v>
      </c>
      <c r="B132" s="61" t="s">
        <v>309</v>
      </c>
      <c r="C132" s="9">
        <f>Carresartries</f>
        <v>1</v>
      </c>
      <c r="D132" s="2" t="s">
        <v>302</v>
      </c>
      <c r="E132" s="2" t="s">
        <v>527</v>
      </c>
      <c r="F132" s="426">
        <f>WhiteleyLEIpts</f>
        <v>10</v>
      </c>
    </row>
    <row r="133" spans="1:6" ht="14.95" customHeight="1" thickBot="1" x14ac:dyDescent="0.3">
      <c r="A133" s="61" t="s">
        <v>267</v>
      </c>
      <c r="B133" s="61" t="s">
        <v>81</v>
      </c>
      <c r="C133" s="9">
        <f>Carrerasbthtries</f>
        <v>1</v>
      </c>
      <c r="D133" s="2" t="s">
        <v>731</v>
      </c>
      <c r="E133" s="2" t="s">
        <v>80</v>
      </c>
      <c r="F133" s="16">
        <f>Webbersalpts</f>
        <v>10</v>
      </c>
    </row>
    <row r="134" spans="1:6" ht="14.95" customHeight="1" thickBot="1" x14ac:dyDescent="0.3">
      <c r="A134" s="61" t="s">
        <v>907</v>
      </c>
      <c r="B134" s="61" t="s">
        <v>90</v>
      </c>
      <c r="C134" s="9">
        <f>CaulfieldBRItries</f>
        <v>1</v>
      </c>
      <c r="D134" s="2" t="s">
        <v>139</v>
      </c>
      <c r="E134" s="2" t="s">
        <v>88</v>
      </c>
      <c r="F134" s="22">
        <f>Yeandlejackpts</f>
        <v>10</v>
      </c>
    </row>
    <row r="135" spans="1:6" ht="14.95" customHeight="1" thickBot="1" x14ac:dyDescent="0.3">
      <c r="A135" s="12" t="s">
        <v>277</v>
      </c>
      <c r="B135" s="10" t="s">
        <v>527</v>
      </c>
      <c r="C135" s="6">
        <f>Chessumleictries</f>
        <v>1</v>
      </c>
      <c r="D135" s="2" t="s">
        <v>346</v>
      </c>
      <c r="E135" s="2" t="s">
        <v>87</v>
      </c>
      <c r="F135" s="22">
        <f>Bensonharpts</f>
        <v>8</v>
      </c>
    </row>
    <row r="136" spans="1:6" ht="14.95" customHeight="1" thickBot="1" x14ac:dyDescent="0.3">
      <c r="A136" s="61" t="s">
        <v>824</v>
      </c>
      <c r="B136" s="61" t="s">
        <v>889</v>
      </c>
      <c r="C136" s="9">
        <f>Clarknewtries</f>
        <v>1</v>
      </c>
      <c r="D136" s="2" t="s">
        <v>112</v>
      </c>
      <c r="E136" s="2" t="s">
        <v>82</v>
      </c>
      <c r="F136" s="446">
        <f>Furbanknorptscorrect</f>
        <v>7</v>
      </c>
    </row>
    <row r="137" spans="1:6" ht="14.95" customHeight="1" thickBot="1" x14ac:dyDescent="0.3">
      <c r="A137" s="61" t="s">
        <v>1014</v>
      </c>
      <c r="B137" s="61" t="s">
        <v>889</v>
      </c>
      <c r="C137" s="9">
        <f>Coetzeenrbtries</f>
        <v>1</v>
      </c>
      <c r="D137" s="2" t="s">
        <v>114</v>
      </c>
      <c r="E137" s="2" t="s">
        <v>82</v>
      </c>
      <c r="F137" s="22">
        <f>Hutchinsonnorpts</f>
        <v>7</v>
      </c>
    </row>
    <row r="138" spans="1:6" ht="14.95" customHeight="1" thickBot="1" x14ac:dyDescent="0.3">
      <c r="A138" s="61" t="s">
        <v>106</v>
      </c>
      <c r="B138" s="61" t="s">
        <v>81</v>
      </c>
      <c r="C138" s="9">
        <f>Cokanasigabthtries</f>
        <v>1</v>
      </c>
      <c r="D138" s="2" t="s">
        <v>83</v>
      </c>
      <c r="E138" s="2" t="s">
        <v>527</v>
      </c>
      <c r="F138" s="446">
        <f>leicspentriespts</f>
        <v>7</v>
      </c>
    </row>
    <row r="139" spans="1:6" ht="14.95" customHeight="1" thickBot="1" x14ac:dyDescent="0.3">
      <c r="A139" s="61" t="s">
        <v>578</v>
      </c>
      <c r="B139" s="61" t="s">
        <v>87</v>
      </c>
      <c r="C139" s="9">
        <f>Cunningham_Sthhartries</f>
        <v>1</v>
      </c>
      <c r="D139" s="2" t="s">
        <v>171</v>
      </c>
      <c r="E139" s="2" t="s">
        <v>79</v>
      </c>
      <c r="F139" s="22">
        <f>Bartonglopts</f>
        <v>6</v>
      </c>
    </row>
    <row r="140" spans="1:6" ht="14.95" customHeight="1" thickBot="1" x14ac:dyDescent="0.3">
      <c r="A140" s="10" t="s">
        <v>175</v>
      </c>
      <c r="B140" s="61" t="s">
        <v>80</v>
      </c>
      <c r="C140" s="9">
        <f>du_Preez_Dsaltries</f>
        <v>1</v>
      </c>
      <c r="D140" s="2" t="s">
        <v>726</v>
      </c>
      <c r="E140" s="2" t="s">
        <v>80</v>
      </c>
      <c r="F140" s="22">
        <f>Andrewssalpts</f>
        <v>5</v>
      </c>
    </row>
    <row r="141" spans="1:6" ht="14.95" customHeight="1" thickBot="1" x14ac:dyDescent="0.3">
      <c r="A141" s="61" t="s">
        <v>881</v>
      </c>
      <c r="B141" s="61" t="s">
        <v>79</v>
      </c>
      <c r="C141" s="9">
        <f>Edwards_Giraudglotries</f>
        <v>1</v>
      </c>
      <c r="D141" s="2" t="s">
        <v>368</v>
      </c>
      <c r="E141" s="2" t="s">
        <v>79</v>
      </c>
      <c r="F141" s="23">
        <f>Atkinson_Sglopts</f>
        <v>5</v>
      </c>
    </row>
    <row r="142" spans="1:6" ht="14.95" customHeight="1" thickBot="1" x14ac:dyDescent="0.3">
      <c r="A142" s="61" t="s">
        <v>112</v>
      </c>
      <c r="B142" s="61" t="s">
        <v>82</v>
      </c>
      <c r="C142" s="9">
        <f>Furbanknortriescorrect</f>
        <v>1</v>
      </c>
      <c r="D142" s="2" t="s">
        <v>1066</v>
      </c>
      <c r="E142" s="2" t="s">
        <v>79</v>
      </c>
      <c r="F142" s="23">
        <f>Austinglopts</f>
        <v>5</v>
      </c>
    </row>
    <row r="143" spans="1:6" ht="14.95" customHeight="1" thickBot="1" x14ac:dyDescent="0.3">
      <c r="A143" s="61" t="s">
        <v>113</v>
      </c>
      <c r="B143" s="61" t="s">
        <v>90</v>
      </c>
      <c r="C143" s="9">
        <f>Frischbritries</f>
        <v>1</v>
      </c>
      <c r="D143" s="17" t="s">
        <v>282</v>
      </c>
      <c r="E143" s="17" t="s">
        <v>90</v>
      </c>
      <c r="F143" s="23">
        <f>Batleybriptscorrect</f>
        <v>5</v>
      </c>
    </row>
    <row r="144" spans="1:6" ht="14.95" customHeight="1" thickBot="1" x14ac:dyDescent="0.3">
      <c r="A144" s="61" t="s">
        <v>763</v>
      </c>
      <c r="B144" s="61" t="s">
        <v>889</v>
      </c>
      <c r="C144" s="9">
        <f>Graysonnewtries</f>
        <v>1</v>
      </c>
      <c r="D144" s="2" t="s">
        <v>102</v>
      </c>
      <c r="E144" s="2" t="s">
        <v>81</v>
      </c>
      <c r="F144" s="23">
        <f>Baylissbthpts</f>
        <v>5</v>
      </c>
    </row>
    <row r="145" spans="1:6" ht="14.95" customHeight="1" thickBot="1" x14ac:dyDescent="0.3">
      <c r="A145" s="61" t="s">
        <v>604</v>
      </c>
      <c r="B145" s="61" t="s">
        <v>90</v>
      </c>
      <c r="C145" s="48">
        <f>Grondona_Sbritries</f>
        <v>1</v>
      </c>
      <c r="D145" s="2" t="s">
        <v>364</v>
      </c>
      <c r="E145" s="2" t="s">
        <v>79</v>
      </c>
      <c r="F145" s="23">
        <f>Blakeglopts</f>
        <v>5</v>
      </c>
    </row>
    <row r="146" spans="1:6" ht="14.95" customHeight="1" thickBot="1" x14ac:dyDescent="0.3">
      <c r="A146" s="61" t="s">
        <v>482</v>
      </c>
      <c r="B146" s="61" t="s">
        <v>88</v>
      </c>
      <c r="C146" s="9">
        <f>HammersleyEXEtries</f>
        <v>1</v>
      </c>
      <c r="D146" s="2" t="s">
        <v>1128</v>
      </c>
      <c r="E146" s="201" t="s">
        <v>79</v>
      </c>
      <c r="F146" s="23">
        <f>Bleulerglopts</f>
        <v>5</v>
      </c>
    </row>
    <row r="147" spans="1:6" ht="14.95" customHeight="1" thickBot="1" x14ac:dyDescent="0.3">
      <c r="A147" s="61" t="s">
        <v>1121</v>
      </c>
      <c r="B147" s="61" t="s">
        <v>889</v>
      </c>
      <c r="C147" s="9">
        <f>Hancok__Connornrbtries</f>
        <v>1</v>
      </c>
      <c r="D147" s="2" t="s">
        <v>609</v>
      </c>
      <c r="E147" s="2" t="s">
        <v>90</v>
      </c>
      <c r="F147" s="23">
        <f>Bedlowbripts</f>
        <v>5</v>
      </c>
    </row>
    <row r="148" spans="1:6" ht="14.95" customHeight="1" thickBot="1" x14ac:dyDescent="0.3">
      <c r="A148" s="61" t="s">
        <v>513</v>
      </c>
      <c r="B148" s="10" t="s">
        <v>527</v>
      </c>
      <c r="C148" s="9">
        <f>Hassell_CollinsLEItries</f>
        <v>1</v>
      </c>
      <c r="D148" s="2" t="s">
        <v>868</v>
      </c>
      <c r="E148" s="2" t="s">
        <v>309</v>
      </c>
      <c r="F148" s="23">
        <f>Bracken_CSARPTS</f>
        <v>5</v>
      </c>
    </row>
    <row r="149" spans="1:6" ht="14.95" customHeight="1" thickBot="1" x14ac:dyDescent="0.3">
      <c r="A149" s="61" t="s">
        <v>580</v>
      </c>
      <c r="B149" s="61" t="s">
        <v>79</v>
      </c>
      <c r="C149" s="9">
        <f>HathawayGLOtries</f>
        <v>1</v>
      </c>
      <c r="D149" s="2" t="s">
        <v>743</v>
      </c>
      <c r="E149" s="2" t="s">
        <v>309</v>
      </c>
      <c r="F149" s="23">
        <f>Carresarpts</f>
        <v>5</v>
      </c>
    </row>
    <row r="150" spans="1:6" ht="14.95" customHeight="1" thickBot="1" x14ac:dyDescent="0.3">
      <c r="A150" s="61" t="s">
        <v>236</v>
      </c>
      <c r="B150" s="10" t="s">
        <v>527</v>
      </c>
      <c r="C150" s="9">
        <f>Holmesleictries</f>
        <v>1</v>
      </c>
      <c r="D150" s="2" t="s">
        <v>907</v>
      </c>
      <c r="E150" s="2" t="s">
        <v>90</v>
      </c>
      <c r="F150" s="23">
        <f>CaulfieldBRIpts</f>
        <v>5</v>
      </c>
    </row>
    <row r="151" spans="1:6" ht="14.95" customHeight="1" thickBot="1" x14ac:dyDescent="0.3">
      <c r="A151" s="10" t="s">
        <v>142</v>
      </c>
      <c r="B151" s="10" t="s">
        <v>81</v>
      </c>
      <c r="C151" s="9">
        <f>Hillbthtries</f>
        <v>1</v>
      </c>
      <c r="D151" s="2" t="s">
        <v>277</v>
      </c>
      <c r="E151" s="2" t="s">
        <v>527</v>
      </c>
      <c r="F151" s="23">
        <f>Chessumleicpts</f>
        <v>5</v>
      </c>
    </row>
    <row r="152" spans="1:6" ht="14.95" customHeight="1" thickBot="1" x14ac:dyDescent="0.3">
      <c r="A152" s="61" t="s">
        <v>114</v>
      </c>
      <c r="B152" s="61" t="s">
        <v>82</v>
      </c>
      <c r="C152" s="9">
        <f>Hutchinsonnortries</f>
        <v>1</v>
      </c>
      <c r="D152" s="2" t="s">
        <v>824</v>
      </c>
      <c r="E152" s="2" t="s">
        <v>889</v>
      </c>
      <c r="F152" s="23">
        <f>Clarknewpts</f>
        <v>5</v>
      </c>
    </row>
    <row r="153" spans="1:6" ht="14.95" customHeight="1" thickBot="1" x14ac:dyDescent="0.3">
      <c r="A153" s="61" t="s">
        <v>453</v>
      </c>
      <c r="B153" s="61" t="s">
        <v>90</v>
      </c>
      <c r="C153" s="9">
        <f>Hughesbritries</f>
        <v>1</v>
      </c>
      <c r="D153" s="2" t="s">
        <v>1014</v>
      </c>
      <c r="E153" s="2" t="s">
        <v>889</v>
      </c>
      <c r="F153" s="23">
        <f>Coetzeenrbpts</f>
        <v>5</v>
      </c>
    </row>
    <row r="154" spans="1:6" ht="14.95" customHeight="1" thickBot="1" x14ac:dyDescent="0.3">
      <c r="A154" s="61" t="s">
        <v>405</v>
      </c>
      <c r="B154" s="10" t="s">
        <v>527</v>
      </c>
      <c r="C154" s="9">
        <f>Ilioneleitries</f>
        <v>1</v>
      </c>
      <c r="D154" s="2" t="s">
        <v>106</v>
      </c>
      <c r="E154" s="2" t="s">
        <v>81</v>
      </c>
      <c r="F154" s="23">
        <f>Cokanasigabthpts</f>
        <v>5</v>
      </c>
    </row>
    <row r="155" spans="1:6" ht="14.95" customHeight="1" thickBot="1" x14ac:dyDescent="0.3">
      <c r="A155" s="61" t="s">
        <v>256</v>
      </c>
      <c r="B155" s="61" t="s">
        <v>309</v>
      </c>
      <c r="C155" s="9">
        <f>Isiekwesartriescorrect</f>
        <v>1</v>
      </c>
      <c r="D155" s="2" t="s">
        <v>578</v>
      </c>
      <c r="E155" s="2" t="s">
        <v>87</v>
      </c>
      <c r="F155" s="23">
        <f>Cunningham_Sthharpts</f>
        <v>5</v>
      </c>
    </row>
    <row r="156" spans="1:6" ht="14.95" customHeight="1" thickBot="1" x14ac:dyDescent="0.3">
      <c r="A156" s="61" t="s">
        <v>1056</v>
      </c>
      <c r="B156" s="61" t="s">
        <v>90</v>
      </c>
      <c r="C156" s="9">
        <f>Ivanishvilibritries</f>
        <v>1</v>
      </c>
      <c r="D156" s="17" t="s">
        <v>175</v>
      </c>
      <c r="E156" s="2" t="s">
        <v>80</v>
      </c>
      <c r="F156" s="23">
        <f>du_Preez_Dsalpts</f>
        <v>5</v>
      </c>
    </row>
    <row r="157" spans="1:6" ht="14.95" customHeight="1" thickBot="1" x14ac:dyDescent="0.3">
      <c r="A157" s="61" t="s">
        <v>381</v>
      </c>
      <c r="B157" s="61" t="s">
        <v>309</v>
      </c>
      <c r="C157" s="9">
        <f>Jacksonsartries</f>
        <v>1</v>
      </c>
      <c r="D157" s="2" t="s">
        <v>881</v>
      </c>
      <c r="E157" s="2" t="s">
        <v>79</v>
      </c>
      <c r="F157" s="23">
        <f>Edwards_Giraudglopts</f>
        <v>5</v>
      </c>
    </row>
    <row r="158" spans="1:6" ht="14.95" customHeight="1" thickBot="1" x14ac:dyDescent="0.3">
      <c r="A158" s="61" t="s">
        <v>1002</v>
      </c>
      <c r="B158" s="61" t="s">
        <v>90</v>
      </c>
      <c r="C158" s="9">
        <f>JordanBRITRIES</f>
        <v>1</v>
      </c>
      <c r="D158" s="2" t="s">
        <v>113</v>
      </c>
      <c r="E158" s="2" t="s">
        <v>90</v>
      </c>
      <c r="F158" s="23">
        <f>Frischbripts</f>
        <v>5</v>
      </c>
    </row>
    <row r="159" spans="1:6" ht="14.95" customHeight="1" thickBot="1" x14ac:dyDescent="0.3">
      <c r="A159" s="61" t="s">
        <v>394</v>
      </c>
      <c r="B159" s="10" t="s">
        <v>527</v>
      </c>
      <c r="C159" s="9">
        <f>Jansenleitries</f>
        <v>1</v>
      </c>
      <c r="D159" s="2" t="s">
        <v>763</v>
      </c>
      <c r="E159" s="2" t="s">
        <v>889</v>
      </c>
      <c r="F159" s="19">
        <f>Graysonnewpts</f>
        <v>5</v>
      </c>
    </row>
    <row r="160" spans="1:6" ht="14.95" customHeight="1" thickBot="1" x14ac:dyDescent="0.3">
      <c r="A160" s="61" t="s">
        <v>1065</v>
      </c>
      <c r="B160" s="61" t="s">
        <v>79</v>
      </c>
      <c r="C160" s="9">
        <f>Knight_Cglotries</f>
        <v>1</v>
      </c>
      <c r="D160" s="2" t="s">
        <v>604</v>
      </c>
      <c r="E160" s="2" t="s">
        <v>90</v>
      </c>
      <c r="F160" s="16">
        <f>Grondona_Sbripts</f>
        <v>5</v>
      </c>
    </row>
    <row r="161" spans="1:6" ht="14.95" customHeight="1" thickBot="1" x14ac:dyDescent="0.3">
      <c r="A161" s="61" t="s">
        <v>909</v>
      </c>
      <c r="B161" s="10" t="s">
        <v>79</v>
      </c>
      <c r="C161" s="9">
        <f>Knight_Wglotries</f>
        <v>1</v>
      </c>
      <c r="D161" s="2" t="s">
        <v>482</v>
      </c>
      <c r="E161" s="2" t="s">
        <v>88</v>
      </c>
      <c r="F161" s="19">
        <f>HammersleyEXEpts</f>
        <v>5</v>
      </c>
    </row>
    <row r="162" spans="1:6" ht="14.95" customHeight="1" thickBot="1" x14ac:dyDescent="0.3">
      <c r="A162" s="61" t="s">
        <v>576</v>
      </c>
      <c r="B162" s="61" t="s">
        <v>82</v>
      </c>
      <c r="C162" s="9">
        <f>LangdonNORtries</f>
        <v>1</v>
      </c>
      <c r="D162" s="2" t="s">
        <v>1121</v>
      </c>
      <c r="E162" s="2" t="s">
        <v>889</v>
      </c>
      <c r="F162" s="19">
        <f>Hancok__Connornrbpts</f>
        <v>5</v>
      </c>
    </row>
    <row r="163" spans="1:6" ht="14.95" customHeight="1" thickBot="1" x14ac:dyDescent="0.3">
      <c r="A163" s="10" t="s">
        <v>209</v>
      </c>
      <c r="B163" s="10" t="s">
        <v>527</v>
      </c>
      <c r="C163" s="9">
        <f>Liebenbergleictries</f>
        <v>1</v>
      </c>
      <c r="D163" s="2" t="s">
        <v>513</v>
      </c>
      <c r="E163" s="2" t="s">
        <v>527</v>
      </c>
      <c r="F163" s="18">
        <f>Hassell_CollinsLEIpts</f>
        <v>5</v>
      </c>
    </row>
    <row r="164" spans="1:6" ht="14.95" customHeight="1" thickBot="1" x14ac:dyDescent="0.3">
      <c r="A164" s="61" t="s">
        <v>1010</v>
      </c>
      <c r="B164" s="61" t="s">
        <v>79</v>
      </c>
      <c r="C164" s="10">
        <f>Loaderglotries</f>
        <v>1</v>
      </c>
      <c r="D164" s="2" t="s">
        <v>486</v>
      </c>
      <c r="E164" s="2" t="s">
        <v>79</v>
      </c>
      <c r="F164" s="19">
        <f>HathawayGLOpts</f>
        <v>5</v>
      </c>
    </row>
    <row r="165" spans="1:6" ht="14.95" customHeight="1" thickBot="1" x14ac:dyDescent="0.3">
      <c r="A165" s="61" t="s">
        <v>120</v>
      </c>
      <c r="B165" s="61" t="s">
        <v>90</v>
      </c>
      <c r="C165" s="10">
        <f>Marshalllirtries</f>
        <v>1</v>
      </c>
      <c r="D165" s="2" t="s">
        <v>236</v>
      </c>
      <c r="E165" s="2" t="s">
        <v>527</v>
      </c>
      <c r="F165" s="20">
        <f>Holmesleicpts</f>
        <v>5</v>
      </c>
    </row>
    <row r="166" spans="1:6" ht="14.95" customHeight="1" thickBot="1" x14ac:dyDescent="0.3">
      <c r="A166" s="61" t="s">
        <v>121</v>
      </c>
      <c r="B166" s="61" t="s">
        <v>79</v>
      </c>
      <c r="C166" s="10">
        <f>Ludlowglotries</f>
        <v>1</v>
      </c>
      <c r="D166" s="21" t="s">
        <v>142</v>
      </c>
      <c r="E166" s="21" t="s">
        <v>81</v>
      </c>
      <c r="F166" s="19">
        <f>Hillbthpts</f>
        <v>5</v>
      </c>
    </row>
    <row r="167" spans="1:6" ht="14.95" customHeight="1" thickBot="1" x14ac:dyDescent="0.3">
      <c r="A167" s="61" t="s">
        <v>719</v>
      </c>
      <c r="B167" s="61" t="s">
        <v>80</v>
      </c>
      <c r="C167" s="10">
        <f>Jamessaltries</f>
        <v>1</v>
      </c>
      <c r="D167" s="21" t="s">
        <v>453</v>
      </c>
      <c r="E167" s="21" t="s">
        <v>90</v>
      </c>
      <c r="F167" s="19">
        <f>Hughesbripts</f>
        <v>5</v>
      </c>
    </row>
    <row r="168" spans="1:6" ht="14.95" customHeight="1" thickBot="1" x14ac:dyDescent="0.3">
      <c r="A168" s="8" t="s">
        <v>317</v>
      </c>
      <c r="B168" s="8" t="s">
        <v>309</v>
      </c>
      <c r="C168" s="10">
        <f>Mawisartriescorrect</f>
        <v>1</v>
      </c>
      <c r="D168" s="21" t="s">
        <v>405</v>
      </c>
      <c r="E168" s="21" t="s">
        <v>527</v>
      </c>
      <c r="F168" s="18">
        <f>Ilioneleipts</f>
        <v>5</v>
      </c>
    </row>
    <row r="169" spans="1:6" ht="14.95" customHeight="1" thickBot="1" x14ac:dyDescent="0.3">
      <c r="A169" s="8" t="s">
        <v>225</v>
      </c>
      <c r="B169" s="8" t="s">
        <v>81</v>
      </c>
      <c r="C169" s="9">
        <f>Muirbthtries</f>
        <v>1</v>
      </c>
      <c r="D169" s="21" t="s">
        <v>256</v>
      </c>
      <c r="E169" s="21" t="s">
        <v>309</v>
      </c>
      <c r="F169" s="19">
        <f>Isiekwesarptscorrect</f>
        <v>5</v>
      </c>
    </row>
    <row r="170" spans="1:6" ht="14.95" customHeight="1" thickBot="1" x14ac:dyDescent="0.3">
      <c r="A170" s="8" t="s">
        <v>160</v>
      </c>
      <c r="B170" s="8" t="s">
        <v>87</v>
      </c>
      <c r="C170" s="9">
        <f>Murleyhartries</f>
        <v>1</v>
      </c>
      <c r="D170" s="21" t="s">
        <v>1056</v>
      </c>
      <c r="E170" s="21" t="s">
        <v>90</v>
      </c>
      <c r="F170" s="19">
        <f>Ivanishvilibripts</f>
        <v>5</v>
      </c>
    </row>
    <row r="171" spans="1:6" ht="14.95" customHeight="1" thickBot="1" x14ac:dyDescent="0.3">
      <c r="A171" s="8" t="s">
        <v>199</v>
      </c>
      <c r="B171" s="8" t="s">
        <v>87</v>
      </c>
      <c r="C171" s="9">
        <f>Northmorehartries</f>
        <v>1</v>
      </c>
      <c r="D171" s="21" t="s">
        <v>381</v>
      </c>
      <c r="E171" s="21" t="s">
        <v>309</v>
      </c>
      <c r="F171" s="20">
        <f>Jacksonsarpts</f>
        <v>5</v>
      </c>
    </row>
    <row r="172" spans="1:6" ht="14.95" customHeight="1" thickBot="1" x14ac:dyDescent="0.3">
      <c r="A172" s="8" t="s">
        <v>319</v>
      </c>
      <c r="B172" s="8" t="s">
        <v>889</v>
      </c>
      <c r="C172" s="6">
        <f>Obatoyinbonewtries</f>
        <v>1</v>
      </c>
      <c r="D172" s="21" t="s">
        <v>394</v>
      </c>
      <c r="E172" s="21" t="s">
        <v>527</v>
      </c>
      <c r="F172" s="18">
        <f>Jansenleipts</f>
        <v>5</v>
      </c>
    </row>
    <row r="173" spans="1:6" ht="14.95" customHeight="1" thickBot="1" x14ac:dyDescent="0.3">
      <c r="A173" s="8" t="s">
        <v>1058</v>
      </c>
      <c r="B173" s="9" t="s">
        <v>889</v>
      </c>
      <c r="C173" s="9">
        <f>Itojesartries</f>
        <v>1</v>
      </c>
      <c r="D173" s="21" t="s">
        <v>1065</v>
      </c>
      <c r="E173" s="21" t="s">
        <v>79</v>
      </c>
      <c r="F173" s="19">
        <f>Knight_Cglopts</f>
        <v>5</v>
      </c>
    </row>
    <row r="174" spans="1:6" ht="14.95" customHeight="1" thickBot="1" x14ac:dyDescent="0.3">
      <c r="A174" s="8" t="s">
        <v>339</v>
      </c>
      <c r="B174" s="8" t="s">
        <v>81</v>
      </c>
      <c r="C174" s="9">
        <f>OjomohBTHTRIES</f>
        <v>1</v>
      </c>
      <c r="D174" s="21" t="s">
        <v>909</v>
      </c>
      <c r="E174" s="21" t="s">
        <v>79</v>
      </c>
      <c r="F174" s="19">
        <f>Knight_Wglopts</f>
        <v>5</v>
      </c>
    </row>
    <row r="175" spans="1:6" ht="14.95" customHeight="1" thickBot="1" x14ac:dyDescent="0.3">
      <c r="A175" s="8" t="s">
        <v>480</v>
      </c>
      <c r="B175" s="8" t="s">
        <v>90</v>
      </c>
      <c r="C175" s="9">
        <f>OwenBRItries</f>
        <v>1</v>
      </c>
      <c r="D175" s="21" t="s">
        <v>707</v>
      </c>
      <c r="E175" s="21" t="s">
        <v>82</v>
      </c>
      <c r="F175" s="19">
        <f>LangdonNORpts</f>
        <v>5</v>
      </c>
    </row>
    <row r="176" spans="1:6" ht="14.95" customHeight="1" thickBot="1" x14ac:dyDescent="0.3">
      <c r="A176" s="295" t="s">
        <v>687</v>
      </c>
      <c r="B176" s="295" t="s">
        <v>889</v>
      </c>
      <c r="C176" s="86">
        <f>Palframannewtries</f>
        <v>1</v>
      </c>
      <c r="D176" s="19" t="s">
        <v>209</v>
      </c>
      <c r="E176" s="19" t="s">
        <v>527</v>
      </c>
      <c r="F176" s="19">
        <f>Liebenbergleicpts</f>
        <v>5</v>
      </c>
    </row>
    <row r="177" spans="1:6" ht="14.95" customHeight="1" thickBot="1" x14ac:dyDescent="0.3">
      <c r="A177" s="8" t="s">
        <v>852</v>
      </c>
      <c r="B177" s="9" t="s">
        <v>889</v>
      </c>
      <c r="C177" s="9">
        <f>Parsonsnewtries</f>
        <v>1</v>
      </c>
      <c r="D177" s="21" t="s">
        <v>1010</v>
      </c>
      <c r="E177" s="21" t="s">
        <v>79</v>
      </c>
      <c r="F177" s="19">
        <f>Loaderglopts</f>
        <v>5</v>
      </c>
    </row>
    <row r="178" spans="1:6" ht="14.95" customHeight="1" thickBot="1" x14ac:dyDescent="0.3">
      <c r="A178" s="8" t="s">
        <v>83</v>
      </c>
      <c r="B178" s="9" t="s">
        <v>527</v>
      </c>
      <c r="C178" s="9">
        <f>leicspentriestries</f>
        <v>1</v>
      </c>
      <c r="D178" s="21" t="s">
        <v>120</v>
      </c>
      <c r="E178" s="21" t="s">
        <v>90</v>
      </c>
      <c r="F178" s="19">
        <f>Marshalllirpts</f>
        <v>5</v>
      </c>
    </row>
    <row r="179" spans="1:6" ht="14.95" customHeight="1" thickBot="1" x14ac:dyDescent="0.3">
      <c r="A179" s="8" t="s">
        <v>127</v>
      </c>
      <c r="B179" s="8" t="s">
        <v>79</v>
      </c>
      <c r="C179" s="9">
        <f>Rapava_Ruskinglotries</f>
        <v>1</v>
      </c>
      <c r="D179" s="21" t="s">
        <v>121</v>
      </c>
      <c r="E179" s="21" t="s">
        <v>79</v>
      </c>
      <c r="F179" s="19">
        <f>Ludlowglopts</f>
        <v>5</v>
      </c>
    </row>
    <row r="180" spans="1:6" ht="14.95" customHeight="1" thickBot="1" x14ac:dyDescent="0.3">
      <c r="A180" s="8" t="s">
        <v>273</v>
      </c>
      <c r="B180" s="8" t="s">
        <v>80</v>
      </c>
      <c r="C180" s="9">
        <f>Roddsaltries</f>
        <v>1</v>
      </c>
      <c r="D180" s="21" t="s">
        <v>719</v>
      </c>
      <c r="E180" s="21" t="s">
        <v>80</v>
      </c>
      <c r="F180" s="19">
        <f>Jamessalpts</f>
        <v>5</v>
      </c>
    </row>
    <row r="181" spans="1:6" ht="14.95" customHeight="1" thickBot="1" x14ac:dyDescent="0.3">
      <c r="A181" s="8" t="s">
        <v>507</v>
      </c>
      <c r="B181" s="8" t="s">
        <v>81</v>
      </c>
      <c r="C181" s="48">
        <f>Russellbthtries</f>
        <v>1</v>
      </c>
      <c r="D181" s="21" t="s">
        <v>317</v>
      </c>
      <c r="E181" s="21" t="s">
        <v>309</v>
      </c>
      <c r="F181" s="19">
        <f>Mawisarptscorrect</f>
        <v>5</v>
      </c>
    </row>
    <row r="182" spans="1:6" ht="14.95" customHeight="1" thickBot="1" x14ac:dyDescent="0.3">
      <c r="A182" s="8" t="s">
        <v>959</v>
      </c>
      <c r="B182" s="9" t="s">
        <v>527</v>
      </c>
      <c r="C182" s="9">
        <f>RogersonLEItries</f>
        <v>1</v>
      </c>
      <c r="D182" s="21" t="s">
        <v>225</v>
      </c>
      <c r="E182" s="21" t="s">
        <v>81</v>
      </c>
      <c r="F182" s="19">
        <f>Muirbthpts</f>
        <v>5</v>
      </c>
    </row>
    <row r="183" spans="1:6" ht="14.95" customHeight="1" thickBot="1" x14ac:dyDescent="0.3">
      <c r="A183" s="8" t="s">
        <v>322</v>
      </c>
      <c r="B183" s="8" t="s">
        <v>309</v>
      </c>
      <c r="C183" s="9">
        <f>Segunsartriescorrect</f>
        <v>1</v>
      </c>
      <c r="D183" s="21" t="s">
        <v>160</v>
      </c>
      <c r="E183" s="21" t="s">
        <v>87</v>
      </c>
      <c r="F183" s="19">
        <f>Murleyharpts</f>
        <v>5</v>
      </c>
    </row>
    <row r="184" spans="1:6" ht="14.95" customHeight="1" thickBot="1" x14ac:dyDescent="0.3">
      <c r="A184" s="8" t="s">
        <v>989</v>
      </c>
      <c r="B184" s="8" t="s">
        <v>81</v>
      </c>
      <c r="C184" s="9">
        <f>Selabthtries</f>
        <v>1</v>
      </c>
      <c r="D184" s="21" t="s">
        <v>199</v>
      </c>
      <c r="E184" s="21" t="s">
        <v>87</v>
      </c>
      <c r="F184" s="19">
        <f>Northmoreharpts</f>
        <v>5</v>
      </c>
    </row>
    <row r="185" spans="1:6" ht="14.95" customHeight="1" thickBot="1" x14ac:dyDescent="0.3">
      <c r="A185" s="8" t="s">
        <v>442</v>
      </c>
      <c r="B185" s="8" t="s">
        <v>88</v>
      </c>
      <c r="C185" s="9">
        <f>Sioexetries</f>
        <v>1</v>
      </c>
      <c r="D185" s="21" t="s">
        <v>319</v>
      </c>
      <c r="E185" s="351" t="s">
        <v>889</v>
      </c>
      <c r="F185" s="19">
        <f>Obatoyinbonewpts</f>
        <v>5</v>
      </c>
    </row>
    <row r="186" spans="1:6" ht="14.95" customHeight="1" thickBot="1" x14ac:dyDescent="0.3">
      <c r="A186" s="8" t="s">
        <v>157</v>
      </c>
      <c r="B186" s="8" t="s">
        <v>82</v>
      </c>
      <c r="C186" s="9">
        <f>Sleightholmenortries</f>
        <v>1</v>
      </c>
      <c r="D186" s="21" t="s">
        <v>1058</v>
      </c>
      <c r="E186" s="351" t="s">
        <v>889</v>
      </c>
      <c r="F186" s="19">
        <f>Itojesarpts</f>
        <v>5</v>
      </c>
    </row>
    <row r="187" spans="1:6" ht="14.95" customHeight="1" thickBot="1" x14ac:dyDescent="0.3">
      <c r="A187" s="8" t="s">
        <v>378</v>
      </c>
      <c r="B187" s="8" t="s">
        <v>82</v>
      </c>
      <c r="C187" s="9">
        <f>Smith_Rnortries</f>
        <v>1</v>
      </c>
      <c r="D187" s="21" t="s">
        <v>339</v>
      </c>
      <c r="E187" s="21" t="s">
        <v>81</v>
      </c>
      <c r="F187" s="19">
        <f>OjomohBTHPTS</f>
        <v>5</v>
      </c>
    </row>
    <row r="188" spans="1:6" ht="14.95" customHeight="1" thickBot="1" x14ac:dyDescent="0.3">
      <c r="A188" s="8" t="s">
        <v>331</v>
      </c>
      <c r="B188" s="9" t="s">
        <v>527</v>
      </c>
      <c r="C188" s="9">
        <f>Smithleictries</f>
        <v>1</v>
      </c>
      <c r="D188" s="21" t="s">
        <v>480</v>
      </c>
      <c r="E188" s="21" t="s">
        <v>90</v>
      </c>
      <c r="F188" s="19">
        <f>OwenBRIpts</f>
        <v>5</v>
      </c>
    </row>
    <row r="189" spans="1:6" ht="14.95" customHeight="1" thickBot="1" x14ac:dyDescent="0.3">
      <c r="A189" s="8" t="s">
        <v>774</v>
      </c>
      <c r="B189" s="8" t="s">
        <v>81</v>
      </c>
      <c r="C189" s="9">
        <f>Stewartbthtries</f>
        <v>1</v>
      </c>
      <c r="D189" s="21" t="s">
        <v>687</v>
      </c>
      <c r="E189" s="351" t="s">
        <v>889</v>
      </c>
      <c r="F189" s="19">
        <f>Palframannewpts</f>
        <v>5</v>
      </c>
    </row>
    <row r="190" spans="1:6" ht="14.95" customHeight="1" thickBot="1" x14ac:dyDescent="0.3">
      <c r="A190" s="8" t="s">
        <v>498</v>
      </c>
      <c r="B190" s="8" t="s">
        <v>82</v>
      </c>
      <c r="C190" s="6">
        <f>ThameNORtries</f>
        <v>1</v>
      </c>
      <c r="D190" s="21" t="s">
        <v>852</v>
      </c>
      <c r="E190" s="351" t="s">
        <v>889</v>
      </c>
      <c r="F190" s="19">
        <f>Parsonsnewpts</f>
        <v>5</v>
      </c>
    </row>
    <row r="191" spans="1:6" ht="14.95" customHeight="1" thickBot="1" x14ac:dyDescent="0.3">
      <c r="A191" s="8" t="s">
        <v>587</v>
      </c>
      <c r="B191" s="8" t="s">
        <v>81</v>
      </c>
      <c r="C191" s="9">
        <f>Tuipulotubthtries</f>
        <v>1</v>
      </c>
      <c r="D191" s="21" t="s">
        <v>127</v>
      </c>
      <c r="E191" s="21" t="s">
        <v>79</v>
      </c>
      <c r="F191" s="19">
        <f>Rapava_Ruskinglopts</f>
        <v>5</v>
      </c>
    </row>
    <row r="192" spans="1:6" ht="14.95" customHeight="1" thickBot="1" x14ac:dyDescent="0.3">
      <c r="A192" s="8" t="s">
        <v>1016</v>
      </c>
      <c r="B192" s="8" t="s">
        <v>87</v>
      </c>
      <c r="C192" s="9">
        <f>TurnerHARTRIES</f>
        <v>1</v>
      </c>
      <c r="D192" s="21" t="s">
        <v>273</v>
      </c>
      <c r="E192" s="21" t="s">
        <v>80</v>
      </c>
      <c r="F192" s="19">
        <f>Roddsalpts</f>
        <v>5</v>
      </c>
    </row>
    <row r="193" spans="1:6" ht="14.95" customHeight="1" thickBot="1" x14ac:dyDescent="0.3">
      <c r="A193" s="8" t="s">
        <v>1072</v>
      </c>
      <c r="B193" s="9" t="s">
        <v>889</v>
      </c>
      <c r="C193" s="9">
        <f>Malinssartries</f>
        <v>1</v>
      </c>
      <c r="D193" s="21" t="s">
        <v>322</v>
      </c>
      <c r="E193" s="21" t="s">
        <v>309</v>
      </c>
      <c r="F193" s="19">
        <f>Segunsarptscorrect</f>
        <v>5</v>
      </c>
    </row>
    <row r="194" spans="1:6" ht="14.95" customHeight="1" thickBot="1" x14ac:dyDescent="0.3">
      <c r="A194" s="8" t="s">
        <v>136</v>
      </c>
      <c r="B194" s="8" t="s">
        <v>81</v>
      </c>
      <c r="C194" s="48">
        <f>van_Velzebthtries</f>
        <v>1</v>
      </c>
      <c r="D194" s="21" t="s">
        <v>989</v>
      </c>
      <c r="E194" s="21" t="s">
        <v>81</v>
      </c>
      <c r="F194" s="20">
        <f>Selabthpts</f>
        <v>5</v>
      </c>
    </row>
    <row r="195" spans="1:6" ht="14.95" customHeight="1" thickBot="1" x14ac:dyDescent="0.3">
      <c r="A195" s="8" t="s">
        <v>324</v>
      </c>
      <c r="B195" s="8" t="s">
        <v>309</v>
      </c>
      <c r="C195" s="9">
        <f>van_Zylsartriescorrect</f>
        <v>1</v>
      </c>
      <c r="D195" s="21" t="s">
        <v>442</v>
      </c>
      <c r="E195" s="21" t="s">
        <v>88</v>
      </c>
      <c r="F195" s="19">
        <f>Sioexepts</f>
        <v>5</v>
      </c>
    </row>
    <row r="196" spans="1:6" ht="14.95" customHeight="1" thickBot="1" x14ac:dyDescent="0.3">
      <c r="A196" s="8" t="s">
        <v>645</v>
      </c>
      <c r="B196" s="8" t="s">
        <v>889</v>
      </c>
      <c r="C196" s="9">
        <f>Wacokecokenewtries</f>
        <v>1</v>
      </c>
      <c r="D196" s="21" t="s">
        <v>157</v>
      </c>
      <c r="E196" s="21" t="s">
        <v>82</v>
      </c>
      <c r="F196" s="19">
        <f>Sleightholmenorpts</f>
        <v>5</v>
      </c>
    </row>
    <row r="197" spans="1:6" ht="14.95" customHeight="1" thickBot="1" x14ac:dyDescent="0.3">
      <c r="A197" s="8" t="s">
        <v>848</v>
      </c>
      <c r="B197" s="8" t="s">
        <v>87</v>
      </c>
      <c r="C197" s="9">
        <f>Waghornhartries</f>
        <v>1</v>
      </c>
      <c r="D197" s="21" t="s">
        <v>378</v>
      </c>
      <c r="E197" s="21" t="s">
        <v>82</v>
      </c>
      <c r="F197" s="19">
        <f>Smith_Rnorpts</f>
        <v>5</v>
      </c>
    </row>
    <row r="198" spans="1:6" ht="14.95" customHeight="1" thickBot="1" x14ac:dyDescent="0.3">
      <c r="A198" s="295" t="s">
        <v>374</v>
      </c>
      <c r="B198" s="295" t="s">
        <v>87</v>
      </c>
      <c r="C198" s="6">
        <f>Walkerhartries</f>
        <v>1</v>
      </c>
      <c r="D198" s="21" t="s">
        <v>331</v>
      </c>
      <c r="E198" s="21" t="s">
        <v>527</v>
      </c>
      <c r="F198" s="19">
        <f>Smithleicpts</f>
        <v>5</v>
      </c>
    </row>
    <row r="199" spans="1:6" ht="14.95" customHeight="1" thickBot="1" x14ac:dyDescent="0.3">
      <c r="A199" s="8" t="s">
        <v>715</v>
      </c>
      <c r="B199" s="8" t="s">
        <v>90</v>
      </c>
      <c r="C199" s="9">
        <f>Worsleybritries</f>
        <v>1</v>
      </c>
      <c r="D199" s="21" t="s">
        <v>774</v>
      </c>
      <c r="E199" s="21" t="s">
        <v>81</v>
      </c>
      <c r="F199" s="20">
        <f>Stewartbthpts</f>
        <v>5</v>
      </c>
    </row>
    <row r="200" spans="1:6" ht="14.95" customHeight="1" thickBot="1" x14ac:dyDescent="0.3">
      <c r="A200" s="8" t="s">
        <v>1050</v>
      </c>
      <c r="B200" s="8" t="s">
        <v>309</v>
      </c>
      <c r="C200" s="9">
        <f>Adejimisartries</f>
        <v>0</v>
      </c>
      <c r="D200" s="21" t="s">
        <v>498</v>
      </c>
      <c r="E200" s="21" t="s">
        <v>82</v>
      </c>
      <c r="F200" s="18">
        <f>ThameNORpts</f>
        <v>5</v>
      </c>
    </row>
    <row r="201" spans="1:6" ht="14.95" customHeight="1" thickBot="1" x14ac:dyDescent="0.3">
      <c r="A201" s="8" t="s">
        <v>661</v>
      </c>
      <c r="B201" s="9" t="s">
        <v>527</v>
      </c>
      <c r="C201" s="9">
        <f>Batemanleitries</f>
        <v>0</v>
      </c>
      <c r="D201" s="21" t="s">
        <v>587</v>
      </c>
      <c r="E201" s="21" t="s">
        <v>81</v>
      </c>
      <c r="F201" s="19">
        <f>Tuipulotubthpts</f>
        <v>5</v>
      </c>
    </row>
    <row r="202" spans="1:6" ht="14.95" customHeight="1" thickBot="1" x14ac:dyDescent="0.3">
      <c r="A202" s="8" t="s">
        <v>841</v>
      </c>
      <c r="B202" s="9" t="s">
        <v>79</v>
      </c>
      <c r="C202" s="9">
        <f>Allportglotries</f>
        <v>0</v>
      </c>
      <c r="D202" s="21" t="s">
        <v>1016</v>
      </c>
      <c r="E202" s="21" t="s">
        <v>87</v>
      </c>
      <c r="F202" s="19">
        <f>TurnerHARPTS</f>
        <v>5</v>
      </c>
    </row>
    <row r="203" spans="1:6" ht="14.95" customHeight="1" thickBot="1" x14ac:dyDescent="0.3">
      <c r="A203" s="8" t="s">
        <v>450</v>
      </c>
      <c r="B203" s="8" t="s">
        <v>87</v>
      </c>
      <c r="C203" s="9">
        <f>Andersonhartries</f>
        <v>0</v>
      </c>
      <c r="D203" s="21" t="s">
        <v>1072</v>
      </c>
      <c r="E203" s="351" t="s">
        <v>889</v>
      </c>
      <c r="F203" s="19">
        <f>Malinssarpts</f>
        <v>5</v>
      </c>
    </row>
    <row r="204" spans="1:6" ht="14.95" customHeight="1" thickBot="1" x14ac:dyDescent="0.3">
      <c r="A204" s="8" t="s">
        <v>695</v>
      </c>
      <c r="B204" s="8" t="s">
        <v>889</v>
      </c>
      <c r="C204" s="9">
        <f>Arnoldnewtries</f>
        <v>0</v>
      </c>
      <c r="D204" s="21" t="s">
        <v>136</v>
      </c>
      <c r="E204" s="21" t="s">
        <v>81</v>
      </c>
      <c r="F204" s="20">
        <f>van_Velzebthpts</f>
        <v>5</v>
      </c>
    </row>
    <row r="205" spans="1:6" ht="14.95" customHeight="1" thickBot="1" x14ac:dyDescent="0.3">
      <c r="A205" s="8" t="s">
        <v>900</v>
      </c>
      <c r="B205" s="8" t="s">
        <v>309</v>
      </c>
      <c r="C205" s="9">
        <f>Balmainsartries</f>
        <v>0</v>
      </c>
      <c r="D205" s="21" t="s">
        <v>324</v>
      </c>
      <c r="E205" s="21" t="s">
        <v>309</v>
      </c>
      <c r="F205" s="19">
        <f>van_Zylsarptscorrect</f>
        <v>5</v>
      </c>
    </row>
    <row r="206" spans="1:6" ht="14.95" customHeight="1" thickBot="1" x14ac:dyDescent="0.3">
      <c r="A206" s="425" t="s">
        <v>623</v>
      </c>
      <c r="B206" s="425" t="s">
        <v>90</v>
      </c>
      <c r="C206" s="9">
        <f>Bakerbritries</f>
        <v>0</v>
      </c>
      <c r="D206" s="21" t="s">
        <v>645</v>
      </c>
      <c r="E206" s="21" t="s">
        <v>889</v>
      </c>
      <c r="F206" s="19">
        <f>Wacokecokenewpts</f>
        <v>5</v>
      </c>
    </row>
    <row r="207" spans="1:6" ht="14.95" customHeight="1" thickBot="1" x14ac:dyDescent="0.3">
      <c r="A207" s="8" t="s">
        <v>514</v>
      </c>
      <c r="B207" s="8" t="s">
        <v>80</v>
      </c>
      <c r="C207" s="9">
        <f>BamberSALtries</f>
        <v>0</v>
      </c>
      <c r="D207" s="21" t="s">
        <v>848</v>
      </c>
      <c r="E207" s="21" t="s">
        <v>87</v>
      </c>
      <c r="F207" s="20">
        <f>Waghornharpts</f>
        <v>5</v>
      </c>
    </row>
    <row r="208" spans="1:6" ht="14.95" customHeight="1" thickBot="1" x14ac:dyDescent="0.3">
      <c r="A208" s="8" t="s">
        <v>592</v>
      </c>
      <c r="B208" s="8" t="s">
        <v>90</v>
      </c>
      <c r="C208" s="9">
        <f>Barkerbritries</f>
        <v>0</v>
      </c>
      <c r="D208" s="21" t="s">
        <v>374</v>
      </c>
      <c r="E208" s="21" t="s">
        <v>87</v>
      </c>
      <c r="F208" s="19">
        <f>Walkerharpts</f>
        <v>5</v>
      </c>
    </row>
    <row r="209" spans="1:6" ht="14.95" customHeight="1" thickBot="1" x14ac:dyDescent="0.3">
      <c r="A209" s="8" t="s">
        <v>170</v>
      </c>
      <c r="B209" s="8" t="s">
        <v>79</v>
      </c>
      <c r="C209" s="9">
        <f>Bartonglotries</f>
        <v>0</v>
      </c>
      <c r="D209" s="19" t="s">
        <v>122</v>
      </c>
      <c r="E209" s="19" t="s">
        <v>90</v>
      </c>
      <c r="F209" s="19">
        <f>MacGintybripts</f>
        <v>3</v>
      </c>
    </row>
    <row r="210" spans="1:6" ht="14.95" customHeight="1" thickBot="1" x14ac:dyDescent="0.3">
      <c r="A210" s="9" t="s">
        <v>183</v>
      </c>
      <c r="B210" s="9" t="s">
        <v>90</v>
      </c>
      <c r="C210" s="9">
        <f>Batesbritries</f>
        <v>0</v>
      </c>
      <c r="D210" s="21" t="s">
        <v>1123</v>
      </c>
      <c r="E210" s="351" t="s">
        <v>889</v>
      </c>
      <c r="F210" s="19">
        <f>Healynrbpts</f>
        <v>2</v>
      </c>
    </row>
    <row r="211" spans="1:6" ht="14.95" customHeight="1" thickBot="1" x14ac:dyDescent="0.3">
      <c r="A211" s="8" t="s">
        <v>473</v>
      </c>
      <c r="B211" s="8" t="s">
        <v>87</v>
      </c>
      <c r="C211" s="9">
        <f>Baxterhartries</f>
        <v>0</v>
      </c>
      <c r="D211" s="21" t="s">
        <v>213</v>
      </c>
      <c r="E211" s="21" t="s">
        <v>88</v>
      </c>
      <c r="F211" s="20">
        <f>Hodgeexepts</f>
        <v>2</v>
      </c>
    </row>
    <row r="212" spans="1:6" ht="14.95" customHeight="1" thickBot="1" x14ac:dyDescent="0.3">
      <c r="A212" s="10" t="s">
        <v>358</v>
      </c>
      <c r="B212" s="9" t="s">
        <v>87</v>
      </c>
      <c r="C212" s="9">
        <f>Beardhartries</f>
        <v>0</v>
      </c>
      <c r="D212" s="21" t="s">
        <v>1050</v>
      </c>
      <c r="E212" s="21" t="s">
        <v>309</v>
      </c>
      <c r="F212" s="19">
        <f>Adejimisarpts</f>
        <v>0</v>
      </c>
    </row>
    <row r="213" spans="1:6" ht="14.95" customHeight="1" thickBot="1" x14ac:dyDescent="0.3">
      <c r="A213" s="61" t="s">
        <v>1076</v>
      </c>
      <c r="B213" s="8" t="s">
        <v>309</v>
      </c>
      <c r="C213" s="9">
        <f>Beatonsartries</f>
        <v>0</v>
      </c>
      <c r="D213" s="2" t="s">
        <v>661</v>
      </c>
      <c r="E213" s="21" t="s">
        <v>527</v>
      </c>
      <c r="F213" s="19">
        <f>Batemanleipts</f>
        <v>0</v>
      </c>
    </row>
    <row r="214" spans="1:6" ht="14.95" customHeight="1" thickBot="1" x14ac:dyDescent="0.3">
      <c r="A214" s="61" t="s">
        <v>425</v>
      </c>
      <c r="B214" s="8" t="s">
        <v>88</v>
      </c>
      <c r="C214" s="9">
        <f>Armanddontries</f>
        <v>0</v>
      </c>
      <c r="D214" s="2" t="s">
        <v>841</v>
      </c>
      <c r="E214" s="21" t="s">
        <v>79</v>
      </c>
      <c r="F214" s="19">
        <f>Allportglopts</f>
        <v>0</v>
      </c>
    </row>
    <row r="215" spans="1:6" ht="14.95" customHeight="1" thickBot="1" x14ac:dyDescent="0.3">
      <c r="A215" s="8" t="s">
        <v>728</v>
      </c>
      <c r="B215" s="8" t="s">
        <v>80</v>
      </c>
      <c r="C215" s="9">
        <f>Bedlow_Jsaltries</f>
        <v>0</v>
      </c>
      <c r="D215" s="21" t="s">
        <v>450</v>
      </c>
      <c r="E215" s="21" t="s">
        <v>87</v>
      </c>
      <c r="F215" s="19">
        <f>Andersonharpts</f>
        <v>0</v>
      </c>
    </row>
    <row r="216" spans="1:6" ht="14.95" customHeight="1" thickBot="1" x14ac:dyDescent="0.3">
      <c r="A216" s="8" t="s">
        <v>150</v>
      </c>
      <c r="B216" s="8" t="s">
        <v>80</v>
      </c>
      <c r="C216" s="6">
        <f>BedlowSAL_tries</f>
        <v>0</v>
      </c>
      <c r="D216" s="21" t="s">
        <v>695</v>
      </c>
      <c r="E216" s="21" t="s">
        <v>889</v>
      </c>
      <c r="F216" s="19">
        <f>Arnoldnewpts</f>
        <v>0</v>
      </c>
    </row>
    <row r="217" spans="1:6" ht="14.95" customHeight="1" thickBot="1" x14ac:dyDescent="0.3">
      <c r="A217" s="8" t="s">
        <v>630</v>
      </c>
      <c r="B217" s="8" t="s">
        <v>88</v>
      </c>
      <c r="C217" s="9">
        <f>BurrowsEXEtries</f>
        <v>0</v>
      </c>
      <c r="D217" s="21" t="s">
        <v>900</v>
      </c>
      <c r="E217" s="21" t="s">
        <v>309</v>
      </c>
      <c r="F217" s="19">
        <f>Balmainsarpts</f>
        <v>0</v>
      </c>
    </row>
    <row r="218" spans="1:6" ht="14.95" customHeight="1" thickBot="1" x14ac:dyDescent="0.3">
      <c r="A218" s="8" t="s">
        <v>1089</v>
      </c>
      <c r="B218" s="8" t="s">
        <v>87</v>
      </c>
      <c r="C218" s="9">
        <f>Bellamyhartries</f>
        <v>0</v>
      </c>
      <c r="D218" s="21" t="s">
        <v>623</v>
      </c>
      <c r="E218" s="21" t="s">
        <v>90</v>
      </c>
      <c r="F218" s="19">
        <f>Bakerbripts</f>
        <v>0</v>
      </c>
    </row>
    <row r="219" spans="1:6" ht="14.95" customHeight="1" thickBot="1" x14ac:dyDescent="0.3">
      <c r="A219" s="9" t="s">
        <v>548</v>
      </c>
      <c r="B219" s="9" t="s">
        <v>889</v>
      </c>
      <c r="C219" s="9">
        <f>Bellonewtries</f>
        <v>0</v>
      </c>
      <c r="D219" s="21" t="s">
        <v>514</v>
      </c>
      <c r="E219" s="21" t="s">
        <v>80</v>
      </c>
      <c r="F219" s="20">
        <f>BamberSALpts</f>
        <v>0</v>
      </c>
    </row>
    <row r="220" spans="1:6" ht="14.95" customHeight="1" thickBot="1" x14ac:dyDescent="0.3">
      <c r="A220" s="8" t="s">
        <v>854</v>
      </c>
      <c r="B220" s="9" t="s">
        <v>82</v>
      </c>
      <c r="C220" s="9">
        <f>Bensonnortries</f>
        <v>0</v>
      </c>
      <c r="D220" s="21" t="s">
        <v>592</v>
      </c>
      <c r="E220" s="21" t="s">
        <v>90</v>
      </c>
      <c r="F220" s="19">
        <f>Barkerbripts</f>
        <v>0</v>
      </c>
    </row>
    <row r="221" spans="1:6" ht="14.95" customHeight="1" thickBot="1" x14ac:dyDescent="0.3">
      <c r="A221" s="8" t="s">
        <v>346</v>
      </c>
      <c r="B221" s="8" t="s">
        <v>87</v>
      </c>
      <c r="C221" s="9">
        <f>Bensonhartries</f>
        <v>0</v>
      </c>
      <c r="D221" s="19" t="s">
        <v>183</v>
      </c>
      <c r="E221" s="19" t="s">
        <v>90</v>
      </c>
      <c r="F221" s="18">
        <f>Batesbripts</f>
        <v>0</v>
      </c>
    </row>
    <row r="222" spans="1:6" ht="14.95" customHeight="1" thickBot="1" x14ac:dyDescent="0.3">
      <c r="A222" s="295" t="s">
        <v>354</v>
      </c>
      <c r="B222" s="295" t="s">
        <v>80</v>
      </c>
      <c r="C222" s="6">
        <f>Birchsaltries</f>
        <v>0</v>
      </c>
      <c r="D222" s="21" t="s">
        <v>473</v>
      </c>
      <c r="E222" s="21" t="s">
        <v>87</v>
      </c>
      <c r="F222" s="19">
        <f>Baxterharpts</f>
        <v>0</v>
      </c>
    </row>
    <row r="223" spans="1:6" ht="14.95" customHeight="1" thickBot="1" x14ac:dyDescent="0.3">
      <c r="A223" s="8" t="s">
        <v>817</v>
      </c>
      <c r="B223" s="8" t="s">
        <v>79</v>
      </c>
      <c r="C223" s="9">
        <f>Blackmoreglotries</f>
        <v>0</v>
      </c>
      <c r="D223" s="21" t="s">
        <v>358</v>
      </c>
      <c r="E223" s="21" t="s">
        <v>87</v>
      </c>
      <c r="F223" s="19">
        <f>Beardharpts</f>
        <v>0</v>
      </c>
    </row>
    <row r="224" spans="1:6" ht="14.95" customHeight="1" thickBot="1" x14ac:dyDescent="0.3">
      <c r="A224" s="8" t="s">
        <v>414</v>
      </c>
      <c r="B224" s="8" t="s">
        <v>87</v>
      </c>
      <c r="C224" s="9">
        <f>Bradleyhartries</f>
        <v>0</v>
      </c>
      <c r="D224" s="21" t="s">
        <v>1076</v>
      </c>
      <c r="E224" s="21" t="s">
        <v>309</v>
      </c>
      <c r="F224" s="19">
        <f>Beatonsarpts</f>
        <v>0</v>
      </c>
    </row>
    <row r="225" spans="1:6" ht="14.95" customHeight="1" thickBot="1" x14ac:dyDescent="0.3">
      <c r="A225" s="8" t="s">
        <v>1093</v>
      </c>
      <c r="B225" s="8" t="s">
        <v>80</v>
      </c>
      <c r="C225" s="9">
        <f>Bradshawsaltries</f>
        <v>0</v>
      </c>
      <c r="D225" s="21" t="s">
        <v>425</v>
      </c>
      <c r="E225" s="21" t="s">
        <v>88</v>
      </c>
      <c r="F225" s="19">
        <f>Armanddonpts</f>
        <v>0</v>
      </c>
    </row>
    <row r="226" spans="1:6" ht="14.95" customHeight="1" thickBot="1" x14ac:dyDescent="0.3">
      <c r="A226" s="8" t="s">
        <v>746</v>
      </c>
      <c r="B226" s="8" t="s">
        <v>309</v>
      </c>
      <c r="C226" s="9">
        <f>Brantinghamsartries</f>
        <v>0</v>
      </c>
      <c r="D226" s="19" t="s">
        <v>728</v>
      </c>
      <c r="E226" s="21" t="s">
        <v>80</v>
      </c>
      <c r="F226" s="19">
        <f>Bedlow_Jsalpts</f>
        <v>0</v>
      </c>
    </row>
    <row r="227" spans="1:6" ht="14.95" customHeight="1" thickBot="1" x14ac:dyDescent="0.3">
      <c r="A227" s="8" t="s">
        <v>240</v>
      </c>
      <c r="B227" s="9" t="s">
        <v>889</v>
      </c>
      <c r="C227" s="9">
        <f>Boschmarcelotries</f>
        <v>0</v>
      </c>
      <c r="D227" s="21" t="s">
        <v>150</v>
      </c>
      <c r="E227" s="21" t="s">
        <v>80</v>
      </c>
      <c r="F227" s="19">
        <f>BedlowSAL_pts</f>
        <v>0</v>
      </c>
    </row>
    <row r="228" spans="1:6" ht="14.95" customHeight="1" thickBot="1" x14ac:dyDescent="0.3">
      <c r="A228" s="8" t="s">
        <v>800</v>
      </c>
      <c r="B228" s="8" t="s">
        <v>82</v>
      </c>
      <c r="C228" s="9">
        <f>brownnortries</f>
        <v>0</v>
      </c>
      <c r="D228" s="21" t="s">
        <v>630</v>
      </c>
      <c r="E228" s="21" t="s">
        <v>88</v>
      </c>
      <c r="F228" s="19">
        <f>BurrowsEXEpts</f>
        <v>0</v>
      </c>
    </row>
    <row r="229" spans="1:6" ht="14.95" customHeight="1" thickBot="1" x14ac:dyDescent="0.3">
      <c r="A229" s="8" t="s">
        <v>516</v>
      </c>
      <c r="B229" s="8" t="s">
        <v>87</v>
      </c>
      <c r="C229" s="9">
        <f>BrowneHARtries</f>
        <v>0</v>
      </c>
      <c r="D229" s="21" t="s">
        <v>1089</v>
      </c>
      <c r="E229" s="21" t="s">
        <v>87</v>
      </c>
      <c r="F229" s="19">
        <f>Bellamyharpts</f>
        <v>0</v>
      </c>
    </row>
    <row r="230" spans="1:6" ht="14.95" customHeight="1" thickBot="1" x14ac:dyDescent="0.3">
      <c r="A230" s="8" t="s">
        <v>811</v>
      </c>
      <c r="B230" s="8" t="s">
        <v>80</v>
      </c>
      <c r="C230" s="9">
        <f>Burrowsaltries</f>
        <v>0</v>
      </c>
      <c r="D230" s="21" t="s">
        <v>548</v>
      </c>
      <c r="E230" s="351" t="s">
        <v>889</v>
      </c>
      <c r="F230" s="19">
        <f>Bellonewpts</f>
        <v>0</v>
      </c>
    </row>
    <row r="231" spans="1:6" ht="14.95" customHeight="1" thickBot="1" x14ac:dyDescent="0.3">
      <c r="A231" s="8" t="s">
        <v>825</v>
      </c>
      <c r="B231" s="8" t="s">
        <v>79</v>
      </c>
      <c r="C231" s="9">
        <f>Butlerglotries</f>
        <v>0</v>
      </c>
      <c r="D231" s="21" t="s">
        <v>854</v>
      </c>
      <c r="E231" s="21" t="s">
        <v>82</v>
      </c>
      <c r="F231" s="19">
        <f>Bensonnorpts</f>
        <v>0</v>
      </c>
    </row>
    <row r="232" spans="1:6" ht="14.95" customHeight="1" thickBot="1" x14ac:dyDescent="0.3">
      <c r="A232" s="9" t="s">
        <v>880</v>
      </c>
      <c r="B232" s="9" t="s">
        <v>79</v>
      </c>
      <c r="C232" s="9">
        <f>Byrneglotries</f>
        <v>0</v>
      </c>
      <c r="D232" s="351" t="s">
        <v>354</v>
      </c>
      <c r="E232" s="351" t="s">
        <v>80</v>
      </c>
      <c r="F232" s="19">
        <f>Birchsalpts</f>
        <v>0</v>
      </c>
    </row>
    <row r="233" spans="1:6" ht="14.95" customHeight="1" thickBot="1" x14ac:dyDescent="0.3">
      <c r="A233" s="8" t="s">
        <v>509</v>
      </c>
      <c r="B233" s="8" t="s">
        <v>80</v>
      </c>
      <c r="C233" s="48">
        <f>Cainesaltries</f>
        <v>0</v>
      </c>
      <c r="D233" s="21" t="s">
        <v>817</v>
      </c>
      <c r="E233" s="21" t="s">
        <v>79</v>
      </c>
      <c r="F233" s="19">
        <f>Blackmoreglopts</f>
        <v>0</v>
      </c>
    </row>
    <row r="234" spans="1:6" ht="14.95" customHeight="1" thickBot="1" x14ac:dyDescent="0.3">
      <c r="A234" s="8" t="s">
        <v>471</v>
      </c>
      <c r="B234" s="8" t="s">
        <v>88</v>
      </c>
      <c r="C234" s="9">
        <f>Cairnsexetries</f>
        <v>0</v>
      </c>
      <c r="D234" s="21" t="s">
        <v>414</v>
      </c>
      <c r="E234" s="21" t="s">
        <v>87</v>
      </c>
      <c r="F234" s="19">
        <f>Bradleyharpts</f>
        <v>0</v>
      </c>
    </row>
    <row r="235" spans="1:6" ht="14.95" customHeight="1" thickBot="1" x14ac:dyDescent="0.3">
      <c r="A235" s="8" t="s">
        <v>185</v>
      </c>
      <c r="B235" s="8" t="s">
        <v>90</v>
      </c>
      <c r="C235" s="9">
        <f>Caponbritries</f>
        <v>0</v>
      </c>
      <c r="D235" s="21" t="s">
        <v>1093</v>
      </c>
      <c r="E235" s="21" t="s">
        <v>80</v>
      </c>
      <c r="F235" s="19">
        <f>Bradshawsalpts</f>
        <v>0</v>
      </c>
    </row>
    <row r="236" spans="1:6" ht="14.95" customHeight="1" thickBot="1" x14ac:dyDescent="0.3">
      <c r="A236" s="8" t="s">
        <v>154</v>
      </c>
      <c r="B236" s="8" t="s">
        <v>88</v>
      </c>
      <c r="C236" s="9">
        <f>Capstickexetries</f>
        <v>0</v>
      </c>
      <c r="D236" s="21" t="s">
        <v>746</v>
      </c>
      <c r="E236" s="21" t="s">
        <v>309</v>
      </c>
      <c r="F236" s="19">
        <f>Brantinghamsarpts</f>
        <v>0</v>
      </c>
    </row>
    <row r="237" spans="1:6" ht="14.95" customHeight="1" thickBot="1" x14ac:dyDescent="0.3">
      <c r="A237" s="8" t="s">
        <v>567</v>
      </c>
      <c r="B237" s="9" t="s">
        <v>889</v>
      </c>
      <c r="C237" s="9">
        <f>Carrerasnewtries</f>
        <v>0</v>
      </c>
      <c r="D237" s="21" t="s">
        <v>240</v>
      </c>
      <c r="E237" s="351" t="s">
        <v>889</v>
      </c>
      <c r="F237" s="19">
        <f>Boschmarcelopts</f>
        <v>0</v>
      </c>
    </row>
    <row r="238" spans="1:6" ht="14.95" customHeight="1" thickBot="1" x14ac:dyDescent="0.3">
      <c r="A238" s="8" t="s">
        <v>850</v>
      </c>
      <c r="B238" s="8" t="s">
        <v>527</v>
      </c>
      <c r="C238" s="9">
        <f>Carnduffleitries</f>
        <v>0</v>
      </c>
      <c r="D238" s="21" t="s">
        <v>800</v>
      </c>
      <c r="E238" s="21" t="s">
        <v>82</v>
      </c>
      <c r="F238" s="19">
        <f>brownnorpts</f>
        <v>0</v>
      </c>
    </row>
    <row r="239" spans="1:6" ht="14.95" customHeight="1" thickBot="1" x14ac:dyDescent="0.3">
      <c r="A239" s="8" t="s">
        <v>413</v>
      </c>
      <c r="B239" s="8" t="s">
        <v>87</v>
      </c>
      <c r="C239" s="9">
        <f>Carrhartries</f>
        <v>0</v>
      </c>
      <c r="D239" s="21" t="s">
        <v>516</v>
      </c>
      <c r="E239" s="21" t="s">
        <v>87</v>
      </c>
      <c r="F239" s="19">
        <f>BrowneHARpts</f>
        <v>0</v>
      </c>
    </row>
    <row r="240" spans="1:6" ht="14.95" customHeight="1" thickBot="1" x14ac:dyDescent="0.3">
      <c r="A240" s="295" t="s">
        <v>447</v>
      </c>
      <c r="B240" s="295" t="s">
        <v>81</v>
      </c>
      <c r="C240" s="9">
        <f>Ciprianibthtries</f>
        <v>0</v>
      </c>
      <c r="D240" s="19" t="s">
        <v>811</v>
      </c>
      <c r="E240" s="19" t="s">
        <v>80</v>
      </c>
      <c r="F240" s="19">
        <f>Burrowsalpts</f>
        <v>0</v>
      </c>
    </row>
    <row r="241" spans="1:6" ht="14.95" customHeight="1" thickBot="1" x14ac:dyDescent="0.3">
      <c r="A241" s="8" t="s">
        <v>912</v>
      </c>
      <c r="B241" s="8" t="s">
        <v>79</v>
      </c>
      <c r="C241" s="9">
        <f>Carrerasglotries</f>
        <v>0</v>
      </c>
      <c r="D241" s="21" t="s">
        <v>825</v>
      </c>
      <c r="E241" s="21" t="s">
        <v>79</v>
      </c>
      <c r="F241" s="19">
        <f>Butlerglopts</f>
        <v>0</v>
      </c>
    </row>
    <row r="242" spans="1:6" ht="14.95" customHeight="1" thickBot="1" x14ac:dyDescent="0.3">
      <c r="A242" s="8" t="s">
        <v>148</v>
      </c>
      <c r="B242" s="8" t="s">
        <v>88</v>
      </c>
      <c r="C242" s="9">
        <f>Davisexetrie</f>
        <v>0</v>
      </c>
      <c r="D242" s="21" t="s">
        <v>509</v>
      </c>
      <c r="E242" s="21" t="s">
        <v>80</v>
      </c>
      <c r="F242" s="19">
        <f>Cainesalpts</f>
        <v>0</v>
      </c>
    </row>
    <row r="243" spans="1:6" ht="14.95" customHeight="1" thickBot="1" x14ac:dyDescent="0.3">
      <c r="A243" s="8" t="s">
        <v>589</v>
      </c>
      <c r="B243" s="8" t="s">
        <v>90</v>
      </c>
      <c r="C243" s="9">
        <f>Challengerbritries</f>
        <v>0</v>
      </c>
      <c r="D243" s="21" t="s">
        <v>471</v>
      </c>
      <c r="E243" s="21" t="s">
        <v>88</v>
      </c>
      <c r="F243" s="18">
        <f>Cairnsexepts</f>
        <v>0</v>
      </c>
    </row>
    <row r="244" spans="1:6" ht="14.95" customHeight="1" thickBot="1" x14ac:dyDescent="0.3">
      <c r="A244" s="8" t="s">
        <v>403</v>
      </c>
      <c r="B244" s="9" t="s">
        <v>527</v>
      </c>
      <c r="C244" s="6">
        <f>Chessum_Lleitries</f>
        <v>0</v>
      </c>
      <c r="D244" s="21" t="s">
        <v>185</v>
      </c>
      <c r="E244" s="21" t="s">
        <v>90</v>
      </c>
      <c r="F244" s="19">
        <f>Caponbripts</f>
        <v>0</v>
      </c>
    </row>
    <row r="245" spans="1:6" ht="14.95" customHeight="1" thickBot="1" x14ac:dyDescent="0.3">
      <c r="A245" s="8" t="s">
        <v>241</v>
      </c>
      <c r="B245" s="9" t="s">
        <v>889</v>
      </c>
      <c r="C245" s="9">
        <f>Burgerjacquestries</f>
        <v>0</v>
      </c>
      <c r="D245" s="21" t="s">
        <v>154</v>
      </c>
      <c r="E245" s="21" t="s">
        <v>88</v>
      </c>
      <c r="F245" s="18">
        <f>Capstickexepts</f>
        <v>0</v>
      </c>
    </row>
    <row r="246" spans="1:6" ht="14.95" customHeight="1" thickBot="1" x14ac:dyDescent="0.3">
      <c r="A246" s="8" t="s">
        <v>84</v>
      </c>
      <c r="B246" s="8" t="s">
        <v>87</v>
      </c>
      <c r="C246" s="48">
        <f>Chisholmjameshartries</f>
        <v>0</v>
      </c>
      <c r="D246" s="21" t="s">
        <v>567</v>
      </c>
      <c r="E246" s="351" t="s">
        <v>889</v>
      </c>
      <c r="F246" s="19">
        <f>Carrerasnewpts</f>
        <v>0</v>
      </c>
    </row>
    <row r="247" spans="1:6" ht="14.95" customHeight="1" thickBot="1" x14ac:dyDescent="0.3">
      <c r="A247" s="8" t="s">
        <v>538</v>
      </c>
      <c r="B247" s="8" t="s">
        <v>309</v>
      </c>
      <c r="C247" s="9">
        <f>Cintisartries</f>
        <v>0</v>
      </c>
      <c r="D247" s="21" t="s">
        <v>850</v>
      </c>
      <c r="E247" s="21" t="s">
        <v>527</v>
      </c>
      <c r="F247" s="18">
        <f>Carnduffleipts</f>
        <v>0</v>
      </c>
    </row>
    <row r="248" spans="1:6" ht="14.95" customHeight="1" thickBot="1" x14ac:dyDescent="0.3">
      <c r="A248" s="8" t="s">
        <v>253</v>
      </c>
      <c r="B248" s="9" t="s">
        <v>527</v>
      </c>
      <c r="C248" s="9">
        <f>Blommetjiesleictries</f>
        <v>0</v>
      </c>
      <c r="D248" s="21" t="s">
        <v>413</v>
      </c>
      <c r="E248" s="21" t="s">
        <v>87</v>
      </c>
      <c r="F248" s="19">
        <f>Carrharpts</f>
        <v>0</v>
      </c>
    </row>
    <row r="249" spans="1:6" ht="14.95" customHeight="1" thickBot="1" x14ac:dyDescent="0.3">
      <c r="A249" s="8" t="s">
        <v>310</v>
      </c>
      <c r="B249" s="8" t="s">
        <v>309</v>
      </c>
      <c r="C249" s="9">
        <f>Clareysartriescorrect</f>
        <v>0</v>
      </c>
      <c r="D249" s="351" t="s">
        <v>447</v>
      </c>
      <c r="E249" s="351" t="s">
        <v>81</v>
      </c>
      <c r="F249" s="19">
        <f>ciprianibthpts</f>
        <v>0</v>
      </c>
    </row>
    <row r="250" spans="1:6" ht="14.95" customHeight="1" thickBot="1" x14ac:dyDescent="0.3">
      <c r="A250" s="8" t="s">
        <v>824</v>
      </c>
      <c r="B250" s="8" t="s">
        <v>889</v>
      </c>
      <c r="C250" s="9">
        <f>Clarkmaxnewtries</f>
        <v>0</v>
      </c>
      <c r="D250" s="21" t="s">
        <v>912</v>
      </c>
      <c r="E250" s="21" t="s">
        <v>79</v>
      </c>
      <c r="F250" s="19">
        <f>Carrerasglopts</f>
        <v>0</v>
      </c>
    </row>
    <row r="251" spans="1:6" ht="14.95" customHeight="1" thickBot="1" x14ac:dyDescent="0.3">
      <c r="A251" s="8" t="s">
        <v>1044</v>
      </c>
      <c r="B251" s="8" t="s">
        <v>309</v>
      </c>
      <c r="C251" s="9">
        <f>Clarkesartries</f>
        <v>0</v>
      </c>
      <c r="D251" s="21" t="s">
        <v>148</v>
      </c>
      <c r="E251" s="21" t="s">
        <v>88</v>
      </c>
      <c r="F251" s="20">
        <f>Davisexepoints</f>
        <v>0</v>
      </c>
    </row>
    <row r="252" spans="1:6" ht="14.95" customHeight="1" thickBot="1" x14ac:dyDescent="0.3">
      <c r="A252" s="8" t="s">
        <v>1036</v>
      </c>
      <c r="B252" s="8" t="s">
        <v>88</v>
      </c>
      <c r="C252" s="9">
        <f>Coenexetries</f>
        <v>0</v>
      </c>
      <c r="D252" s="21" t="s">
        <v>589</v>
      </c>
      <c r="E252" s="21" t="s">
        <v>90</v>
      </c>
      <c r="F252" s="19">
        <f>Challengerbripts</f>
        <v>0</v>
      </c>
    </row>
    <row r="253" spans="1:6" ht="14.95" customHeight="1" thickBot="1" x14ac:dyDescent="0.3">
      <c r="A253" s="8" t="s">
        <v>533</v>
      </c>
      <c r="B253" s="8" t="s">
        <v>81</v>
      </c>
      <c r="C253" s="9">
        <f>Cookbthtries</f>
        <v>0</v>
      </c>
      <c r="D253" s="21" t="s">
        <v>403</v>
      </c>
      <c r="E253" s="21" t="s">
        <v>527</v>
      </c>
      <c r="F253" s="19">
        <f>Chessum_Lleipts</f>
        <v>0</v>
      </c>
    </row>
    <row r="254" spans="1:6" ht="14.95" customHeight="1" thickBot="1" x14ac:dyDescent="0.3">
      <c r="A254" s="9" t="s">
        <v>248</v>
      </c>
      <c r="B254" s="9" t="s">
        <v>889</v>
      </c>
      <c r="C254" s="9">
        <f>Connonnewtriescorrectthsione</f>
        <v>0</v>
      </c>
      <c r="D254" s="19" t="s">
        <v>241</v>
      </c>
      <c r="E254" s="351" t="s">
        <v>889</v>
      </c>
      <c r="F254" s="18">
        <f>Burgerjacquespts</f>
        <v>0</v>
      </c>
    </row>
    <row r="255" spans="1:6" ht="14.95" customHeight="1" thickBot="1" x14ac:dyDescent="0.3">
      <c r="A255" s="8" t="s">
        <v>857</v>
      </c>
      <c r="B255" s="8" t="s">
        <v>79</v>
      </c>
      <c r="C255" s="9">
        <f>Cotgreaveglotries</f>
        <v>0</v>
      </c>
      <c r="D255" s="21" t="s">
        <v>84</v>
      </c>
      <c r="E255" s="21" t="s">
        <v>87</v>
      </c>
      <c r="F255" s="19">
        <f>Chisholmjamesharpts</f>
        <v>0</v>
      </c>
    </row>
    <row r="256" spans="1:6" ht="14.95" customHeight="1" thickBot="1" x14ac:dyDescent="0.3">
      <c r="A256" s="8" t="s">
        <v>674</v>
      </c>
      <c r="B256" s="9" t="s">
        <v>889</v>
      </c>
      <c r="C256" s="9">
        <f>Crossdalesartriescorrect</f>
        <v>0</v>
      </c>
      <c r="D256" s="21" t="s">
        <v>538</v>
      </c>
      <c r="E256" s="21" t="s">
        <v>309</v>
      </c>
      <c r="F256" s="19">
        <f>Cintisarpts</f>
        <v>0</v>
      </c>
    </row>
    <row r="257" spans="1:6" ht="14.95" customHeight="1" thickBot="1" x14ac:dyDescent="0.3">
      <c r="A257" s="8" t="s">
        <v>836</v>
      </c>
      <c r="B257" s="8" t="s">
        <v>81</v>
      </c>
      <c r="C257" s="9">
        <f>Cowanbthtries</f>
        <v>0</v>
      </c>
      <c r="D257" s="21" t="s">
        <v>253</v>
      </c>
      <c r="E257" s="21" t="s">
        <v>527</v>
      </c>
      <c r="F257" s="19">
        <f>Blommetjiesleicpts</f>
        <v>0</v>
      </c>
    </row>
    <row r="258" spans="1:6" ht="14.95" customHeight="1" thickBot="1" x14ac:dyDescent="0.3">
      <c r="A258" s="9" t="s">
        <v>596</v>
      </c>
      <c r="B258" s="9" t="s">
        <v>90</v>
      </c>
      <c r="C258" s="9">
        <f>Crippsbritries</f>
        <v>0</v>
      </c>
      <c r="D258" s="21" t="s">
        <v>310</v>
      </c>
      <c r="E258" s="21" t="s">
        <v>309</v>
      </c>
      <c r="F258" s="19">
        <f>Clareysarptscorrect</f>
        <v>0</v>
      </c>
    </row>
    <row r="259" spans="1:6" ht="14.95" customHeight="1" thickBot="1" x14ac:dyDescent="0.3">
      <c r="A259" s="295" t="s">
        <v>85</v>
      </c>
      <c r="B259" s="295" t="s">
        <v>80</v>
      </c>
      <c r="C259" s="6">
        <f>Curry_Bsaltries</f>
        <v>0</v>
      </c>
      <c r="D259" s="21" t="s">
        <v>824</v>
      </c>
      <c r="E259" s="21" t="s">
        <v>889</v>
      </c>
      <c r="F259" s="19">
        <f>Clarkmaxnewpts</f>
        <v>0</v>
      </c>
    </row>
    <row r="260" spans="1:6" ht="14.95" customHeight="1" thickBot="1" x14ac:dyDescent="0.3">
      <c r="A260" s="8" t="s">
        <v>86</v>
      </c>
      <c r="B260" s="8" t="s">
        <v>80</v>
      </c>
      <c r="C260" s="9">
        <f>Curry_Tsaltries</f>
        <v>0</v>
      </c>
      <c r="D260" s="21" t="s">
        <v>1044</v>
      </c>
      <c r="E260" s="21" t="s">
        <v>309</v>
      </c>
      <c r="F260" s="19">
        <f>Clarkesarpts</f>
        <v>0</v>
      </c>
    </row>
    <row r="261" spans="1:6" ht="14.95" customHeight="1" thickBot="1" x14ac:dyDescent="0.3">
      <c r="A261" s="8" t="s">
        <v>179</v>
      </c>
      <c r="B261" s="8" t="s">
        <v>80</v>
      </c>
      <c r="C261" s="9">
        <f>Curtissaltries</f>
        <v>0</v>
      </c>
      <c r="D261" s="351" t="s">
        <v>1036</v>
      </c>
      <c r="E261" s="351" t="s">
        <v>88</v>
      </c>
      <c r="F261" s="19">
        <f>Coenexepts</f>
        <v>0</v>
      </c>
    </row>
    <row r="262" spans="1:6" ht="14.95" customHeight="1" thickBot="1" x14ac:dyDescent="0.3">
      <c r="A262" s="8" t="s">
        <v>311</v>
      </c>
      <c r="B262" s="8" t="s">
        <v>309</v>
      </c>
      <c r="C262" s="9">
        <f>Dalysartriescorrect</f>
        <v>0</v>
      </c>
      <c r="D262" s="21" t="s">
        <v>533</v>
      </c>
      <c r="E262" s="21" t="s">
        <v>81</v>
      </c>
      <c r="F262" s="19">
        <f>Cookbthpts</f>
        <v>0</v>
      </c>
    </row>
    <row r="263" spans="1:6" ht="14.95" customHeight="1" thickBot="1" x14ac:dyDescent="0.3">
      <c r="A263" s="8" t="s">
        <v>164</v>
      </c>
      <c r="B263" s="8" t="s">
        <v>87</v>
      </c>
      <c r="C263" s="9">
        <f>Davidhartries</f>
        <v>0</v>
      </c>
      <c r="D263" s="21" t="s">
        <v>857</v>
      </c>
      <c r="E263" s="21" t="s">
        <v>79</v>
      </c>
      <c r="F263" s="19">
        <f>Cotgreaveglopts</f>
        <v>0</v>
      </c>
    </row>
    <row r="264" spans="1:6" ht="14.95" customHeight="1" thickBot="1" x14ac:dyDescent="0.3">
      <c r="A264" s="8" t="s">
        <v>1048</v>
      </c>
      <c r="B264" s="8" t="s">
        <v>309</v>
      </c>
      <c r="C264" s="9">
        <f>Davidsonsartrie</f>
        <v>0</v>
      </c>
      <c r="D264" s="19" t="s">
        <v>674</v>
      </c>
      <c r="E264" s="351" t="s">
        <v>889</v>
      </c>
      <c r="F264" s="19">
        <f>Crossdalesarptscorrect</f>
        <v>0</v>
      </c>
    </row>
    <row r="265" spans="1:6" ht="14.95" customHeight="1" thickBot="1" x14ac:dyDescent="0.3">
      <c r="A265" s="8" t="s">
        <v>432</v>
      </c>
      <c r="B265" s="8" t="s">
        <v>80</v>
      </c>
      <c r="C265" s="9">
        <f>de_Jagersaltries</f>
        <v>0</v>
      </c>
      <c r="D265" s="21" t="s">
        <v>836</v>
      </c>
      <c r="E265" s="21" t="s">
        <v>81</v>
      </c>
      <c r="F265" s="19">
        <f>Cowanbthpts</f>
        <v>0</v>
      </c>
    </row>
    <row r="266" spans="1:6" ht="14.95" customHeight="1" thickBot="1" x14ac:dyDescent="0.3">
      <c r="A266" s="8" t="s">
        <v>432</v>
      </c>
      <c r="B266" s="8" t="s">
        <v>80</v>
      </c>
      <c r="C266" s="9">
        <f>de_Jagersaltries</f>
        <v>0</v>
      </c>
      <c r="D266" s="21" t="s">
        <v>596</v>
      </c>
      <c r="E266" s="21" t="s">
        <v>90</v>
      </c>
      <c r="F266" s="19">
        <f>Crippsbripts</f>
        <v>0</v>
      </c>
    </row>
    <row r="267" spans="1:6" ht="14.95" customHeight="1" thickBot="1" x14ac:dyDescent="0.3">
      <c r="A267" s="8" t="s">
        <v>675</v>
      </c>
      <c r="B267" s="9" t="s">
        <v>889</v>
      </c>
      <c r="C267" s="9">
        <f>Daltonnewtries</f>
        <v>0</v>
      </c>
      <c r="D267" s="351" t="s">
        <v>85</v>
      </c>
      <c r="E267" s="351" t="s">
        <v>80</v>
      </c>
      <c r="F267" s="19">
        <f>Curry_Bsalpts</f>
        <v>0</v>
      </c>
    </row>
    <row r="268" spans="1:6" ht="14.95" customHeight="1" thickBot="1" x14ac:dyDescent="0.3">
      <c r="A268" s="8" t="s">
        <v>1124</v>
      </c>
      <c r="B268" s="8" t="s">
        <v>82</v>
      </c>
      <c r="C268" s="9">
        <f>DavidsonNORtries</f>
        <v>0</v>
      </c>
      <c r="D268" s="21" t="s">
        <v>86</v>
      </c>
      <c r="E268" s="21" t="s">
        <v>80</v>
      </c>
      <c r="F268" s="19">
        <f>Curry_Tsalpts</f>
        <v>0</v>
      </c>
    </row>
    <row r="269" spans="1:6" ht="14.95" customHeight="1" thickBot="1" x14ac:dyDescent="0.3">
      <c r="A269" s="8" t="s">
        <v>699</v>
      </c>
      <c r="B269" s="9" t="s">
        <v>889</v>
      </c>
      <c r="C269" s="9">
        <f>de_Bruinnewtries</f>
        <v>0</v>
      </c>
      <c r="D269" s="21" t="s">
        <v>179</v>
      </c>
      <c r="E269" s="21" t="s">
        <v>80</v>
      </c>
      <c r="F269" s="19">
        <f>Curtissalpts</f>
        <v>0</v>
      </c>
    </row>
    <row r="270" spans="1:6" ht="14.95" customHeight="1" thickBot="1" x14ac:dyDescent="0.3">
      <c r="A270" s="8" t="s">
        <v>517</v>
      </c>
      <c r="B270" s="9" t="s">
        <v>889</v>
      </c>
      <c r="C270" s="9">
        <f>de_ChavesNEWtries</f>
        <v>0</v>
      </c>
      <c r="D270" s="21" t="s">
        <v>311</v>
      </c>
      <c r="E270" s="21" t="s">
        <v>309</v>
      </c>
      <c r="F270" s="19">
        <f>Dalysarptscorrect</f>
        <v>0</v>
      </c>
    </row>
    <row r="271" spans="1:6" ht="14.95" customHeight="1" thickBot="1" x14ac:dyDescent="0.3">
      <c r="A271" s="8" t="s">
        <v>156</v>
      </c>
      <c r="B271" s="8" t="s">
        <v>82</v>
      </c>
      <c r="C271" s="9">
        <f>Dingwallnortries</f>
        <v>0</v>
      </c>
      <c r="D271" s="21" t="s">
        <v>164</v>
      </c>
      <c r="E271" s="21" t="s">
        <v>87</v>
      </c>
      <c r="F271" s="19">
        <f>Davidharpts</f>
        <v>0</v>
      </c>
    </row>
    <row r="272" spans="1:6" ht="14.95" customHeight="1" thickBot="1" x14ac:dyDescent="0.3">
      <c r="A272" s="9" t="s">
        <v>696</v>
      </c>
      <c r="B272" s="9" t="s">
        <v>889</v>
      </c>
      <c r="C272" s="9">
        <f>Dohertynewtries</f>
        <v>0</v>
      </c>
      <c r="D272" s="21" t="s">
        <v>1048</v>
      </c>
      <c r="E272" s="21" t="s">
        <v>309</v>
      </c>
      <c r="F272" s="19">
        <f>Davidsonsarpts</f>
        <v>0</v>
      </c>
    </row>
    <row r="273" spans="1:6" ht="14.95" customHeight="1" thickBot="1" x14ac:dyDescent="0.3">
      <c r="A273" s="8" t="s">
        <v>834</v>
      </c>
      <c r="B273" s="9" t="s">
        <v>81</v>
      </c>
      <c r="C273" s="48">
        <f>Donoghuebthtries</f>
        <v>0</v>
      </c>
      <c r="D273" s="21" t="s">
        <v>432</v>
      </c>
      <c r="E273" s="21" t="s">
        <v>80</v>
      </c>
      <c r="F273" s="19">
        <f>de_Jagersalpts</f>
        <v>0</v>
      </c>
    </row>
    <row r="274" spans="1:6" ht="14.95" customHeight="1" thickBot="1" x14ac:dyDescent="0.3">
      <c r="A274" s="8" t="s">
        <v>653</v>
      </c>
      <c r="B274" s="8" t="s">
        <v>87</v>
      </c>
      <c r="C274" s="9">
        <f>Edwardshartries</f>
        <v>0</v>
      </c>
      <c r="D274" s="21" t="s">
        <v>432</v>
      </c>
      <c r="E274" s="21" t="s">
        <v>80</v>
      </c>
      <c r="F274" s="19">
        <f>de_Jagersalpts</f>
        <v>0</v>
      </c>
    </row>
    <row r="275" spans="1:6" ht="14.95" customHeight="1" thickBot="1" x14ac:dyDescent="0.3">
      <c r="A275" s="8" t="s">
        <v>348</v>
      </c>
      <c r="B275" s="8" t="s">
        <v>80</v>
      </c>
      <c r="C275" s="9">
        <f>Dugdalesaltries</f>
        <v>0</v>
      </c>
      <c r="D275" s="19" t="s">
        <v>675</v>
      </c>
      <c r="E275" s="351" t="s">
        <v>889</v>
      </c>
      <c r="F275" s="19">
        <f>Daltonnewpts</f>
        <v>0</v>
      </c>
    </row>
    <row r="276" spans="1:6" ht="14.95" customHeight="1" thickBot="1" x14ac:dyDescent="0.3">
      <c r="A276" s="8" t="s">
        <v>535</v>
      </c>
      <c r="B276" s="8" t="s">
        <v>90</v>
      </c>
      <c r="C276" s="9">
        <f>Cranebritries</f>
        <v>0</v>
      </c>
      <c r="D276" s="21" t="s">
        <v>1124</v>
      </c>
      <c r="E276" s="21" t="s">
        <v>82</v>
      </c>
      <c r="F276" s="19">
        <f>DavidsonNORpts</f>
        <v>0</v>
      </c>
    </row>
    <row r="277" spans="1:6" ht="14.95" customHeight="1" thickBot="1" x14ac:dyDescent="0.3">
      <c r="A277" s="8" t="s">
        <v>638</v>
      </c>
      <c r="B277" s="8" t="s">
        <v>79</v>
      </c>
      <c r="C277" s="9">
        <f>Dentonglotries</f>
        <v>0</v>
      </c>
      <c r="D277" s="21" t="s">
        <v>699</v>
      </c>
      <c r="E277" s="351" t="s">
        <v>889</v>
      </c>
      <c r="F277" s="19">
        <f>de_Bruinnewpts</f>
        <v>0</v>
      </c>
    </row>
    <row r="278" spans="1:6" ht="14.95" customHeight="1" thickBot="1" x14ac:dyDescent="0.3">
      <c r="A278" s="9" t="s">
        <v>757</v>
      </c>
      <c r="B278" s="9" t="s">
        <v>309</v>
      </c>
      <c r="C278" s="9">
        <f>Elliottsartries</f>
        <v>0</v>
      </c>
      <c r="D278" s="21" t="s">
        <v>517</v>
      </c>
      <c r="E278" s="351" t="s">
        <v>889</v>
      </c>
      <c r="F278" s="19">
        <f>de_ChavesNEWpts</f>
        <v>0</v>
      </c>
    </row>
    <row r="279" spans="1:6" ht="14.95" customHeight="1" thickBot="1" x14ac:dyDescent="0.3">
      <c r="A279" s="9" t="s">
        <v>787</v>
      </c>
      <c r="B279" s="9" t="s">
        <v>90</v>
      </c>
      <c r="C279" s="9">
        <f>Elizaldebritries</f>
        <v>0</v>
      </c>
      <c r="D279" s="21" t="s">
        <v>156</v>
      </c>
      <c r="E279" s="21" t="s">
        <v>82</v>
      </c>
      <c r="F279" s="19">
        <f>Dingwallnorpts</f>
        <v>0</v>
      </c>
    </row>
    <row r="280" spans="1:6" ht="14.95" customHeight="1" thickBot="1" x14ac:dyDescent="0.3">
      <c r="A280" s="8" t="s">
        <v>676</v>
      </c>
      <c r="B280" s="9" t="s">
        <v>889</v>
      </c>
      <c r="C280" s="9">
        <f>du_Plessissartries</f>
        <v>0</v>
      </c>
      <c r="D280" s="19" t="s">
        <v>696</v>
      </c>
      <c r="E280" s="351" t="s">
        <v>889</v>
      </c>
      <c r="F280" s="19">
        <f>Dohertynewpts</f>
        <v>0</v>
      </c>
    </row>
    <row r="281" spans="1:6" ht="14.95" customHeight="1" thickBot="1" x14ac:dyDescent="0.3">
      <c r="A281" s="9" t="s">
        <v>233</v>
      </c>
      <c r="B281" s="9" t="s">
        <v>87</v>
      </c>
      <c r="C281" s="9">
        <f>Evans_Ohartries</f>
        <v>0</v>
      </c>
      <c r="D281" s="19" t="s">
        <v>834</v>
      </c>
      <c r="E281" s="21" t="s">
        <v>81</v>
      </c>
      <c r="F281" s="19">
        <f>Donoghuebthpts</f>
        <v>0</v>
      </c>
    </row>
    <row r="282" spans="1:6" ht="14.95" customHeight="1" thickBot="1" x14ac:dyDescent="0.3">
      <c r="A282" s="8" t="s">
        <v>780</v>
      </c>
      <c r="B282" s="8" t="s">
        <v>81</v>
      </c>
      <c r="C282" s="9">
        <f>Emensbthtries</f>
        <v>0</v>
      </c>
      <c r="D282" s="21" t="s">
        <v>653</v>
      </c>
      <c r="E282" s="21" t="s">
        <v>87</v>
      </c>
      <c r="F282" s="19">
        <f>Edwardsharpts</f>
        <v>0</v>
      </c>
    </row>
    <row r="283" spans="1:6" ht="14.95" customHeight="1" thickBot="1" x14ac:dyDescent="0.3">
      <c r="A283" s="8" t="s">
        <v>806</v>
      </c>
      <c r="B283" s="8" t="s">
        <v>80</v>
      </c>
      <c r="C283" s="9">
        <f>EneSALtries</f>
        <v>0</v>
      </c>
      <c r="D283" s="21" t="s">
        <v>348</v>
      </c>
      <c r="E283" s="21" t="s">
        <v>80</v>
      </c>
      <c r="F283" s="19">
        <f>Dugdalesalpts</f>
        <v>0</v>
      </c>
    </row>
    <row r="284" spans="1:6" ht="14.95" customHeight="1" thickBot="1" x14ac:dyDescent="0.3">
      <c r="A284" s="8" t="s">
        <v>571</v>
      </c>
      <c r="B284" s="8" t="s">
        <v>79</v>
      </c>
      <c r="C284" s="6">
        <f>Englefieldglotries</f>
        <v>0</v>
      </c>
      <c r="D284" s="21" t="s">
        <v>535</v>
      </c>
      <c r="E284" s="21" t="s">
        <v>90</v>
      </c>
      <c r="F284" s="19">
        <f>cranebripts</f>
        <v>0</v>
      </c>
    </row>
    <row r="285" spans="1:6" ht="14.95" customHeight="1" thickBot="1" x14ac:dyDescent="0.3">
      <c r="A285" s="8" t="s">
        <v>508</v>
      </c>
      <c r="B285" s="8" t="s">
        <v>87</v>
      </c>
      <c r="C285" s="9">
        <f>Evans_Jhartriescorrect</f>
        <v>0</v>
      </c>
      <c r="D285" s="21" t="s">
        <v>638</v>
      </c>
      <c r="E285" s="21" t="s">
        <v>79</v>
      </c>
      <c r="F285" s="19">
        <f>Dentonglopts</f>
        <v>0</v>
      </c>
    </row>
    <row r="286" spans="1:6" ht="14.95" customHeight="1" thickBot="1" x14ac:dyDescent="0.3">
      <c r="A286" s="8" t="s">
        <v>110</v>
      </c>
      <c r="B286" s="8" t="s">
        <v>81</v>
      </c>
      <c r="C286" s="9">
        <f>ewelsbthtries</f>
        <v>0</v>
      </c>
      <c r="D286" s="21" t="s">
        <v>757</v>
      </c>
      <c r="E286" s="21" t="s">
        <v>309</v>
      </c>
      <c r="F286" s="19">
        <f>Elliottsarpts</f>
        <v>0</v>
      </c>
    </row>
    <row r="287" spans="1:6" ht="14.95" customHeight="1" thickBot="1" x14ac:dyDescent="0.3">
      <c r="A287" s="8" t="s">
        <v>997</v>
      </c>
      <c r="B287" s="8" t="s">
        <v>309</v>
      </c>
      <c r="C287" s="9">
        <f>Farrellsartriessecondspell</f>
        <v>0</v>
      </c>
      <c r="D287" s="19" t="s">
        <v>787</v>
      </c>
      <c r="E287" s="21" t="s">
        <v>90</v>
      </c>
      <c r="F287" s="19">
        <f>Elizaldebtipts</f>
        <v>0</v>
      </c>
    </row>
    <row r="288" spans="1:6" ht="14.95" customHeight="1" thickBot="1" x14ac:dyDescent="0.3">
      <c r="A288" s="8" t="s">
        <v>457</v>
      </c>
      <c r="B288" s="9" t="s">
        <v>889</v>
      </c>
      <c r="C288" s="9">
        <f>Fusernewtries</f>
        <v>0</v>
      </c>
      <c r="D288" s="21" t="s">
        <v>676</v>
      </c>
      <c r="E288" s="351" t="s">
        <v>889</v>
      </c>
      <c r="F288" s="19">
        <f>du_Plessissarpts</f>
        <v>0</v>
      </c>
    </row>
    <row r="289" spans="1:6" ht="14.95" customHeight="1" thickBot="1" x14ac:dyDescent="0.3">
      <c r="A289" s="8" t="s">
        <v>468</v>
      </c>
      <c r="B289" s="8" t="s">
        <v>80</v>
      </c>
      <c r="C289" s="9">
        <f>Fordgeorgesaltries</f>
        <v>0</v>
      </c>
      <c r="D289" s="19" t="s">
        <v>233</v>
      </c>
      <c r="E289" s="19" t="s">
        <v>87</v>
      </c>
      <c r="F289" s="19">
        <f>Evans_Oharpts</f>
        <v>0</v>
      </c>
    </row>
    <row r="290" spans="1:6" ht="14.95" customHeight="1" thickBot="1" x14ac:dyDescent="0.3">
      <c r="A290" s="8" t="s">
        <v>111</v>
      </c>
      <c r="B290" s="8" t="s">
        <v>79</v>
      </c>
      <c r="C290" s="9">
        <f>Ford_Robinsonglotries</f>
        <v>0</v>
      </c>
      <c r="D290" s="21" t="s">
        <v>780</v>
      </c>
      <c r="E290" s="21" t="s">
        <v>81</v>
      </c>
      <c r="F290" s="19">
        <f>Emensbthpts</f>
        <v>0</v>
      </c>
    </row>
    <row r="291" spans="1:6" ht="14.95" customHeight="1" thickBot="1" x14ac:dyDescent="0.3">
      <c r="A291" s="8" t="s">
        <v>222</v>
      </c>
      <c r="B291" s="8" t="s">
        <v>81</v>
      </c>
      <c r="C291" s="9">
        <f>Fotuali_ibthtries</f>
        <v>0</v>
      </c>
      <c r="D291" s="21" t="s">
        <v>806</v>
      </c>
      <c r="E291" s="21" t="s">
        <v>80</v>
      </c>
      <c r="F291" s="19">
        <f>EneSALpts</f>
        <v>0</v>
      </c>
    </row>
    <row r="292" spans="1:6" ht="14.95" customHeight="1" thickBot="1" x14ac:dyDescent="0.3">
      <c r="A292" s="8" t="s">
        <v>1034</v>
      </c>
      <c r="B292" s="8" t="s">
        <v>79</v>
      </c>
      <c r="C292" s="9">
        <f>freemanpriceglotries</f>
        <v>0</v>
      </c>
      <c r="D292" s="351" t="s">
        <v>571</v>
      </c>
      <c r="E292" s="351" t="s">
        <v>79</v>
      </c>
      <c r="F292" s="19">
        <f>Englefieldglopts</f>
        <v>0</v>
      </c>
    </row>
    <row r="293" spans="1:6" ht="14.95" customHeight="1" thickBot="1" x14ac:dyDescent="0.3">
      <c r="A293" s="8" t="s">
        <v>312</v>
      </c>
      <c r="B293" s="8" t="s">
        <v>309</v>
      </c>
      <c r="C293" s="9">
        <f>Georgesartriescorrect</f>
        <v>0</v>
      </c>
      <c r="D293" s="21" t="s">
        <v>110</v>
      </c>
      <c r="E293" s="21" t="s">
        <v>81</v>
      </c>
      <c r="F293" s="19">
        <f>Ewelsbthpts</f>
        <v>0</v>
      </c>
    </row>
    <row r="294" spans="1:6" ht="14.95" customHeight="1" thickBot="1" x14ac:dyDescent="0.3">
      <c r="A294" s="8" t="s">
        <v>831</v>
      </c>
      <c r="B294" s="8" t="s">
        <v>82</v>
      </c>
      <c r="C294" s="9">
        <f>GlisterNORtries</f>
        <v>0</v>
      </c>
      <c r="D294" s="21" t="s">
        <v>457</v>
      </c>
      <c r="E294" s="351" t="s">
        <v>889</v>
      </c>
      <c r="F294" s="19">
        <f>Fusernewpts</f>
        <v>0</v>
      </c>
    </row>
    <row r="295" spans="1:6" ht="14.95" customHeight="1" thickBot="1" x14ac:dyDescent="0.3">
      <c r="A295" s="8" t="s">
        <v>627</v>
      </c>
      <c r="B295" s="8" t="s">
        <v>88</v>
      </c>
      <c r="C295" s="9">
        <f>Grayexetries</f>
        <v>0</v>
      </c>
      <c r="D295" s="21" t="s">
        <v>111</v>
      </c>
      <c r="E295" s="21" t="s">
        <v>79</v>
      </c>
      <c r="F295" s="19">
        <f>Ford_Robinsonglopts</f>
        <v>0</v>
      </c>
    </row>
    <row r="296" spans="1:6" ht="14.95" customHeight="1" thickBot="1" x14ac:dyDescent="0.3">
      <c r="A296" s="8" t="s">
        <v>703</v>
      </c>
      <c r="B296" s="9" t="s">
        <v>889</v>
      </c>
      <c r="C296" s="9">
        <f>Gordonnewtries</f>
        <v>0</v>
      </c>
      <c r="D296" s="21" t="s">
        <v>222</v>
      </c>
      <c r="E296" s="21" t="s">
        <v>81</v>
      </c>
      <c r="F296" s="19">
        <f>Fotuali_ibthpts</f>
        <v>0</v>
      </c>
    </row>
    <row r="297" spans="1:6" ht="14.95" customHeight="1" thickBot="1" x14ac:dyDescent="0.3">
      <c r="A297" s="8" t="s">
        <v>635</v>
      </c>
      <c r="B297" s="8" t="s">
        <v>79</v>
      </c>
      <c r="C297" s="9">
        <f>Halaifonuaglotries</f>
        <v>0</v>
      </c>
      <c r="D297" s="19" t="s">
        <v>1034</v>
      </c>
      <c r="E297" s="19" t="s">
        <v>79</v>
      </c>
      <c r="F297" s="19">
        <f>freemanpriceglopts</f>
        <v>0</v>
      </c>
    </row>
    <row r="298" spans="1:6" ht="14.95" customHeight="1" thickBot="1" x14ac:dyDescent="0.3">
      <c r="A298" s="8" t="s">
        <v>417</v>
      </c>
      <c r="B298" s="8" t="s">
        <v>82</v>
      </c>
      <c r="C298" s="9">
        <f>Gillespienortries</f>
        <v>0</v>
      </c>
      <c r="D298" s="21" t="s">
        <v>312</v>
      </c>
      <c r="E298" s="21" t="s">
        <v>309</v>
      </c>
      <c r="F298" s="19">
        <f>Georgesarptscorrect</f>
        <v>0</v>
      </c>
    </row>
    <row r="299" spans="1:6" ht="14.95" customHeight="1" thickBot="1" x14ac:dyDescent="0.3">
      <c r="A299" s="8" t="s">
        <v>602</v>
      </c>
      <c r="B299" s="8" t="s">
        <v>90</v>
      </c>
      <c r="C299" s="9">
        <f>Grahamslawbritries</f>
        <v>0</v>
      </c>
      <c r="D299" s="21" t="s">
        <v>831</v>
      </c>
      <c r="E299" s="21" t="s">
        <v>82</v>
      </c>
      <c r="F299" s="18">
        <f>GlisterNORpts</f>
        <v>0</v>
      </c>
    </row>
    <row r="300" spans="1:6" ht="14.95" customHeight="1" thickBot="1" x14ac:dyDescent="0.3">
      <c r="A300" s="8" t="s">
        <v>397</v>
      </c>
      <c r="B300" s="8" t="s">
        <v>87</v>
      </c>
      <c r="C300" s="9">
        <f>Grayjoehartries</f>
        <v>0</v>
      </c>
      <c r="D300" s="21" t="s">
        <v>627</v>
      </c>
      <c r="E300" s="21" t="s">
        <v>88</v>
      </c>
      <c r="F300" s="19">
        <f>Grayexepts</f>
        <v>0</v>
      </c>
    </row>
    <row r="301" spans="1:6" ht="14.95" customHeight="1" thickBot="1" x14ac:dyDescent="0.3">
      <c r="A301" s="8" t="s">
        <v>865</v>
      </c>
      <c r="B301" s="8" t="s">
        <v>82</v>
      </c>
      <c r="C301" s="9">
        <f>Greennortries</f>
        <v>0</v>
      </c>
      <c r="D301" s="21" t="s">
        <v>703</v>
      </c>
      <c r="E301" s="351" t="s">
        <v>889</v>
      </c>
      <c r="F301" s="19">
        <f>Gordonnewpts</f>
        <v>0</v>
      </c>
    </row>
    <row r="302" spans="1:6" ht="14.95" customHeight="1" thickBot="1" x14ac:dyDescent="0.3">
      <c r="A302" s="9" t="s">
        <v>680</v>
      </c>
      <c r="B302" s="9" t="s">
        <v>889</v>
      </c>
      <c r="C302" s="9">
        <f>Farrellowentries</f>
        <v>0</v>
      </c>
      <c r="D302" s="21" t="s">
        <v>635</v>
      </c>
      <c r="E302" s="21" t="s">
        <v>79</v>
      </c>
      <c r="F302" s="19">
        <f>Halaifonuaglopts</f>
        <v>0</v>
      </c>
    </row>
    <row r="303" spans="1:6" ht="14.95" customHeight="1" thickBot="1" x14ac:dyDescent="0.3">
      <c r="A303" s="9" t="s">
        <v>603</v>
      </c>
      <c r="B303" s="9" t="s">
        <v>90</v>
      </c>
      <c r="C303" s="9">
        <f>Grondona_Bbritries</f>
        <v>0</v>
      </c>
      <c r="D303" s="21" t="s">
        <v>417</v>
      </c>
      <c r="E303" s="21" t="s">
        <v>82</v>
      </c>
      <c r="F303" s="18">
        <f>Gillespienorpts</f>
        <v>0</v>
      </c>
    </row>
    <row r="304" spans="1:6" ht="14.95" customHeight="1" thickBot="1" x14ac:dyDescent="0.3">
      <c r="A304" s="8" t="s">
        <v>625</v>
      </c>
      <c r="B304" s="8" t="s">
        <v>90</v>
      </c>
      <c r="C304" s="48">
        <f>Gwilliambritries</f>
        <v>0</v>
      </c>
      <c r="D304" s="21" t="s">
        <v>602</v>
      </c>
      <c r="E304" s="21" t="s">
        <v>90</v>
      </c>
      <c r="F304" s="19">
        <f>Grahamslawbripts</f>
        <v>0</v>
      </c>
    </row>
    <row r="305" spans="1:6" ht="14.95" customHeight="1" thickBot="1" x14ac:dyDescent="0.3">
      <c r="A305" s="8" t="s">
        <v>705</v>
      </c>
      <c r="B305" s="9" t="s">
        <v>527</v>
      </c>
      <c r="C305" s="48">
        <f>Diaz_Bonilla_Jleictries</f>
        <v>0</v>
      </c>
      <c r="D305" s="21" t="s">
        <v>397</v>
      </c>
      <c r="E305" s="21" t="s">
        <v>87</v>
      </c>
      <c r="F305" s="19">
        <f>Grayjoeharpts</f>
        <v>0</v>
      </c>
    </row>
    <row r="306" spans="1:6" ht="14.95" customHeight="1" thickBot="1" x14ac:dyDescent="0.3">
      <c r="A306" s="8" t="s">
        <v>803</v>
      </c>
      <c r="B306" s="8" t="s">
        <v>309</v>
      </c>
      <c r="C306" s="9">
        <f>Hallsartries</f>
        <v>0</v>
      </c>
      <c r="D306" s="21" t="s">
        <v>865</v>
      </c>
      <c r="E306" s="21" t="s">
        <v>82</v>
      </c>
      <c r="F306" s="19">
        <f>Greennorpts</f>
        <v>0</v>
      </c>
    </row>
    <row r="307" spans="1:6" ht="14.95" customHeight="1" thickBot="1" x14ac:dyDescent="0.3">
      <c r="A307" s="8" t="s">
        <v>617</v>
      </c>
      <c r="B307" s="8" t="s">
        <v>90</v>
      </c>
      <c r="C307" s="9">
        <f>Halliwellbritries</f>
        <v>0</v>
      </c>
      <c r="D307" s="19" t="s">
        <v>680</v>
      </c>
      <c r="E307" s="351" t="s">
        <v>889</v>
      </c>
      <c r="F307" s="19">
        <f>Farrellsarpts</f>
        <v>0</v>
      </c>
    </row>
    <row r="308" spans="1:6" ht="14.95" customHeight="1" thickBot="1" x14ac:dyDescent="0.3">
      <c r="A308" s="8" t="s">
        <v>805</v>
      </c>
      <c r="B308" s="8" t="s">
        <v>309</v>
      </c>
      <c r="C308" s="9">
        <f>Hammicksartries</f>
        <v>0</v>
      </c>
      <c r="D308" s="19" t="s">
        <v>603</v>
      </c>
      <c r="E308" s="19" t="s">
        <v>90</v>
      </c>
      <c r="F308" s="19">
        <f>Grondona_Bbripts</f>
        <v>0</v>
      </c>
    </row>
    <row r="309" spans="1:6" ht="14.95" customHeight="1" thickBot="1" x14ac:dyDescent="0.3">
      <c r="A309" s="9" t="s">
        <v>385</v>
      </c>
      <c r="B309" s="9" t="s">
        <v>80</v>
      </c>
      <c r="C309" s="9">
        <f>Harpersaltries</f>
        <v>0</v>
      </c>
      <c r="D309" s="21" t="s">
        <v>625</v>
      </c>
      <c r="E309" s="21" t="s">
        <v>90</v>
      </c>
      <c r="F309" s="19">
        <f>Gwilliambripts</f>
        <v>0</v>
      </c>
    </row>
    <row r="310" spans="1:6" ht="14.95" customHeight="1" thickBot="1" x14ac:dyDescent="0.3">
      <c r="A310" s="8" t="s">
        <v>448</v>
      </c>
      <c r="B310" s="8" t="s">
        <v>81</v>
      </c>
      <c r="C310" s="9">
        <f>Harrisbthtries</f>
        <v>0</v>
      </c>
      <c r="D310" s="21" t="s">
        <v>705</v>
      </c>
      <c r="E310" s="21" t="s">
        <v>527</v>
      </c>
      <c r="F310" s="19">
        <f>Diaz_Bonilla_Jleicpts</f>
        <v>0</v>
      </c>
    </row>
    <row r="311" spans="1:6" ht="14.95" customHeight="1" thickBot="1" x14ac:dyDescent="0.3">
      <c r="A311" s="8" t="s">
        <v>89</v>
      </c>
      <c r="B311" s="8" t="s">
        <v>80</v>
      </c>
      <c r="C311" s="9">
        <f>Harrisonsaltris</f>
        <v>0</v>
      </c>
      <c r="D311" s="21" t="s">
        <v>803</v>
      </c>
      <c r="E311" s="21" t="s">
        <v>309</v>
      </c>
      <c r="F311" s="19">
        <f>Hallsarpts</f>
        <v>0</v>
      </c>
    </row>
    <row r="312" spans="1:6" ht="14.95" customHeight="1" thickBot="1" x14ac:dyDescent="0.3">
      <c r="A312" s="8" t="s">
        <v>429</v>
      </c>
      <c r="B312" s="8" t="s">
        <v>309</v>
      </c>
      <c r="C312" s="9">
        <f>Hartleysartries</f>
        <v>0</v>
      </c>
      <c r="D312" s="21" t="s">
        <v>617</v>
      </c>
      <c r="E312" s="21" t="s">
        <v>90</v>
      </c>
      <c r="F312" s="19">
        <f>Halliwellbripts</f>
        <v>0</v>
      </c>
    </row>
    <row r="313" spans="1:6" ht="14.95" customHeight="1" thickBot="1" x14ac:dyDescent="0.3">
      <c r="A313" s="8" t="s">
        <v>611</v>
      </c>
      <c r="B313" s="8" t="s">
        <v>90</v>
      </c>
      <c r="C313" s="9">
        <f>Fenbylitries</f>
        <v>0</v>
      </c>
      <c r="D313" s="21" t="s">
        <v>805</v>
      </c>
      <c r="E313" s="21" t="s">
        <v>309</v>
      </c>
      <c r="F313" s="19">
        <f>Hammicksarpts</f>
        <v>0</v>
      </c>
    </row>
    <row r="314" spans="1:6" ht="14.95" customHeight="1" thickBot="1" x14ac:dyDescent="0.3">
      <c r="A314" s="9" t="s">
        <v>681</v>
      </c>
      <c r="B314" s="9" t="s">
        <v>889</v>
      </c>
      <c r="C314" s="9">
        <f>Haydon_Woodnewtries</f>
        <v>0</v>
      </c>
      <c r="D314" s="19" t="s">
        <v>385</v>
      </c>
      <c r="E314" s="21" t="s">
        <v>80</v>
      </c>
      <c r="F314" s="19">
        <f>Harpersalpts</f>
        <v>0</v>
      </c>
    </row>
    <row r="315" spans="1:6" ht="14.95" customHeight="1" thickBot="1" x14ac:dyDescent="0.3">
      <c r="A315" s="8" t="s">
        <v>483</v>
      </c>
      <c r="B315" s="8" t="s">
        <v>88</v>
      </c>
      <c r="C315" s="9">
        <f>Haydon_WoodEXEtries</f>
        <v>0</v>
      </c>
      <c r="D315" s="21" t="s">
        <v>448</v>
      </c>
      <c r="E315" s="21" t="s">
        <v>81</v>
      </c>
      <c r="F315" s="19">
        <f>Harrisbthpts</f>
        <v>0</v>
      </c>
    </row>
    <row r="316" spans="1:6" ht="14.95" customHeight="1" thickBot="1" x14ac:dyDescent="0.3">
      <c r="A316" s="9" t="s">
        <v>1123</v>
      </c>
      <c r="B316" s="9" t="s">
        <v>889</v>
      </c>
      <c r="C316" s="9">
        <f>Healynrbtries</f>
        <v>0</v>
      </c>
      <c r="D316" s="21" t="s">
        <v>89</v>
      </c>
      <c r="E316" s="21" t="s">
        <v>80</v>
      </c>
      <c r="F316" s="19">
        <f>Harrisonsalpts</f>
        <v>0</v>
      </c>
    </row>
    <row r="317" spans="1:6" ht="14.95" customHeight="1" thickBot="1" x14ac:dyDescent="0.3">
      <c r="A317" s="8" t="s">
        <v>1069</v>
      </c>
      <c r="B317" s="8" t="s">
        <v>88</v>
      </c>
      <c r="C317" s="9">
        <f>Heavenexetries</f>
        <v>0</v>
      </c>
      <c r="D317" s="21" t="s">
        <v>429</v>
      </c>
      <c r="E317" s="21" t="s">
        <v>309</v>
      </c>
      <c r="F317" s="20">
        <f>Hartleysarpts</f>
        <v>0</v>
      </c>
    </row>
    <row r="318" spans="1:6" ht="14.95" customHeight="1" thickBot="1" x14ac:dyDescent="0.3">
      <c r="A318" s="8" t="s">
        <v>373</v>
      </c>
      <c r="B318" s="8" t="s">
        <v>79</v>
      </c>
      <c r="C318" s="9">
        <f>Hillman_Cooperglotries</f>
        <v>0</v>
      </c>
      <c r="D318" s="21" t="s">
        <v>611</v>
      </c>
      <c r="E318" s="21" t="s">
        <v>90</v>
      </c>
      <c r="F318" s="19">
        <f>Fenbylipts</f>
        <v>0</v>
      </c>
    </row>
    <row r="319" spans="1:6" ht="14.95" customHeight="1" thickBot="1" x14ac:dyDescent="0.3">
      <c r="A319" s="8" t="s">
        <v>830</v>
      </c>
      <c r="B319" s="8" t="s">
        <v>87</v>
      </c>
      <c r="C319" s="9">
        <f>Hobsonhartries</f>
        <v>0</v>
      </c>
      <c r="D319" s="19" t="s">
        <v>681</v>
      </c>
      <c r="E319" s="351" t="s">
        <v>889</v>
      </c>
      <c r="F319" s="19">
        <f>Haydon_Woodnewpts</f>
        <v>0</v>
      </c>
    </row>
    <row r="320" spans="1:6" ht="14.95" customHeight="1" thickBot="1" x14ac:dyDescent="0.3">
      <c r="A320" s="8" t="s">
        <v>213</v>
      </c>
      <c r="B320" s="8" t="s">
        <v>88</v>
      </c>
      <c r="C320" s="9">
        <f>Hodgeexetries</f>
        <v>0</v>
      </c>
      <c r="D320" s="21" t="s">
        <v>483</v>
      </c>
      <c r="E320" s="21" t="s">
        <v>88</v>
      </c>
      <c r="F320" s="19">
        <f>Haywood_WoodEXEpts</f>
        <v>0</v>
      </c>
    </row>
    <row r="321" spans="1:6" ht="14.95" customHeight="1" thickBot="1" x14ac:dyDescent="0.3">
      <c r="A321" s="8" t="s">
        <v>982</v>
      </c>
      <c r="B321" s="8" t="s">
        <v>80</v>
      </c>
      <c r="C321" s="9">
        <f>Hill_Jsaltries</f>
        <v>0</v>
      </c>
      <c r="D321" s="21" t="s">
        <v>1069</v>
      </c>
      <c r="E321" s="21" t="s">
        <v>88</v>
      </c>
      <c r="F321" s="19">
        <f>Heavenexepts</f>
        <v>0</v>
      </c>
    </row>
    <row r="322" spans="1:6" ht="14.95" customHeight="1" thickBot="1" x14ac:dyDescent="0.3">
      <c r="A322" s="8" t="s">
        <v>741</v>
      </c>
      <c r="B322" s="8" t="s">
        <v>309</v>
      </c>
      <c r="C322" s="9">
        <f>Hunter_Hillsartriescorrect</f>
        <v>0</v>
      </c>
      <c r="D322" s="21" t="s">
        <v>373</v>
      </c>
      <c r="E322" s="21" t="s">
        <v>79</v>
      </c>
      <c r="F322" s="19">
        <f>Hillman_Cooperglopts</f>
        <v>0</v>
      </c>
    </row>
    <row r="323" spans="1:6" ht="14.95" customHeight="1" thickBot="1" x14ac:dyDescent="0.3">
      <c r="A323" s="8" t="s">
        <v>330</v>
      </c>
      <c r="B323" s="9" t="s">
        <v>527</v>
      </c>
      <c r="C323" s="9">
        <f>Hurdleictries</f>
        <v>0</v>
      </c>
      <c r="D323" s="21" t="s">
        <v>830</v>
      </c>
      <c r="E323" s="21" t="s">
        <v>87</v>
      </c>
      <c r="F323" s="19">
        <f>Hobsonharpts</f>
        <v>0</v>
      </c>
    </row>
    <row r="324" spans="1:6" ht="14.95" customHeight="1" thickBot="1" x14ac:dyDescent="0.3">
      <c r="A324" s="8" t="s">
        <v>1039</v>
      </c>
      <c r="B324" s="8" t="s">
        <v>889</v>
      </c>
      <c r="C324" s="9">
        <f>Hutchisonnrbtries</f>
        <v>0</v>
      </c>
      <c r="D324" s="21" t="s">
        <v>982</v>
      </c>
      <c r="E324" s="21" t="s">
        <v>80</v>
      </c>
      <c r="F324" s="19">
        <f>Hill_Jsalpts</f>
        <v>0</v>
      </c>
    </row>
    <row r="325" spans="1:6" ht="14.95" customHeight="1" thickBot="1" x14ac:dyDescent="0.3">
      <c r="A325" s="8" t="s">
        <v>782</v>
      </c>
      <c r="B325" s="8" t="s">
        <v>87</v>
      </c>
      <c r="C325" s="9">
        <f>Hydehartries</f>
        <v>0</v>
      </c>
      <c r="D325" s="21" t="s">
        <v>741</v>
      </c>
      <c r="E325" s="21" t="s">
        <v>309</v>
      </c>
      <c r="F325" s="19">
        <f>Hunter_Hillsarptscorrect</f>
        <v>0</v>
      </c>
    </row>
    <row r="326" spans="1:6" ht="14.95" customHeight="1" thickBot="1" x14ac:dyDescent="0.3">
      <c r="A326" s="8" t="s">
        <v>328</v>
      </c>
      <c r="B326" s="8" t="s">
        <v>88</v>
      </c>
      <c r="C326" s="9">
        <f>Iosefa_Scottexetries</f>
        <v>0</v>
      </c>
      <c r="D326" s="21" t="s">
        <v>330</v>
      </c>
      <c r="E326" s="21" t="s">
        <v>527</v>
      </c>
      <c r="F326" s="19">
        <f>Hurdleicpts</f>
        <v>0</v>
      </c>
    </row>
    <row r="327" spans="1:6" ht="14.95" customHeight="1" thickBot="1" x14ac:dyDescent="0.3">
      <c r="A327" s="8" t="s">
        <v>315</v>
      </c>
      <c r="B327" s="8" t="s">
        <v>309</v>
      </c>
      <c r="C327" s="9">
        <f>Itojesartriescorrect</f>
        <v>0</v>
      </c>
      <c r="D327" s="21" t="s">
        <v>1039</v>
      </c>
      <c r="E327" s="21" t="s">
        <v>889</v>
      </c>
      <c r="F327" s="19">
        <f>Hutchisonnrbpts</f>
        <v>0</v>
      </c>
    </row>
    <row r="328" spans="1:6" ht="14.95" customHeight="1" thickBot="1" x14ac:dyDescent="0.3">
      <c r="A328" s="8" t="s">
        <v>575</v>
      </c>
      <c r="B328" s="8" t="s">
        <v>82</v>
      </c>
      <c r="C328" s="9">
        <f>Irvinenortries</f>
        <v>0</v>
      </c>
      <c r="D328" s="21" t="s">
        <v>782</v>
      </c>
      <c r="E328" s="21" t="s">
        <v>87</v>
      </c>
      <c r="F328" s="19">
        <f>Hydeharpts</f>
        <v>0</v>
      </c>
    </row>
    <row r="329" spans="1:6" ht="14.95" customHeight="1" thickBot="1" x14ac:dyDescent="0.3">
      <c r="A329" s="8" t="s">
        <v>1031</v>
      </c>
      <c r="B329" s="8" t="s">
        <v>79</v>
      </c>
      <c r="C329" s="9">
        <f>jamesglotries</f>
        <v>0</v>
      </c>
      <c r="D329" s="21" t="s">
        <v>328</v>
      </c>
      <c r="E329" s="21" t="s">
        <v>88</v>
      </c>
      <c r="F329" s="19">
        <f>Iosefa_Scottexepts</f>
        <v>0</v>
      </c>
    </row>
    <row r="330" spans="1:6" ht="14.95" customHeight="1" thickBot="1" x14ac:dyDescent="0.3">
      <c r="A330" s="8" t="s">
        <v>1061</v>
      </c>
      <c r="B330" s="8" t="s">
        <v>88</v>
      </c>
      <c r="C330" s="9">
        <f>Jamesexetries</f>
        <v>0</v>
      </c>
      <c r="D330" s="21" t="s">
        <v>315</v>
      </c>
      <c r="E330" s="21" t="s">
        <v>309</v>
      </c>
      <c r="F330" s="19">
        <f>Itojesarptscorrect</f>
        <v>0</v>
      </c>
    </row>
    <row r="331" spans="1:6" ht="14.95" customHeight="1" thickBot="1" x14ac:dyDescent="0.3">
      <c r="A331" s="8" t="s">
        <v>260</v>
      </c>
      <c r="B331" s="8" t="s">
        <v>82</v>
      </c>
      <c r="C331" s="9">
        <f>Jamesnortries</f>
        <v>0</v>
      </c>
      <c r="D331" s="21" t="s">
        <v>575</v>
      </c>
      <c r="E331" s="21" t="s">
        <v>82</v>
      </c>
      <c r="F331" s="19">
        <f>Irvinenorpts</f>
        <v>0</v>
      </c>
    </row>
    <row r="332" spans="1:6" ht="14.95" customHeight="1" thickBot="1" x14ac:dyDescent="0.3">
      <c r="A332" s="8" t="s">
        <v>555</v>
      </c>
      <c r="B332" s="8" t="s">
        <v>90</v>
      </c>
      <c r="C332" s="48">
        <f>Jeffriesbritriescorrect</f>
        <v>0</v>
      </c>
      <c r="D332" s="21" t="s">
        <v>1031</v>
      </c>
      <c r="E332" s="21" t="s">
        <v>79</v>
      </c>
      <c r="F332" s="19">
        <f>jamesgloppts</f>
        <v>0</v>
      </c>
    </row>
    <row r="333" spans="1:6" ht="14.95" customHeight="1" thickBot="1" x14ac:dyDescent="0.3">
      <c r="A333" s="8" t="s">
        <v>445</v>
      </c>
      <c r="B333" s="8" t="s">
        <v>88</v>
      </c>
      <c r="C333" s="9">
        <f>Jenkins_Dexetries</f>
        <v>0</v>
      </c>
      <c r="D333" s="21" t="s">
        <v>1061</v>
      </c>
      <c r="E333" s="21" t="s">
        <v>88</v>
      </c>
      <c r="F333" s="19">
        <f>Jamesexepts</f>
        <v>0</v>
      </c>
    </row>
    <row r="334" spans="1:6" ht="14.95" customHeight="1" thickBot="1" x14ac:dyDescent="0.3">
      <c r="A334" s="8" t="s">
        <v>444</v>
      </c>
      <c r="B334" s="8" t="s">
        <v>88</v>
      </c>
      <c r="C334" s="9">
        <f>Jenkins_Iexetries</f>
        <v>0</v>
      </c>
      <c r="D334" s="21" t="s">
        <v>260</v>
      </c>
      <c r="E334" s="21" t="s">
        <v>82</v>
      </c>
      <c r="F334" s="19">
        <f>Jamesnorpts</f>
        <v>0</v>
      </c>
    </row>
    <row r="335" spans="1:6" ht="14.95" customHeight="1" thickBot="1" x14ac:dyDescent="0.3">
      <c r="A335" s="8" t="s">
        <v>458</v>
      </c>
      <c r="B335" s="8" t="s">
        <v>90</v>
      </c>
      <c r="C335" s="9">
        <f>Jenkinsbritries</f>
        <v>0</v>
      </c>
      <c r="D335" s="21" t="s">
        <v>555</v>
      </c>
      <c r="E335" s="21" t="s">
        <v>90</v>
      </c>
      <c r="F335" s="19">
        <f>Jeffriesbriptscorrect</f>
        <v>0</v>
      </c>
    </row>
    <row r="336" spans="1:6" ht="14.95" customHeight="1" thickBot="1" x14ac:dyDescent="0.3">
      <c r="A336" s="8" t="s">
        <v>613</v>
      </c>
      <c r="B336" s="8" t="s">
        <v>90</v>
      </c>
      <c r="C336" s="9">
        <f>Hearnlirtries</f>
        <v>0</v>
      </c>
      <c r="D336" s="21" t="s">
        <v>445</v>
      </c>
      <c r="E336" s="21" t="s">
        <v>88</v>
      </c>
      <c r="F336" s="20">
        <f>Jenkins_Dexepts</f>
        <v>0</v>
      </c>
    </row>
    <row r="337" spans="1:6" ht="14.95" customHeight="1" thickBot="1" x14ac:dyDescent="0.3">
      <c r="A337" s="8" t="s">
        <v>569</v>
      </c>
      <c r="B337" s="8" t="s">
        <v>88</v>
      </c>
      <c r="C337" s="9">
        <f>Johnexetries</f>
        <v>0</v>
      </c>
      <c r="D337" s="21" t="s">
        <v>444</v>
      </c>
      <c r="E337" s="21" t="s">
        <v>88</v>
      </c>
      <c r="F337" s="20">
        <f>Jenkins_Iexepts</f>
        <v>0</v>
      </c>
    </row>
    <row r="338" spans="1:6" ht="14.95" customHeight="1" thickBot="1" x14ac:dyDescent="0.3">
      <c r="A338" s="8" t="s">
        <v>738</v>
      </c>
      <c r="B338" s="8" t="s">
        <v>309</v>
      </c>
      <c r="C338" s="9">
        <f>Johnsonsartries</f>
        <v>0</v>
      </c>
      <c r="D338" s="21" t="s">
        <v>458</v>
      </c>
      <c r="E338" s="21" t="s">
        <v>90</v>
      </c>
      <c r="F338" s="19">
        <f>Jenkinsbripts</f>
        <v>0</v>
      </c>
    </row>
    <row r="339" spans="1:6" ht="14.95" customHeight="1" thickBot="1" x14ac:dyDescent="0.3">
      <c r="A339" s="10" t="s">
        <v>344</v>
      </c>
      <c r="B339" s="9" t="s">
        <v>87</v>
      </c>
      <c r="C339" s="9">
        <f>Jureviciushartries</f>
        <v>0</v>
      </c>
      <c r="D339" s="21" t="s">
        <v>613</v>
      </c>
      <c r="E339" s="21" t="s">
        <v>90</v>
      </c>
      <c r="F339" s="19">
        <f>Hearnlirpts</f>
        <v>0</v>
      </c>
    </row>
    <row r="340" spans="1:6" ht="14.95" customHeight="1" thickBot="1" x14ac:dyDescent="0.3">
      <c r="A340" s="61" t="s">
        <v>1085</v>
      </c>
      <c r="B340" s="9" t="s">
        <v>309</v>
      </c>
      <c r="C340" s="9">
        <f>Kavasartries</f>
        <v>0</v>
      </c>
      <c r="D340" s="19" t="s">
        <v>569</v>
      </c>
      <c r="E340" s="19" t="s">
        <v>88</v>
      </c>
      <c r="F340" s="19">
        <f>Johnexepts</f>
        <v>0</v>
      </c>
    </row>
    <row r="341" spans="1:6" ht="14.95" customHeight="1" thickBot="1" x14ac:dyDescent="0.3">
      <c r="A341" s="10" t="s">
        <v>682</v>
      </c>
      <c r="B341" s="9" t="s">
        <v>889</v>
      </c>
      <c r="C341" s="9">
        <f>Hodgsonnewtriescorrect</f>
        <v>0</v>
      </c>
      <c r="D341" s="21" t="s">
        <v>738</v>
      </c>
      <c r="E341" s="21" t="s">
        <v>309</v>
      </c>
      <c r="F341" s="19">
        <f>Johnsonsarpts</f>
        <v>0</v>
      </c>
    </row>
    <row r="342" spans="1:6" ht="14.95" customHeight="1" thickBot="1" x14ac:dyDescent="0.3">
      <c r="A342" s="10" t="s">
        <v>827</v>
      </c>
      <c r="B342" s="9" t="s">
        <v>80</v>
      </c>
      <c r="C342" s="9">
        <f>Kellysaltries</f>
        <v>0</v>
      </c>
      <c r="D342" s="19" t="s">
        <v>344</v>
      </c>
      <c r="E342" s="19" t="s">
        <v>87</v>
      </c>
      <c r="F342" s="19">
        <f>Jureviciusharpts</f>
        <v>0</v>
      </c>
    </row>
    <row r="343" spans="1:6" ht="14.95" customHeight="1" thickBot="1" x14ac:dyDescent="0.3">
      <c r="A343" s="61" t="s">
        <v>116</v>
      </c>
      <c r="B343" s="8" t="s">
        <v>87</v>
      </c>
      <c r="C343" s="9">
        <f>Ibitoyehartries</f>
        <v>0</v>
      </c>
      <c r="D343" s="21" t="s">
        <v>1085</v>
      </c>
      <c r="E343" s="21" t="s">
        <v>309</v>
      </c>
      <c r="F343" s="19">
        <f>Kavasarpts</f>
        <v>0</v>
      </c>
    </row>
    <row r="344" spans="1:6" ht="14.95" customHeight="1" thickBot="1" x14ac:dyDescent="0.3">
      <c r="A344" s="61" t="s">
        <v>1045</v>
      </c>
      <c r="B344" s="8" t="s">
        <v>309</v>
      </c>
      <c r="C344" s="9">
        <f>Keylocksartries</f>
        <v>0</v>
      </c>
      <c r="D344" s="21" t="s">
        <v>682</v>
      </c>
      <c r="E344" s="351" t="s">
        <v>889</v>
      </c>
      <c r="F344" s="19">
        <f>Hodgsonnewptscorrect</f>
        <v>0</v>
      </c>
    </row>
    <row r="345" spans="1:6" ht="14.95" customHeight="1" thickBot="1" x14ac:dyDescent="0.3">
      <c r="A345" s="61" t="s">
        <v>665</v>
      </c>
      <c r="B345" s="9" t="s">
        <v>527</v>
      </c>
      <c r="C345" s="9">
        <f>Kitchenergrahamtriescorrect</f>
        <v>0</v>
      </c>
      <c r="D345" s="17" t="s">
        <v>827</v>
      </c>
      <c r="E345" s="19" t="s">
        <v>80</v>
      </c>
      <c r="F345" s="19">
        <f>Kellysalpts</f>
        <v>0</v>
      </c>
    </row>
    <row r="346" spans="1:6" ht="14.95" customHeight="1" thickBot="1" x14ac:dyDescent="0.3">
      <c r="A346" s="10" t="s">
        <v>844</v>
      </c>
      <c r="B346" s="9" t="s">
        <v>81</v>
      </c>
      <c r="C346" s="9">
        <f>Kirkbthtries</f>
        <v>0</v>
      </c>
      <c r="D346" s="2" t="s">
        <v>116</v>
      </c>
      <c r="E346" s="21" t="s">
        <v>87</v>
      </c>
      <c r="F346" s="19">
        <f>Ibitoyeharpts</f>
        <v>0</v>
      </c>
    </row>
    <row r="347" spans="1:6" ht="14.95" customHeight="1" thickBot="1" x14ac:dyDescent="0.3">
      <c r="A347" s="61" t="s">
        <v>264</v>
      </c>
      <c r="B347" s="8" t="s">
        <v>90</v>
      </c>
      <c r="C347" s="9">
        <f>Laybritries</f>
        <v>0</v>
      </c>
      <c r="D347" s="2" t="s">
        <v>1045</v>
      </c>
      <c r="E347" s="21" t="s">
        <v>309</v>
      </c>
      <c r="F347" s="19">
        <f>Keylocksarpts</f>
        <v>0</v>
      </c>
    </row>
    <row r="348" spans="1:6" ht="14.95" customHeight="1" thickBot="1" x14ac:dyDescent="0.3">
      <c r="A348" s="61" t="s">
        <v>451</v>
      </c>
      <c r="B348" s="8" t="s">
        <v>309</v>
      </c>
      <c r="C348" s="9">
        <f>KnightSARtries</f>
        <v>0</v>
      </c>
      <c r="D348" s="2" t="s">
        <v>665</v>
      </c>
      <c r="E348" s="21" t="s">
        <v>527</v>
      </c>
      <c r="F348" s="19">
        <f>Kitchenergrahamptscorrect</f>
        <v>0</v>
      </c>
    </row>
    <row r="349" spans="1:6" ht="14.95" customHeight="1" thickBot="1" x14ac:dyDescent="0.3">
      <c r="A349" s="61" t="s">
        <v>794</v>
      </c>
      <c r="B349" s="9" t="s">
        <v>79</v>
      </c>
      <c r="C349" s="9">
        <f>Knightciaranglotries</f>
        <v>0</v>
      </c>
      <c r="D349" s="2" t="s">
        <v>844</v>
      </c>
      <c r="E349" s="21" t="s">
        <v>81</v>
      </c>
      <c r="F349" s="19">
        <f>Kirkbthpts</f>
        <v>0</v>
      </c>
    </row>
    <row r="350" spans="1:6" ht="14.95" customHeight="1" thickBot="1" x14ac:dyDescent="0.3">
      <c r="A350" s="61" t="s">
        <v>1090</v>
      </c>
      <c r="B350" s="8" t="s">
        <v>87</v>
      </c>
      <c r="C350" s="9">
        <f>Koladehartries</f>
        <v>0</v>
      </c>
      <c r="D350" s="2" t="s">
        <v>264</v>
      </c>
      <c r="E350" s="21" t="s">
        <v>90</v>
      </c>
      <c r="F350" s="19">
        <f>Laybripts</f>
        <v>0</v>
      </c>
    </row>
    <row r="351" spans="1:6" ht="14.95" customHeight="1" thickBot="1" x14ac:dyDescent="0.3">
      <c r="A351" s="61" t="s">
        <v>228</v>
      </c>
      <c r="B351" s="8" t="s">
        <v>90</v>
      </c>
      <c r="C351" s="9">
        <f>Lloydlirtries</f>
        <v>0</v>
      </c>
      <c r="D351" s="2" t="s">
        <v>451</v>
      </c>
      <c r="E351" s="21" t="s">
        <v>309</v>
      </c>
      <c r="F351" s="19">
        <f>KnightSARpts</f>
        <v>0</v>
      </c>
    </row>
    <row r="352" spans="1:6" ht="14.95" customHeight="1" thickBot="1" x14ac:dyDescent="0.3">
      <c r="A352" s="61" t="s">
        <v>650</v>
      </c>
      <c r="B352" s="8" t="s">
        <v>87</v>
      </c>
      <c r="C352" s="9">
        <f>Lamositelehartries</f>
        <v>0</v>
      </c>
      <c r="D352" s="2" t="s">
        <v>794</v>
      </c>
      <c r="E352" s="21" t="s">
        <v>79</v>
      </c>
      <c r="F352" s="19">
        <f>Knightciaranglopts</f>
        <v>0</v>
      </c>
    </row>
    <row r="353" spans="1:6" ht="14.95" customHeight="1" thickBot="1" x14ac:dyDescent="0.3">
      <c r="A353" s="61" t="s">
        <v>376</v>
      </c>
      <c r="B353" s="8" t="s">
        <v>90</v>
      </c>
      <c r="C353" s="9">
        <f>Lanebritries</f>
        <v>0</v>
      </c>
      <c r="D353" s="2" t="s">
        <v>1090</v>
      </c>
      <c r="E353" s="21" t="s">
        <v>87</v>
      </c>
      <c r="F353" s="19">
        <f>Koladeharpts</f>
        <v>0</v>
      </c>
    </row>
    <row r="354" spans="1:6" ht="14.95" customHeight="1" thickBot="1" x14ac:dyDescent="0.3">
      <c r="A354" s="61" t="s">
        <v>118</v>
      </c>
      <c r="B354" s="8" t="s">
        <v>87</v>
      </c>
      <c r="C354" s="9">
        <f>Lewisdavehartries</f>
        <v>0</v>
      </c>
      <c r="D354" s="2" t="s">
        <v>228</v>
      </c>
      <c r="E354" s="21" t="s">
        <v>90</v>
      </c>
      <c r="F354" s="18">
        <f>Lloydlirpts</f>
        <v>0</v>
      </c>
    </row>
    <row r="355" spans="1:6" ht="14.95" customHeight="1" thickBot="1" x14ac:dyDescent="0.3">
      <c r="A355" s="61" t="s">
        <v>838</v>
      </c>
      <c r="B355" s="8" t="s">
        <v>81</v>
      </c>
      <c r="C355" s="9">
        <f>le_Rouxbthtries</f>
        <v>0</v>
      </c>
      <c r="D355" s="2" t="s">
        <v>650</v>
      </c>
      <c r="E355" s="21" t="s">
        <v>87</v>
      </c>
      <c r="F355" s="19">
        <f>+Lamositeleharpts</f>
        <v>0</v>
      </c>
    </row>
    <row r="356" spans="1:6" ht="14.95" customHeight="1" thickBot="1" x14ac:dyDescent="0.3">
      <c r="A356" s="61" t="s">
        <v>809</v>
      </c>
      <c r="B356" s="8" t="s">
        <v>90</v>
      </c>
      <c r="C356" s="9">
        <f>Lennonbritries</f>
        <v>0</v>
      </c>
      <c r="D356" s="2" t="s">
        <v>376</v>
      </c>
      <c r="E356" s="21" t="s">
        <v>90</v>
      </c>
      <c r="F356" s="19">
        <f>Lanebripts</f>
        <v>0</v>
      </c>
    </row>
    <row r="357" spans="1:6" ht="14.95" customHeight="1" thickBot="1" x14ac:dyDescent="0.3">
      <c r="A357" s="61" t="s">
        <v>197</v>
      </c>
      <c r="B357" s="8" t="s">
        <v>87</v>
      </c>
      <c r="C357" s="9">
        <f>Marfohartries</f>
        <v>0</v>
      </c>
      <c r="D357" s="2" t="s">
        <v>118</v>
      </c>
      <c r="E357" s="21" t="s">
        <v>87</v>
      </c>
      <c r="F357" s="20">
        <f>Lewisdaveharpts</f>
        <v>0</v>
      </c>
    </row>
    <row r="358" spans="1:6" ht="14.95" customHeight="1" thickBot="1" x14ac:dyDescent="0.3">
      <c r="A358" s="61" t="s">
        <v>870</v>
      </c>
      <c r="B358" s="9" t="s">
        <v>88</v>
      </c>
      <c r="C358" s="9">
        <f>Lilleyexetries</f>
        <v>0</v>
      </c>
      <c r="D358" s="2" t="s">
        <v>838</v>
      </c>
      <c r="E358" s="21" t="s">
        <v>81</v>
      </c>
      <c r="F358" s="19">
        <f>le_Rouxbthpts</f>
        <v>0</v>
      </c>
    </row>
    <row r="359" spans="1:6" ht="14.95" customHeight="1" thickBot="1" x14ac:dyDescent="0.3">
      <c r="A359" s="12" t="s">
        <v>560</v>
      </c>
      <c r="B359" s="295" t="s">
        <v>79</v>
      </c>
      <c r="C359" s="9">
        <f>Knightglotriescorrect</f>
        <v>0</v>
      </c>
      <c r="D359" s="2" t="s">
        <v>809</v>
      </c>
      <c r="E359" s="21" t="s">
        <v>90</v>
      </c>
      <c r="F359" s="19">
        <f>Lennonbripts</f>
        <v>0</v>
      </c>
    </row>
    <row r="360" spans="1:6" ht="14.95" customHeight="1" thickBot="1" x14ac:dyDescent="0.3">
      <c r="A360" s="61" t="s">
        <v>436</v>
      </c>
      <c r="B360" s="8" t="s">
        <v>82</v>
      </c>
      <c r="C360" s="9">
        <f>Lockettnortries</f>
        <v>0</v>
      </c>
      <c r="D360" s="2" t="s">
        <v>197</v>
      </c>
      <c r="E360" s="21" t="s">
        <v>87</v>
      </c>
      <c r="F360" s="19">
        <f>Marfoharpts</f>
        <v>0</v>
      </c>
    </row>
    <row r="361" spans="1:6" ht="14.95" customHeight="1" thickBot="1" x14ac:dyDescent="0.3">
      <c r="A361" s="61" t="s">
        <v>475</v>
      </c>
      <c r="B361" s="9" t="s">
        <v>889</v>
      </c>
      <c r="C361" s="9">
        <f>Lindsay_Haguenewtries</f>
        <v>0</v>
      </c>
      <c r="D361" s="2" t="s">
        <v>870</v>
      </c>
      <c r="E361" s="21" t="s">
        <v>88</v>
      </c>
      <c r="F361" s="18">
        <f>Lilleyexepts</f>
        <v>0</v>
      </c>
    </row>
    <row r="362" spans="1:6" ht="14.95" customHeight="1" thickBot="1" x14ac:dyDescent="0.3">
      <c r="A362" s="61" t="s">
        <v>316</v>
      </c>
      <c r="B362" s="8" t="s">
        <v>309</v>
      </c>
      <c r="C362" s="9">
        <f>Lozowskisartriescorrect</f>
        <v>0</v>
      </c>
      <c r="D362" s="2" t="s">
        <v>560</v>
      </c>
      <c r="E362" s="21" t="s">
        <v>79</v>
      </c>
      <c r="F362" s="19">
        <f>Knightgloptscorrect</f>
        <v>0</v>
      </c>
    </row>
    <row r="363" spans="1:6" ht="14.95" customHeight="1" thickBot="1" x14ac:dyDescent="0.3">
      <c r="A363" s="61" t="s">
        <v>862</v>
      </c>
      <c r="B363" s="8" t="s">
        <v>88</v>
      </c>
      <c r="C363" s="9">
        <f>Maloneyexetries</f>
        <v>0</v>
      </c>
      <c r="D363" s="2" t="s">
        <v>436</v>
      </c>
      <c r="E363" s="21" t="s">
        <v>82</v>
      </c>
      <c r="F363" s="20">
        <f>Lockettnorpts</f>
        <v>0</v>
      </c>
    </row>
    <row r="364" spans="1:6" ht="14.95" customHeight="1" thickBot="1" x14ac:dyDescent="0.3">
      <c r="A364" s="61" t="s">
        <v>437</v>
      </c>
      <c r="B364" s="9" t="s">
        <v>527</v>
      </c>
      <c r="C364" s="9">
        <f>Manzleictries</f>
        <v>0</v>
      </c>
      <c r="D364" s="2" t="s">
        <v>475</v>
      </c>
      <c r="E364" s="351" t="s">
        <v>889</v>
      </c>
      <c r="F364" s="19">
        <f>Lindsay_Haguenewpts</f>
        <v>0</v>
      </c>
    </row>
    <row r="365" spans="1:6" ht="14.95" customHeight="1" thickBot="1" x14ac:dyDescent="0.3">
      <c r="A365" s="61" t="s">
        <v>271</v>
      </c>
      <c r="B365" s="9" t="s">
        <v>527</v>
      </c>
      <c r="C365" s="9">
        <f>Martinleictries</f>
        <v>0</v>
      </c>
      <c r="D365" s="2" t="s">
        <v>316</v>
      </c>
      <c r="E365" s="21" t="s">
        <v>309</v>
      </c>
      <c r="F365" s="19">
        <f>Lozowskisarptscorrect</f>
        <v>0</v>
      </c>
    </row>
    <row r="366" spans="1:6" ht="14.95" customHeight="1" thickBot="1" x14ac:dyDescent="0.3">
      <c r="A366" s="61" t="s">
        <v>939</v>
      </c>
      <c r="B366" s="8" t="s">
        <v>82</v>
      </c>
      <c r="C366" s="9">
        <f>Matthewsnortries</f>
        <v>0</v>
      </c>
      <c r="D366" s="2" t="s">
        <v>862</v>
      </c>
      <c r="E366" s="21" t="s">
        <v>88</v>
      </c>
      <c r="F366" s="19">
        <f>Maloneyexepts</f>
        <v>0</v>
      </c>
    </row>
    <row r="367" spans="1:6" ht="14.95" customHeight="1" thickBot="1" x14ac:dyDescent="0.3">
      <c r="A367" s="61" t="s">
        <v>1098</v>
      </c>
      <c r="B367" s="8" t="s">
        <v>81</v>
      </c>
      <c r="C367" s="9">
        <f>Masonbthtries</f>
        <v>0</v>
      </c>
      <c r="D367" s="2" t="s">
        <v>437</v>
      </c>
      <c r="E367" s="21" t="s">
        <v>527</v>
      </c>
      <c r="F367" s="19">
        <f>Manzleicpts</f>
        <v>0</v>
      </c>
    </row>
    <row r="368" spans="1:6" ht="14.95" customHeight="1" thickBot="1" x14ac:dyDescent="0.3">
      <c r="A368" s="61" t="s">
        <v>642</v>
      </c>
      <c r="B368" s="8" t="s">
        <v>79</v>
      </c>
      <c r="C368" s="9">
        <f>Maraisglotries</f>
        <v>0</v>
      </c>
      <c r="D368" s="2" t="s">
        <v>271</v>
      </c>
      <c r="E368" s="21" t="s">
        <v>527</v>
      </c>
      <c r="F368" s="19">
        <f>Martinleicpts</f>
        <v>0</v>
      </c>
    </row>
    <row r="369" spans="1:6" ht="14.95" customHeight="1" thickBot="1" x14ac:dyDescent="0.3">
      <c r="A369" s="61" t="s">
        <v>1091</v>
      </c>
      <c r="B369" s="8" t="s">
        <v>87</v>
      </c>
      <c r="C369" s="9">
        <f>McCormackhartries</f>
        <v>0</v>
      </c>
      <c r="D369" s="2" t="s">
        <v>939</v>
      </c>
      <c r="E369" s="21" t="s">
        <v>82</v>
      </c>
      <c r="F369" s="19">
        <f>Matthewsnorpts</f>
        <v>0</v>
      </c>
    </row>
    <row r="370" spans="1:6" ht="14.95" customHeight="1" thickBot="1" x14ac:dyDescent="0.3">
      <c r="A370" s="61" t="s">
        <v>770</v>
      </c>
      <c r="B370" s="9" t="s">
        <v>80</v>
      </c>
      <c r="C370" s="48">
        <f>McElroysaltries</f>
        <v>0</v>
      </c>
      <c r="D370" s="2" t="s">
        <v>1098</v>
      </c>
      <c r="E370" s="21" t="s">
        <v>81</v>
      </c>
      <c r="F370" s="19">
        <f>Masonbthpts</f>
        <v>0</v>
      </c>
    </row>
    <row r="371" spans="1:6" ht="14.95" customHeight="1" thickBot="1" x14ac:dyDescent="0.3">
      <c r="A371" s="61" t="s">
        <v>395</v>
      </c>
      <c r="B371" s="8" t="s">
        <v>90</v>
      </c>
      <c r="C371" s="9">
        <f>MacGintybritries</f>
        <v>0</v>
      </c>
      <c r="D371" s="2" t="s">
        <v>642</v>
      </c>
      <c r="E371" s="21" t="s">
        <v>79</v>
      </c>
      <c r="F371" s="19">
        <f>Maraisglopts</f>
        <v>0</v>
      </c>
    </row>
    <row r="372" spans="1:6" ht="14.95" customHeight="1" thickBot="1" x14ac:dyDescent="0.3">
      <c r="A372" s="61" t="s">
        <v>460</v>
      </c>
      <c r="B372" s="8" t="s">
        <v>80</v>
      </c>
      <c r="C372" s="9">
        <f>McIntyresaltries</f>
        <v>0</v>
      </c>
      <c r="D372" s="2" t="s">
        <v>1091</v>
      </c>
      <c r="E372" s="21" t="s">
        <v>87</v>
      </c>
      <c r="F372" s="19">
        <f>McCormackharpts</f>
        <v>0</v>
      </c>
    </row>
    <row r="373" spans="1:6" ht="14.95" customHeight="1" thickBot="1" x14ac:dyDescent="0.3">
      <c r="A373" s="61" t="s">
        <v>668</v>
      </c>
      <c r="B373" s="9" t="s">
        <v>527</v>
      </c>
      <c r="C373" s="9">
        <f>Meredithleitries</f>
        <v>0</v>
      </c>
      <c r="D373" s="2" t="s">
        <v>770</v>
      </c>
      <c r="E373" s="21" t="s">
        <v>80</v>
      </c>
      <c r="F373" s="19">
        <f>McElroysalpts</f>
        <v>0</v>
      </c>
    </row>
    <row r="374" spans="1:6" ht="14.95" customHeight="1" thickBot="1" x14ac:dyDescent="0.3">
      <c r="A374" s="61" t="s">
        <v>752</v>
      </c>
      <c r="B374" s="8" t="s">
        <v>309</v>
      </c>
      <c r="C374" s="6">
        <f>Mooresartries</f>
        <v>0</v>
      </c>
      <c r="D374" s="2" t="s">
        <v>460</v>
      </c>
      <c r="E374" s="21" t="s">
        <v>80</v>
      </c>
      <c r="F374" s="19">
        <f>McIntyresalpts</f>
        <v>0</v>
      </c>
    </row>
    <row r="375" spans="1:6" ht="14.95" customHeight="1" thickBot="1" x14ac:dyDescent="0.3">
      <c r="A375" s="61" t="s">
        <v>753</v>
      </c>
      <c r="B375" s="8" t="s">
        <v>309</v>
      </c>
      <c r="C375" s="9">
        <f>Morrissartriescorrect</f>
        <v>0</v>
      </c>
      <c r="D375" s="2" t="s">
        <v>668</v>
      </c>
      <c r="E375" s="21" t="s">
        <v>527</v>
      </c>
      <c r="F375" s="18">
        <f>Meredithleipts</f>
        <v>0</v>
      </c>
    </row>
    <row r="376" spans="1:6" ht="14.95" customHeight="1" thickBot="1" x14ac:dyDescent="0.3">
      <c r="A376" s="61" t="s">
        <v>585</v>
      </c>
      <c r="B376" s="8" t="s">
        <v>81</v>
      </c>
      <c r="C376" s="9">
        <f>McNallybthtries</f>
        <v>0</v>
      </c>
      <c r="D376" s="250" t="s">
        <v>752</v>
      </c>
      <c r="E376" s="418" t="s">
        <v>309</v>
      </c>
      <c r="F376" s="18">
        <f>Mooresarpts</f>
        <v>0</v>
      </c>
    </row>
    <row r="377" spans="1:6" ht="14.95" customHeight="1" thickBot="1" x14ac:dyDescent="0.3">
      <c r="A377" s="61" t="s">
        <v>1125</v>
      </c>
      <c r="B377" s="8" t="s">
        <v>88</v>
      </c>
      <c r="C377" s="9">
        <f>Maunder_Sexetries</f>
        <v>0</v>
      </c>
      <c r="D377" s="2" t="s">
        <v>753</v>
      </c>
      <c r="E377" s="21" t="s">
        <v>309</v>
      </c>
      <c r="F377" s="19">
        <f>Morrissarptscorrect</f>
        <v>0</v>
      </c>
    </row>
    <row r="378" spans="1:6" ht="14.95" customHeight="1" thickBot="1" x14ac:dyDescent="0.3">
      <c r="A378" s="61" t="s">
        <v>1038</v>
      </c>
      <c r="B378" s="8" t="s">
        <v>889</v>
      </c>
      <c r="C378" s="9">
        <f>Moorenrbtries</f>
        <v>0</v>
      </c>
      <c r="D378" s="2" t="s">
        <v>585</v>
      </c>
      <c r="E378" s="21" t="s">
        <v>81</v>
      </c>
      <c r="F378" s="19">
        <f>McNallybthpts</f>
        <v>0</v>
      </c>
    </row>
    <row r="379" spans="1:6" ht="14.95" customHeight="1" thickBot="1" x14ac:dyDescent="0.3">
      <c r="A379" s="61" t="s">
        <v>181</v>
      </c>
      <c r="B379" s="8" t="s">
        <v>79</v>
      </c>
      <c r="C379" s="9">
        <f>Morrisjglotries</f>
        <v>0</v>
      </c>
      <c r="D379" s="2" t="s">
        <v>1125</v>
      </c>
      <c r="E379" s="21" t="s">
        <v>88</v>
      </c>
      <c r="F379" s="19">
        <f>Maunder_Sexepts</f>
        <v>0</v>
      </c>
    </row>
    <row r="380" spans="1:6" ht="14.95" customHeight="1" thickBot="1" x14ac:dyDescent="0.3">
      <c r="A380" s="61" t="s">
        <v>497</v>
      </c>
      <c r="B380" s="8" t="s">
        <v>82</v>
      </c>
      <c r="C380" s="9">
        <f>MungaNORtries</f>
        <v>0</v>
      </c>
      <c r="D380" s="2" t="s">
        <v>1038</v>
      </c>
      <c r="E380" s="21" t="s">
        <v>889</v>
      </c>
      <c r="F380" s="19">
        <f>Moorenrbpts</f>
        <v>0</v>
      </c>
    </row>
    <row r="381" spans="1:6" ht="14.95" customHeight="1" thickBot="1" x14ac:dyDescent="0.3">
      <c r="A381" s="61" t="s">
        <v>416</v>
      </c>
      <c r="B381" s="8" t="s">
        <v>87</v>
      </c>
      <c r="C381" s="9">
        <f>Murrayhartries</f>
        <v>0</v>
      </c>
      <c r="D381" s="2" t="s">
        <v>181</v>
      </c>
      <c r="E381" s="21" t="s">
        <v>79</v>
      </c>
      <c r="F381" s="19">
        <f>Morrisjglopts</f>
        <v>0</v>
      </c>
    </row>
    <row r="382" spans="1:6" ht="14.95" customHeight="1" thickBot="1" x14ac:dyDescent="0.3">
      <c r="A382" s="61" t="s">
        <v>426</v>
      </c>
      <c r="B382" s="8" t="s">
        <v>87</v>
      </c>
      <c r="C382" s="9">
        <f>Muskhartries</f>
        <v>0</v>
      </c>
      <c r="D382" s="17" t="s">
        <v>755</v>
      </c>
      <c r="E382" s="21" t="s">
        <v>82</v>
      </c>
      <c r="F382" s="19">
        <f>MungaNORpts</f>
        <v>0</v>
      </c>
    </row>
    <row r="383" spans="1:6" ht="14.95" customHeight="1" thickBot="1" x14ac:dyDescent="0.3">
      <c r="A383" s="61" t="s">
        <v>701</v>
      </c>
      <c r="B383" s="9" t="s">
        <v>889</v>
      </c>
      <c r="C383" s="9">
        <f>Neildnewtries</f>
        <v>0</v>
      </c>
      <c r="D383" s="2" t="s">
        <v>416</v>
      </c>
      <c r="E383" s="21" t="s">
        <v>87</v>
      </c>
      <c r="F383" s="19">
        <f>Murrayharpts</f>
        <v>0</v>
      </c>
    </row>
    <row r="384" spans="1:6" ht="14.95" customHeight="1" thickBot="1" x14ac:dyDescent="0.3">
      <c r="A384" s="61" t="s">
        <v>685</v>
      </c>
      <c r="B384" s="9" t="s">
        <v>889</v>
      </c>
      <c r="C384" s="6">
        <f>Merricknewtries</f>
        <v>0</v>
      </c>
      <c r="D384" s="2" t="s">
        <v>426</v>
      </c>
      <c r="E384" s="21" t="s">
        <v>87</v>
      </c>
      <c r="F384" s="19">
        <f>Muskharpts</f>
        <v>0</v>
      </c>
    </row>
    <row r="385" spans="1:6" ht="14.95" customHeight="1" thickBot="1" x14ac:dyDescent="0.3">
      <c r="A385" s="61" t="s">
        <v>372</v>
      </c>
      <c r="B385" s="8" t="s">
        <v>88</v>
      </c>
      <c r="C385" s="9">
        <f>Noreyexetries</f>
        <v>0</v>
      </c>
      <c r="D385" s="2" t="s">
        <v>701</v>
      </c>
      <c r="E385" s="351" t="s">
        <v>889</v>
      </c>
      <c r="F385" s="19">
        <f>Neildnewpts</f>
        <v>0</v>
      </c>
    </row>
    <row r="386" spans="1:6" ht="14.95" customHeight="1" thickBot="1" x14ac:dyDescent="0.3">
      <c r="A386" s="61" t="s">
        <v>983</v>
      </c>
      <c r="B386" s="8" t="s">
        <v>527</v>
      </c>
      <c r="C386" s="9">
        <f>O_Connorleitries</f>
        <v>0</v>
      </c>
      <c r="D386" s="2" t="s">
        <v>685</v>
      </c>
      <c r="E386" s="351" t="s">
        <v>889</v>
      </c>
      <c r="F386" s="19">
        <f>Merricknewpts</f>
        <v>0</v>
      </c>
    </row>
    <row r="387" spans="1:6" ht="14.95" customHeight="1" thickBot="1" x14ac:dyDescent="0.3">
      <c r="A387" s="61" t="s">
        <v>791</v>
      </c>
      <c r="B387" s="8" t="s">
        <v>81</v>
      </c>
      <c r="C387" s="48">
        <f>Offiahbthtries</f>
        <v>0</v>
      </c>
      <c r="D387" s="2" t="s">
        <v>372</v>
      </c>
      <c r="E387" s="21" t="s">
        <v>88</v>
      </c>
      <c r="F387" s="19">
        <f>Noreyexepts</f>
        <v>0</v>
      </c>
    </row>
    <row r="388" spans="1:6" ht="14.95" customHeight="1" thickBot="1" x14ac:dyDescent="0.3">
      <c r="A388" s="61" t="s">
        <v>721</v>
      </c>
      <c r="B388" s="8" t="s">
        <v>80</v>
      </c>
      <c r="C388" s="6">
        <f>Ostrikovandreitries</f>
        <v>0</v>
      </c>
      <c r="D388" s="2" t="s">
        <v>791</v>
      </c>
      <c r="E388" s="21" t="s">
        <v>81</v>
      </c>
      <c r="F388" s="19">
        <f>Offiahbthpts</f>
        <v>0</v>
      </c>
    </row>
    <row r="389" spans="1:6" ht="14.95" customHeight="1" thickBot="1" x14ac:dyDescent="0.3">
      <c r="A389" s="61" t="s">
        <v>411</v>
      </c>
      <c r="B389" s="8" t="s">
        <v>87</v>
      </c>
      <c r="C389" s="9">
        <f>Osbornehartries</f>
        <v>0</v>
      </c>
      <c r="D389" s="2" t="s">
        <v>721</v>
      </c>
      <c r="E389" s="21" t="s">
        <v>80</v>
      </c>
      <c r="F389" s="20">
        <f>OStrikovsalpts</f>
        <v>0</v>
      </c>
    </row>
    <row r="390" spans="1:6" ht="14.95" customHeight="1" thickBot="1" x14ac:dyDescent="0.3">
      <c r="A390" s="61" t="s">
        <v>144</v>
      </c>
      <c r="B390" s="8" t="s">
        <v>88</v>
      </c>
      <c r="C390" s="9">
        <f>Painterexetries</f>
        <v>0</v>
      </c>
      <c r="D390" s="2" t="s">
        <v>411</v>
      </c>
      <c r="E390" s="21" t="s">
        <v>87</v>
      </c>
      <c r="F390" s="19">
        <f>Osborneharpts</f>
        <v>0</v>
      </c>
    </row>
    <row r="391" spans="1:6" ht="14.95" customHeight="1" thickBot="1" x14ac:dyDescent="0.3">
      <c r="A391" s="61" t="s">
        <v>1115</v>
      </c>
      <c r="B391" s="8" t="s">
        <v>527</v>
      </c>
      <c r="C391" s="9">
        <f>Palmerleitries</f>
        <v>0</v>
      </c>
      <c r="D391" s="2" t="s">
        <v>144</v>
      </c>
      <c r="E391" s="21" t="s">
        <v>88</v>
      </c>
      <c r="F391" s="19">
        <f>Painterexepts</f>
        <v>0</v>
      </c>
    </row>
    <row r="392" spans="1:6" ht="14.95" customHeight="1" thickBot="1" x14ac:dyDescent="0.3">
      <c r="A392" s="61" t="s">
        <v>846</v>
      </c>
      <c r="B392" s="8" t="s">
        <v>82</v>
      </c>
      <c r="C392" s="9">
        <f>Pasconortries</f>
        <v>0</v>
      </c>
      <c r="D392" s="2" t="s">
        <v>1115</v>
      </c>
      <c r="E392" s="21" t="s">
        <v>527</v>
      </c>
      <c r="F392" s="19">
        <f>Palmerleipts</f>
        <v>0</v>
      </c>
    </row>
    <row r="393" spans="1:6" ht="14.95" customHeight="1" thickBot="1" x14ac:dyDescent="0.3">
      <c r="A393" s="61" t="s">
        <v>1025</v>
      </c>
      <c r="B393" s="8" t="s">
        <v>82</v>
      </c>
      <c r="C393" s="9">
        <f>Paternortries</f>
        <v>0</v>
      </c>
      <c r="D393" s="2" t="s">
        <v>846</v>
      </c>
      <c r="E393" s="21" t="s">
        <v>82</v>
      </c>
      <c r="F393" s="19">
        <f>Pasconorpts</f>
        <v>0</v>
      </c>
    </row>
    <row r="394" spans="1:6" ht="14.95" customHeight="1" thickBot="1" x14ac:dyDescent="0.3">
      <c r="A394" s="61" t="s">
        <v>621</v>
      </c>
      <c r="B394" s="8" t="s">
        <v>90</v>
      </c>
      <c r="C394" s="9">
        <f>Pearcebritries</f>
        <v>0</v>
      </c>
      <c r="D394" s="2" t="s">
        <v>1025</v>
      </c>
      <c r="E394" s="21" t="s">
        <v>82</v>
      </c>
      <c r="F394" s="19">
        <f>Paternorpts</f>
        <v>0</v>
      </c>
    </row>
    <row r="395" spans="1:6" ht="14.95" customHeight="1" thickBot="1" x14ac:dyDescent="0.3">
      <c r="A395" s="61" t="s">
        <v>658</v>
      </c>
      <c r="B395" s="9" t="s">
        <v>527</v>
      </c>
      <c r="C395" s="48">
        <f>Montoyaleictries</f>
        <v>0</v>
      </c>
      <c r="D395" s="2" t="s">
        <v>621</v>
      </c>
      <c r="E395" s="21" t="s">
        <v>90</v>
      </c>
      <c r="F395" s="19">
        <f>Pearcebripts</f>
        <v>0</v>
      </c>
    </row>
    <row r="396" spans="1:6" ht="14.95" customHeight="1" thickBot="1" x14ac:dyDescent="0.3">
      <c r="A396" s="61" t="s">
        <v>367</v>
      </c>
      <c r="B396" s="8" t="s">
        <v>88</v>
      </c>
      <c r="C396" s="9">
        <f>Pearsonexetries</f>
        <v>0</v>
      </c>
      <c r="D396" s="2" t="s">
        <v>658</v>
      </c>
      <c r="E396" s="21" t="s">
        <v>527</v>
      </c>
      <c r="F396" s="19">
        <f>Montoyaleicpts</f>
        <v>0</v>
      </c>
    </row>
    <row r="397" spans="1:6" ht="14.95" customHeight="1" thickBot="1" x14ac:dyDescent="0.3">
      <c r="A397" s="61" t="s">
        <v>83</v>
      </c>
      <c r="B397" s="8" t="s">
        <v>90</v>
      </c>
      <c r="C397" s="9">
        <f>Penalty_Triesbritries</f>
        <v>0</v>
      </c>
      <c r="D397" s="17" t="s">
        <v>367</v>
      </c>
      <c r="E397" s="19" t="s">
        <v>88</v>
      </c>
      <c r="F397" s="20">
        <f>Pearsonexepts</f>
        <v>0</v>
      </c>
    </row>
    <row r="398" spans="1:6" ht="14.95" customHeight="1" thickBot="1" x14ac:dyDescent="0.3">
      <c r="A398" s="61" t="s">
        <v>83</v>
      </c>
      <c r="B398" s="8" t="s">
        <v>81</v>
      </c>
      <c r="C398" s="9">
        <f>bathpentriestriesthisone</f>
        <v>0</v>
      </c>
      <c r="D398" s="2" t="s">
        <v>83</v>
      </c>
      <c r="E398" s="21" t="s">
        <v>90</v>
      </c>
      <c r="F398" s="19">
        <f>Penalty_Triesbripts</f>
        <v>0</v>
      </c>
    </row>
    <row r="399" spans="1:6" ht="14.95" customHeight="1" thickBot="1" x14ac:dyDescent="0.3">
      <c r="A399" s="10" t="s">
        <v>83</v>
      </c>
      <c r="B399" s="9" t="s">
        <v>88</v>
      </c>
      <c r="C399" s="9">
        <f>Penalty_Triesexetries</f>
        <v>0</v>
      </c>
      <c r="D399" s="2" t="s">
        <v>83</v>
      </c>
      <c r="E399" s="21" t="s">
        <v>81</v>
      </c>
      <c r="F399" s="18">
        <f>bathpentriesptsthisone</f>
        <v>0</v>
      </c>
    </row>
    <row r="400" spans="1:6" ht="14.95" customHeight="1" thickBot="1" x14ac:dyDescent="0.3">
      <c r="A400" s="61" t="s">
        <v>83</v>
      </c>
      <c r="B400" s="8" t="s">
        <v>79</v>
      </c>
      <c r="C400" s="9">
        <f>Penalty_Triesglotries</f>
        <v>0</v>
      </c>
      <c r="D400" s="17" t="s">
        <v>83</v>
      </c>
      <c r="E400" s="19" t="s">
        <v>88</v>
      </c>
      <c r="F400" s="19">
        <f>Penalty_Triesexepts</f>
        <v>0</v>
      </c>
    </row>
    <row r="401" spans="1:6" ht="14.95" customHeight="1" thickBot="1" x14ac:dyDescent="0.3">
      <c r="A401" s="61" t="s">
        <v>83</v>
      </c>
      <c r="B401" s="8" t="s">
        <v>87</v>
      </c>
      <c r="C401" s="9">
        <f>Penalty_Trieshartries</f>
        <v>0</v>
      </c>
      <c r="D401" s="2" t="s">
        <v>83</v>
      </c>
      <c r="E401" s="21" t="s">
        <v>79</v>
      </c>
      <c r="F401" s="19">
        <f>Penalty_Triesglopts</f>
        <v>0</v>
      </c>
    </row>
    <row r="402" spans="1:6" ht="14.95" customHeight="1" thickBot="1" x14ac:dyDescent="0.3">
      <c r="A402" s="61" t="s">
        <v>83</v>
      </c>
      <c r="B402" s="8" t="s">
        <v>82</v>
      </c>
      <c r="C402" s="9">
        <f>Penalty_Triessaintstries</f>
        <v>0</v>
      </c>
      <c r="D402" s="2" t="s">
        <v>83</v>
      </c>
      <c r="E402" s="21" t="s">
        <v>87</v>
      </c>
      <c r="F402" s="19">
        <f>Penalty_Triesharpts</f>
        <v>0</v>
      </c>
    </row>
    <row r="403" spans="1:6" ht="14.95" customHeight="1" thickBot="1" x14ac:dyDescent="0.3">
      <c r="A403" s="10" t="s">
        <v>83</v>
      </c>
      <c r="B403" s="9" t="s">
        <v>889</v>
      </c>
      <c r="C403" s="9">
        <f>Penalty_Triesnewtriescorrect</f>
        <v>0</v>
      </c>
      <c r="D403" s="2" t="s">
        <v>83</v>
      </c>
      <c r="E403" s="21" t="s">
        <v>82</v>
      </c>
      <c r="F403" s="19">
        <f>Penalty_Triessaintspts</f>
        <v>0</v>
      </c>
    </row>
    <row r="404" spans="1:6" ht="14.95" customHeight="1" thickBot="1" x14ac:dyDescent="0.3">
      <c r="A404" s="61" t="s">
        <v>83</v>
      </c>
      <c r="B404" s="8" t="s">
        <v>80</v>
      </c>
      <c r="C404" s="9">
        <f>Penalty_Triessaltries</f>
        <v>0</v>
      </c>
      <c r="D404" s="2" t="s">
        <v>83</v>
      </c>
      <c r="E404" s="351" t="s">
        <v>889</v>
      </c>
      <c r="F404" s="19">
        <f>Penalty_Triesnewptscorrect</f>
        <v>0</v>
      </c>
    </row>
    <row r="405" spans="1:6" ht="14.95" customHeight="1" thickBot="1" x14ac:dyDescent="0.3">
      <c r="A405" s="61" t="s">
        <v>419</v>
      </c>
      <c r="B405" s="8" t="s">
        <v>82</v>
      </c>
      <c r="C405" s="9">
        <f>Ratuniyarawanortries</f>
        <v>0</v>
      </c>
      <c r="D405" s="2" t="s">
        <v>83</v>
      </c>
      <c r="E405" s="21" t="s">
        <v>80</v>
      </c>
      <c r="F405" s="19">
        <f>Penalty_Triessalpts</f>
        <v>0</v>
      </c>
    </row>
    <row r="406" spans="1:6" ht="14.95" customHeight="1" thickBot="1" x14ac:dyDescent="0.3">
      <c r="A406" s="10" t="s">
        <v>126</v>
      </c>
      <c r="B406" s="9" t="s">
        <v>90</v>
      </c>
      <c r="C406" s="9">
        <f>Palamobristries</f>
        <v>0</v>
      </c>
      <c r="D406" s="2" t="s">
        <v>419</v>
      </c>
      <c r="E406" s="21" t="s">
        <v>82</v>
      </c>
      <c r="F406" s="19">
        <f>Ratuniyarawanorpts</f>
        <v>0</v>
      </c>
    </row>
    <row r="407" spans="1:6" ht="14.95" customHeight="1" thickBot="1" x14ac:dyDescent="0.3">
      <c r="A407" s="61" t="s">
        <v>223</v>
      </c>
      <c r="B407" s="8" t="s">
        <v>81</v>
      </c>
      <c r="C407" s="9">
        <f>Robertsbthtries</f>
        <v>0</v>
      </c>
      <c r="D407" s="17" t="s">
        <v>126</v>
      </c>
      <c r="E407" s="19" t="s">
        <v>90</v>
      </c>
      <c r="F407" s="19">
        <f>Randallbripts</f>
        <v>0</v>
      </c>
    </row>
    <row r="408" spans="1:6" ht="14.95" customHeight="1" thickBot="1" x14ac:dyDescent="0.3">
      <c r="A408" s="10" t="s">
        <v>1083</v>
      </c>
      <c r="B408" s="9" t="s">
        <v>889</v>
      </c>
      <c r="C408" s="9">
        <f>Kpoku__Jonathansartries</f>
        <v>0</v>
      </c>
      <c r="D408" s="2" t="s">
        <v>223</v>
      </c>
      <c r="E408" s="21" t="s">
        <v>81</v>
      </c>
      <c r="F408" s="19">
        <f>Robertsbthpts</f>
        <v>0</v>
      </c>
    </row>
    <row r="409" spans="1:6" ht="14.95" customHeight="1" thickBot="1" x14ac:dyDescent="0.3">
      <c r="A409" s="61" t="s">
        <v>321</v>
      </c>
      <c r="B409" s="8" t="s">
        <v>309</v>
      </c>
      <c r="C409" s="9">
        <f>Riccionisartriescorrect</f>
        <v>0</v>
      </c>
      <c r="D409" s="2" t="s">
        <v>1083</v>
      </c>
      <c r="E409" s="351" t="s">
        <v>889</v>
      </c>
      <c r="F409" s="19">
        <f>Kpoku__Jonathansarpts</f>
        <v>0</v>
      </c>
    </row>
    <row r="410" spans="1:6" ht="14.95" customHeight="1" thickBot="1" x14ac:dyDescent="0.3">
      <c r="A410" s="61" t="s">
        <v>1114</v>
      </c>
      <c r="B410" s="8" t="s">
        <v>81</v>
      </c>
      <c r="C410" s="9">
        <f>Ridgwaybthtries</f>
        <v>0</v>
      </c>
      <c r="D410" s="2" t="s">
        <v>321</v>
      </c>
      <c r="E410" s="21" t="s">
        <v>309</v>
      </c>
      <c r="F410" s="19">
        <f>Riccionisarptscorrect</f>
        <v>0</v>
      </c>
    </row>
    <row r="411" spans="1:6" ht="14.95" customHeight="1" thickBot="1" x14ac:dyDescent="0.3">
      <c r="A411" s="61" t="s">
        <v>633</v>
      </c>
      <c r="B411" s="8" t="s">
        <v>88</v>
      </c>
      <c r="C411" s="9">
        <f>PostlethwaiteEXEtries</f>
        <v>0</v>
      </c>
      <c r="D411" s="17" t="s">
        <v>1114</v>
      </c>
      <c r="E411" s="19" t="s">
        <v>81</v>
      </c>
      <c r="F411" s="19">
        <f>Ridgwaybthpts</f>
        <v>0</v>
      </c>
    </row>
    <row r="412" spans="1:6" ht="14.95" customHeight="1" thickBot="1" x14ac:dyDescent="0.3">
      <c r="A412" s="61" t="s">
        <v>399</v>
      </c>
      <c r="B412" s="8" t="s">
        <v>87</v>
      </c>
      <c r="C412" s="9">
        <f>Scotland_W_sonhartries</f>
        <v>0</v>
      </c>
      <c r="D412" s="17" t="s">
        <v>633</v>
      </c>
      <c r="E412" s="19" t="s">
        <v>88</v>
      </c>
      <c r="F412" s="20">
        <f>PostlethwaiteEXEpts</f>
        <v>0</v>
      </c>
    </row>
    <row r="413" spans="1:6" ht="14.95" customHeight="1" thickBot="1" x14ac:dyDescent="0.3">
      <c r="A413" s="61" t="s">
        <v>771</v>
      </c>
      <c r="B413" s="9" t="s">
        <v>80</v>
      </c>
      <c r="C413" s="48">
        <f>Rileysaltries</f>
        <v>0</v>
      </c>
      <c r="D413" s="2" t="s">
        <v>399</v>
      </c>
      <c r="E413" s="21" t="s">
        <v>87</v>
      </c>
      <c r="F413" s="19">
        <f>Scotland_W_sonharpts</f>
        <v>0</v>
      </c>
    </row>
    <row r="414" spans="1:6" ht="14.95" customHeight="1" thickBot="1" x14ac:dyDescent="0.3">
      <c r="A414" s="61" t="s">
        <v>1029</v>
      </c>
      <c r="B414" s="9" t="s">
        <v>80</v>
      </c>
      <c r="C414" s="48">
        <f>Robertssaltries</f>
        <v>0</v>
      </c>
      <c r="D414" s="2" t="s">
        <v>771</v>
      </c>
      <c r="E414" s="21" t="s">
        <v>80</v>
      </c>
      <c r="F414" s="19">
        <f>Rileysalpts</f>
        <v>0</v>
      </c>
    </row>
    <row r="415" spans="1:6" ht="14.95" customHeight="1" thickBot="1" x14ac:dyDescent="0.3">
      <c r="A415" s="61" t="s">
        <v>520</v>
      </c>
      <c r="B415" s="8" t="s">
        <v>88</v>
      </c>
      <c r="C415" s="9">
        <f>Schickerlingexetries</f>
        <v>0</v>
      </c>
      <c r="D415" s="2" t="s">
        <v>1029</v>
      </c>
      <c r="E415" s="21" t="s">
        <v>80</v>
      </c>
      <c r="F415" s="19">
        <f>Robertssalpts</f>
        <v>0</v>
      </c>
    </row>
    <row r="416" spans="1:6" ht="14.95" customHeight="1" thickBot="1" x14ac:dyDescent="0.3">
      <c r="A416" s="61" t="s">
        <v>628</v>
      </c>
      <c r="B416" s="8" t="s">
        <v>88</v>
      </c>
      <c r="C416" s="9">
        <f>Reltonexetries</f>
        <v>0</v>
      </c>
      <c r="D416" s="17" t="s">
        <v>520</v>
      </c>
      <c r="E416" s="19" t="s">
        <v>88</v>
      </c>
      <c r="F416" s="19">
        <f>Schickerlingexepts</f>
        <v>0</v>
      </c>
    </row>
    <row r="417" spans="1:6" ht="14.95" customHeight="1" thickBot="1" x14ac:dyDescent="0.3">
      <c r="A417" s="61" t="s">
        <v>1099</v>
      </c>
      <c r="B417" s="8" t="s">
        <v>81</v>
      </c>
      <c r="C417" s="9">
        <f>Rouebthtries</f>
        <v>0</v>
      </c>
      <c r="D417" s="17" t="s">
        <v>628</v>
      </c>
      <c r="E417" s="19" t="s">
        <v>88</v>
      </c>
      <c r="F417" s="19">
        <f>Reltonexepts</f>
        <v>0</v>
      </c>
    </row>
    <row r="418" spans="1:6" ht="14.95" customHeight="1" thickBot="1" x14ac:dyDescent="0.3">
      <c r="A418" s="61" t="s">
        <v>816</v>
      </c>
      <c r="B418" s="8" t="s">
        <v>81</v>
      </c>
      <c r="C418" s="9">
        <f>Rouxbthpremtries</f>
        <v>0</v>
      </c>
      <c r="D418" s="2" t="s">
        <v>1099</v>
      </c>
      <c r="E418" s="21" t="s">
        <v>81</v>
      </c>
      <c r="F418" s="19">
        <f>Rouebthpts</f>
        <v>0</v>
      </c>
    </row>
    <row r="419" spans="1:6" ht="14.95" customHeight="1" thickBot="1" x14ac:dyDescent="0.3">
      <c r="A419" s="61" t="s">
        <v>1024</v>
      </c>
      <c r="B419" s="8" t="s">
        <v>82</v>
      </c>
      <c r="C419" s="9">
        <f>Scott_Youngnortries</f>
        <v>0</v>
      </c>
      <c r="D419" s="2" t="s">
        <v>816</v>
      </c>
      <c r="E419" s="21" t="s">
        <v>81</v>
      </c>
      <c r="F419" s="19">
        <f>Rouxbthprempts</f>
        <v>0</v>
      </c>
    </row>
    <row r="420" spans="1:6" ht="14.95" customHeight="1" thickBot="1" x14ac:dyDescent="0.3">
      <c r="A420" s="61" t="s">
        <v>422</v>
      </c>
      <c r="B420" s="8" t="s">
        <v>90</v>
      </c>
      <c r="C420" s="9">
        <f>Salomonbritries</f>
        <v>0</v>
      </c>
      <c r="D420" s="2" t="s">
        <v>1024</v>
      </c>
      <c r="E420" s="21" t="s">
        <v>82</v>
      </c>
      <c r="F420" s="19">
        <f>Scott_Youngnorpts</f>
        <v>0</v>
      </c>
    </row>
    <row r="421" spans="1:6" ht="14.95" customHeight="1" thickBot="1" x14ac:dyDescent="0.3">
      <c r="A421" s="61" t="s">
        <v>784</v>
      </c>
      <c r="B421" s="8" t="s">
        <v>87</v>
      </c>
      <c r="C421" s="48">
        <f>Schmidhartries</f>
        <v>0</v>
      </c>
      <c r="D421" s="2" t="s">
        <v>422</v>
      </c>
      <c r="E421" s="21" t="s">
        <v>90</v>
      </c>
      <c r="F421" s="19">
        <f>Salomonbripts</f>
        <v>0</v>
      </c>
    </row>
    <row r="422" spans="1:6" ht="14.95" customHeight="1" thickBot="1" x14ac:dyDescent="0.3">
      <c r="A422" s="61" t="s">
        <v>614</v>
      </c>
      <c r="B422" s="8" t="s">
        <v>90</v>
      </c>
      <c r="C422" s="9">
        <f>paulolirtries</f>
        <v>0</v>
      </c>
      <c r="D422" s="2" t="s">
        <v>784</v>
      </c>
      <c r="E422" s="21" t="s">
        <v>87</v>
      </c>
      <c r="F422" s="19">
        <f>Schmidharpts</f>
        <v>0</v>
      </c>
    </row>
    <row r="423" spans="1:6" ht="14.95" customHeight="1" thickBot="1" x14ac:dyDescent="0.3">
      <c r="A423" s="61" t="s">
        <v>131</v>
      </c>
      <c r="B423" s="9" t="s">
        <v>527</v>
      </c>
      <c r="C423" s="9">
        <f>Simmonsleictries</f>
        <v>0</v>
      </c>
      <c r="D423" s="2" t="s">
        <v>614</v>
      </c>
      <c r="E423" s="21" t="s">
        <v>90</v>
      </c>
      <c r="F423" s="19">
        <f>Paulolirpts</f>
        <v>0</v>
      </c>
    </row>
    <row r="424" spans="1:6" ht="14.95" customHeight="1" thickBot="1" x14ac:dyDescent="0.3">
      <c r="A424" s="61" t="s">
        <v>191</v>
      </c>
      <c r="B424" s="8" t="s">
        <v>309</v>
      </c>
      <c r="C424" s="9">
        <f>Simpson_Gsartries</f>
        <v>0</v>
      </c>
      <c r="D424" s="2" t="s">
        <v>131</v>
      </c>
      <c r="E424" s="21" t="s">
        <v>527</v>
      </c>
      <c r="F424" s="19">
        <f>Simmonsleicpts</f>
        <v>0</v>
      </c>
    </row>
    <row r="425" spans="1:6" ht="14.95" customHeight="1" thickBot="1" x14ac:dyDescent="0.3">
      <c r="A425" s="10" t="s">
        <v>257</v>
      </c>
      <c r="B425" s="8" t="s">
        <v>79</v>
      </c>
      <c r="C425" s="9">
        <f>Terryglotries</f>
        <v>0</v>
      </c>
      <c r="D425" s="2" t="s">
        <v>191</v>
      </c>
      <c r="E425" s="21" t="s">
        <v>309</v>
      </c>
      <c r="F425" s="19">
        <f>Simpson_Gsarpts</f>
        <v>0</v>
      </c>
    </row>
    <row r="426" spans="1:6" ht="14.95" customHeight="1" thickBot="1" x14ac:dyDescent="0.3">
      <c r="A426" s="61" t="s">
        <v>415</v>
      </c>
      <c r="B426" s="8" t="s">
        <v>87</v>
      </c>
      <c r="C426" s="9">
        <f>Slevinhartries</f>
        <v>0</v>
      </c>
      <c r="D426" s="2" t="s">
        <v>257</v>
      </c>
      <c r="E426" s="21" t="s">
        <v>79</v>
      </c>
      <c r="F426" s="19">
        <f>Terryglopts</f>
        <v>0</v>
      </c>
    </row>
    <row r="427" spans="1:6" ht="14.95" customHeight="1" thickBot="1" x14ac:dyDescent="0.3">
      <c r="A427" s="61" t="s">
        <v>378</v>
      </c>
      <c r="B427" s="9" t="s">
        <v>889</v>
      </c>
      <c r="C427" s="9">
        <f>Smithrobbienewtries</f>
        <v>0</v>
      </c>
      <c r="D427" s="2" t="s">
        <v>415</v>
      </c>
      <c r="E427" s="21" t="s">
        <v>87</v>
      </c>
      <c r="F427" s="19">
        <f>Slevinharpts</f>
        <v>0</v>
      </c>
    </row>
    <row r="428" spans="1:6" ht="14.95" customHeight="1" thickBot="1" x14ac:dyDescent="0.3">
      <c r="A428" s="61" t="s">
        <v>778</v>
      </c>
      <c r="B428" s="9" t="s">
        <v>81</v>
      </c>
      <c r="C428" s="9">
        <f>Spandlertbhtries</f>
        <v>0</v>
      </c>
      <c r="D428" s="2" t="s">
        <v>378</v>
      </c>
      <c r="E428" s="351" t="s">
        <v>889</v>
      </c>
      <c r="F428" s="19">
        <f>Smithrobbienewpts</f>
        <v>0</v>
      </c>
    </row>
    <row r="429" spans="1:6" ht="14.95" customHeight="1" thickBot="1" x14ac:dyDescent="0.3">
      <c r="A429" s="61" t="s">
        <v>734</v>
      </c>
      <c r="B429" s="8" t="s">
        <v>309</v>
      </c>
      <c r="C429" s="9">
        <f>Swinsonsartriescorrect</f>
        <v>0</v>
      </c>
      <c r="D429" s="2" t="s">
        <v>778</v>
      </c>
      <c r="E429" s="21" t="s">
        <v>81</v>
      </c>
      <c r="F429" s="19">
        <f>Spandlerbthpts</f>
        <v>0</v>
      </c>
    </row>
    <row r="430" spans="1:6" ht="14.95" customHeight="1" thickBot="1" x14ac:dyDescent="0.3">
      <c r="A430" s="61" t="s">
        <v>211</v>
      </c>
      <c r="B430" s="8" t="s">
        <v>79</v>
      </c>
      <c r="C430" s="9">
        <f>Stanleyglotries</f>
        <v>0</v>
      </c>
      <c r="D430" s="2" t="s">
        <v>734</v>
      </c>
      <c r="E430" s="21" t="s">
        <v>309</v>
      </c>
      <c r="F430" s="19">
        <f>Swinsonsarptscorrect</f>
        <v>0</v>
      </c>
    </row>
    <row r="431" spans="1:6" ht="14.95" customHeight="1" thickBot="1" x14ac:dyDescent="0.3">
      <c r="A431" s="61" t="s">
        <v>1042</v>
      </c>
      <c r="B431" s="8" t="s">
        <v>87</v>
      </c>
      <c r="C431" s="9">
        <f>Stapleshartries</f>
        <v>0</v>
      </c>
      <c r="D431" s="2" t="s">
        <v>211</v>
      </c>
      <c r="E431" s="21" t="s">
        <v>79</v>
      </c>
      <c r="F431" s="19">
        <f>Stanleyglopts</f>
        <v>0</v>
      </c>
    </row>
    <row r="432" spans="1:6" ht="14.95" customHeight="1" thickBot="1" x14ac:dyDescent="0.3">
      <c r="A432" s="10" t="s">
        <v>246</v>
      </c>
      <c r="B432" s="10" t="s">
        <v>889</v>
      </c>
      <c r="C432" s="9">
        <f>Lamositelesartries</f>
        <v>0</v>
      </c>
      <c r="D432" s="2" t="s">
        <v>1042</v>
      </c>
      <c r="E432" s="21" t="s">
        <v>87</v>
      </c>
      <c r="F432" s="19">
        <f>Staplesharpts</f>
        <v>0</v>
      </c>
    </row>
    <row r="433" spans="1:6" ht="14.95" customHeight="1" thickBot="1" x14ac:dyDescent="0.3">
      <c r="A433" s="61" t="s">
        <v>99</v>
      </c>
      <c r="B433" s="61" t="s">
        <v>81</v>
      </c>
      <c r="C433" s="48">
        <f>Stuartbthtries</f>
        <v>0</v>
      </c>
      <c r="D433" s="17" t="s">
        <v>246</v>
      </c>
      <c r="E433" s="201" t="s">
        <v>889</v>
      </c>
      <c r="F433" s="19">
        <f>Lamositelesarpts</f>
        <v>0</v>
      </c>
    </row>
    <row r="434" spans="1:6" ht="14.95" customHeight="1" thickBot="1" x14ac:dyDescent="0.3">
      <c r="A434" s="61" t="s">
        <v>814</v>
      </c>
      <c r="B434" s="61" t="s">
        <v>309</v>
      </c>
      <c r="C434" s="9">
        <f>Sylvestersartries</f>
        <v>0</v>
      </c>
      <c r="D434" s="2" t="s">
        <v>99</v>
      </c>
      <c r="E434" s="2" t="s">
        <v>81</v>
      </c>
      <c r="F434" s="19">
        <f>Stuartbthpts</f>
        <v>0</v>
      </c>
    </row>
    <row r="435" spans="1:6" ht="14.95" customHeight="1" thickBot="1" x14ac:dyDescent="0.3">
      <c r="A435" s="61" t="s">
        <v>605</v>
      </c>
      <c r="B435" s="61" t="s">
        <v>90</v>
      </c>
      <c r="C435" s="9">
        <f>Strangbritries</f>
        <v>0</v>
      </c>
      <c r="D435" s="2" t="s">
        <v>814</v>
      </c>
      <c r="E435" s="2" t="s">
        <v>309</v>
      </c>
      <c r="F435" s="19">
        <f>Sylvestersarpts</f>
        <v>0</v>
      </c>
    </row>
    <row r="436" spans="1:6" ht="14.95" customHeight="1" thickBot="1" x14ac:dyDescent="0.3">
      <c r="A436" s="61" t="s">
        <v>47</v>
      </c>
      <c r="B436" s="61" t="s">
        <v>90</v>
      </c>
      <c r="C436" s="9">
        <f>Poreckilirtries</f>
        <v>0</v>
      </c>
      <c r="D436" s="2" t="s">
        <v>605</v>
      </c>
      <c r="E436" s="2" t="s">
        <v>90</v>
      </c>
      <c r="F436" s="19">
        <f>Strangbripts</f>
        <v>0</v>
      </c>
    </row>
    <row r="437" spans="1:6" ht="14.95" customHeight="1" thickBot="1" x14ac:dyDescent="0.3">
      <c r="A437" s="10" t="s">
        <v>562</v>
      </c>
      <c r="B437" s="10" t="s">
        <v>527</v>
      </c>
      <c r="C437" s="9">
        <f>Theobold_Thomasleitries</f>
        <v>0</v>
      </c>
      <c r="D437" s="2" t="s">
        <v>47</v>
      </c>
      <c r="E437" s="2" t="s">
        <v>90</v>
      </c>
      <c r="F437" s="20">
        <f>Poreckilirpts</f>
        <v>0</v>
      </c>
    </row>
    <row r="438" spans="1:6" ht="14.95" customHeight="1" thickBot="1" x14ac:dyDescent="0.3">
      <c r="A438" s="61" t="s">
        <v>798</v>
      </c>
      <c r="B438" s="61" t="s">
        <v>527</v>
      </c>
      <c r="C438" s="9">
        <f>Threlfallleitries</f>
        <v>0</v>
      </c>
      <c r="D438" s="17" t="s">
        <v>562</v>
      </c>
      <c r="E438" s="17" t="s">
        <v>527</v>
      </c>
      <c r="F438" s="19">
        <f>Theobald_Thomasleipts</f>
        <v>0</v>
      </c>
    </row>
    <row r="439" spans="1:6" ht="14.95" customHeight="1" thickBot="1" x14ac:dyDescent="0.3">
      <c r="A439" s="61" t="s">
        <v>390</v>
      </c>
      <c r="B439" s="10" t="s">
        <v>889</v>
      </c>
      <c r="C439" s="9">
        <f>Tiffennewtries</f>
        <v>0</v>
      </c>
      <c r="D439" s="2" t="s">
        <v>798</v>
      </c>
      <c r="E439" s="2" t="s">
        <v>527</v>
      </c>
      <c r="F439" s="19">
        <f>Threlfallleipts</f>
        <v>0</v>
      </c>
    </row>
    <row r="440" spans="1:6" ht="14.95" customHeight="1" thickBot="1" x14ac:dyDescent="0.3">
      <c r="A440" s="61" t="s">
        <v>1097</v>
      </c>
      <c r="B440" s="61" t="s">
        <v>81</v>
      </c>
      <c r="C440" s="9">
        <f>Timminsbthtries</f>
        <v>0</v>
      </c>
      <c r="D440" s="2" t="s">
        <v>390</v>
      </c>
      <c r="E440" s="201" t="s">
        <v>889</v>
      </c>
      <c r="F440" s="19">
        <f>Tiffennewpts</f>
        <v>0</v>
      </c>
    </row>
    <row r="441" spans="1:6" ht="14.95" customHeight="1" thickBot="1" x14ac:dyDescent="0.3">
      <c r="A441" s="61" t="s">
        <v>896</v>
      </c>
      <c r="B441" s="10" t="s">
        <v>527</v>
      </c>
      <c r="C441" s="9">
        <f>Vanesleictries</f>
        <v>0</v>
      </c>
      <c r="D441" s="2" t="s">
        <v>1097</v>
      </c>
      <c r="E441" s="2" t="s">
        <v>81</v>
      </c>
      <c r="F441" s="19">
        <f>Timminsbthpts</f>
        <v>0</v>
      </c>
    </row>
    <row r="442" spans="1:6" ht="14.95" customHeight="1" thickBot="1" x14ac:dyDescent="0.3">
      <c r="A442" s="61" t="s">
        <v>134</v>
      </c>
      <c r="B442" s="61" t="s">
        <v>88</v>
      </c>
      <c r="C442" s="9">
        <f>Townsendexetries</f>
        <v>0</v>
      </c>
      <c r="D442" s="2" t="s">
        <v>896</v>
      </c>
      <c r="E442" s="2" t="s">
        <v>527</v>
      </c>
      <c r="F442" s="19">
        <f>Vanesleicpts</f>
        <v>0</v>
      </c>
    </row>
    <row r="443" spans="1:6" ht="14.95" customHeight="1" thickBot="1" x14ac:dyDescent="0.3">
      <c r="A443" s="10" t="s">
        <v>618</v>
      </c>
      <c r="B443" s="10" t="s">
        <v>90</v>
      </c>
      <c r="C443" s="9">
        <f>Trevettbritries</f>
        <v>0</v>
      </c>
      <c r="D443" s="2" t="s">
        <v>134</v>
      </c>
      <c r="E443" s="2" t="s">
        <v>88</v>
      </c>
      <c r="F443" s="19">
        <f>Townsendexepts</f>
        <v>0</v>
      </c>
    </row>
    <row r="444" spans="1:6" ht="14.95" customHeight="1" thickBot="1" x14ac:dyDescent="0.3">
      <c r="A444" s="61" t="s">
        <v>402</v>
      </c>
      <c r="B444" s="61" t="s">
        <v>88</v>
      </c>
      <c r="C444" s="9">
        <f>Tshiunzaexetries</f>
        <v>0</v>
      </c>
      <c r="D444" s="2" t="s">
        <v>618</v>
      </c>
      <c r="E444" s="2" t="s">
        <v>90</v>
      </c>
      <c r="F444" s="19">
        <f>Trevettbripts</f>
        <v>0</v>
      </c>
    </row>
    <row r="445" spans="1:6" ht="14.95" customHeight="1" thickBot="1" x14ac:dyDescent="0.3">
      <c r="A445" s="61" t="s">
        <v>820</v>
      </c>
      <c r="B445" s="61" t="s">
        <v>88</v>
      </c>
      <c r="C445" s="9">
        <f>Tuaexetries</f>
        <v>0</v>
      </c>
      <c r="D445" s="2" t="s">
        <v>402</v>
      </c>
      <c r="E445" s="2" t="s">
        <v>88</v>
      </c>
      <c r="F445" s="19">
        <f>Tshiunzaexepts</f>
        <v>0</v>
      </c>
    </row>
    <row r="446" spans="1:6" ht="14.95" customHeight="1" thickBot="1" x14ac:dyDescent="0.3">
      <c r="A446" s="61" t="s">
        <v>336</v>
      </c>
      <c r="B446" s="61" t="s">
        <v>88</v>
      </c>
      <c r="C446" s="9">
        <f>Tuimaexetries</f>
        <v>0</v>
      </c>
      <c r="D446" s="17" t="s">
        <v>820</v>
      </c>
      <c r="E446" s="17" t="s">
        <v>88</v>
      </c>
      <c r="F446" s="19">
        <f>Tuaexepts</f>
        <v>0</v>
      </c>
    </row>
    <row r="447" spans="1:6" ht="14.95" customHeight="1" thickBot="1" x14ac:dyDescent="0.3">
      <c r="A447" s="61" t="s">
        <v>898</v>
      </c>
      <c r="B447" s="61" t="s">
        <v>309</v>
      </c>
      <c r="C447" s="9">
        <f>Tuipulotusartries</f>
        <v>0</v>
      </c>
      <c r="D447" s="2" t="s">
        <v>336</v>
      </c>
      <c r="E447" s="2" t="s">
        <v>88</v>
      </c>
      <c r="F447" s="19">
        <f>Tuimaexepts</f>
        <v>0</v>
      </c>
    </row>
    <row r="448" spans="1:6" ht="14.95" customHeight="1" thickBot="1" x14ac:dyDescent="0.3">
      <c r="A448" s="61" t="s">
        <v>200</v>
      </c>
      <c r="B448" s="61" t="s">
        <v>79</v>
      </c>
      <c r="C448" s="9">
        <f>Cowanjimmytries</f>
        <v>0</v>
      </c>
      <c r="D448" s="2" t="s">
        <v>898</v>
      </c>
      <c r="E448" s="2" t="s">
        <v>309</v>
      </c>
      <c r="F448" s="19">
        <f>Tuipulotusarpts</f>
        <v>0</v>
      </c>
    </row>
    <row r="449" spans="1:6" ht="14.95" customHeight="1" thickBot="1" x14ac:dyDescent="0.3">
      <c r="A449" s="61" t="s">
        <v>690</v>
      </c>
      <c r="B449" s="10" t="s">
        <v>889</v>
      </c>
      <c r="C449" s="9">
        <f>van_VuurenNEWtries</f>
        <v>0</v>
      </c>
      <c r="D449" s="2" t="s">
        <v>200</v>
      </c>
      <c r="E449" s="2" t="s">
        <v>79</v>
      </c>
      <c r="F449" s="19">
        <f>Cowanjimmypts</f>
        <v>0</v>
      </c>
    </row>
    <row r="450" spans="1:6" ht="14.95" customHeight="1" thickBot="1" x14ac:dyDescent="0.3">
      <c r="A450" s="61" t="s">
        <v>796</v>
      </c>
      <c r="B450" s="61" t="s">
        <v>527</v>
      </c>
      <c r="C450" s="9">
        <f>van_der_Flierleitries</f>
        <v>0</v>
      </c>
      <c r="D450" s="2" t="s">
        <v>690</v>
      </c>
      <c r="E450" s="201" t="s">
        <v>889</v>
      </c>
      <c r="F450" s="19">
        <f>van_VuurenNEWpts</f>
        <v>0</v>
      </c>
    </row>
    <row r="451" spans="1:6" ht="14.95" customHeight="1" thickBot="1" x14ac:dyDescent="0.3">
      <c r="A451" s="61" t="s">
        <v>822</v>
      </c>
      <c r="B451" s="10" t="s">
        <v>82</v>
      </c>
      <c r="C451" s="9">
        <f>Walkernortries</f>
        <v>0</v>
      </c>
      <c r="D451" s="2" t="s">
        <v>796</v>
      </c>
      <c r="E451" s="2" t="s">
        <v>527</v>
      </c>
      <c r="F451" s="19">
        <f>van_der_Flierleipts</f>
        <v>0</v>
      </c>
    </row>
    <row r="452" spans="1:6" ht="14.95" customHeight="1" thickBot="1" x14ac:dyDescent="0.3">
      <c r="A452" s="61" t="s">
        <v>341</v>
      </c>
      <c r="B452" s="61" t="s">
        <v>80</v>
      </c>
      <c r="C452" s="9">
        <f>Warrsaltries</f>
        <v>0</v>
      </c>
      <c r="D452" s="2" t="s">
        <v>822</v>
      </c>
      <c r="E452" s="2" t="s">
        <v>82</v>
      </c>
      <c r="F452" s="19">
        <f>Walkernorpts</f>
        <v>0</v>
      </c>
    </row>
    <row r="453" spans="1:6" ht="14.95" customHeight="1" thickBot="1" x14ac:dyDescent="0.3">
      <c r="A453" s="61" t="s">
        <v>1080</v>
      </c>
      <c r="B453" s="61" t="s">
        <v>80</v>
      </c>
      <c r="C453" s="9">
        <f>Wehrsaltries</f>
        <v>0</v>
      </c>
      <c r="D453" s="2" t="s">
        <v>341</v>
      </c>
      <c r="E453" s="2" t="s">
        <v>80</v>
      </c>
      <c r="F453" s="19">
        <f>Warrsalpts</f>
        <v>0</v>
      </c>
    </row>
    <row r="454" spans="1:6" ht="14.95" customHeight="1" thickBot="1" x14ac:dyDescent="0.3">
      <c r="A454" s="334" t="s">
        <v>874</v>
      </c>
      <c r="B454" s="334" t="s">
        <v>82</v>
      </c>
      <c r="C454" s="9">
        <f>Weimannnortries</f>
        <v>0</v>
      </c>
      <c r="D454" s="2" t="s">
        <v>1080</v>
      </c>
      <c r="E454" s="2" t="s">
        <v>80</v>
      </c>
      <c r="F454" s="19">
        <f>Wehrsalpts</f>
        <v>0</v>
      </c>
    </row>
    <row r="455" spans="1:6" ht="14.95" customHeight="1" thickBot="1" x14ac:dyDescent="0.3">
      <c r="A455" s="334" t="s">
        <v>1074</v>
      </c>
      <c r="B455" s="334" t="s">
        <v>309</v>
      </c>
      <c r="C455" s="9">
        <f>Westsartries</f>
        <v>0</v>
      </c>
      <c r="D455" s="2" t="s">
        <v>874</v>
      </c>
      <c r="E455" s="2" t="s">
        <v>82</v>
      </c>
      <c r="F455" s="19">
        <f>Weimannnorpts</f>
        <v>0</v>
      </c>
    </row>
    <row r="456" spans="1:6" ht="14.95" customHeight="1" thickBot="1" x14ac:dyDescent="0.3">
      <c r="A456" s="61" t="s">
        <v>713</v>
      </c>
      <c r="B456" s="61" t="s">
        <v>82</v>
      </c>
      <c r="C456" s="9">
        <f>A_Wallertries</f>
        <v>0</v>
      </c>
      <c r="D456" s="2" t="s">
        <v>1074</v>
      </c>
      <c r="E456" s="2" t="s">
        <v>309</v>
      </c>
      <c r="F456" s="19">
        <f>Westsarpts</f>
        <v>0</v>
      </c>
    </row>
    <row r="457" spans="1:6" ht="14.95" customHeight="1" thickBot="1" x14ac:dyDescent="0.3">
      <c r="A457" s="61" t="s">
        <v>947</v>
      </c>
      <c r="B457" s="61" t="s">
        <v>87</v>
      </c>
      <c r="C457" s="9">
        <f>Watershartries</f>
        <v>0</v>
      </c>
      <c r="D457" s="2" t="s">
        <v>713</v>
      </c>
      <c r="E457" s="2" t="s">
        <v>82</v>
      </c>
      <c r="F457" s="18">
        <f>A_Wallerpts</f>
        <v>0</v>
      </c>
    </row>
    <row r="458" spans="1:6" ht="14.95" customHeight="1" thickBot="1" x14ac:dyDescent="0.3">
      <c r="A458" s="61" t="s">
        <v>180</v>
      </c>
      <c r="B458" s="61" t="s">
        <v>90</v>
      </c>
      <c r="C458" s="9">
        <f>Williamsbritries</f>
        <v>0</v>
      </c>
      <c r="D458" s="2" t="s">
        <v>947</v>
      </c>
      <c r="E458" s="2" t="s">
        <v>87</v>
      </c>
      <c r="F458" s="19">
        <f>Watersharpts</f>
        <v>0</v>
      </c>
    </row>
    <row r="459" spans="1:6" ht="14.95" customHeight="1" thickBot="1" x14ac:dyDescent="0.3">
      <c r="A459" s="61" t="s">
        <v>670</v>
      </c>
      <c r="B459" s="10" t="s">
        <v>527</v>
      </c>
      <c r="C459" s="6">
        <f>Wieseleictries</f>
        <v>0</v>
      </c>
      <c r="D459" s="2" t="s">
        <v>670</v>
      </c>
      <c r="E459" s="2" t="s">
        <v>527</v>
      </c>
      <c r="F459" s="19">
        <f>Wieseleicpts</f>
        <v>0</v>
      </c>
    </row>
    <row r="460" spans="1:6" ht="14.95" customHeight="1" thickBot="1" x14ac:dyDescent="0.3">
      <c r="A460" s="61" t="s">
        <v>646</v>
      </c>
      <c r="B460" s="61" t="s">
        <v>79</v>
      </c>
      <c r="C460" s="9">
        <f>Williamstomasglotries</f>
        <v>0</v>
      </c>
      <c r="D460" s="2" t="s">
        <v>646</v>
      </c>
      <c r="E460" s="2" t="s">
        <v>79</v>
      </c>
      <c r="F460" s="19">
        <f>Williamstomosglopts</f>
        <v>0</v>
      </c>
    </row>
    <row r="461" spans="1:6" ht="14.95" customHeight="1" thickBot="1" x14ac:dyDescent="0.3">
      <c r="A461" s="61" t="s">
        <v>518</v>
      </c>
      <c r="B461" s="61" t="s">
        <v>309</v>
      </c>
      <c r="C461" s="6">
        <f>Wilsonsartries</f>
        <v>0</v>
      </c>
      <c r="D461" s="250" t="s">
        <v>518</v>
      </c>
      <c r="E461" s="250" t="s">
        <v>309</v>
      </c>
      <c r="F461" s="18">
        <f>Wilsonsarpts</f>
        <v>0</v>
      </c>
    </row>
    <row r="462" spans="1:6" ht="14.95" customHeight="1" thickBot="1" x14ac:dyDescent="0.3">
      <c r="A462" s="61" t="s">
        <v>749</v>
      </c>
      <c r="B462" s="61" t="s">
        <v>309</v>
      </c>
      <c r="C462" s="9">
        <f>Woolstencroftsartriescorrect</f>
        <v>0</v>
      </c>
      <c r="D462" s="2" t="s">
        <v>749</v>
      </c>
      <c r="E462" s="2" t="s">
        <v>309</v>
      </c>
      <c r="F462" s="19">
        <f>Woolstencroftsarptscorrect</f>
        <v>0</v>
      </c>
    </row>
    <row r="463" spans="1:6" ht="14.95" customHeight="1" thickBot="1" x14ac:dyDescent="0.3">
      <c r="A463" s="61" t="s">
        <v>842</v>
      </c>
      <c r="B463" s="61" t="s">
        <v>309</v>
      </c>
      <c r="C463" s="9">
        <f>Wilson_Osartries</f>
        <v>0</v>
      </c>
      <c r="D463" s="2" t="s">
        <v>842</v>
      </c>
      <c r="E463" s="2" t="s">
        <v>309</v>
      </c>
      <c r="F463" s="19">
        <f>Wilson_Osarpts</f>
        <v>0</v>
      </c>
    </row>
    <row r="464" spans="1:6" ht="14.95" customHeight="1" thickBot="1" x14ac:dyDescent="0.3">
      <c r="A464" s="61" t="s">
        <v>1027</v>
      </c>
      <c r="B464" s="61" t="s">
        <v>80</v>
      </c>
      <c r="C464" s="9">
        <f>Wilsonsaltries</f>
        <v>0</v>
      </c>
      <c r="D464" s="2" t="s">
        <v>1027</v>
      </c>
      <c r="E464" s="2" t="s">
        <v>80</v>
      </c>
      <c r="F464" s="19">
        <f>Wilsonsalpts</f>
        <v>0</v>
      </c>
    </row>
    <row r="465" spans="1:6" ht="14.95" customHeight="1" thickBot="1" x14ac:dyDescent="0.3">
      <c r="A465" s="10" t="s">
        <v>544</v>
      </c>
      <c r="B465" s="10" t="s">
        <v>88</v>
      </c>
      <c r="C465" s="9">
        <f>Williamsexetries</f>
        <v>0</v>
      </c>
      <c r="D465" s="17" t="s">
        <v>544</v>
      </c>
      <c r="E465" s="17" t="s">
        <v>88</v>
      </c>
      <c r="F465" s="20">
        <f>Williamsexepts</f>
        <v>0</v>
      </c>
    </row>
    <row r="466" spans="1:6" ht="14.95" customHeight="1" thickBot="1" x14ac:dyDescent="0.3">
      <c r="A466" s="61" t="s">
        <v>1106</v>
      </c>
      <c r="B466" s="61" t="s">
        <v>81</v>
      </c>
      <c r="C466" s="9">
        <f>van_Vuurenbthtries</f>
        <v>0</v>
      </c>
      <c r="D466" s="2" t="s">
        <v>1106</v>
      </c>
      <c r="E466" s="2" t="s">
        <v>81</v>
      </c>
      <c r="F466" s="19">
        <f>van_Vuurenbthpts</f>
        <v>0</v>
      </c>
    </row>
    <row r="467" spans="1:6" ht="14.95" customHeight="1" thickBot="1" x14ac:dyDescent="0.3">
      <c r="A467" s="12" t="s">
        <v>600</v>
      </c>
      <c r="B467" s="12" t="s">
        <v>90</v>
      </c>
      <c r="C467" s="9">
        <f>Wolstenholmebritries</f>
        <v>0</v>
      </c>
      <c r="D467" s="201" t="s">
        <v>600</v>
      </c>
      <c r="E467" s="201" t="s">
        <v>90</v>
      </c>
      <c r="F467" s="19">
        <f>Wolstenholmebripts</f>
        <v>0</v>
      </c>
    </row>
    <row r="468" spans="1:6" ht="14.95" customHeight="1" thickBot="1" x14ac:dyDescent="0.3">
      <c r="A468" s="61" t="s">
        <v>732</v>
      </c>
      <c r="B468" s="61" t="s">
        <v>80</v>
      </c>
      <c r="C468" s="9">
        <f>Williamssaltries</f>
        <v>0</v>
      </c>
      <c r="D468" s="2" t="s">
        <v>732</v>
      </c>
      <c r="E468" s="2" t="s">
        <v>80</v>
      </c>
      <c r="F468" s="18">
        <f>Williamssalpts</f>
        <v>0</v>
      </c>
    </row>
    <row r="469" spans="1:6" ht="14.95" customHeight="1" thickBot="1" x14ac:dyDescent="0.3">
      <c r="A469" s="61" t="s">
        <v>873</v>
      </c>
      <c r="B469" s="10" t="s">
        <v>527</v>
      </c>
      <c r="C469" s="9">
        <f>WoodwardLEItries</f>
        <v>0</v>
      </c>
      <c r="D469" s="2" t="s">
        <v>873</v>
      </c>
      <c r="E469" s="2" t="s">
        <v>527</v>
      </c>
      <c r="F469" s="19">
        <f>WoodwardLEIpts</f>
        <v>0</v>
      </c>
    </row>
    <row r="470" spans="1:6" ht="14.95" customHeight="1" thickBot="1" x14ac:dyDescent="0.3">
      <c r="A470" s="61" t="s">
        <v>138</v>
      </c>
      <c r="B470" s="61" t="s">
        <v>90</v>
      </c>
      <c r="C470" s="9">
        <f>Steelelitries</f>
        <v>0</v>
      </c>
      <c r="D470" s="2" t="s">
        <v>138</v>
      </c>
      <c r="E470" s="2" t="s">
        <v>90</v>
      </c>
      <c r="F470" s="19">
        <f>Steelelipts</f>
        <v>0</v>
      </c>
    </row>
    <row r="471" spans="1:6" ht="14.95" customHeight="1" thickBot="1" x14ac:dyDescent="0.3">
      <c r="A471" s="61" t="s">
        <v>714</v>
      </c>
      <c r="B471" s="61" t="s">
        <v>82</v>
      </c>
      <c r="C471" s="9">
        <f>Wilkinsnortries</f>
        <v>0</v>
      </c>
      <c r="D471" s="17" t="s">
        <v>714</v>
      </c>
      <c r="E471" s="17" t="s">
        <v>82</v>
      </c>
      <c r="F471" s="19">
        <f>Wilkinsnorpts</f>
        <v>0</v>
      </c>
    </row>
    <row r="472" spans="1:6" ht="14.95" customHeight="1" thickBot="1" x14ac:dyDescent="0.3">
      <c r="A472" s="61" t="s">
        <v>172</v>
      </c>
      <c r="B472" s="61" t="s">
        <v>88</v>
      </c>
      <c r="C472" s="9">
        <f>Wyattexetries</f>
        <v>0</v>
      </c>
      <c r="D472" s="2" t="s">
        <v>172</v>
      </c>
      <c r="E472" s="2" t="s">
        <v>88</v>
      </c>
      <c r="F472" s="19">
        <f>Wyattexepts</f>
        <v>0</v>
      </c>
    </row>
    <row r="473" spans="1:6" ht="14.95" customHeight="1" thickBot="1" x14ac:dyDescent="0.3">
      <c r="A473" s="61" t="s">
        <v>1130</v>
      </c>
      <c r="B473" s="61" t="s">
        <v>88</v>
      </c>
      <c r="C473" s="9">
        <f>Zamboninexetries</f>
        <v>0</v>
      </c>
      <c r="D473" s="2" t="s">
        <v>1130</v>
      </c>
      <c r="E473" s="2" t="s">
        <v>88</v>
      </c>
      <c r="F473" s="19">
        <f>Zamboninexepts</f>
        <v>0</v>
      </c>
    </row>
    <row r="474" spans="1:6" ht="14.95" customHeight="1" thickBot="1" x14ac:dyDescent="0.3">
      <c r="A474" s="61" t="s">
        <v>1101</v>
      </c>
      <c r="B474" s="61" t="s">
        <v>87</v>
      </c>
      <c r="C474" s="9">
        <f>Yendlehartries</f>
        <v>0</v>
      </c>
      <c r="D474" s="2" t="s">
        <v>1101</v>
      </c>
      <c r="E474" s="2" t="s">
        <v>87</v>
      </c>
      <c r="F474" s="19">
        <f>Yendleharpts</f>
        <v>0</v>
      </c>
    </row>
    <row r="475" spans="1:6" ht="14.95" customHeight="1" thickBot="1" x14ac:dyDescent="0.3">
      <c r="A475" s="9" t="s">
        <v>13</v>
      </c>
      <c r="B475" s="9"/>
      <c r="C475" s="9">
        <f>SUM(C4:C474)</f>
        <v>477</v>
      </c>
      <c r="D475" s="19" t="s">
        <v>13</v>
      </c>
      <c r="E475" s="19"/>
      <c r="F475" s="19">
        <f>SUM(F4:F474)</f>
        <v>3342</v>
      </c>
    </row>
    <row r="476" spans="1:6" ht="14.95" customHeight="1" x14ac:dyDescent="0.25">
      <c r="A476" s="411" t="s">
        <v>34</v>
      </c>
    </row>
    <row r="477" spans="1:6" ht="14.95" customHeight="1" x14ac:dyDescent="0.25"/>
    <row r="478" spans="1:6" ht="14.95" customHeight="1" x14ac:dyDescent="0.25">
      <c r="A478" s="36"/>
      <c r="B478" s="44"/>
      <c r="C478" s="36"/>
      <c r="D478" s="36"/>
      <c r="E478" s="44"/>
      <c r="F478" s="36"/>
    </row>
    <row r="479" spans="1:6" ht="14.95" customHeight="1" x14ac:dyDescent="0.25">
      <c r="A479" s="36"/>
      <c r="B479" s="44"/>
      <c r="C479" s="36"/>
      <c r="D479" s="36"/>
      <c r="E479" s="44"/>
      <c r="F479" s="36"/>
    </row>
    <row r="480" spans="1:6" ht="14.95" customHeight="1" x14ac:dyDescent="0.25">
      <c r="A480" s="36"/>
      <c r="B480" s="44"/>
      <c r="C480" s="36"/>
      <c r="D480" s="36"/>
      <c r="E480" s="44"/>
      <c r="F480" s="36"/>
    </row>
    <row r="481" spans="1:6" ht="14.95" customHeight="1" x14ac:dyDescent="0.25">
      <c r="A481" s="36"/>
      <c r="B481" s="44"/>
      <c r="C481" s="36"/>
      <c r="D481" s="36"/>
      <c r="E481" s="44"/>
      <c r="F481" s="36"/>
    </row>
    <row r="482" spans="1:6" ht="14.95" customHeight="1" x14ac:dyDescent="0.25">
      <c r="A482" s="36"/>
      <c r="B482" s="44"/>
      <c r="C482" s="36"/>
      <c r="D482" s="36"/>
      <c r="E482" s="44"/>
      <c r="F482" s="36"/>
    </row>
    <row r="483" spans="1:6" ht="14.95" customHeight="1" x14ac:dyDescent="0.25">
      <c r="A483" s="36"/>
      <c r="B483" s="44"/>
      <c r="C483" s="36"/>
      <c r="D483" s="36"/>
      <c r="E483" s="44"/>
      <c r="F483" s="36"/>
    </row>
    <row r="484" spans="1:6" ht="14.95" customHeight="1" x14ac:dyDescent="0.25">
      <c r="A484" s="36"/>
      <c r="B484" s="44"/>
      <c r="C484" s="36"/>
      <c r="D484" s="36"/>
      <c r="E484" s="44"/>
      <c r="F484" s="36"/>
    </row>
    <row r="485" spans="1:6" ht="14.95" customHeight="1" x14ac:dyDescent="0.25">
      <c r="A485" s="36"/>
      <c r="B485" s="44"/>
      <c r="C485" s="36"/>
      <c r="D485" s="36"/>
      <c r="E485" s="44"/>
      <c r="F485" s="36"/>
    </row>
    <row r="486" spans="1:6" ht="14.95" customHeight="1" x14ac:dyDescent="0.25">
      <c r="A486" s="36"/>
      <c r="B486" s="44"/>
      <c r="C486" s="36"/>
      <c r="D486" s="36"/>
      <c r="E486" s="44"/>
      <c r="F486" s="36"/>
    </row>
    <row r="487" spans="1:6" ht="14.95" customHeight="1" x14ac:dyDescent="0.25">
      <c r="A487" s="36"/>
      <c r="B487" s="44"/>
      <c r="C487" s="36"/>
      <c r="D487" s="36"/>
      <c r="E487" s="44"/>
      <c r="F487" s="36"/>
    </row>
    <row r="488" spans="1:6" ht="14.95" customHeight="1" x14ac:dyDescent="0.25">
      <c r="A488" s="36"/>
      <c r="B488" s="44"/>
      <c r="C488" s="36"/>
      <c r="D488" s="36"/>
      <c r="E488" s="44"/>
      <c r="F488" s="36"/>
    </row>
    <row r="489" spans="1:6" ht="14.95" customHeight="1" x14ac:dyDescent="0.25">
      <c r="A489" s="36"/>
      <c r="B489" s="44"/>
      <c r="C489" s="36"/>
      <c r="D489" s="36"/>
      <c r="E489" s="44"/>
      <c r="F489" s="36"/>
    </row>
    <row r="490" spans="1:6" ht="14.95" customHeight="1" x14ac:dyDescent="0.25">
      <c r="A490" s="36"/>
      <c r="B490" s="44"/>
      <c r="C490" s="36"/>
      <c r="D490" s="36"/>
      <c r="E490" s="44"/>
      <c r="F490" s="36"/>
    </row>
    <row r="491" spans="1:6" ht="14.95" customHeight="1" x14ac:dyDescent="0.25">
      <c r="A491" s="36"/>
      <c r="B491" s="36"/>
      <c r="C491" s="36"/>
      <c r="D491" s="36"/>
      <c r="E491" s="36"/>
      <c r="F491" s="36"/>
    </row>
    <row r="492" spans="1:6" ht="14.95" customHeight="1" x14ac:dyDescent="0.25"/>
    <row r="493" spans="1:6" ht="14.95" customHeight="1" x14ac:dyDescent="0.25"/>
    <row r="494" spans="1:6" ht="14.95" customHeight="1" x14ac:dyDescent="0.25"/>
    <row r="495" spans="1:6" ht="14.95" customHeight="1" x14ac:dyDescent="0.25"/>
    <row r="496" spans="1:6" ht="14.95" customHeight="1" x14ac:dyDescent="0.25"/>
    <row r="497" ht="14.95" customHeight="1" x14ac:dyDescent="0.25"/>
    <row r="498" ht="14.95" customHeight="1" x14ac:dyDescent="0.25"/>
    <row r="499" ht="14.95" customHeight="1" x14ac:dyDescent="0.25"/>
    <row r="500" ht="14.95" customHeight="1" x14ac:dyDescent="0.25"/>
    <row r="501" ht="14.95" customHeight="1" x14ac:dyDescent="0.25"/>
    <row r="502" ht="14.95" customHeight="1" x14ac:dyDescent="0.25"/>
    <row r="503" ht="14.95" customHeight="1" x14ac:dyDescent="0.25"/>
    <row r="504" ht="14.95" customHeight="1" x14ac:dyDescent="0.25"/>
    <row r="505" ht="14.95" customHeight="1" x14ac:dyDescent="0.25"/>
    <row r="506" ht="14.95" customHeight="1" x14ac:dyDescent="0.25"/>
    <row r="507" ht="14.95" customHeight="1" x14ac:dyDescent="0.25"/>
    <row r="508" ht="14.95" customHeight="1" x14ac:dyDescent="0.25"/>
    <row r="509" ht="14.95" customHeight="1" x14ac:dyDescent="0.25"/>
    <row r="510" ht="14.95" customHeight="1" x14ac:dyDescent="0.25"/>
    <row r="511" ht="14.95" customHeight="1" x14ac:dyDescent="0.25"/>
    <row r="512" ht="14.95" customHeight="1" x14ac:dyDescent="0.25"/>
    <row r="513" ht="14.95" customHeight="1" x14ac:dyDescent="0.25"/>
    <row r="514" ht="14.95" customHeight="1" x14ac:dyDescent="0.25"/>
    <row r="515" ht="14.95" customHeight="1" x14ac:dyDescent="0.25"/>
    <row r="516" ht="14.95" customHeight="1" x14ac:dyDescent="0.25"/>
    <row r="517" ht="14.95" customHeight="1" x14ac:dyDescent="0.25"/>
    <row r="518" ht="14.95" customHeight="1" x14ac:dyDescent="0.25"/>
    <row r="519" ht="14.95" customHeight="1" x14ac:dyDescent="0.25"/>
    <row r="520" ht="14.95" customHeight="1" x14ac:dyDescent="0.25"/>
    <row r="521" ht="14.95" customHeight="1" x14ac:dyDescent="0.25"/>
    <row r="522" ht="14.95" customHeight="1" x14ac:dyDescent="0.25"/>
    <row r="523" ht="14.95" customHeight="1" x14ac:dyDescent="0.25"/>
    <row r="524" ht="14.95" customHeight="1" x14ac:dyDescent="0.25"/>
    <row r="525" ht="14.95" customHeight="1" x14ac:dyDescent="0.25"/>
    <row r="526" ht="14.95" customHeight="1" x14ac:dyDescent="0.25"/>
    <row r="527" ht="14.95" customHeight="1" x14ac:dyDescent="0.25"/>
    <row r="528" ht="14.95" customHeight="1" x14ac:dyDescent="0.25"/>
    <row r="529" ht="14.95" customHeight="1" x14ac:dyDescent="0.25"/>
    <row r="530" ht="14.95" customHeight="1" x14ac:dyDescent="0.25"/>
    <row r="531" ht="14.95" customHeight="1" x14ac:dyDescent="0.25"/>
    <row r="532" ht="14.95" customHeight="1" x14ac:dyDescent="0.25"/>
    <row r="533" ht="14.95" customHeight="1" x14ac:dyDescent="0.25"/>
    <row r="534" ht="14.95" customHeight="1" x14ac:dyDescent="0.25"/>
    <row r="535" ht="14.95" customHeight="1" x14ac:dyDescent="0.25"/>
    <row r="536" ht="14.95" customHeight="1" x14ac:dyDescent="0.25"/>
    <row r="537" ht="14.95" customHeight="1" x14ac:dyDescent="0.25"/>
    <row r="538" ht="14.95" customHeight="1" x14ac:dyDescent="0.25"/>
    <row r="539" ht="14.95" customHeight="1" x14ac:dyDescent="0.25"/>
    <row r="540" ht="14.95" customHeight="1" x14ac:dyDescent="0.25"/>
    <row r="541" ht="14.95" customHeight="1" x14ac:dyDescent="0.25"/>
    <row r="542" ht="14.95" customHeight="1" x14ac:dyDescent="0.25"/>
    <row r="543" ht="14.95" customHeight="1" x14ac:dyDescent="0.25"/>
    <row r="544" ht="14.95" customHeight="1" x14ac:dyDescent="0.25"/>
    <row r="545" ht="14.95" customHeight="1" x14ac:dyDescent="0.25"/>
    <row r="546" ht="14.95" customHeight="1" x14ac:dyDescent="0.25"/>
    <row r="547" ht="14.95" customHeight="1" x14ac:dyDescent="0.25"/>
    <row r="548" ht="14.95" customHeight="1" x14ac:dyDescent="0.25"/>
    <row r="549" ht="14.95" customHeight="1" x14ac:dyDescent="0.25"/>
    <row r="550" ht="14.95" customHeight="1" x14ac:dyDescent="0.25"/>
    <row r="551" ht="14.95" customHeight="1" x14ac:dyDescent="0.25"/>
    <row r="552" ht="14.95" customHeight="1" x14ac:dyDescent="0.25"/>
    <row r="553" ht="14.95" customHeight="1" x14ac:dyDescent="0.25"/>
    <row r="554" ht="14.95" customHeight="1" x14ac:dyDescent="0.25"/>
    <row r="555" ht="14.95" customHeight="1" x14ac:dyDescent="0.25"/>
    <row r="556" ht="14.95" customHeight="1" x14ac:dyDescent="0.25"/>
    <row r="557" ht="14.95" customHeight="1" x14ac:dyDescent="0.25"/>
    <row r="558" ht="14.95" customHeight="1" x14ac:dyDescent="0.25"/>
    <row r="559" ht="14.95" customHeight="1" x14ac:dyDescent="0.25"/>
    <row r="560" ht="14.95" customHeight="1" x14ac:dyDescent="0.25"/>
    <row r="561" ht="14.95" customHeight="1" x14ac:dyDescent="0.25"/>
    <row r="562" ht="14.95" customHeight="1" x14ac:dyDescent="0.25"/>
    <row r="563" ht="14.95" customHeight="1" x14ac:dyDescent="0.25"/>
    <row r="564" ht="14.95" customHeight="1" x14ac:dyDescent="0.25"/>
    <row r="565" ht="14.95" customHeight="1" x14ac:dyDescent="0.25"/>
    <row r="566" ht="14.95" customHeight="1" x14ac:dyDescent="0.25"/>
    <row r="567" ht="14.95" customHeight="1" x14ac:dyDescent="0.25"/>
    <row r="568" ht="14.95" customHeight="1" x14ac:dyDescent="0.25"/>
    <row r="569" ht="14.95" customHeight="1" x14ac:dyDescent="0.25"/>
    <row r="570" ht="14.95" customHeight="1" x14ac:dyDescent="0.25"/>
    <row r="571" ht="14.95" customHeight="1" x14ac:dyDescent="0.25"/>
    <row r="572" ht="14.95" customHeight="1" x14ac:dyDescent="0.25"/>
    <row r="573" ht="14.95" customHeight="1" x14ac:dyDescent="0.25"/>
    <row r="574" ht="14.95" customHeight="1" x14ac:dyDescent="0.25"/>
    <row r="575" ht="14.95" customHeight="1" x14ac:dyDescent="0.25"/>
    <row r="576" ht="14.95" customHeight="1" x14ac:dyDescent="0.25"/>
    <row r="577" ht="14.95" customHeight="1" x14ac:dyDescent="0.25"/>
    <row r="578" ht="14.95" customHeight="1" x14ac:dyDescent="0.25"/>
    <row r="579" ht="14.95" customHeight="1" x14ac:dyDescent="0.25"/>
    <row r="580" ht="14.95" customHeight="1" x14ac:dyDescent="0.25"/>
    <row r="581" ht="14.95" customHeight="1" x14ac:dyDescent="0.25"/>
    <row r="582" ht="14.95" customHeight="1" x14ac:dyDescent="0.25"/>
    <row r="583" ht="14.95" customHeight="1" x14ac:dyDescent="0.25"/>
    <row r="584" ht="14.95" customHeight="1" x14ac:dyDescent="0.25"/>
    <row r="585" ht="14.95" customHeight="1" x14ac:dyDescent="0.25"/>
    <row r="586" ht="14.95" customHeight="1" x14ac:dyDescent="0.25"/>
    <row r="587" ht="14.95" customHeight="1" x14ac:dyDescent="0.25"/>
    <row r="601" spans="7:7" x14ac:dyDescent="0.25">
      <c r="G601" s="300"/>
    </row>
    <row r="620" spans="7:7" ht="14.8" customHeight="1" x14ac:dyDescent="0.25"/>
    <row r="622" spans="7:7" ht="14.95" customHeight="1" x14ac:dyDescent="0.25"/>
    <row r="623" spans="7:7" ht="14.95" customHeight="1" x14ac:dyDescent="0.25"/>
    <row r="624" spans="7:7" x14ac:dyDescent="0.25">
      <c r="G624" s="36"/>
    </row>
    <row r="625" spans="7:7" x14ac:dyDescent="0.25">
      <c r="G625" s="36"/>
    </row>
    <row r="626" spans="7:7" x14ac:dyDescent="0.25">
      <c r="G626" s="36"/>
    </row>
    <row r="627" spans="7:7" x14ac:dyDescent="0.25">
      <c r="G627" s="36"/>
    </row>
    <row r="628" spans="7:7" x14ac:dyDescent="0.25">
      <c r="G628" s="36"/>
    </row>
    <row r="629" spans="7:7" x14ac:dyDescent="0.25">
      <c r="G629" s="36"/>
    </row>
    <row r="630" spans="7:7" ht="14.8" customHeight="1" x14ac:dyDescent="0.25">
      <c r="G630" s="36"/>
    </row>
    <row r="631" spans="7:7" x14ac:dyDescent="0.25">
      <c r="G631" s="36"/>
    </row>
    <row r="632" spans="7:7" ht="15.8" customHeight="1" x14ac:dyDescent="0.25">
      <c r="G632" s="36"/>
    </row>
    <row r="633" spans="7:7" x14ac:dyDescent="0.25">
      <c r="G633" s="36"/>
    </row>
    <row r="634" spans="7:7" ht="15.8" customHeight="1" x14ac:dyDescent="0.25">
      <c r="G634" s="36"/>
    </row>
    <row r="635" spans="7:7" ht="14.95" customHeight="1" x14ac:dyDescent="0.25">
      <c r="G635" s="36"/>
    </row>
    <row r="636" spans="7:7" ht="15.65" customHeight="1" x14ac:dyDescent="0.25">
      <c r="G636" s="36"/>
    </row>
    <row r="637" spans="7:7" x14ac:dyDescent="0.25">
      <c r="G637" s="36"/>
    </row>
    <row r="639" spans="7:7" ht="14.3" customHeight="1" x14ac:dyDescent="0.25"/>
    <row r="640" spans="7:7" ht="14.8" customHeight="1" x14ac:dyDescent="0.25"/>
  </sheetData>
  <sortState xmlns:xlrd2="http://schemas.microsoft.com/office/spreadsheetml/2017/richdata2" ref="G4:K67">
    <sortCondition sortBy="fontColor" ref="J4:J67" dxfId="1"/>
    <sortCondition descending="1" ref="K4:K67"/>
    <sortCondition ref="J4:J67" customList="Largest to Smallest"/>
    <sortCondition ref="G4:G67"/>
  </sortState>
  <mergeCells count="1">
    <mergeCell ref="G3:H3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E840-AC33-47E5-93F0-762FA9549DDE}">
  <sheetPr codeName="Sheet12"/>
  <dimension ref="A1:K526"/>
  <sheetViews>
    <sheetView topLeftCell="A504" workbookViewId="0">
      <selection activeCell="K524" sqref="K524"/>
    </sheetView>
  </sheetViews>
  <sheetFormatPr defaultRowHeight="14.3" x14ac:dyDescent="0.25"/>
  <cols>
    <col min="1" max="1" width="20.625" customWidth="1"/>
    <col min="2" max="2" width="4.75" bestFit="1" customWidth="1"/>
    <col min="3" max="3" width="5.625" customWidth="1"/>
    <col min="4" max="4" width="20.625" customWidth="1"/>
    <col min="5" max="5" width="4.75" bestFit="1" customWidth="1"/>
    <col min="6" max="6" width="5.625" customWidth="1"/>
    <col min="7" max="7" width="20.625" customWidth="1"/>
    <col min="8" max="8" width="4.75" bestFit="1" customWidth="1"/>
    <col min="9" max="11" width="5.625" customWidth="1"/>
  </cols>
  <sheetData>
    <row r="1" spans="1:11" ht="14.95" customHeight="1" x14ac:dyDescent="0.25">
      <c r="A1" s="561" t="s">
        <v>1004</v>
      </c>
      <c r="B1" s="475"/>
      <c r="C1" s="475"/>
    </row>
    <row r="2" spans="1:11" ht="14.95" customHeight="1" thickBot="1" x14ac:dyDescent="0.3">
      <c r="A2" s="357" t="s">
        <v>1116</v>
      </c>
      <c r="B2" s="100"/>
      <c r="C2" s="100"/>
    </row>
    <row r="3" spans="1:11" ht="14.95" customHeight="1" thickBot="1" x14ac:dyDescent="0.3">
      <c r="A3" s="362" t="s">
        <v>26</v>
      </c>
      <c r="B3" s="363"/>
      <c r="C3" s="363"/>
      <c r="D3" s="382" t="s">
        <v>8</v>
      </c>
      <c r="E3" s="382"/>
      <c r="F3" s="382"/>
      <c r="G3" s="559" t="s">
        <v>35</v>
      </c>
      <c r="H3" s="560"/>
      <c r="I3" s="364" t="s">
        <v>46</v>
      </c>
      <c r="J3" s="364" t="s">
        <v>9</v>
      </c>
      <c r="K3" s="365" t="s">
        <v>10</v>
      </c>
    </row>
    <row r="4" spans="1:11" ht="14.95" customHeight="1" thickBot="1" x14ac:dyDescent="0.3">
      <c r="A4" s="366" t="s">
        <v>1054</v>
      </c>
      <c r="B4" s="367" t="s">
        <v>88</v>
      </c>
      <c r="C4" s="378">
        <f>ridlexepremcuptries</f>
        <v>8</v>
      </c>
      <c r="D4" s="383" t="s">
        <v>937</v>
      </c>
      <c r="E4" s="383" t="s">
        <v>82</v>
      </c>
      <c r="F4" s="381">
        <f>Belleaunorpremcuppts</f>
        <v>55</v>
      </c>
      <c r="G4" s="369" t="s">
        <v>937</v>
      </c>
      <c r="H4" s="369" t="s">
        <v>82</v>
      </c>
      <c r="I4" s="393">
        <f>Belleaunorpremcupgls</f>
        <v>25</v>
      </c>
      <c r="J4" s="393">
        <f>Belleaunorpremcupatt</f>
        <v>27</v>
      </c>
      <c r="K4" s="395">
        <f t="shared" ref="K4:K43" si="0">SUM(I4/J4)*100</f>
        <v>92.592592592592595</v>
      </c>
    </row>
    <row r="5" spans="1:11" ht="14.95" customHeight="1" thickBot="1" x14ac:dyDescent="0.3">
      <c r="A5" s="366" t="s">
        <v>657</v>
      </c>
      <c r="B5" s="373" t="s">
        <v>527</v>
      </c>
      <c r="C5" s="378">
        <f>wandleipremcuptries</f>
        <v>7</v>
      </c>
      <c r="D5" s="383" t="s">
        <v>738</v>
      </c>
      <c r="E5" s="383" t="s">
        <v>309</v>
      </c>
      <c r="F5" s="384">
        <f>johnsonsarpremcuppts</f>
        <v>51</v>
      </c>
      <c r="G5" s="369" t="s">
        <v>1025</v>
      </c>
      <c r="H5" s="369" t="s">
        <v>82</v>
      </c>
      <c r="I5" s="393">
        <f>Paternorpremcupgls</f>
        <v>11</v>
      </c>
      <c r="J5" s="393">
        <f>Paternorpremcupatt</f>
        <v>12</v>
      </c>
      <c r="K5" s="395">
        <f t="shared" si="0"/>
        <v>91.666666666666657</v>
      </c>
    </row>
    <row r="6" spans="1:11" ht="14.95" customHeight="1" thickBot="1" x14ac:dyDescent="0.3">
      <c r="A6" s="366" t="s">
        <v>789</v>
      </c>
      <c r="B6" s="367" t="s">
        <v>81</v>
      </c>
      <c r="C6" s="378">
        <f>greenbthpremcuptries</f>
        <v>6</v>
      </c>
      <c r="D6" s="383" t="s">
        <v>1054</v>
      </c>
      <c r="E6" s="383" t="s">
        <v>88</v>
      </c>
      <c r="F6" s="381">
        <f>ridlexepremcuppts</f>
        <v>40</v>
      </c>
      <c r="G6" s="372" t="s">
        <v>715</v>
      </c>
      <c r="H6" s="369" t="s">
        <v>90</v>
      </c>
      <c r="I6" s="393">
        <f>Worsleybripremcupgls</f>
        <v>16</v>
      </c>
      <c r="J6" s="393">
        <f>Worsleybripremcupatt</f>
        <v>19</v>
      </c>
      <c r="K6" s="394">
        <f t="shared" si="0"/>
        <v>84.210526315789465</v>
      </c>
    </row>
    <row r="7" spans="1:11" ht="14.95" customHeight="1" thickBot="1" x14ac:dyDescent="0.3">
      <c r="A7" s="366" t="s">
        <v>338</v>
      </c>
      <c r="B7" s="367" t="s">
        <v>81</v>
      </c>
      <c r="C7" s="378">
        <f>frostbthpremcuptries</f>
        <v>5</v>
      </c>
      <c r="D7" s="383" t="s">
        <v>959</v>
      </c>
      <c r="E7" s="383" t="s">
        <v>527</v>
      </c>
      <c r="F7" s="381">
        <f>searleleipremcuppts</f>
        <v>40</v>
      </c>
      <c r="G7" s="369" t="s">
        <v>132</v>
      </c>
      <c r="H7" s="369" t="s">
        <v>88</v>
      </c>
      <c r="I7" s="393">
        <f>Sladeexepremcupgls</f>
        <v>9</v>
      </c>
      <c r="J7" s="393">
        <f>Sladeexepremcupatt</f>
        <v>11</v>
      </c>
      <c r="K7" s="395">
        <f t="shared" si="0"/>
        <v>81.818181818181827</v>
      </c>
    </row>
    <row r="8" spans="1:11" ht="14.95" customHeight="1" thickBot="1" x14ac:dyDescent="0.3">
      <c r="A8" s="370" t="s">
        <v>1021</v>
      </c>
      <c r="B8" s="371" t="s">
        <v>81</v>
      </c>
      <c r="C8" s="379">
        <f>griffincbthpremcuptries</f>
        <v>5</v>
      </c>
      <c r="D8" s="383" t="s">
        <v>715</v>
      </c>
      <c r="E8" s="383" t="s">
        <v>90</v>
      </c>
      <c r="F8" s="381">
        <f>Worsleybripremcuppts</f>
        <v>40</v>
      </c>
      <c r="G8" s="427" t="s">
        <v>415</v>
      </c>
      <c r="H8" s="369" t="s">
        <v>87</v>
      </c>
      <c r="I8" s="393">
        <f>Slevinharpremcupgls</f>
        <v>9</v>
      </c>
      <c r="J8" s="393">
        <f>sleveinharpremcupatt</f>
        <v>11</v>
      </c>
      <c r="K8" s="394">
        <f t="shared" si="0"/>
        <v>81.818181818181827</v>
      </c>
    </row>
    <row r="9" spans="1:11" ht="14.95" customHeight="1" thickBot="1" x14ac:dyDescent="0.3">
      <c r="A9" s="366" t="s">
        <v>381</v>
      </c>
      <c r="B9" s="367" t="s">
        <v>309</v>
      </c>
      <c r="C9" s="378">
        <f>jacksonsarpremcuptries</f>
        <v>5</v>
      </c>
      <c r="D9" s="383" t="s">
        <v>171</v>
      </c>
      <c r="E9" s="383" t="s">
        <v>79</v>
      </c>
      <c r="F9" s="381">
        <f>bartonglopremcuppfts</f>
        <v>37</v>
      </c>
      <c r="G9" s="372" t="s">
        <v>248</v>
      </c>
      <c r="H9" s="369" t="s">
        <v>889</v>
      </c>
      <c r="I9" s="393">
        <f>Connonnrbpremcupgls</f>
        <v>12</v>
      </c>
      <c r="J9" s="393">
        <f>Connonnrbpremcupatt</f>
        <v>16</v>
      </c>
      <c r="K9" s="394">
        <f t="shared" si="0"/>
        <v>75</v>
      </c>
    </row>
    <row r="10" spans="1:11" ht="14.95" customHeight="1" thickBot="1" x14ac:dyDescent="0.3">
      <c r="A10" s="366" t="s">
        <v>412</v>
      </c>
      <c r="B10" s="367" t="s">
        <v>80</v>
      </c>
      <c r="C10" s="378">
        <f>jibulusalpremcuptries</f>
        <v>5</v>
      </c>
      <c r="D10" s="383" t="s">
        <v>657</v>
      </c>
      <c r="E10" s="383" t="s">
        <v>527</v>
      </c>
      <c r="F10" s="381">
        <f>wandleipremcuppts</f>
        <v>35</v>
      </c>
      <c r="G10" s="372" t="s">
        <v>1099</v>
      </c>
      <c r="H10" s="369" t="s">
        <v>81</v>
      </c>
      <c r="I10" s="393">
        <f>rouebthpremcupgls</f>
        <v>12</v>
      </c>
      <c r="J10" s="393">
        <f>rouebthpremcupatt</f>
        <v>16</v>
      </c>
      <c r="K10" s="394">
        <f t="shared" si="0"/>
        <v>75</v>
      </c>
    </row>
    <row r="11" spans="1:11" ht="14.95" customHeight="1" thickBot="1" x14ac:dyDescent="0.3">
      <c r="A11" s="366" t="s">
        <v>754</v>
      </c>
      <c r="B11" s="367" t="s">
        <v>82</v>
      </c>
      <c r="C11" s="378">
        <f>mcparlandnorpremcuptries</f>
        <v>5</v>
      </c>
      <c r="D11" s="383" t="s">
        <v>1025</v>
      </c>
      <c r="E11" s="383" t="s">
        <v>82</v>
      </c>
      <c r="F11" s="381">
        <f>paternorpremcuppts</f>
        <v>32</v>
      </c>
      <c r="G11" s="372" t="s">
        <v>170</v>
      </c>
      <c r="H11" s="369" t="s">
        <v>79</v>
      </c>
      <c r="I11" s="393">
        <f>Bartonglopremcupgls</f>
        <v>16</v>
      </c>
      <c r="J11" s="393">
        <f>Bartonglopremcupatt</f>
        <v>22</v>
      </c>
      <c r="K11" s="395">
        <f t="shared" si="0"/>
        <v>72.727272727272734</v>
      </c>
    </row>
    <row r="12" spans="1:11" ht="14.95" customHeight="1" thickBot="1" x14ac:dyDescent="0.3">
      <c r="A12" s="366" t="s">
        <v>322</v>
      </c>
      <c r="B12" s="367" t="s">
        <v>309</v>
      </c>
      <c r="C12" s="378">
        <f>segunsarpremcuptries</f>
        <v>5</v>
      </c>
      <c r="D12" s="383" t="s">
        <v>789</v>
      </c>
      <c r="E12" s="383" t="s">
        <v>81</v>
      </c>
      <c r="F12" s="381">
        <f>greenbthpremcuppts</f>
        <v>30</v>
      </c>
      <c r="G12" s="369" t="s">
        <v>738</v>
      </c>
      <c r="H12" s="369" t="s">
        <v>309</v>
      </c>
      <c r="I12" s="393">
        <f>Johnsonsarpremcupgls</f>
        <v>25</v>
      </c>
      <c r="J12" s="393">
        <f>Johnsonsarpremcupatt</f>
        <v>37</v>
      </c>
      <c r="K12" s="395">
        <f t="shared" si="0"/>
        <v>67.567567567567565</v>
      </c>
    </row>
    <row r="13" spans="1:11" ht="14.95" customHeight="1" thickBot="1" x14ac:dyDescent="0.3">
      <c r="A13" s="366" t="s">
        <v>858</v>
      </c>
      <c r="B13" s="367" t="s">
        <v>309</v>
      </c>
      <c r="C13" s="378">
        <f>brackenjsarpremcuptries</f>
        <v>4</v>
      </c>
      <c r="D13" s="383" t="s">
        <v>213</v>
      </c>
      <c r="E13" s="383" t="s">
        <v>88</v>
      </c>
      <c r="F13" s="381">
        <f>hodgeexepremcuppts</f>
        <v>30</v>
      </c>
      <c r="G13" s="369" t="s">
        <v>959</v>
      </c>
      <c r="H13" s="369" t="s">
        <v>527</v>
      </c>
      <c r="I13" s="393">
        <f>Searleleipremcupgls</f>
        <v>12</v>
      </c>
      <c r="J13" s="393">
        <f>Searleleipremcupatt</f>
        <v>18</v>
      </c>
      <c r="K13" s="395">
        <f t="shared" si="0"/>
        <v>66.666666666666657</v>
      </c>
    </row>
    <row r="14" spans="1:11" ht="14.95" customHeight="1" thickBot="1" x14ac:dyDescent="0.3">
      <c r="A14" s="366" t="s">
        <v>569</v>
      </c>
      <c r="B14" s="367" t="s">
        <v>88</v>
      </c>
      <c r="C14" s="378">
        <f>johnexepremcuptries</f>
        <v>4</v>
      </c>
      <c r="D14" s="383" t="s">
        <v>204</v>
      </c>
      <c r="E14" s="383" t="s">
        <v>81</v>
      </c>
      <c r="F14" s="381">
        <f>deglanvillebthpremcuppts</f>
        <v>27</v>
      </c>
      <c r="G14" s="369" t="s">
        <v>213</v>
      </c>
      <c r="H14" s="369" t="s">
        <v>88</v>
      </c>
      <c r="I14" s="393">
        <f>Hodgeexepremcupgls</f>
        <v>10</v>
      </c>
      <c r="J14" s="393">
        <f>Hodgeexepremcupatt</f>
        <v>15</v>
      </c>
      <c r="K14" s="395">
        <f t="shared" si="0"/>
        <v>66.666666666666657</v>
      </c>
    </row>
    <row r="15" spans="1:11" ht="14.95" customHeight="1" thickBot="1" x14ac:dyDescent="0.3">
      <c r="A15" s="366" t="s">
        <v>531</v>
      </c>
      <c r="B15" s="367" t="s">
        <v>90</v>
      </c>
      <c r="C15" s="378">
        <f>oghrebripremcuptries</f>
        <v>4</v>
      </c>
      <c r="D15" s="383" t="s">
        <v>248</v>
      </c>
      <c r="E15" s="383" t="s">
        <v>889</v>
      </c>
      <c r="F15" s="384">
        <f>connonnrbpremcuppts</f>
        <v>25</v>
      </c>
      <c r="G15" s="369" t="s">
        <v>179</v>
      </c>
      <c r="H15" s="369" t="s">
        <v>80</v>
      </c>
      <c r="I15" s="393">
        <f>Curtissalpremcupgls</f>
        <v>11</v>
      </c>
      <c r="J15" s="393">
        <f>Curtissalpremcupatt</f>
        <v>17</v>
      </c>
      <c r="K15" s="395">
        <f t="shared" si="0"/>
        <v>64.705882352941174</v>
      </c>
    </row>
    <row r="16" spans="1:11" ht="14.95" customHeight="1" thickBot="1" x14ac:dyDescent="0.3">
      <c r="A16" s="366" t="s">
        <v>151</v>
      </c>
      <c r="B16" s="373" t="s">
        <v>527</v>
      </c>
      <c r="C16" s="378">
        <f>reffellleipremcuptries</f>
        <v>4</v>
      </c>
      <c r="D16" s="383" t="s">
        <v>338</v>
      </c>
      <c r="E16" s="383" t="s">
        <v>81</v>
      </c>
      <c r="F16" s="381">
        <f>frostbthpremcuppts</f>
        <v>25</v>
      </c>
      <c r="G16" s="369" t="s">
        <v>204</v>
      </c>
      <c r="H16" s="369" t="s">
        <v>81</v>
      </c>
      <c r="I16" s="393">
        <f>de_Gl_villebthpremcupgls</f>
        <v>11</v>
      </c>
      <c r="J16" s="393">
        <f>de_Gl_villebthpremcupatt</f>
        <v>17</v>
      </c>
      <c r="K16" s="395">
        <f t="shared" si="0"/>
        <v>64.705882352941174</v>
      </c>
    </row>
    <row r="17" spans="1:11" ht="14.95" customHeight="1" thickBot="1" x14ac:dyDescent="0.3">
      <c r="A17" s="366" t="s">
        <v>587</v>
      </c>
      <c r="B17" s="367" t="s">
        <v>81</v>
      </c>
      <c r="C17" s="378">
        <f>tuipulotubthpremcuptries</f>
        <v>4</v>
      </c>
      <c r="D17" s="383" t="s">
        <v>1021</v>
      </c>
      <c r="E17" s="383" t="s">
        <v>81</v>
      </c>
      <c r="F17" s="384">
        <f>griffincbthpremcuppts</f>
        <v>25</v>
      </c>
      <c r="G17" s="369" t="s">
        <v>983</v>
      </c>
      <c r="H17" s="369" t="s">
        <v>527</v>
      </c>
      <c r="I17" s="393">
        <f>oconnorleipremcupgls</f>
        <v>6</v>
      </c>
      <c r="J17" s="393">
        <f>oconnorleipremcupatt</f>
        <v>11</v>
      </c>
      <c r="K17" s="395">
        <f t="shared" si="0"/>
        <v>54.54545454545454</v>
      </c>
    </row>
    <row r="18" spans="1:11" ht="14.95" customHeight="1" thickBot="1" x14ac:dyDescent="0.3">
      <c r="A18" s="374" t="s">
        <v>544</v>
      </c>
      <c r="B18" s="373" t="s">
        <v>88</v>
      </c>
      <c r="C18" s="378">
        <f>wimbushexepremcuptries</f>
        <v>4</v>
      </c>
      <c r="D18" s="383" t="s">
        <v>381</v>
      </c>
      <c r="E18" s="383" t="s">
        <v>309</v>
      </c>
      <c r="F18" s="381">
        <f>jacksonsarpremcuppts</f>
        <v>25</v>
      </c>
      <c r="G18" s="372" t="s">
        <v>280</v>
      </c>
      <c r="H18" s="369" t="s">
        <v>527</v>
      </c>
      <c r="I18" s="393">
        <f>Baileyleipremcupgls</f>
        <v>7</v>
      </c>
      <c r="J18" s="393">
        <f>Baileyleipremcupatt</f>
        <v>13</v>
      </c>
      <c r="K18" s="394">
        <f t="shared" si="0"/>
        <v>53.846153846153847</v>
      </c>
    </row>
    <row r="19" spans="1:11" ht="14.95" customHeight="1" thickBot="1" x14ac:dyDescent="0.3">
      <c r="A19" s="366" t="s">
        <v>1089</v>
      </c>
      <c r="B19" s="367" t="s">
        <v>87</v>
      </c>
      <c r="C19" s="378">
        <f>Bellamyharpremcuptries</f>
        <v>3</v>
      </c>
      <c r="D19" s="383" t="s">
        <v>412</v>
      </c>
      <c r="E19" s="383" t="s">
        <v>80</v>
      </c>
      <c r="F19" s="381">
        <f>jibulusalpremcuppts</f>
        <v>25</v>
      </c>
      <c r="G19" s="369" t="s">
        <v>346</v>
      </c>
      <c r="H19" s="369" t="s">
        <v>87</v>
      </c>
      <c r="I19" s="393">
        <f>Bensonharpremcupgls</f>
        <v>8</v>
      </c>
      <c r="J19" s="393">
        <f>Bensonharpremcupatt</f>
        <v>16</v>
      </c>
      <c r="K19" s="395">
        <f t="shared" si="0"/>
        <v>50</v>
      </c>
    </row>
    <row r="20" spans="1:11" ht="14.95" customHeight="1" thickBot="1" x14ac:dyDescent="0.3">
      <c r="A20" s="366" t="s">
        <v>238</v>
      </c>
      <c r="B20" s="373" t="s">
        <v>527</v>
      </c>
      <c r="C20" s="378">
        <f>blamireleipremcuptries</f>
        <v>3</v>
      </c>
      <c r="D20" s="383" t="s">
        <v>754</v>
      </c>
      <c r="E20" s="383" t="s">
        <v>82</v>
      </c>
      <c r="F20" s="381">
        <f>mcparlandnorpremcuppts</f>
        <v>25</v>
      </c>
      <c r="G20" s="369" t="s">
        <v>152</v>
      </c>
      <c r="H20" s="369" t="s">
        <v>80</v>
      </c>
      <c r="I20" s="393">
        <f>dupreezrsalpremcupgls</f>
        <v>7</v>
      </c>
      <c r="J20" s="393">
        <f>dupreezrsalpremcupatt</f>
        <v>14</v>
      </c>
      <c r="K20" s="395">
        <f t="shared" si="0"/>
        <v>50</v>
      </c>
    </row>
    <row r="21" spans="1:11" ht="14.95" customHeight="1" thickBot="1" x14ac:dyDescent="0.3">
      <c r="A21" s="366" t="s">
        <v>868</v>
      </c>
      <c r="B21" s="367" t="s">
        <v>309</v>
      </c>
      <c r="C21" s="378">
        <f>brackencsarpremcuptries</f>
        <v>3</v>
      </c>
      <c r="D21" s="383" t="s">
        <v>322</v>
      </c>
      <c r="E21" s="383" t="s">
        <v>309</v>
      </c>
      <c r="F21" s="381">
        <f>segunsarpremcuppts</f>
        <v>25</v>
      </c>
      <c r="G21" s="369" t="s">
        <v>149</v>
      </c>
      <c r="H21" s="369" t="s">
        <v>88</v>
      </c>
      <c r="I21" s="393">
        <f>Skinnerexepremcupgls</f>
        <v>6</v>
      </c>
      <c r="J21" s="393">
        <f>Skinnerexepremcupatt</f>
        <v>15</v>
      </c>
      <c r="K21" s="394">
        <f t="shared" si="0"/>
        <v>40</v>
      </c>
    </row>
    <row r="22" spans="1:11" ht="14.95" customHeight="1" thickBot="1" x14ac:dyDescent="0.3">
      <c r="A22" s="366" t="s">
        <v>299</v>
      </c>
      <c r="B22" s="367" t="s">
        <v>81</v>
      </c>
      <c r="C22" s="378">
        <f>buttbthpremcuptries</f>
        <v>3</v>
      </c>
      <c r="D22" s="383" t="s">
        <v>1099</v>
      </c>
      <c r="E22" s="383" t="s">
        <v>81</v>
      </c>
      <c r="F22" s="381">
        <f>Rouebthpremcuppts</f>
        <v>24</v>
      </c>
      <c r="G22" s="369" t="s">
        <v>976</v>
      </c>
      <c r="H22" s="369" t="s">
        <v>81</v>
      </c>
      <c r="I22" s="393">
        <f>Linegarbthpremcupgls</f>
        <v>4</v>
      </c>
      <c r="J22" s="393">
        <f>Linegarbthpremcupatt</f>
        <v>10</v>
      </c>
      <c r="K22" s="395">
        <f t="shared" si="0"/>
        <v>40</v>
      </c>
    </row>
    <row r="23" spans="1:11" ht="14.95" customHeight="1" thickBot="1" x14ac:dyDescent="0.3">
      <c r="A23" s="366" t="s">
        <v>241</v>
      </c>
      <c r="B23" s="367" t="s">
        <v>82</v>
      </c>
      <c r="C23" s="378">
        <f>chicknorpremcuptries</f>
        <v>3</v>
      </c>
      <c r="D23" s="383" t="s">
        <v>415</v>
      </c>
      <c r="E23" s="383" t="s">
        <v>87</v>
      </c>
      <c r="F23" s="381">
        <f>slevinharpremcuppts</f>
        <v>23</v>
      </c>
      <c r="G23" s="369" t="s">
        <v>992</v>
      </c>
      <c r="H23" s="369" t="s">
        <v>889</v>
      </c>
      <c r="I23" s="393">
        <f>Chamberlainnrbpremcupgls</f>
        <v>1</v>
      </c>
      <c r="J23" s="417">
        <f>Chamberlainnrbpremcupatt</f>
        <v>1</v>
      </c>
      <c r="K23" s="395">
        <f t="shared" si="0"/>
        <v>100</v>
      </c>
    </row>
    <row r="24" spans="1:11" ht="14.95" customHeight="1" thickBot="1" x14ac:dyDescent="0.3">
      <c r="A24" s="366" t="s">
        <v>348</v>
      </c>
      <c r="B24" s="367" t="s">
        <v>80</v>
      </c>
      <c r="C24" s="378">
        <f>dugdalealpremcuptries</f>
        <v>3</v>
      </c>
      <c r="D24" s="383" t="s">
        <v>179</v>
      </c>
      <c r="E24" s="383" t="s">
        <v>80</v>
      </c>
      <c r="F24" s="381">
        <f>curtissalpremcuppts</f>
        <v>22</v>
      </c>
      <c r="G24" s="369" t="s">
        <v>1036</v>
      </c>
      <c r="H24" s="369" t="s">
        <v>88</v>
      </c>
      <c r="I24" s="393">
        <f>Coenexepremcupgls</f>
        <v>1</v>
      </c>
      <c r="J24" s="417">
        <f>Coenexepremcupatt</f>
        <v>1</v>
      </c>
      <c r="K24" s="395">
        <f t="shared" si="0"/>
        <v>100</v>
      </c>
    </row>
    <row r="25" spans="1:11" ht="14.95" customHeight="1" thickBot="1" x14ac:dyDescent="0.3">
      <c r="A25" s="366" t="s">
        <v>625</v>
      </c>
      <c r="B25" s="367" t="s">
        <v>90</v>
      </c>
      <c r="C25" s="378">
        <f>gwilliambripremcuptries</f>
        <v>3</v>
      </c>
      <c r="D25" s="383" t="s">
        <v>346</v>
      </c>
      <c r="E25" s="383" t="s">
        <v>87</v>
      </c>
      <c r="F25" s="381">
        <f>bensonharpremcuppts</f>
        <v>21</v>
      </c>
      <c r="G25" s="369" t="s">
        <v>780</v>
      </c>
      <c r="H25" s="369" t="s">
        <v>81</v>
      </c>
      <c r="I25" s="393">
        <f>Emensbthpremcupgls</f>
        <v>1</v>
      </c>
      <c r="J25" s="417">
        <f>Emensbthpremcupatt</f>
        <v>1</v>
      </c>
      <c r="K25" s="395">
        <f t="shared" si="0"/>
        <v>100</v>
      </c>
    </row>
    <row r="26" spans="1:11" ht="14.95" customHeight="1" thickBot="1" x14ac:dyDescent="0.3">
      <c r="A26" s="366" t="s">
        <v>429</v>
      </c>
      <c r="B26" s="367" t="s">
        <v>309</v>
      </c>
      <c r="C26" s="378">
        <f>hartleysarpremcuptries</f>
        <v>3</v>
      </c>
      <c r="D26" s="383" t="s">
        <v>132</v>
      </c>
      <c r="E26" s="383" t="s">
        <v>88</v>
      </c>
      <c r="F26" s="381">
        <f>sladeexepremcuppts</f>
        <v>21</v>
      </c>
      <c r="G26" s="372" t="s">
        <v>891</v>
      </c>
      <c r="H26" s="369" t="s">
        <v>87</v>
      </c>
      <c r="I26" s="393">
        <f>kerrharpremcupgls</f>
        <v>1</v>
      </c>
      <c r="J26" s="417">
        <f>kerrharpremcupatt</f>
        <v>1</v>
      </c>
      <c r="K26" s="395">
        <f t="shared" si="0"/>
        <v>100</v>
      </c>
    </row>
    <row r="27" spans="1:11" ht="14.95" customHeight="1" thickBot="1" x14ac:dyDescent="0.3">
      <c r="A27" s="366" t="s">
        <v>453</v>
      </c>
      <c r="B27" s="367" t="s">
        <v>90</v>
      </c>
      <c r="C27" s="378">
        <f>ibitoyebripremcuptries</f>
        <v>3</v>
      </c>
      <c r="D27" s="383" t="s">
        <v>280</v>
      </c>
      <c r="E27" s="383" t="s">
        <v>527</v>
      </c>
      <c r="F27" s="381">
        <f>baileyleipremcuppts</f>
        <v>20</v>
      </c>
      <c r="G27" s="369" t="s">
        <v>316</v>
      </c>
      <c r="H27" s="369" t="s">
        <v>309</v>
      </c>
      <c r="I27" s="393">
        <f>Lozowskisarpremcupgls</f>
        <v>4</v>
      </c>
      <c r="J27" s="417">
        <f>Lozowskisarpremcupatt</f>
        <v>5</v>
      </c>
      <c r="K27" s="395">
        <f t="shared" si="0"/>
        <v>80</v>
      </c>
    </row>
    <row r="28" spans="1:11" ht="14.95" customHeight="1" thickBot="1" x14ac:dyDescent="0.3">
      <c r="A28" s="366" t="s">
        <v>794</v>
      </c>
      <c r="B28" s="367" t="s">
        <v>79</v>
      </c>
      <c r="C28" s="378">
        <f>knightmglopremcuptries</f>
        <v>3</v>
      </c>
      <c r="D28" s="383" t="s">
        <v>858</v>
      </c>
      <c r="E28" s="383" t="s">
        <v>309</v>
      </c>
      <c r="F28" s="381">
        <f>brackenjsarpremcuppts</f>
        <v>20</v>
      </c>
      <c r="G28" s="369" t="s">
        <v>258</v>
      </c>
      <c r="H28" s="369" t="s">
        <v>79</v>
      </c>
      <c r="I28" s="393">
        <f>Atkinson_Cglopremcupgls</f>
        <v>6</v>
      </c>
      <c r="J28" s="417">
        <f>Atkinson_Cglopremcupatt</f>
        <v>8</v>
      </c>
      <c r="K28" s="395">
        <f t="shared" si="0"/>
        <v>75</v>
      </c>
    </row>
    <row r="29" spans="1:11" ht="14.95" customHeight="1" thickBot="1" x14ac:dyDescent="0.3">
      <c r="A29" s="366" t="s">
        <v>1038</v>
      </c>
      <c r="B29" s="367" t="s">
        <v>889</v>
      </c>
      <c r="C29" s="378">
        <f>Moorenrbpremcuptries</f>
        <v>3</v>
      </c>
      <c r="D29" s="385" t="s">
        <v>569</v>
      </c>
      <c r="E29" s="385" t="s">
        <v>88</v>
      </c>
      <c r="F29" s="381">
        <f>johnexepremcuppts</f>
        <v>20</v>
      </c>
      <c r="G29" s="369" t="s">
        <v>122</v>
      </c>
      <c r="H29" s="369" t="s">
        <v>90</v>
      </c>
      <c r="I29" s="393">
        <f>MacGintybripremcupgls</f>
        <v>5</v>
      </c>
      <c r="J29" s="417">
        <f>MacGintybripremcupatt</f>
        <v>7</v>
      </c>
      <c r="K29" s="395">
        <f t="shared" si="0"/>
        <v>71.428571428571431</v>
      </c>
    </row>
    <row r="30" spans="1:11" ht="14.95" customHeight="1" thickBot="1" x14ac:dyDescent="0.3">
      <c r="A30" s="366" t="s">
        <v>955</v>
      </c>
      <c r="B30" s="367" t="s">
        <v>527</v>
      </c>
      <c r="C30" s="378">
        <f>moroleipremcuptries</f>
        <v>3</v>
      </c>
      <c r="D30" s="383" t="s">
        <v>531</v>
      </c>
      <c r="E30" s="383" t="s">
        <v>90</v>
      </c>
      <c r="F30" s="381">
        <f>oghrebripremcuppts</f>
        <v>20</v>
      </c>
      <c r="G30" s="369" t="s">
        <v>1019</v>
      </c>
      <c r="H30" s="369" t="s">
        <v>90</v>
      </c>
      <c r="I30" s="393">
        <f>Westonbripremcupgls</f>
        <v>2</v>
      </c>
      <c r="J30" s="417">
        <f>Westonbripremcupatt</f>
        <v>3</v>
      </c>
      <c r="K30" s="395">
        <f t="shared" si="0"/>
        <v>66.666666666666657</v>
      </c>
    </row>
    <row r="31" spans="1:11" ht="14.95" customHeight="1" thickBot="1" x14ac:dyDescent="0.3">
      <c r="A31" s="366" t="s">
        <v>658</v>
      </c>
      <c r="B31" s="373" t="s">
        <v>527</v>
      </c>
      <c r="C31" s="378">
        <f>pearsonleipremcuptries</f>
        <v>3</v>
      </c>
      <c r="D31" s="383" t="s">
        <v>151</v>
      </c>
      <c r="E31" s="383" t="s">
        <v>527</v>
      </c>
      <c r="F31" s="381">
        <f>reffellleipremcuppts</f>
        <v>20</v>
      </c>
      <c r="G31" s="372" t="s">
        <v>1019</v>
      </c>
      <c r="H31" s="369" t="s">
        <v>90</v>
      </c>
      <c r="I31" s="393">
        <f>Westonbripremcupgls</f>
        <v>2</v>
      </c>
      <c r="J31" s="417">
        <f>Westonbripremcupatt</f>
        <v>3</v>
      </c>
      <c r="K31" s="394">
        <f t="shared" si="0"/>
        <v>66.666666666666657</v>
      </c>
    </row>
    <row r="32" spans="1:11" ht="14.95" customHeight="1" thickBot="1" x14ac:dyDescent="0.3">
      <c r="A32" s="366" t="s">
        <v>367</v>
      </c>
      <c r="B32" s="367" t="s">
        <v>88</v>
      </c>
      <c r="C32" s="378">
        <f>pearsonexepremcuptries</f>
        <v>3</v>
      </c>
      <c r="D32" s="383" t="s">
        <v>587</v>
      </c>
      <c r="E32" s="383" t="s">
        <v>81</v>
      </c>
      <c r="F32" s="381">
        <f>tuipulotubthpremcuppts</f>
        <v>20</v>
      </c>
      <c r="G32" s="369" t="s">
        <v>302</v>
      </c>
      <c r="H32" s="369" t="s">
        <v>527</v>
      </c>
      <c r="I32" s="393">
        <f>Whiteleyleipremcupgls</f>
        <v>2</v>
      </c>
      <c r="J32" s="417">
        <f>Whiteleyleipremcupatt</f>
        <v>3</v>
      </c>
      <c r="K32" s="394">
        <f t="shared" si="0"/>
        <v>66.666666666666657</v>
      </c>
    </row>
    <row r="33" spans="1:11" ht="14.95" customHeight="1" thickBot="1" x14ac:dyDescent="0.3">
      <c r="A33" s="366" t="s">
        <v>419</v>
      </c>
      <c r="B33" s="367" t="s">
        <v>82</v>
      </c>
      <c r="C33" s="378">
        <f>rammnorpremcuptries</f>
        <v>3</v>
      </c>
      <c r="D33" s="385" t="s">
        <v>544</v>
      </c>
      <c r="E33" s="385" t="s">
        <v>88</v>
      </c>
      <c r="F33" s="381">
        <f>wimbushexepremcuppts</f>
        <v>20</v>
      </c>
      <c r="G33" s="369" t="s">
        <v>823</v>
      </c>
      <c r="H33" s="369" t="s">
        <v>88</v>
      </c>
      <c r="I33" s="393">
        <f>Haydon_Wexepremcupgls</f>
        <v>5</v>
      </c>
      <c r="J33" s="417">
        <f>Haydon_Wexepremcupatt</f>
        <v>8</v>
      </c>
      <c r="K33" s="395">
        <f t="shared" si="0"/>
        <v>62.5</v>
      </c>
    </row>
    <row r="34" spans="1:11" ht="14.95" customHeight="1" thickBot="1" x14ac:dyDescent="0.3">
      <c r="A34" s="366" t="s">
        <v>551</v>
      </c>
      <c r="B34" s="367" t="s">
        <v>79</v>
      </c>
      <c r="C34" s="378">
        <f>redshawglopremcuptries</f>
        <v>3</v>
      </c>
      <c r="D34" s="383" t="s">
        <v>258</v>
      </c>
      <c r="E34" s="383" t="s">
        <v>79</v>
      </c>
      <c r="F34" s="381">
        <f>atkinsoncglopremcuppts</f>
        <v>17</v>
      </c>
      <c r="G34" s="372" t="s">
        <v>880</v>
      </c>
      <c r="H34" s="369" t="s">
        <v>79</v>
      </c>
      <c r="I34" s="393">
        <f>Byrneglopremcupgls</f>
        <v>3</v>
      </c>
      <c r="J34" s="417">
        <f>Byrneglopremcupatt</f>
        <v>5</v>
      </c>
      <c r="K34" s="395">
        <f t="shared" si="0"/>
        <v>60</v>
      </c>
    </row>
    <row r="35" spans="1:11" ht="14.95" customHeight="1" thickBot="1" x14ac:dyDescent="0.3">
      <c r="A35" s="366" t="s">
        <v>959</v>
      </c>
      <c r="B35" s="373" t="s">
        <v>527</v>
      </c>
      <c r="C35" s="378">
        <f>searleleipremcuptries</f>
        <v>3</v>
      </c>
      <c r="D35" s="383" t="s">
        <v>983</v>
      </c>
      <c r="E35" s="383" t="s">
        <v>527</v>
      </c>
      <c r="F35" s="381">
        <f>oconnorleipremcuppts</f>
        <v>17</v>
      </c>
      <c r="G35" s="369" t="s">
        <v>896</v>
      </c>
      <c r="H35" s="369" t="s">
        <v>527</v>
      </c>
      <c r="I35" s="393">
        <f>titcombeleipremcupgls</f>
        <v>3</v>
      </c>
      <c r="J35" s="417">
        <f>titcombeleipremcupatt</f>
        <v>6</v>
      </c>
      <c r="K35" s="394">
        <f t="shared" si="0"/>
        <v>50</v>
      </c>
    </row>
    <row r="36" spans="1:11" ht="14.95" customHeight="1" thickBot="1" x14ac:dyDescent="0.3">
      <c r="A36" s="366" t="s">
        <v>157</v>
      </c>
      <c r="B36" s="373" t="s">
        <v>82</v>
      </c>
      <c r="C36" s="378">
        <f>sleightholmenorpremcuptries</f>
        <v>3</v>
      </c>
      <c r="D36" s="383" t="s">
        <v>823</v>
      </c>
      <c r="E36" s="383" t="s">
        <v>88</v>
      </c>
      <c r="F36" s="381">
        <f>haydonwoodexepremcuppts</f>
        <v>16</v>
      </c>
      <c r="G36" s="369" t="s">
        <v>763</v>
      </c>
      <c r="H36" s="369" t="s">
        <v>889</v>
      </c>
      <c r="I36" s="393">
        <f>Grayson_Enrbpremcupgls</f>
        <v>2</v>
      </c>
      <c r="J36" s="417">
        <f>Grayson_Enrbpremcupatt</f>
        <v>4</v>
      </c>
      <c r="K36" s="395">
        <f t="shared" si="0"/>
        <v>50</v>
      </c>
    </row>
    <row r="37" spans="1:11" ht="14.95" customHeight="1" thickBot="1" x14ac:dyDescent="0.3">
      <c r="A37" s="366" t="s">
        <v>774</v>
      </c>
      <c r="B37" s="367" t="s">
        <v>81</v>
      </c>
      <c r="C37" s="378">
        <f>staddonbthpremcuptries</f>
        <v>3</v>
      </c>
      <c r="D37" s="383" t="s">
        <v>1089</v>
      </c>
      <c r="E37" s="383" t="s">
        <v>87</v>
      </c>
      <c r="F37" s="381">
        <f>Bellamyharpremcuppts</f>
        <v>15</v>
      </c>
      <c r="G37" s="369" t="s">
        <v>112</v>
      </c>
      <c r="H37" s="369" t="s">
        <v>82</v>
      </c>
      <c r="I37" s="393">
        <f>Furbanknorpremcupgls</f>
        <v>1</v>
      </c>
      <c r="J37" s="417">
        <f>furbanknorpremcupatt</f>
        <v>2</v>
      </c>
      <c r="K37" s="395">
        <f t="shared" si="0"/>
        <v>50</v>
      </c>
    </row>
    <row r="38" spans="1:11" ht="14.95" customHeight="1" thickBot="1" x14ac:dyDescent="0.3">
      <c r="A38" s="366" t="s">
        <v>1097</v>
      </c>
      <c r="B38" s="367" t="s">
        <v>81</v>
      </c>
      <c r="C38" s="378">
        <f>Timminsbthpremcuptries</f>
        <v>3</v>
      </c>
      <c r="D38" s="383" t="s">
        <v>238</v>
      </c>
      <c r="E38" s="383" t="s">
        <v>527</v>
      </c>
      <c r="F38" s="381">
        <f>blamireleipremcuppts</f>
        <v>15</v>
      </c>
      <c r="G38" s="369" t="s">
        <v>873</v>
      </c>
      <c r="H38" s="369" t="s">
        <v>527</v>
      </c>
      <c r="I38" s="393">
        <f>Woodwardleipremcupgls</f>
        <v>1</v>
      </c>
      <c r="J38" s="417">
        <f>Woodwardleipremcupatt</f>
        <v>2</v>
      </c>
      <c r="K38" s="395">
        <f t="shared" si="0"/>
        <v>50</v>
      </c>
    </row>
    <row r="39" spans="1:11" ht="14.95" customHeight="1" thickBot="1" x14ac:dyDescent="0.3">
      <c r="A39" s="366" t="s">
        <v>336</v>
      </c>
      <c r="B39" s="367" t="s">
        <v>88</v>
      </c>
      <c r="C39" s="378">
        <f>tuimaexepremcuptries</f>
        <v>3</v>
      </c>
      <c r="D39" s="383" t="s">
        <v>868</v>
      </c>
      <c r="E39" s="383" t="s">
        <v>309</v>
      </c>
      <c r="F39" s="381">
        <f>brackencsarpremcuppts</f>
        <v>15</v>
      </c>
      <c r="G39" s="372" t="s">
        <v>508</v>
      </c>
      <c r="H39" s="369" t="s">
        <v>87</v>
      </c>
      <c r="I39" s="393">
        <f>Evans_Jharpremcupgls</f>
        <v>1</v>
      </c>
      <c r="J39" s="417">
        <f>Evans_Jharpremcupatt</f>
        <v>3</v>
      </c>
      <c r="K39" s="395">
        <f t="shared" si="0"/>
        <v>33.333333333333329</v>
      </c>
    </row>
    <row r="40" spans="1:11" ht="14.95" customHeight="1" thickBot="1" x14ac:dyDescent="0.3">
      <c r="A40" s="366" t="s">
        <v>944</v>
      </c>
      <c r="B40" s="367" t="s">
        <v>82</v>
      </c>
      <c r="C40" s="378">
        <f>vandermeschtnorpremcuptries</f>
        <v>3</v>
      </c>
      <c r="D40" s="383" t="s">
        <v>299</v>
      </c>
      <c r="E40" s="383" t="s">
        <v>81</v>
      </c>
      <c r="F40" s="381">
        <f>buttbthpremcuppts</f>
        <v>15</v>
      </c>
      <c r="G40" s="369" t="s">
        <v>1089</v>
      </c>
      <c r="H40" s="369" t="s">
        <v>87</v>
      </c>
      <c r="I40" s="393">
        <f>bellamyharpremcupgls</f>
        <v>0</v>
      </c>
      <c r="J40" s="417">
        <f>bellamyharpremcupatt</f>
        <v>2</v>
      </c>
      <c r="K40" s="395">
        <f t="shared" si="0"/>
        <v>0</v>
      </c>
    </row>
    <row r="41" spans="1:11" ht="14.95" customHeight="1" thickBot="1" x14ac:dyDescent="0.3">
      <c r="A41" s="366" t="s">
        <v>1050</v>
      </c>
      <c r="B41" s="367" t="s">
        <v>309</v>
      </c>
      <c r="C41" s="378">
        <f>adegbemilesarpremcuptries</f>
        <v>2</v>
      </c>
      <c r="D41" s="385" t="s">
        <v>241</v>
      </c>
      <c r="E41" s="385" t="s">
        <v>82</v>
      </c>
      <c r="F41" s="381">
        <f>chicknorpremcuppts</f>
        <v>15</v>
      </c>
      <c r="G41" s="369" t="s">
        <v>736</v>
      </c>
      <c r="H41" s="369" t="s">
        <v>309</v>
      </c>
      <c r="I41" s="393">
        <f>Burkesarpremcupgls</f>
        <v>0</v>
      </c>
      <c r="J41" s="417">
        <f>Burkesarpremcupatt</f>
        <v>1</v>
      </c>
      <c r="K41" s="395">
        <f t="shared" si="0"/>
        <v>0</v>
      </c>
    </row>
    <row r="42" spans="1:11" ht="14.95" customHeight="1" thickBot="1" x14ac:dyDescent="0.3">
      <c r="A42" s="366" t="s">
        <v>661</v>
      </c>
      <c r="B42" s="373" t="s">
        <v>527</v>
      </c>
      <c r="C42" s="378">
        <f>allanleipremcuptries</f>
        <v>2</v>
      </c>
      <c r="D42" s="383" t="s">
        <v>152</v>
      </c>
      <c r="E42" s="383" t="s">
        <v>80</v>
      </c>
      <c r="F42" s="381">
        <f>dupreezralpremcuppts</f>
        <v>15</v>
      </c>
      <c r="G42" s="369" t="s">
        <v>571</v>
      </c>
      <c r="H42" s="369" t="s">
        <v>79</v>
      </c>
      <c r="I42" s="393">
        <f>Englefieldglopremcupgls</f>
        <v>0</v>
      </c>
      <c r="J42" s="417">
        <f>Englefieldglopremcupatt</f>
        <v>1</v>
      </c>
      <c r="K42" s="395">
        <f t="shared" si="0"/>
        <v>0</v>
      </c>
    </row>
    <row r="43" spans="1:11" ht="14.95" customHeight="1" thickBot="1" x14ac:dyDescent="0.3">
      <c r="A43" s="366" t="s">
        <v>728</v>
      </c>
      <c r="B43" s="367" t="s">
        <v>80</v>
      </c>
      <c r="C43" s="378">
        <f>bedlowjoesalpremcuptries</f>
        <v>2</v>
      </c>
      <c r="D43" s="383" t="s">
        <v>348</v>
      </c>
      <c r="E43" s="383" t="s">
        <v>80</v>
      </c>
      <c r="F43" s="381">
        <f>dugdalealpremcuppts</f>
        <v>15</v>
      </c>
      <c r="G43" s="369" t="s">
        <v>246</v>
      </c>
      <c r="H43" s="369" t="s">
        <v>889</v>
      </c>
      <c r="I43" s="393">
        <f>Stuartnrbpremcupgls</f>
        <v>0</v>
      </c>
      <c r="J43" s="417">
        <f>Stuartnrbpremcupatt</f>
        <v>1</v>
      </c>
      <c r="K43" s="395">
        <f t="shared" si="0"/>
        <v>0</v>
      </c>
    </row>
    <row r="44" spans="1:11" ht="14.95" customHeight="1" thickBot="1" x14ac:dyDescent="0.3">
      <c r="A44" s="366" t="s">
        <v>609</v>
      </c>
      <c r="B44" s="367" t="s">
        <v>90</v>
      </c>
      <c r="C44" s="378">
        <f>boshoffbripremcuptries</f>
        <v>2</v>
      </c>
      <c r="D44" s="383" t="s">
        <v>625</v>
      </c>
      <c r="E44" s="383" t="s">
        <v>90</v>
      </c>
      <c r="F44" s="381">
        <f>gwilliambripremcuppts</f>
        <v>15</v>
      </c>
      <c r="G44" s="377" t="s">
        <v>1081</v>
      </c>
    </row>
    <row r="45" spans="1:11" ht="14.95" customHeight="1" thickBot="1" x14ac:dyDescent="0.3">
      <c r="A45" s="366" t="s">
        <v>414</v>
      </c>
      <c r="B45" s="367" t="s">
        <v>87</v>
      </c>
      <c r="C45" s="378">
        <f>bradleyharpremcuptries</f>
        <v>2</v>
      </c>
      <c r="D45" s="383" t="s">
        <v>429</v>
      </c>
      <c r="E45" s="383" t="s">
        <v>309</v>
      </c>
      <c r="F45" s="384">
        <f>hartleysarpremcuppts</f>
        <v>15</v>
      </c>
    </row>
    <row r="46" spans="1:11" ht="14.95" customHeight="1" thickBot="1" x14ac:dyDescent="0.3">
      <c r="A46" s="366" t="s">
        <v>765</v>
      </c>
      <c r="B46" s="367" t="s">
        <v>88</v>
      </c>
      <c r="C46" s="378">
        <f>brownbampoeexepremcuptries</f>
        <v>2</v>
      </c>
      <c r="D46" s="383" t="s">
        <v>453</v>
      </c>
      <c r="E46" s="383" t="s">
        <v>90</v>
      </c>
      <c r="F46" s="381">
        <f>ibitoyebripremcuppts</f>
        <v>15</v>
      </c>
    </row>
    <row r="47" spans="1:11" ht="14.95" customHeight="1" thickBot="1" x14ac:dyDescent="0.3">
      <c r="A47" s="366" t="s">
        <v>509</v>
      </c>
      <c r="B47" s="367" t="s">
        <v>80</v>
      </c>
      <c r="C47" s="378">
        <f>cainesalpremcuptries</f>
        <v>2</v>
      </c>
      <c r="D47" s="383" t="s">
        <v>794</v>
      </c>
      <c r="E47" s="383" t="s">
        <v>79</v>
      </c>
      <c r="F47" s="381">
        <f>knightmglopremcuppts</f>
        <v>15</v>
      </c>
    </row>
    <row r="48" spans="1:11" ht="14.95" customHeight="1" thickBot="1" x14ac:dyDescent="0.3">
      <c r="A48" s="366" t="s">
        <v>1040</v>
      </c>
      <c r="B48" s="367" t="s">
        <v>82</v>
      </c>
      <c r="C48" s="379">
        <f>caqusaunorpremcuptries</f>
        <v>2</v>
      </c>
      <c r="D48" s="383" t="s">
        <v>1038</v>
      </c>
      <c r="E48" s="383" t="s">
        <v>889</v>
      </c>
      <c r="F48" s="381">
        <f>Moorenrbpremcuppts</f>
        <v>15</v>
      </c>
    </row>
    <row r="49" spans="1:6" ht="14.95" customHeight="1" thickBot="1" x14ac:dyDescent="0.3">
      <c r="A49" s="370" t="s">
        <v>447</v>
      </c>
      <c r="B49" s="371" t="s">
        <v>81</v>
      </c>
      <c r="C49" s="378">
        <f>carrsmithbthpremcuptries</f>
        <v>2</v>
      </c>
      <c r="D49" s="383" t="s">
        <v>955</v>
      </c>
      <c r="E49" s="383" t="s">
        <v>527</v>
      </c>
      <c r="F49" s="381">
        <f>moroleipremcuppts</f>
        <v>15</v>
      </c>
    </row>
    <row r="50" spans="1:6" ht="14.95" customHeight="1" thickBot="1" x14ac:dyDescent="0.3">
      <c r="A50" s="366" t="s">
        <v>253</v>
      </c>
      <c r="B50" s="373" t="s">
        <v>527</v>
      </c>
      <c r="C50" s="378">
        <f>clareleipremcuptries</f>
        <v>2</v>
      </c>
      <c r="D50" s="383" t="s">
        <v>658</v>
      </c>
      <c r="E50" s="383" t="s">
        <v>527</v>
      </c>
      <c r="F50" s="381">
        <f>pearsonleipremcuppts</f>
        <v>15</v>
      </c>
    </row>
    <row r="51" spans="1:6" ht="14.95" customHeight="1" thickBot="1" x14ac:dyDescent="0.3">
      <c r="A51" s="370" t="s">
        <v>387</v>
      </c>
      <c r="B51" s="371" t="s">
        <v>87</v>
      </c>
      <c r="C51" s="378">
        <f>cleavesharpremcuptries</f>
        <v>2</v>
      </c>
      <c r="D51" s="385" t="s">
        <v>367</v>
      </c>
      <c r="E51" s="385" t="s">
        <v>88</v>
      </c>
      <c r="F51" s="381">
        <f>pearsonexepremcuppts</f>
        <v>15</v>
      </c>
    </row>
    <row r="52" spans="1:6" ht="14.95" customHeight="1" thickBot="1" x14ac:dyDescent="0.3">
      <c r="A52" s="366" t="s">
        <v>964</v>
      </c>
      <c r="B52" s="373" t="s">
        <v>527</v>
      </c>
      <c r="C52" s="378">
        <f>crowleyleipremcuptries</f>
        <v>2</v>
      </c>
      <c r="D52" s="383" t="s">
        <v>419</v>
      </c>
      <c r="E52" s="383" t="s">
        <v>82</v>
      </c>
      <c r="F52" s="381">
        <f>rammnorpremcuppts</f>
        <v>15</v>
      </c>
    </row>
    <row r="53" spans="1:6" ht="14.95" customHeight="1" thickBot="1" x14ac:dyDescent="0.3">
      <c r="A53" s="366" t="s">
        <v>653</v>
      </c>
      <c r="B53" s="367" t="s">
        <v>87</v>
      </c>
      <c r="C53" s="378">
        <f>driscollharpremcuptries</f>
        <v>2</v>
      </c>
      <c r="D53" s="385" t="s">
        <v>551</v>
      </c>
      <c r="E53" s="383" t="s">
        <v>79</v>
      </c>
      <c r="F53" s="381">
        <f>redshawglopremcuppts</f>
        <v>15</v>
      </c>
    </row>
    <row r="54" spans="1:6" ht="14.95" customHeight="1" thickBot="1" x14ac:dyDescent="0.3">
      <c r="A54" s="366" t="s">
        <v>787</v>
      </c>
      <c r="B54" s="367" t="s">
        <v>90</v>
      </c>
      <c r="C54" s="378">
        <f>elizaldebripremcuptries</f>
        <v>2</v>
      </c>
      <c r="D54" s="383" t="s">
        <v>157</v>
      </c>
      <c r="E54" s="383" t="s">
        <v>82</v>
      </c>
      <c r="F54" s="381">
        <f>sleightholmenorpremcuppts</f>
        <v>15</v>
      </c>
    </row>
    <row r="55" spans="1:6" ht="14.95" customHeight="1" thickBot="1" x14ac:dyDescent="0.3">
      <c r="A55" s="366" t="s">
        <v>457</v>
      </c>
      <c r="B55" s="367" t="s">
        <v>889</v>
      </c>
      <c r="C55" s="378">
        <f>fletchernrbpremcuptries</f>
        <v>2</v>
      </c>
      <c r="D55" s="383" t="s">
        <v>774</v>
      </c>
      <c r="E55" s="383" t="s">
        <v>81</v>
      </c>
      <c r="F55" s="381">
        <f>staddonbthpremcuppts</f>
        <v>15</v>
      </c>
    </row>
    <row r="56" spans="1:6" ht="14.95" customHeight="1" thickBot="1" x14ac:dyDescent="0.3">
      <c r="A56" s="366" t="s">
        <v>627</v>
      </c>
      <c r="B56" s="367" t="s">
        <v>88</v>
      </c>
      <c r="C56" s="378">
        <f>GOODRICKCLARKEEXEPREMCUPTRIES</f>
        <v>2</v>
      </c>
      <c r="D56" s="383" t="s">
        <v>1097</v>
      </c>
      <c r="E56" s="383" t="s">
        <v>81</v>
      </c>
      <c r="F56" s="381">
        <f>Timminsbthpremcuppts</f>
        <v>15</v>
      </c>
    </row>
    <row r="57" spans="1:6" ht="14.95" customHeight="1" thickBot="1" x14ac:dyDescent="0.3">
      <c r="A57" s="366" t="s">
        <v>803</v>
      </c>
      <c r="B57" s="367" t="s">
        <v>309</v>
      </c>
      <c r="C57" s="378">
        <f>hallsarpremcuptries</f>
        <v>2</v>
      </c>
      <c r="D57" s="383" t="s">
        <v>336</v>
      </c>
      <c r="E57" s="383" t="s">
        <v>88</v>
      </c>
      <c r="F57" s="381">
        <f>tuimaexepremcuppts</f>
        <v>15</v>
      </c>
    </row>
    <row r="58" spans="1:6" ht="14.95" customHeight="1" thickBot="1" x14ac:dyDescent="0.3">
      <c r="A58" s="366" t="s">
        <v>580</v>
      </c>
      <c r="B58" s="367" t="s">
        <v>79</v>
      </c>
      <c r="C58" s="378">
        <f>hathawayglopremcuptries</f>
        <v>2</v>
      </c>
      <c r="D58" s="383" t="s">
        <v>944</v>
      </c>
      <c r="E58" s="383" t="s">
        <v>82</v>
      </c>
      <c r="F58" s="381">
        <f>vandermeschtnorpremcuppts</f>
        <v>15</v>
      </c>
    </row>
    <row r="59" spans="1:6" ht="14.95" customHeight="1" thickBot="1" x14ac:dyDescent="0.3">
      <c r="A59" s="366" t="s">
        <v>352</v>
      </c>
      <c r="B59" s="367" t="s">
        <v>82</v>
      </c>
      <c r="C59" s="378">
        <f>hendynorpremcuptries</f>
        <v>2</v>
      </c>
      <c r="D59" s="383" t="s">
        <v>83</v>
      </c>
      <c r="E59" s="383" t="s">
        <v>527</v>
      </c>
      <c r="F59" s="381">
        <f>penaltytriesleipremcuppts</f>
        <v>14</v>
      </c>
    </row>
    <row r="60" spans="1:6" ht="14.95" customHeight="1" thickBot="1" x14ac:dyDescent="0.3">
      <c r="A60" s="366" t="s">
        <v>213</v>
      </c>
      <c r="B60" s="367" t="s">
        <v>88</v>
      </c>
      <c r="C60" s="378">
        <f>hodgeexepremcuptries</f>
        <v>2</v>
      </c>
      <c r="D60" s="383" t="s">
        <v>316</v>
      </c>
      <c r="E60" s="383" t="s">
        <v>309</v>
      </c>
      <c r="F60" s="381">
        <f>lozowskisarpremcuppts</f>
        <v>13</v>
      </c>
    </row>
    <row r="61" spans="1:6" ht="14.95" customHeight="1" thickBot="1" x14ac:dyDescent="0.3">
      <c r="A61" s="366" t="s">
        <v>1031</v>
      </c>
      <c r="B61" s="367" t="s">
        <v>79</v>
      </c>
      <c r="C61" s="378">
        <f>jamesglopremcuptries</f>
        <v>2</v>
      </c>
      <c r="D61" s="383" t="s">
        <v>149</v>
      </c>
      <c r="E61" s="383" t="s">
        <v>88</v>
      </c>
      <c r="F61" s="381">
        <f>skinnerexepremcuppts</f>
        <v>12</v>
      </c>
    </row>
    <row r="62" spans="1:6" ht="14.95" customHeight="1" thickBot="1" x14ac:dyDescent="0.3">
      <c r="A62" s="366" t="s">
        <v>909</v>
      </c>
      <c r="B62" s="367" t="s">
        <v>79</v>
      </c>
      <c r="C62" s="378">
        <f>knightwglotries</f>
        <v>2</v>
      </c>
      <c r="D62" s="385" t="s">
        <v>395</v>
      </c>
      <c r="E62" s="385" t="s">
        <v>90</v>
      </c>
      <c r="F62" s="381">
        <f>macgintybripremcuppts</f>
        <v>11</v>
      </c>
    </row>
    <row r="63" spans="1:6" ht="14.95" customHeight="1" thickBot="1" x14ac:dyDescent="0.3">
      <c r="A63" s="366" t="s">
        <v>376</v>
      </c>
      <c r="B63" s="367" t="s">
        <v>90</v>
      </c>
      <c r="C63" s="378">
        <f>lanebripremcuptries</f>
        <v>2</v>
      </c>
      <c r="D63" s="383" t="s">
        <v>1050</v>
      </c>
      <c r="E63" s="383" t="s">
        <v>309</v>
      </c>
      <c r="F63" s="381">
        <f>adegbemilesarpremcuppts</f>
        <v>10</v>
      </c>
    </row>
    <row r="64" spans="1:6" ht="14.95" customHeight="1" thickBot="1" x14ac:dyDescent="0.3">
      <c r="A64" s="366" t="s">
        <v>118</v>
      </c>
      <c r="B64" s="367" t="s">
        <v>87</v>
      </c>
      <c r="C64" s="378">
        <f>lawdayharpremcuptries</f>
        <v>2</v>
      </c>
      <c r="D64" s="383" t="s">
        <v>661</v>
      </c>
      <c r="E64" s="383" t="s">
        <v>527</v>
      </c>
      <c r="F64" s="384">
        <f>allanleipremcuppts</f>
        <v>10</v>
      </c>
    </row>
    <row r="65" spans="1:6" ht="14.95" customHeight="1" thickBot="1" x14ac:dyDescent="0.3">
      <c r="A65" s="366" t="s">
        <v>437</v>
      </c>
      <c r="B65" s="373" t="s">
        <v>527</v>
      </c>
      <c r="C65" s="378">
        <f>manzjleipremcuptries</f>
        <v>2</v>
      </c>
      <c r="D65" s="385" t="s">
        <v>728</v>
      </c>
      <c r="E65" s="383" t="s">
        <v>80</v>
      </c>
      <c r="F65" s="381">
        <f>bedlowjoesalpremcuppts</f>
        <v>10</v>
      </c>
    </row>
    <row r="66" spans="1:6" ht="14.95" customHeight="1" thickBot="1" x14ac:dyDescent="0.3">
      <c r="A66" s="366" t="s">
        <v>753</v>
      </c>
      <c r="B66" s="367" t="s">
        <v>309</v>
      </c>
      <c r="C66" s="378">
        <f>michelowsarpremcuptries</f>
        <v>2</v>
      </c>
      <c r="D66" s="383" t="s">
        <v>609</v>
      </c>
      <c r="E66" s="383" t="s">
        <v>90</v>
      </c>
      <c r="F66" s="381">
        <f>boshoffbripremcuppts</f>
        <v>10</v>
      </c>
    </row>
    <row r="67" spans="1:6" ht="14.95" customHeight="1" thickBot="1" x14ac:dyDescent="0.3">
      <c r="A67" s="366" t="s">
        <v>372</v>
      </c>
      <c r="B67" s="367" t="s">
        <v>88</v>
      </c>
      <c r="C67" s="378">
        <f>noreyexepremcuptries</f>
        <v>2</v>
      </c>
      <c r="D67" s="383" t="s">
        <v>414</v>
      </c>
      <c r="E67" s="383" t="s">
        <v>87</v>
      </c>
      <c r="F67" s="381">
        <f>bradleyharpremcuppts</f>
        <v>10</v>
      </c>
    </row>
    <row r="68" spans="1:6" ht="14.95" customHeight="1" thickBot="1" x14ac:dyDescent="0.3">
      <c r="A68" s="366" t="s">
        <v>199</v>
      </c>
      <c r="B68" s="367" t="s">
        <v>87</v>
      </c>
      <c r="C68" s="378">
        <f>northmoreharpremcuptries</f>
        <v>2</v>
      </c>
      <c r="D68" s="383" t="s">
        <v>765</v>
      </c>
      <c r="E68" s="383" t="s">
        <v>88</v>
      </c>
      <c r="F68" s="381">
        <f>brownbampoeexepremcuppts</f>
        <v>10</v>
      </c>
    </row>
    <row r="69" spans="1:6" ht="14.95" customHeight="1" thickBot="1" x14ac:dyDescent="0.3">
      <c r="A69" s="366" t="s">
        <v>1058</v>
      </c>
      <c r="B69" s="373" t="s">
        <v>889</v>
      </c>
      <c r="C69" s="379">
        <f>obatoyinbohnrbpremcuptries</f>
        <v>2</v>
      </c>
      <c r="D69" s="383" t="s">
        <v>509</v>
      </c>
      <c r="E69" s="383" t="s">
        <v>80</v>
      </c>
      <c r="F69" s="381">
        <f>cainesalpremcuppts</f>
        <v>10</v>
      </c>
    </row>
    <row r="70" spans="1:6" ht="14.95" customHeight="1" thickBot="1" x14ac:dyDescent="0.3">
      <c r="A70" s="366" t="s">
        <v>125</v>
      </c>
      <c r="B70" s="367" t="s">
        <v>80</v>
      </c>
      <c r="C70" s="378">
        <f>oflahertysalpremcuptries</f>
        <v>2</v>
      </c>
      <c r="D70" s="383" t="s">
        <v>1040</v>
      </c>
      <c r="E70" s="383" t="s">
        <v>82</v>
      </c>
      <c r="F70" s="381">
        <f>caqusaunorpremcuppts</f>
        <v>10</v>
      </c>
    </row>
    <row r="71" spans="1:6" ht="14.95" customHeight="1" thickBot="1" x14ac:dyDescent="0.3">
      <c r="A71" s="366" t="s">
        <v>926</v>
      </c>
      <c r="B71" s="367" t="s">
        <v>90</v>
      </c>
      <c r="C71" s="378">
        <f>owenbripremcuptries</f>
        <v>2</v>
      </c>
      <c r="D71" s="423" t="s">
        <v>447</v>
      </c>
      <c r="E71" s="423" t="s">
        <v>81</v>
      </c>
      <c r="F71" s="381">
        <f>carrsmithbthpremcuppts</f>
        <v>10</v>
      </c>
    </row>
    <row r="72" spans="1:6" ht="14.95" customHeight="1" thickBot="1" x14ac:dyDescent="0.3">
      <c r="A72" s="366" t="s">
        <v>1025</v>
      </c>
      <c r="B72" s="367" t="s">
        <v>82</v>
      </c>
      <c r="C72" s="378">
        <f>paternorpremcuptries</f>
        <v>2</v>
      </c>
      <c r="D72" s="383" t="s">
        <v>253</v>
      </c>
      <c r="E72" s="383" t="s">
        <v>527</v>
      </c>
      <c r="F72" s="381">
        <f>clareleipremcuppts</f>
        <v>10</v>
      </c>
    </row>
    <row r="73" spans="1:6" ht="14.95" customHeight="1" thickBot="1" x14ac:dyDescent="0.3">
      <c r="A73" s="366" t="s">
        <v>83</v>
      </c>
      <c r="B73" s="373" t="s">
        <v>527</v>
      </c>
      <c r="C73" s="378">
        <f>penaltytriesleipremcuptries</f>
        <v>2</v>
      </c>
      <c r="D73" s="423" t="s">
        <v>387</v>
      </c>
      <c r="E73" s="423" t="s">
        <v>87</v>
      </c>
      <c r="F73" s="381">
        <f>cleavesharpremcuppts</f>
        <v>10</v>
      </c>
    </row>
    <row r="74" spans="1:6" ht="14.95" customHeight="1" thickBot="1" x14ac:dyDescent="0.3">
      <c r="A74" s="374" t="s">
        <v>493</v>
      </c>
      <c r="B74" s="367" t="s">
        <v>889</v>
      </c>
      <c r="C74" s="378">
        <f>pepperbripremcuptries</f>
        <v>2</v>
      </c>
      <c r="D74" s="383" t="s">
        <v>964</v>
      </c>
      <c r="E74" s="383" t="s">
        <v>527</v>
      </c>
      <c r="F74" s="381">
        <f>crowleyleipremcuppts</f>
        <v>10</v>
      </c>
    </row>
    <row r="75" spans="1:6" ht="14.95" customHeight="1" thickBot="1" x14ac:dyDescent="0.3">
      <c r="A75" s="366" t="s">
        <v>633</v>
      </c>
      <c r="B75" s="367" t="s">
        <v>88</v>
      </c>
      <c r="C75" s="378">
        <f>riggexepremcuptries</f>
        <v>2</v>
      </c>
      <c r="D75" s="383" t="s">
        <v>653</v>
      </c>
      <c r="E75" s="383" t="s">
        <v>87</v>
      </c>
      <c r="F75" s="381">
        <f>driscollharpremcuppts</f>
        <v>10</v>
      </c>
    </row>
    <row r="76" spans="1:6" ht="14.95" customHeight="1" thickBot="1" x14ac:dyDescent="0.3">
      <c r="A76" s="366" t="s">
        <v>520</v>
      </c>
      <c r="B76" s="367" t="s">
        <v>88</v>
      </c>
      <c r="C76" s="378">
        <f>rootseexepremcuptries</f>
        <v>2</v>
      </c>
      <c r="D76" s="383" t="s">
        <v>787</v>
      </c>
      <c r="E76" s="383" t="s">
        <v>90</v>
      </c>
      <c r="F76" s="381">
        <f>elizaldebripremcuppts</f>
        <v>10</v>
      </c>
    </row>
    <row r="77" spans="1:6" ht="14.95" customHeight="1" thickBot="1" x14ac:dyDescent="0.3">
      <c r="A77" s="366" t="s">
        <v>688</v>
      </c>
      <c r="B77" s="367" t="s">
        <v>889</v>
      </c>
      <c r="C77" s="378">
        <f>spencernrbpremcuptries</f>
        <v>2</v>
      </c>
      <c r="D77" s="383" t="s">
        <v>457</v>
      </c>
      <c r="E77" s="383" t="s">
        <v>889</v>
      </c>
      <c r="F77" s="381">
        <f>fletchernrbpremcuppts</f>
        <v>10</v>
      </c>
    </row>
    <row r="78" spans="1:6" ht="14.95" customHeight="1" thickBot="1" x14ac:dyDescent="0.3">
      <c r="A78" s="366" t="s">
        <v>1104</v>
      </c>
      <c r="B78" s="373" t="s">
        <v>82</v>
      </c>
      <c r="C78" s="378">
        <f>thamenorpremcuptries</f>
        <v>2</v>
      </c>
      <c r="D78" s="383" t="s">
        <v>112</v>
      </c>
      <c r="E78" s="383" t="s">
        <v>82</v>
      </c>
      <c r="F78" s="381">
        <f>furbanknorpremcuppts</f>
        <v>10</v>
      </c>
    </row>
    <row r="79" spans="1:6" ht="14.95" customHeight="1" thickBot="1" x14ac:dyDescent="0.3">
      <c r="A79" s="366" t="s">
        <v>323</v>
      </c>
      <c r="B79" s="367" t="s">
        <v>309</v>
      </c>
      <c r="C79" s="378">
        <f>tompkinssarpremcuptries</f>
        <v>2</v>
      </c>
      <c r="D79" s="383" t="s">
        <v>627</v>
      </c>
      <c r="E79" s="383" t="s">
        <v>88</v>
      </c>
      <c r="F79" s="384">
        <f>GOODRICKCLARKEEXEPREMCUPPTS</f>
        <v>10</v>
      </c>
    </row>
    <row r="80" spans="1:6" ht="14.95" customHeight="1" thickBot="1" x14ac:dyDescent="0.3">
      <c r="A80" s="366" t="s">
        <v>1032</v>
      </c>
      <c r="B80" s="367" t="s">
        <v>79</v>
      </c>
      <c r="C80" s="378">
        <f>trenholmglopremcuptries</f>
        <v>2</v>
      </c>
      <c r="D80" s="383" t="s">
        <v>803</v>
      </c>
      <c r="E80" s="383" t="s">
        <v>309</v>
      </c>
      <c r="F80" s="381">
        <f>hallsarpremcuppts</f>
        <v>10</v>
      </c>
    </row>
    <row r="81" spans="1:6" ht="14.95" customHeight="1" thickBot="1" x14ac:dyDescent="0.3">
      <c r="A81" s="374" t="s">
        <v>796</v>
      </c>
      <c r="B81" s="373" t="s">
        <v>527</v>
      </c>
      <c r="C81" s="378">
        <f>vanderflierleipremcuptries</f>
        <v>2</v>
      </c>
      <c r="D81" s="383" t="s">
        <v>580</v>
      </c>
      <c r="E81" s="383" t="s">
        <v>79</v>
      </c>
      <c r="F81" s="381">
        <f>hathawayglopremcuppts</f>
        <v>10</v>
      </c>
    </row>
    <row r="82" spans="1:6" ht="14.95" customHeight="1" thickBot="1" x14ac:dyDescent="0.3">
      <c r="A82" s="370" t="s">
        <v>374</v>
      </c>
      <c r="B82" s="371" t="s">
        <v>87</v>
      </c>
      <c r="C82" s="379">
        <f>walkerharpremcuptries</f>
        <v>2</v>
      </c>
      <c r="D82" s="383" t="s">
        <v>352</v>
      </c>
      <c r="E82" s="383" t="s">
        <v>82</v>
      </c>
      <c r="F82" s="381">
        <f>hendynorpremcuppts</f>
        <v>10</v>
      </c>
    </row>
    <row r="83" spans="1:6" ht="14.95" customHeight="1" thickBot="1" x14ac:dyDescent="0.3">
      <c r="A83" s="366" t="s">
        <v>731</v>
      </c>
      <c r="B83" s="367" t="s">
        <v>80</v>
      </c>
      <c r="C83" s="378">
        <f>willssalpremcuptries</f>
        <v>2</v>
      </c>
      <c r="D83" s="383" t="s">
        <v>1031</v>
      </c>
      <c r="E83" s="383" t="s">
        <v>79</v>
      </c>
      <c r="F83" s="381">
        <f>jamesglopremcuppts</f>
        <v>10</v>
      </c>
    </row>
    <row r="84" spans="1:6" ht="14.95" customHeight="1" thickBot="1" x14ac:dyDescent="0.3">
      <c r="A84" s="366" t="s">
        <v>217</v>
      </c>
      <c r="B84" s="367" t="s">
        <v>79</v>
      </c>
      <c r="C84" s="378">
        <f>alemannoglopremcuptries</f>
        <v>1</v>
      </c>
      <c r="D84" s="383" t="s">
        <v>909</v>
      </c>
      <c r="E84" s="383" t="s">
        <v>79</v>
      </c>
      <c r="F84" s="381">
        <f>knightwglopts</f>
        <v>10</v>
      </c>
    </row>
    <row r="85" spans="1:6" ht="14.95" customHeight="1" thickBot="1" x14ac:dyDescent="0.3">
      <c r="A85" s="366" t="s">
        <v>450</v>
      </c>
      <c r="B85" s="367" t="s">
        <v>87</v>
      </c>
      <c r="C85" s="378">
        <f>andersonharpremcuptries</f>
        <v>1</v>
      </c>
      <c r="D85" s="383" t="s">
        <v>376</v>
      </c>
      <c r="E85" s="383" t="s">
        <v>90</v>
      </c>
      <c r="F85" s="381">
        <f>lanebripremcuppts</f>
        <v>10</v>
      </c>
    </row>
    <row r="86" spans="1:6" ht="14.95" customHeight="1" thickBot="1" x14ac:dyDescent="0.3">
      <c r="A86" s="366" t="s">
        <v>258</v>
      </c>
      <c r="B86" s="367" t="s">
        <v>79</v>
      </c>
      <c r="C86" s="378">
        <f>atkinsoncglopremcuptries</f>
        <v>1</v>
      </c>
      <c r="D86" s="383" t="s">
        <v>118</v>
      </c>
      <c r="E86" s="383" t="s">
        <v>87</v>
      </c>
      <c r="F86" s="384">
        <f>lawdayharpremcuppts</f>
        <v>10</v>
      </c>
    </row>
    <row r="87" spans="1:6" ht="14.95" customHeight="1" thickBot="1" x14ac:dyDescent="0.3">
      <c r="A87" s="366" t="s">
        <v>1066</v>
      </c>
      <c r="B87" s="367" t="s">
        <v>79</v>
      </c>
      <c r="C87" s="378">
        <f>austinglopremcuptries</f>
        <v>1</v>
      </c>
      <c r="D87" s="383" t="s">
        <v>437</v>
      </c>
      <c r="E87" s="383" t="s">
        <v>527</v>
      </c>
      <c r="F87" s="381">
        <f>manzjleipremcuppts</f>
        <v>10</v>
      </c>
    </row>
    <row r="88" spans="1:6" ht="14.95" customHeight="1" thickBot="1" x14ac:dyDescent="0.3">
      <c r="A88" s="366" t="s">
        <v>280</v>
      </c>
      <c r="B88" s="367" t="s">
        <v>527</v>
      </c>
      <c r="C88" s="378">
        <f>baileyleipremcuptries</f>
        <v>1</v>
      </c>
      <c r="D88" s="383" t="s">
        <v>753</v>
      </c>
      <c r="E88" s="383" t="s">
        <v>309</v>
      </c>
      <c r="F88" s="381">
        <f>michelowsarpremcuppts</f>
        <v>10</v>
      </c>
    </row>
    <row r="89" spans="1:6" ht="14.95" customHeight="1" thickBot="1" x14ac:dyDescent="0.3">
      <c r="A89" s="366" t="s">
        <v>514</v>
      </c>
      <c r="B89" s="367" t="s">
        <v>80</v>
      </c>
      <c r="C89" s="378">
        <f>bamberpremcuptries</f>
        <v>1</v>
      </c>
      <c r="D89" s="383" t="s">
        <v>372</v>
      </c>
      <c r="E89" s="383" t="s">
        <v>88</v>
      </c>
      <c r="F89" s="381">
        <f>noreyexepremcuppts</f>
        <v>10</v>
      </c>
    </row>
    <row r="90" spans="1:6" ht="14.95" customHeight="1" thickBot="1" x14ac:dyDescent="0.3">
      <c r="A90" s="370" t="s">
        <v>1076</v>
      </c>
      <c r="B90" s="371" t="s">
        <v>309</v>
      </c>
      <c r="C90" s="378">
        <f>beatonsarpremcuptries</f>
        <v>1</v>
      </c>
      <c r="D90" s="383" t="s">
        <v>199</v>
      </c>
      <c r="E90" s="383" t="s">
        <v>87</v>
      </c>
      <c r="F90" s="381">
        <f>northmoreharpremcuppts</f>
        <v>10</v>
      </c>
    </row>
    <row r="91" spans="1:6" ht="14.95" customHeight="1" thickBot="1" x14ac:dyDescent="0.3">
      <c r="A91" s="366" t="s">
        <v>937</v>
      </c>
      <c r="B91" s="367" t="s">
        <v>82</v>
      </c>
      <c r="C91" s="378">
        <f>Belleaunorpremcuptries</f>
        <v>1</v>
      </c>
      <c r="D91" s="383" t="s">
        <v>1058</v>
      </c>
      <c r="E91" s="383" t="s">
        <v>889</v>
      </c>
      <c r="F91" s="381">
        <f>obatoyinbohnrbpremcuppts</f>
        <v>10</v>
      </c>
    </row>
    <row r="92" spans="1:6" ht="14.95" customHeight="1" thickBot="1" x14ac:dyDescent="0.3">
      <c r="A92" s="366" t="s">
        <v>854</v>
      </c>
      <c r="B92" s="367" t="s">
        <v>82</v>
      </c>
      <c r="C92" s="379">
        <f>bensonnorpremcuptries</f>
        <v>1</v>
      </c>
      <c r="D92" s="383" t="s">
        <v>125</v>
      </c>
      <c r="E92" s="383" t="s">
        <v>80</v>
      </c>
      <c r="F92" s="381">
        <f>oflahertysalpremcuppts</f>
        <v>10</v>
      </c>
    </row>
    <row r="93" spans="1:6" ht="14.95" customHeight="1" thickBot="1" x14ac:dyDescent="0.3">
      <c r="A93" s="366" t="s">
        <v>346</v>
      </c>
      <c r="B93" s="367" t="s">
        <v>87</v>
      </c>
      <c r="C93" s="378">
        <f>bensonharpremcuptries</f>
        <v>1</v>
      </c>
      <c r="D93" s="383" t="s">
        <v>926</v>
      </c>
      <c r="E93" s="383" t="s">
        <v>90</v>
      </c>
      <c r="F93" s="381">
        <f>owenbripremcuppts</f>
        <v>10</v>
      </c>
    </row>
    <row r="94" spans="1:6" ht="14.95" customHeight="1" thickBot="1" x14ac:dyDescent="0.3">
      <c r="A94" s="366" t="s">
        <v>1020</v>
      </c>
      <c r="B94" s="367" t="s">
        <v>90</v>
      </c>
      <c r="C94" s="378">
        <f>bevanbripremcuptries</f>
        <v>1</v>
      </c>
      <c r="D94" s="385" t="s">
        <v>493</v>
      </c>
      <c r="E94" s="385" t="s">
        <v>889</v>
      </c>
      <c r="F94" s="381">
        <f>pepperbripremcuppts</f>
        <v>10</v>
      </c>
    </row>
    <row r="95" spans="1:6" ht="14.95" customHeight="1" thickBot="1" x14ac:dyDescent="0.3">
      <c r="A95" s="366" t="s">
        <v>364</v>
      </c>
      <c r="B95" s="367" t="s">
        <v>79</v>
      </c>
      <c r="C95" s="378">
        <f>blakeglopremcuptries</f>
        <v>1</v>
      </c>
      <c r="D95" s="385" t="s">
        <v>633</v>
      </c>
      <c r="E95" s="385" t="s">
        <v>88</v>
      </c>
      <c r="F95" s="381">
        <f>riggexepremcuppts</f>
        <v>10</v>
      </c>
    </row>
    <row r="96" spans="1:6" ht="14.95" customHeight="1" thickBot="1" x14ac:dyDescent="0.3">
      <c r="A96" s="366" t="s">
        <v>1093</v>
      </c>
      <c r="B96" s="367" t="s">
        <v>80</v>
      </c>
      <c r="C96" s="378">
        <f>Bradshawsalpremcuptries</f>
        <v>1</v>
      </c>
      <c r="D96" s="385" t="s">
        <v>520</v>
      </c>
      <c r="E96" s="385" t="s">
        <v>88</v>
      </c>
      <c r="F96" s="381">
        <f>rootseexepremcuppts</f>
        <v>10</v>
      </c>
    </row>
    <row r="97" spans="1:6" ht="14.95" customHeight="1" thickBot="1" x14ac:dyDescent="0.3">
      <c r="A97" s="366" t="s">
        <v>800</v>
      </c>
      <c r="B97" s="367" t="s">
        <v>82</v>
      </c>
      <c r="C97" s="378">
        <f>brownnorpremcuptries</f>
        <v>1</v>
      </c>
      <c r="D97" s="383" t="s">
        <v>688</v>
      </c>
      <c r="E97" s="383" t="s">
        <v>889</v>
      </c>
      <c r="F97" s="381">
        <f>spencernrbpremcuppts</f>
        <v>10</v>
      </c>
    </row>
    <row r="98" spans="1:6" ht="14.95" customHeight="1" thickBot="1" x14ac:dyDescent="0.3">
      <c r="A98" s="366" t="s">
        <v>516</v>
      </c>
      <c r="B98" s="367" t="s">
        <v>87</v>
      </c>
      <c r="C98" s="378">
        <f>browneharpremcuptries</f>
        <v>1</v>
      </c>
      <c r="D98" s="383" t="s">
        <v>1104</v>
      </c>
      <c r="E98" s="383" t="s">
        <v>82</v>
      </c>
      <c r="F98" s="381">
        <f>thamenorpremcuppts</f>
        <v>10</v>
      </c>
    </row>
    <row r="99" spans="1:6" ht="14.95" customHeight="1" thickBot="1" x14ac:dyDescent="0.3">
      <c r="A99" s="366" t="s">
        <v>567</v>
      </c>
      <c r="B99" s="367" t="s">
        <v>889</v>
      </c>
      <c r="C99" s="378">
        <f>cardallnrbpremcuptries</f>
        <v>1</v>
      </c>
      <c r="D99" s="383" t="s">
        <v>323</v>
      </c>
      <c r="E99" s="383" t="s">
        <v>309</v>
      </c>
      <c r="F99" s="381">
        <f>tompkinssarpremcuppts</f>
        <v>10</v>
      </c>
    </row>
    <row r="100" spans="1:6" ht="14.95" customHeight="1" thickBot="1" x14ac:dyDescent="0.3">
      <c r="A100" s="366" t="s">
        <v>907</v>
      </c>
      <c r="B100" s="367" t="s">
        <v>90</v>
      </c>
      <c r="C100" s="378">
        <f>carringtonbripremcuptries</f>
        <v>1</v>
      </c>
      <c r="D100" s="383" t="s">
        <v>1032</v>
      </c>
      <c r="E100" s="383" t="s">
        <v>79</v>
      </c>
      <c r="F100" s="381">
        <f>trenholmglopremcuppts</f>
        <v>10</v>
      </c>
    </row>
    <row r="101" spans="1:6" ht="14.95" customHeight="1" thickBot="1" x14ac:dyDescent="0.3">
      <c r="A101" s="366" t="s">
        <v>912</v>
      </c>
      <c r="B101" s="367" t="s">
        <v>79</v>
      </c>
      <c r="C101" s="378">
        <f>cavenglopremcuptries</f>
        <v>1</v>
      </c>
      <c r="D101" s="385" t="s">
        <v>796</v>
      </c>
      <c r="E101" s="385" t="s">
        <v>527</v>
      </c>
      <c r="F101" s="381">
        <f>vanderflierleipremcuppts</f>
        <v>10</v>
      </c>
    </row>
    <row r="102" spans="1:6" ht="14.95" customHeight="1" thickBot="1" x14ac:dyDescent="0.3">
      <c r="A102" s="366" t="s">
        <v>824</v>
      </c>
      <c r="B102" s="367" t="s">
        <v>889</v>
      </c>
      <c r="C102" s="378">
        <f>Clarkmaxnewpremcuptries</f>
        <v>1</v>
      </c>
      <c r="D102" s="383" t="s">
        <v>374</v>
      </c>
      <c r="E102" s="383" t="s">
        <v>87</v>
      </c>
      <c r="F102" s="381">
        <f>walkerharpremcuppts</f>
        <v>10</v>
      </c>
    </row>
    <row r="103" spans="1:6" ht="14.95" customHeight="1" thickBot="1" x14ac:dyDescent="0.3">
      <c r="A103" s="366" t="s">
        <v>1044</v>
      </c>
      <c r="B103" s="373" t="s">
        <v>309</v>
      </c>
      <c r="C103" s="378">
        <f>Clarkesarpremcuptries</f>
        <v>1</v>
      </c>
      <c r="D103" s="383" t="s">
        <v>731</v>
      </c>
      <c r="E103" s="383" t="s">
        <v>80</v>
      </c>
      <c r="F103" s="381">
        <f>willssalpremcuppts</f>
        <v>10</v>
      </c>
    </row>
    <row r="104" spans="1:6" ht="14.95" customHeight="1" thickBot="1" x14ac:dyDescent="0.3">
      <c r="A104" s="366" t="s">
        <v>857</v>
      </c>
      <c r="B104" s="366" t="s">
        <v>79</v>
      </c>
      <c r="C104" s="428">
        <f>cotgreaveglopremcuptries</f>
        <v>1</v>
      </c>
      <c r="D104" s="386" t="s">
        <v>302</v>
      </c>
      <c r="E104" s="386" t="s">
        <v>527</v>
      </c>
      <c r="F104" s="381">
        <f>whiteleyleipremcuppts</f>
        <v>9</v>
      </c>
    </row>
    <row r="105" spans="1:6" ht="14.95" customHeight="1" thickBot="1" x14ac:dyDescent="0.3">
      <c r="A105" s="366" t="s">
        <v>836</v>
      </c>
      <c r="B105" s="366" t="s">
        <v>81</v>
      </c>
      <c r="C105" s="378">
        <f>cowanbthpremcuptries</f>
        <v>1</v>
      </c>
      <c r="D105" s="386" t="s">
        <v>976</v>
      </c>
      <c r="E105" s="386" t="s">
        <v>81</v>
      </c>
      <c r="F105" s="381">
        <f>linegarbthpremcuppts</f>
        <v>8</v>
      </c>
    </row>
    <row r="106" spans="1:6" ht="14.95" customHeight="1" thickBot="1" x14ac:dyDescent="0.3">
      <c r="A106" s="366" t="s">
        <v>578</v>
      </c>
      <c r="B106" s="366" t="s">
        <v>87</v>
      </c>
      <c r="C106" s="378">
        <f>CUNNINGHAMSOUTHHARPREMCUPTRIES</f>
        <v>1</v>
      </c>
      <c r="D106" s="386" t="s">
        <v>780</v>
      </c>
      <c r="E106" s="386" t="s">
        <v>81</v>
      </c>
      <c r="F106" s="381">
        <f>emensbthpremcuppts</f>
        <v>7</v>
      </c>
    </row>
    <row r="107" spans="1:6" ht="14.95" customHeight="1" thickBot="1" x14ac:dyDescent="0.3">
      <c r="A107" s="366" t="s">
        <v>464</v>
      </c>
      <c r="B107" s="366" t="s">
        <v>309</v>
      </c>
      <c r="C107" s="378">
        <f>dansarpremcuptries</f>
        <v>1</v>
      </c>
      <c r="D107" s="386" t="s">
        <v>83</v>
      </c>
      <c r="E107" s="386" t="s">
        <v>82</v>
      </c>
      <c r="F107" s="381">
        <f>penaltytriesnorpremcuppts</f>
        <v>7</v>
      </c>
    </row>
    <row r="108" spans="1:6" ht="14.95" customHeight="1" thickBot="1" x14ac:dyDescent="0.3">
      <c r="A108" s="366" t="s">
        <v>1048</v>
      </c>
      <c r="B108" s="366" t="s">
        <v>309</v>
      </c>
      <c r="C108" s="378">
        <f>Davidsonsarpremcuptries</f>
        <v>1</v>
      </c>
      <c r="D108" s="386" t="s">
        <v>896</v>
      </c>
      <c r="E108" s="386" t="s">
        <v>527</v>
      </c>
      <c r="F108" s="381">
        <f>titcombeleipremcuppts</f>
        <v>7</v>
      </c>
    </row>
    <row r="109" spans="1:6" ht="14.95" customHeight="1" thickBot="1" x14ac:dyDescent="0.3">
      <c r="A109" s="366" t="s">
        <v>828</v>
      </c>
      <c r="B109" s="366" t="s">
        <v>80</v>
      </c>
      <c r="C109" s="378">
        <f>daviessalpremcuptries</f>
        <v>1</v>
      </c>
      <c r="D109" s="386" t="s">
        <v>880</v>
      </c>
      <c r="E109" s="386" t="s">
        <v>79</v>
      </c>
      <c r="F109" s="381">
        <f>byrneglopremcuppts</f>
        <v>6</v>
      </c>
    </row>
    <row r="110" spans="1:6" ht="14.95" customHeight="1" thickBot="1" x14ac:dyDescent="0.3">
      <c r="A110" s="366" t="s">
        <v>922</v>
      </c>
      <c r="B110" s="366" t="s">
        <v>79</v>
      </c>
      <c r="C110" s="378">
        <f>daviesglopremcuptries</f>
        <v>1</v>
      </c>
      <c r="D110" s="386" t="s">
        <v>217</v>
      </c>
      <c r="E110" s="386" t="s">
        <v>79</v>
      </c>
      <c r="F110" s="381">
        <f>alemannoglopremcuppts</f>
        <v>5</v>
      </c>
    </row>
    <row r="111" spans="1:6" ht="14.95" customHeight="1" thickBot="1" x14ac:dyDescent="0.3">
      <c r="A111" s="366" t="s">
        <v>204</v>
      </c>
      <c r="B111" s="366" t="s">
        <v>81</v>
      </c>
      <c r="C111" s="378">
        <f>deglanvillebthpremcuptries</f>
        <v>1</v>
      </c>
      <c r="D111" s="386" t="s">
        <v>450</v>
      </c>
      <c r="E111" s="386" t="s">
        <v>87</v>
      </c>
      <c r="F111" s="381">
        <f>andersonharpremcuppts</f>
        <v>5</v>
      </c>
    </row>
    <row r="112" spans="1:6" ht="14.95" customHeight="1" thickBot="1" x14ac:dyDescent="0.3">
      <c r="A112" s="374" t="s">
        <v>175</v>
      </c>
      <c r="B112" s="366" t="s">
        <v>80</v>
      </c>
      <c r="C112" s="378">
        <f>dupreezdpremcuptries</f>
        <v>1</v>
      </c>
      <c r="D112" s="386" t="s">
        <v>1066</v>
      </c>
      <c r="E112" s="386" t="s">
        <v>79</v>
      </c>
      <c r="F112" s="381">
        <f>austinglopremcuppts</f>
        <v>5</v>
      </c>
    </row>
    <row r="113" spans="1:6" ht="14.95" customHeight="1" thickBot="1" x14ac:dyDescent="0.3">
      <c r="A113" s="366" t="s">
        <v>978</v>
      </c>
      <c r="B113" s="366" t="s">
        <v>88</v>
      </c>
      <c r="C113" s="378">
        <f>dwebaexepremcuptries</f>
        <v>1</v>
      </c>
      <c r="D113" s="386" t="s">
        <v>514</v>
      </c>
      <c r="E113" s="386" t="s">
        <v>80</v>
      </c>
      <c r="F113" s="381">
        <f>bamberpremcuppts</f>
        <v>5</v>
      </c>
    </row>
    <row r="114" spans="1:6" ht="14.95" customHeight="1" thickBot="1" x14ac:dyDescent="0.3">
      <c r="A114" s="366" t="s">
        <v>881</v>
      </c>
      <c r="B114" s="366" t="s">
        <v>79</v>
      </c>
      <c r="C114" s="378">
        <f>edwardsgiraudglopremcuptries</f>
        <v>1</v>
      </c>
      <c r="D114" s="387" t="s">
        <v>1076</v>
      </c>
      <c r="E114" s="387" t="s">
        <v>309</v>
      </c>
      <c r="F114" s="381">
        <f>beatonsarpremcuppts</f>
        <v>5</v>
      </c>
    </row>
    <row r="115" spans="1:6" ht="14.95" customHeight="1" thickBot="1" x14ac:dyDescent="0.3">
      <c r="A115" s="366" t="s">
        <v>638</v>
      </c>
      <c r="B115" s="366" t="s">
        <v>79</v>
      </c>
      <c r="C115" s="378">
        <f>eiteglopremcuptries</f>
        <v>1</v>
      </c>
      <c r="D115" s="386" t="s">
        <v>854</v>
      </c>
      <c r="E115" s="386" t="s">
        <v>82</v>
      </c>
      <c r="F115" s="381">
        <f>bensonnorpremcuppts</f>
        <v>5</v>
      </c>
    </row>
    <row r="116" spans="1:6" ht="14.95" customHeight="1" thickBot="1" x14ac:dyDescent="0.3">
      <c r="A116" s="374" t="s">
        <v>233</v>
      </c>
      <c r="B116" s="374" t="s">
        <v>87</v>
      </c>
      <c r="C116" s="378">
        <f>Elsharpremcuptries</f>
        <v>1</v>
      </c>
      <c r="D116" s="386" t="s">
        <v>1020</v>
      </c>
      <c r="E116" s="386" t="s">
        <v>90</v>
      </c>
      <c r="F116" s="381">
        <f>bevanbripremcuppts</f>
        <v>5</v>
      </c>
    </row>
    <row r="117" spans="1:6" ht="14.95" customHeight="1" thickBot="1" x14ac:dyDescent="0.3">
      <c r="A117" s="366" t="s">
        <v>780</v>
      </c>
      <c r="B117" s="366" t="s">
        <v>81</v>
      </c>
      <c r="C117" s="378">
        <f>emensbthpremcuptries</f>
        <v>1</v>
      </c>
      <c r="D117" s="386" t="s">
        <v>364</v>
      </c>
      <c r="E117" s="386" t="s">
        <v>79</v>
      </c>
      <c r="F117" s="381">
        <f>blakeglopremcuppts</f>
        <v>5</v>
      </c>
    </row>
    <row r="118" spans="1:6" ht="14.95" customHeight="1" thickBot="1" x14ac:dyDescent="0.3">
      <c r="A118" s="366" t="s">
        <v>511</v>
      </c>
      <c r="B118" s="366" t="s">
        <v>88</v>
      </c>
      <c r="C118" s="378">
        <f>fisilauexepremcuptries</f>
        <v>1</v>
      </c>
      <c r="D118" s="387" t="s">
        <v>1093</v>
      </c>
      <c r="E118" s="387" t="s">
        <v>80</v>
      </c>
      <c r="F118" s="381">
        <f>Bradshawsalpremcuppts</f>
        <v>5</v>
      </c>
    </row>
    <row r="119" spans="1:6" ht="14.95" customHeight="1" thickBot="1" x14ac:dyDescent="0.3">
      <c r="A119" s="366" t="s">
        <v>1034</v>
      </c>
      <c r="B119" s="366" t="s">
        <v>79</v>
      </c>
      <c r="C119" s="378">
        <f>freemanpriceglopremcuptries</f>
        <v>1</v>
      </c>
      <c r="D119" s="386" t="s">
        <v>800</v>
      </c>
      <c r="E119" s="386" t="s">
        <v>82</v>
      </c>
      <c r="F119" s="381">
        <f>brownnorpremcuppts</f>
        <v>5</v>
      </c>
    </row>
    <row r="120" spans="1:6" ht="14.95" customHeight="1" thickBot="1" x14ac:dyDescent="0.3">
      <c r="A120" s="366" t="s">
        <v>112</v>
      </c>
      <c r="B120" s="366" t="s">
        <v>82</v>
      </c>
      <c r="C120" s="378">
        <f>furbanknorpremcuptries</f>
        <v>1</v>
      </c>
      <c r="D120" s="386" t="s">
        <v>516</v>
      </c>
      <c r="E120" s="386" t="s">
        <v>87</v>
      </c>
      <c r="F120" s="381">
        <f>browneharpremcuppts</f>
        <v>5</v>
      </c>
    </row>
    <row r="121" spans="1:6" ht="14.95" customHeight="1" thickBot="1" x14ac:dyDescent="0.3">
      <c r="A121" s="366" t="s">
        <v>417</v>
      </c>
      <c r="B121" s="366" t="s">
        <v>82</v>
      </c>
      <c r="C121" s="378">
        <f>grahamnorpremcuptries</f>
        <v>1</v>
      </c>
      <c r="D121" s="386" t="s">
        <v>567</v>
      </c>
      <c r="E121" s="386" t="s">
        <v>889</v>
      </c>
      <c r="F121" s="381">
        <f>cardallnrbpremcuppts</f>
        <v>5</v>
      </c>
    </row>
    <row r="122" spans="1:6" ht="14.95" customHeight="1" thickBot="1" x14ac:dyDescent="0.3">
      <c r="A122" s="366" t="s">
        <v>602</v>
      </c>
      <c r="B122" s="366" t="s">
        <v>90</v>
      </c>
      <c r="C122" s="378">
        <f>grahamslawbripremcuptries</f>
        <v>1</v>
      </c>
      <c r="D122" s="386" t="s">
        <v>907</v>
      </c>
      <c r="E122" s="386" t="s">
        <v>90</v>
      </c>
      <c r="F122" s="381">
        <f>carringtonbripremcuppts</f>
        <v>5</v>
      </c>
    </row>
    <row r="123" spans="1:6" ht="14.95" customHeight="1" thickBot="1" x14ac:dyDescent="0.3">
      <c r="A123" s="366" t="s">
        <v>865</v>
      </c>
      <c r="B123" s="366" t="s">
        <v>82</v>
      </c>
      <c r="C123" s="378">
        <f>greennorpremcuptries</f>
        <v>1</v>
      </c>
      <c r="D123" s="386" t="s">
        <v>912</v>
      </c>
      <c r="E123" s="386" t="s">
        <v>79</v>
      </c>
      <c r="F123" s="381">
        <f>cavenglopremcuppts</f>
        <v>5</v>
      </c>
    </row>
    <row r="124" spans="1:6" ht="14.95" customHeight="1" thickBot="1" x14ac:dyDescent="0.3">
      <c r="A124" s="366" t="s">
        <v>680</v>
      </c>
      <c r="B124" s="366" t="s">
        <v>889</v>
      </c>
      <c r="C124" s="378">
        <f>greenwoodnrbpremcuptries</f>
        <v>1</v>
      </c>
      <c r="D124" s="386" t="s">
        <v>824</v>
      </c>
      <c r="E124" s="386" t="s">
        <v>889</v>
      </c>
      <c r="F124" s="381">
        <f>Clarkmaxnewpremcuppts</f>
        <v>5</v>
      </c>
    </row>
    <row r="125" spans="1:6" ht="14.95" customHeight="1" thickBot="1" x14ac:dyDescent="0.3">
      <c r="A125" s="366" t="s">
        <v>1053</v>
      </c>
      <c r="B125" s="366" t="s">
        <v>88</v>
      </c>
      <c r="C125" s="378">
        <f>gulleyexepremcuptries</f>
        <v>1</v>
      </c>
      <c r="D125" s="386" t="s">
        <v>1044</v>
      </c>
      <c r="E125" s="386" t="s">
        <v>309</v>
      </c>
      <c r="F125" s="381">
        <f>Clarkesarpremcuppts</f>
        <v>5</v>
      </c>
    </row>
    <row r="126" spans="1:6" ht="14.95" customHeight="1" thickBot="1" x14ac:dyDescent="0.3">
      <c r="A126" s="366" t="s">
        <v>1111</v>
      </c>
      <c r="B126" s="366" t="s">
        <v>79</v>
      </c>
      <c r="C126" s="378">
        <f>gwynneglopremcuptries</f>
        <v>1</v>
      </c>
      <c r="D126" s="386" t="s">
        <v>857</v>
      </c>
      <c r="E126" s="386" t="s">
        <v>79</v>
      </c>
      <c r="F126" s="381">
        <f>cotgreaveglopremcuppts</f>
        <v>5</v>
      </c>
    </row>
    <row r="127" spans="1:6" ht="14.95" customHeight="1" thickBot="1" x14ac:dyDescent="0.3">
      <c r="A127" s="366" t="s">
        <v>705</v>
      </c>
      <c r="B127" s="366" t="s">
        <v>527</v>
      </c>
      <c r="C127" s="378">
        <f>haffarleipremcuptries</f>
        <v>1</v>
      </c>
      <c r="D127" s="386" t="s">
        <v>836</v>
      </c>
      <c r="E127" s="386" t="s">
        <v>81</v>
      </c>
      <c r="F127" s="381">
        <f>cowanbthpremcuppts</f>
        <v>5</v>
      </c>
    </row>
    <row r="128" spans="1:6" ht="14.95" customHeight="1" thickBot="1" x14ac:dyDescent="0.3">
      <c r="A128" s="366" t="s">
        <v>1073</v>
      </c>
      <c r="B128" s="366" t="s">
        <v>527</v>
      </c>
      <c r="C128" s="378">
        <f>hamerwebbleipremcuptries</f>
        <v>1</v>
      </c>
      <c r="D128" s="386" t="s">
        <v>578</v>
      </c>
      <c r="E128" s="386" t="s">
        <v>87</v>
      </c>
      <c r="F128" s="381">
        <f>CUNNINGHAMSOUTHHARPREMCUPPTS</f>
        <v>5</v>
      </c>
    </row>
    <row r="129" spans="1:6" ht="14.95" customHeight="1" thickBot="1" x14ac:dyDescent="0.3">
      <c r="A129" s="366" t="s">
        <v>904</v>
      </c>
      <c r="B129" s="366" t="s">
        <v>80</v>
      </c>
      <c r="C129" s="378">
        <f>hansonsalpremcuptries</f>
        <v>1</v>
      </c>
      <c r="D129" s="386" t="s">
        <v>464</v>
      </c>
      <c r="E129" s="386" t="s">
        <v>309</v>
      </c>
      <c r="F129" s="381">
        <f>dansarpremcuppts</f>
        <v>5</v>
      </c>
    </row>
    <row r="130" spans="1:6" ht="14.95" customHeight="1" thickBot="1" x14ac:dyDescent="0.3">
      <c r="A130" s="374" t="s">
        <v>385</v>
      </c>
      <c r="B130" s="374" t="s">
        <v>80</v>
      </c>
      <c r="C130" s="378">
        <f>harpersalpremcuptries</f>
        <v>1</v>
      </c>
      <c r="D130" s="386" t="s">
        <v>1048</v>
      </c>
      <c r="E130" s="386" t="s">
        <v>309</v>
      </c>
      <c r="F130" s="381">
        <f>Davidsonsarpremcuppts</f>
        <v>5</v>
      </c>
    </row>
    <row r="131" spans="1:6" ht="14.95" customHeight="1" thickBot="1" x14ac:dyDescent="0.3">
      <c r="A131" s="366" t="s">
        <v>513</v>
      </c>
      <c r="B131" s="374" t="s">
        <v>527</v>
      </c>
      <c r="C131" s="378">
        <f>hassellcollinsleipremcuptries</f>
        <v>1</v>
      </c>
      <c r="D131" s="386" t="s">
        <v>828</v>
      </c>
      <c r="E131" s="386" t="s">
        <v>80</v>
      </c>
      <c r="F131" s="381">
        <f>daviessalpremcuppts</f>
        <v>5</v>
      </c>
    </row>
    <row r="132" spans="1:6" ht="14.95" customHeight="1" thickBot="1" x14ac:dyDescent="0.3">
      <c r="A132" s="366" t="s">
        <v>823</v>
      </c>
      <c r="B132" s="366" t="s">
        <v>88</v>
      </c>
      <c r="C132" s="378">
        <f>haydonwoodexepremcuptries</f>
        <v>1</v>
      </c>
      <c r="D132" s="386" t="s">
        <v>922</v>
      </c>
      <c r="E132" s="386" t="s">
        <v>79</v>
      </c>
      <c r="F132" s="381">
        <f>daviesglopremcuppts</f>
        <v>5</v>
      </c>
    </row>
    <row r="133" spans="1:6" ht="14.95" customHeight="1" thickBot="1" x14ac:dyDescent="0.3">
      <c r="A133" s="366" t="s">
        <v>693</v>
      </c>
      <c r="B133" s="366" t="s">
        <v>889</v>
      </c>
      <c r="C133" s="378">
        <f>hearlenrbpremcuptries</f>
        <v>1</v>
      </c>
      <c r="D133" s="387" t="s">
        <v>175</v>
      </c>
      <c r="E133" s="386" t="s">
        <v>80</v>
      </c>
      <c r="F133" s="381">
        <f>dupreezdpremcuppts</f>
        <v>5</v>
      </c>
    </row>
    <row r="134" spans="1:6" ht="14.95" customHeight="1" thickBot="1" x14ac:dyDescent="0.3">
      <c r="A134" s="366" t="s">
        <v>1069</v>
      </c>
      <c r="B134" s="366" t="s">
        <v>88</v>
      </c>
      <c r="C134" s="378">
        <f>heavenexepremcuptries</f>
        <v>1</v>
      </c>
      <c r="D134" s="386" t="s">
        <v>978</v>
      </c>
      <c r="E134" s="386" t="s">
        <v>88</v>
      </c>
      <c r="F134" s="381">
        <f>dwebaexepremcuppts</f>
        <v>5</v>
      </c>
    </row>
    <row r="135" spans="1:6" ht="14.95" customHeight="1" thickBot="1" x14ac:dyDescent="0.3">
      <c r="A135" s="366" t="s">
        <v>807</v>
      </c>
      <c r="B135" s="366" t="s">
        <v>81</v>
      </c>
      <c r="C135" s="378">
        <f>hennesseybthpremcuptries</f>
        <v>1</v>
      </c>
      <c r="D135" s="386" t="s">
        <v>881</v>
      </c>
      <c r="E135" s="386" t="s">
        <v>79</v>
      </c>
      <c r="F135" s="381">
        <f>edwardsgiraudglopremcuppts</f>
        <v>5</v>
      </c>
    </row>
    <row r="136" spans="1:6" ht="14.95" customHeight="1" thickBot="1" x14ac:dyDescent="0.3">
      <c r="A136" s="366" t="s">
        <v>114</v>
      </c>
      <c r="B136" s="366" t="s">
        <v>82</v>
      </c>
      <c r="C136" s="378">
        <f>hutchinsonorpremcuptries</f>
        <v>1</v>
      </c>
      <c r="D136" s="386" t="s">
        <v>638</v>
      </c>
      <c r="E136" s="386" t="s">
        <v>79</v>
      </c>
      <c r="F136" s="381">
        <f>eiteglopremcuppts</f>
        <v>5</v>
      </c>
    </row>
    <row r="137" spans="1:6" ht="14.95" customHeight="1" thickBot="1" x14ac:dyDescent="0.3">
      <c r="A137" s="366" t="s">
        <v>1039</v>
      </c>
      <c r="B137" s="366" t="s">
        <v>889</v>
      </c>
      <c r="C137" s="378">
        <f>Hutchisonnrbpremcuptries</f>
        <v>1</v>
      </c>
      <c r="D137" s="387" t="s">
        <v>233</v>
      </c>
      <c r="E137" s="387" t="s">
        <v>87</v>
      </c>
      <c r="F137" s="381">
        <f>Elsharpremcuppts</f>
        <v>5</v>
      </c>
    </row>
    <row r="138" spans="1:6" ht="14.95" customHeight="1" thickBot="1" x14ac:dyDescent="0.3">
      <c r="A138" s="366" t="s">
        <v>782</v>
      </c>
      <c r="B138" s="366" t="s">
        <v>87</v>
      </c>
      <c r="C138" s="378">
        <f>hydeharpremcuptries</f>
        <v>1</v>
      </c>
      <c r="D138" s="386" t="s">
        <v>511</v>
      </c>
      <c r="E138" s="386" t="s">
        <v>88</v>
      </c>
      <c r="F138" s="381">
        <f>fisilauexepremcuppts</f>
        <v>5</v>
      </c>
    </row>
    <row r="139" spans="1:6" ht="14.95" customHeight="1" thickBot="1" x14ac:dyDescent="0.3">
      <c r="A139" s="366" t="s">
        <v>405</v>
      </c>
      <c r="B139" s="374" t="s">
        <v>527</v>
      </c>
      <c r="C139" s="378">
        <f>ilioneleipremcuptries</f>
        <v>1</v>
      </c>
      <c r="D139" s="387" t="s">
        <v>1034</v>
      </c>
      <c r="E139" s="386" t="s">
        <v>79</v>
      </c>
      <c r="F139" s="381">
        <f>freemanpriceglopremcuppts</f>
        <v>5</v>
      </c>
    </row>
    <row r="140" spans="1:6" ht="14.95" customHeight="1" thickBot="1" x14ac:dyDescent="0.3">
      <c r="A140" s="366" t="s">
        <v>115</v>
      </c>
      <c r="B140" s="366" t="s">
        <v>79</v>
      </c>
      <c r="C140" s="378">
        <f>innardglopremcuptries</f>
        <v>1</v>
      </c>
      <c r="D140" s="386" t="s">
        <v>417</v>
      </c>
      <c r="E140" s="386" t="s">
        <v>82</v>
      </c>
      <c r="F140" s="381">
        <f>grahamnorpremcuppts</f>
        <v>5</v>
      </c>
    </row>
    <row r="141" spans="1:6" ht="14.95" customHeight="1" thickBot="1" x14ac:dyDescent="0.3">
      <c r="A141" s="366" t="s">
        <v>328</v>
      </c>
      <c r="B141" s="366" t="s">
        <v>88</v>
      </c>
      <c r="C141" s="378">
        <f>iosefascottexepremcuptries</f>
        <v>1</v>
      </c>
      <c r="D141" s="386" t="s">
        <v>602</v>
      </c>
      <c r="E141" s="386" t="s">
        <v>90</v>
      </c>
      <c r="F141" s="381">
        <f>grahamslawbripremcuppts</f>
        <v>5</v>
      </c>
    </row>
    <row r="142" spans="1:6" ht="14.95" customHeight="1" thickBot="1" x14ac:dyDescent="0.3">
      <c r="A142" s="366" t="s">
        <v>260</v>
      </c>
      <c r="B142" s="366" t="s">
        <v>82</v>
      </c>
      <c r="C142" s="378">
        <f>jamesnorpremcuptries</f>
        <v>1</v>
      </c>
      <c r="D142" s="386" t="s">
        <v>865</v>
      </c>
      <c r="E142" s="386" t="s">
        <v>82</v>
      </c>
      <c r="F142" s="381">
        <f>greennorpremcuppts</f>
        <v>5</v>
      </c>
    </row>
    <row r="143" spans="1:6" ht="14.95" customHeight="1" thickBot="1" x14ac:dyDescent="0.3">
      <c r="A143" s="366" t="s">
        <v>458</v>
      </c>
      <c r="B143" s="366" t="s">
        <v>90</v>
      </c>
      <c r="C143" s="378">
        <f>jenkinsjbripremcuptries</f>
        <v>1</v>
      </c>
      <c r="D143" s="386" t="s">
        <v>680</v>
      </c>
      <c r="E143" s="386" t="s">
        <v>889</v>
      </c>
      <c r="F143" s="381">
        <f>greenwoodnrbpremcuppts</f>
        <v>5</v>
      </c>
    </row>
    <row r="144" spans="1:6" ht="14.95" customHeight="1" thickBot="1" x14ac:dyDescent="0.3">
      <c r="A144" s="366" t="s">
        <v>1085</v>
      </c>
      <c r="B144" s="366" t="s">
        <v>309</v>
      </c>
      <c r="C144" s="378">
        <f>Kavasarpremcuptries</f>
        <v>1</v>
      </c>
      <c r="D144" s="386" t="s">
        <v>1053</v>
      </c>
      <c r="E144" s="386" t="s">
        <v>88</v>
      </c>
      <c r="F144" s="381">
        <f>gulleyexepremcupptscorrect</f>
        <v>5</v>
      </c>
    </row>
    <row r="145" spans="1:6" ht="14.95" customHeight="1" thickBot="1" x14ac:dyDescent="0.3">
      <c r="A145" s="366" t="s">
        <v>1045</v>
      </c>
      <c r="B145" s="374" t="s">
        <v>309</v>
      </c>
      <c r="C145" s="378">
        <f>Keylocksarpremcuptries</f>
        <v>1</v>
      </c>
      <c r="D145" s="386" t="s">
        <v>1111</v>
      </c>
      <c r="E145" s="386" t="s">
        <v>79</v>
      </c>
      <c r="F145" s="381">
        <f>gwynneglopremcuppts</f>
        <v>5</v>
      </c>
    </row>
    <row r="146" spans="1:6" ht="14.95" customHeight="1" thickBot="1" x14ac:dyDescent="0.3">
      <c r="A146" s="366" t="s">
        <v>1090</v>
      </c>
      <c r="B146" s="366" t="s">
        <v>87</v>
      </c>
      <c r="C146" s="378">
        <f>Koladeharpremcuptries</f>
        <v>1</v>
      </c>
      <c r="D146" s="386" t="s">
        <v>705</v>
      </c>
      <c r="E146" s="386" t="s">
        <v>527</v>
      </c>
      <c r="F146" s="381">
        <f>haffarleipremcuppts</f>
        <v>5</v>
      </c>
    </row>
    <row r="147" spans="1:6" ht="14.95" customHeight="1" thickBot="1" x14ac:dyDescent="0.3">
      <c r="A147" s="374" t="s">
        <v>209</v>
      </c>
      <c r="B147" s="374" t="s">
        <v>527</v>
      </c>
      <c r="C147" s="378">
        <f>liebenbergleipremcuptries</f>
        <v>1</v>
      </c>
      <c r="D147" s="386" t="s">
        <v>1073</v>
      </c>
      <c r="E147" s="386" t="s">
        <v>527</v>
      </c>
      <c r="F147" s="381">
        <f>hamerwebbleipremcuppts</f>
        <v>5</v>
      </c>
    </row>
    <row r="148" spans="1:6" ht="14.95" customHeight="1" thickBot="1" x14ac:dyDescent="0.3">
      <c r="A148" s="366" t="s">
        <v>351</v>
      </c>
      <c r="B148" s="366" t="s">
        <v>82</v>
      </c>
      <c r="C148" s="378">
        <f>litchfieldnorpremcuptries</f>
        <v>1</v>
      </c>
      <c r="D148" s="386" t="s">
        <v>904</v>
      </c>
      <c r="E148" s="386" t="s">
        <v>80</v>
      </c>
      <c r="F148" s="381">
        <f>hansonsalpremcuppts</f>
        <v>5</v>
      </c>
    </row>
    <row r="149" spans="1:6" ht="14.95" customHeight="1" thickBot="1" x14ac:dyDescent="0.3">
      <c r="A149" s="370" t="s">
        <v>560</v>
      </c>
      <c r="B149" s="370" t="s">
        <v>79</v>
      </c>
      <c r="C149" s="378">
        <f>llewellynglopremcuptries</f>
        <v>1</v>
      </c>
      <c r="D149" s="387" t="s">
        <v>385</v>
      </c>
      <c r="E149" s="386" t="s">
        <v>80</v>
      </c>
      <c r="F149" s="381">
        <f>harpersalpremcuppts</f>
        <v>5</v>
      </c>
    </row>
    <row r="150" spans="1:6" ht="14.95" customHeight="1" thickBot="1" x14ac:dyDescent="0.3">
      <c r="A150" s="366" t="s">
        <v>475</v>
      </c>
      <c r="B150" s="366" t="s">
        <v>889</v>
      </c>
      <c r="C150" s="378">
        <f>lockwoodnrbpremcuptries</f>
        <v>1</v>
      </c>
      <c r="D150" s="386" t="s">
        <v>513</v>
      </c>
      <c r="E150" s="386" t="s">
        <v>527</v>
      </c>
      <c r="F150" s="381">
        <f>hassellcollinsleipremcuppts</f>
        <v>5</v>
      </c>
    </row>
    <row r="151" spans="1:6" ht="14.95" customHeight="1" thickBot="1" x14ac:dyDescent="0.3">
      <c r="A151" s="366" t="s">
        <v>316</v>
      </c>
      <c r="B151" s="366" t="s">
        <v>309</v>
      </c>
      <c r="C151" s="378">
        <f>lozowskisarpremcuptries</f>
        <v>1</v>
      </c>
      <c r="D151" s="386" t="s">
        <v>693</v>
      </c>
      <c r="E151" s="386" t="s">
        <v>889</v>
      </c>
      <c r="F151" s="381">
        <f>hearlenrbpremcuppts</f>
        <v>5</v>
      </c>
    </row>
    <row r="152" spans="1:6" ht="14.95" customHeight="1" thickBot="1" x14ac:dyDescent="0.3">
      <c r="A152" s="366" t="s">
        <v>121</v>
      </c>
      <c r="B152" s="366" t="s">
        <v>79</v>
      </c>
      <c r="C152" s="378">
        <f>ludlowglopremcuptries</f>
        <v>1</v>
      </c>
      <c r="D152" s="386" t="s">
        <v>1069</v>
      </c>
      <c r="E152" s="386" t="s">
        <v>88</v>
      </c>
      <c r="F152" s="381">
        <f>heavenexepremcuppts</f>
        <v>5</v>
      </c>
    </row>
    <row r="153" spans="1:6" ht="14.95" customHeight="1" thickBot="1" x14ac:dyDescent="0.3">
      <c r="A153" s="366" t="s">
        <v>525</v>
      </c>
      <c r="B153" s="366" t="s">
        <v>309</v>
      </c>
      <c r="C153" s="378">
        <f>malinssarpremcuptries</f>
        <v>1</v>
      </c>
      <c r="D153" s="386" t="s">
        <v>807</v>
      </c>
      <c r="E153" s="386" t="s">
        <v>81</v>
      </c>
      <c r="F153" s="381">
        <f>hennesseybthpremcuppts</f>
        <v>5</v>
      </c>
    </row>
    <row r="154" spans="1:6" ht="14.95" customHeight="1" thickBot="1" x14ac:dyDescent="0.3">
      <c r="A154" s="366" t="s">
        <v>939</v>
      </c>
      <c r="B154" s="366" t="s">
        <v>82</v>
      </c>
      <c r="C154" s="378">
        <f>martinnorpremcuptries</f>
        <v>1</v>
      </c>
      <c r="D154" s="386" t="s">
        <v>114</v>
      </c>
      <c r="E154" s="386" t="s">
        <v>82</v>
      </c>
      <c r="F154" s="381">
        <f>hutchinsonorpremcuppts</f>
        <v>5</v>
      </c>
    </row>
    <row r="155" spans="1:6" ht="14.95" customHeight="1" thickBot="1" x14ac:dyDescent="0.3">
      <c r="A155" s="366" t="s">
        <v>1098</v>
      </c>
      <c r="B155" s="366" t="s">
        <v>81</v>
      </c>
      <c r="C155" s="378">
        <f>Masonbthpremcuptries</f>
        <v>1</v>
      </c>
      <c r="D155" s="386" t="s">
        <v>1039</v>
      </c>
      <c r="E155" s="386" t="s">
        <v>889</v>
      </c>
      <c r="F155" s="381">
        <f>Hutchisonnrbpremcuppts</f>
        <v>5</v>
      </c>
    </row>
    <row r="156" spans="1:6" ht="14.95" customHeight="1" thickBot="1" x14ac:dyDescent="0.3">
      <c r="A156" s="366" t="s">
        <v>550</v>
      </c>
      <c r="B156" s="366" t="s">
        <v>889</v>
      </c>
      <c r="C156" s="379">
        <f>mccallumnrbpremcuptries</f>
        <v>1</v>
      </c>
      <c r="D156" s="386" t="s">
        <v>782</v>
      </c>
      <c r="E156" s="386" t="s">
        <v>87</v>
      </c>
      <c r="F156" s="381">
        <f>hydeharpremcuppts</f>
        <v>5</v>
      </c>
    </row>
    <row r="157" spans="1:6" ht="14.95" customHeight="1" thickBot="1" x14ac:dyDescent="0.3">
      <c r="A157" s="366" t="s">
        <v>1077</v>
      </c>
      <c r="B157" s="366" t="s">
        <v>527</v>
      </c>
      <c r="C157" s="378">
        <f>mccarthyleipremcuptries</f>
        <v>1</v>
      </c>
      <c r="D157" s="386" t="s">
        <v>405</v>
      </c>
      <c r="E157" s="386" t="s">
        <v>527</v>
      </c>
      <c r="F157" s="381">
        <f>ilioneleipremcuppts</f>
        <v>5</v>
      </c>
    </row>
    <row r="158" spans="1:6" ht="14.95" customHeight="1" thickBot="1" x14ac:dyDescent="0.3">
      <c r="A158" s="366" t="s">
        <v>1091</v>
      </c>
      <c r="B158" s="366" t="s">
        <v>87</v>
      </c>
      <c r="C158" s="378">
        <f>McCormackharpremcuptries</f>
        <v>1</v>
      </c>
      <c r="D158" s="386" t="s">
        <v>115</v>
      </c>
      <c r="E158" s="386" t="s">
        <v>79</v>
      </c>
      <c r="F158" s="381">
        <f>innardglopremcuptriespts</f>
        <v>5</v>
      </c>
    </row>
    <row r="159" spans="1:6" ht="14.95" customHeight="1" thickBot="1" x14ac:dyDescent="0.3">
      <c r="A159" s="366" t="s">
        <v>770</v>
      </c>
      <c r="B159" s="366" t="s">
        <v>80</v>
      </c>
      <c r="C159" s="378">
        <f>mcelroyalpremcuptries</f>
        <v>1</v>
      </c>
      <c r="D159" s="386" t="s">
        <v>328</v>
      </c>
      <c r="E159" s="386" t="s">
        <v>88</v>
      </c>
      <c r="F159" s="381">
        <f>iosefascottexepremcuppts</f>
        <v>5</v>
      </c>
    </row>
    <row r="160" spans="1:6" ht="14.95" customHeight="1" thickBot="1" x14ac:dyDescent="0.3">
      <c r="A160" s="374" t="s">
        <v>243</v>
      </c>
      <c r="B160" s="374" t="s">
        <v>889</v>
      </c>
      <c r="C160" s="378">
        <f>mcguigannrbpremcuptries</f>
        <v>1</v>
      </c>
      <c r="D160" s="386" t="s">
        <v>260</v>
      </c>
      <c r="E160" s="386" t="s">
        <v>82</v>
      </c>
      <c r="F160" s="381">
        <f>jamesnorpremcuppts</f>
        <v>5</v>
      </c>
    </row>
    <row r="161" spans="1:6" ht="14.95" customHeight="1" thickBot="1" x14ac:dyDescent="0.3">
      <c r="A161" s="374" t="s">
        <v>1078</v>
      </c>
      <c r="B161" s="374" t="s">
        <v>88</v>
      </c>
      <c r="C161" s="378">
        <f>maloneyexepremcuptries</f>
        <v>1</v>
      </c>
      <c r="D161" s="386" t="s">
        <v>458</v>
      </c>
      <c r="E161" s="386" t="s">
        <v>90</v>
      </c>
      <c r="F161" s="381">
        <f>jenkinsjbripremcuppts</f>
        <v>5</v>
      </c>
    </row>
    <row r="162" spans="1:6" ht="14.95" customHeight="1" thickBot="1" x14ac:dyDescent="0.3">
      <c r="A162" s="366" t="s">
        <v>225</v>
      </c>
      <c r="B162" s="366" t="s">
        <v>81</v>
      </c>
      <c r="C162" s="378">
        <f>muirbthpremcuptries</f>
        <v>1</v>
      </c>
      <c r="D162" s="386" t="s">
        <v>1085</v>
      </c>
      <c r="E162" s="386" t="s">
        <v>309</v>
      </c>
      <c r="F162" s="381">
        <f>Kavasarpremcuppts</f>
        <v>5</v>
      </c>
    </row>
    <row r="163" spans="1:6" ht="14.95" customHeight="1" thickBot="1" x14ac:dyDescent="0.3">
      <c r="A163" s="366" t="s">
        <v>755</v>
      </c>
      <c r="B163" s="366" t="s">
        <v>82</v>
      </c>
      <c r="C163" s="378">
        <f>munganorpremcuptries</f>
        <v>1</v>
      </c>
      <c r="D163" s="386" t="s">
        <v>1045</v>
      </c>
      <c r="E163" s="386" t="s">
        <v>309</v>
      </c>
      <c r="F163" s="381">
        <f>Keylocksarpremcuppts</f>
        <v>5</v>
      </c>
    </row>
    <row r="164" spans="1:6" ht="14.95" customHeight="1" thickBot="1" x14ac:dyDescent="0.3">
      <c r="A164" s="366" t="s">
        <v>160</v>
      </c>
      <c r="B164" s="366" t="s">
        <v>87</v>
      </c>
      <c r="C164" s="378">
        <f>murleyharpremcuptries</f>
        <v>1</v>
      </c>
      <c r="D164" s="386" t="s">
        <v>1090</v>
      </c>
      <c r="E164" s="386" t="s">
        <v>87</v>
      </c>
      <c r="F164" s="381">
        <f>Koladeharpremcuppts</f>
        <v>5</v>
      </c>
    </row>
    <row r="165" spans="1:6" ht="14.95" customHeight="1" thickBot="1" x14ac:dyDescent="0.3">
      <c r="A165" s="366" t="s">
        <v>416</v>
      </c>
      <c r="B165" s="366" t="s">
        <v>87</v>
      </c>
      <c r="C165" s="378">
        <f>murrayharpremcuptries</f>
        <v>1</v>
      </c>
      <c r="D165" s="387" t="s">
        <v>209</v>
      </c>
      <c r="E165" s="387" t="s">
        <v>527</v>
      </c>
      <c r="F165" s="381">
        <f>liebenbergleipremcuppts</f>
        <v>5</v>
      </c>
    </row>
    <row r="166" spans="1:6" ht="14.95" customHeight="1" thickBot="1" x14ac:dyDescent="0.3">
      <c r="A166" s="366" t="s">
        <v>426</v>
      </c>
      <c r="B166" s="366" t="s">
        <v>87</v>
      </c>
      <c r="C166" s="378">
        <f>muskharpremcuptries</f>
        <v>1</v>
      </c>
      <c r="D166" s="386" t="s">
        <v>351</v>
      </c>
      <c r="E166" s="386" t="s">
        <v>82</v>
      </c>
      <c r="F166" s="381">
        <f>litchfieldnorpremcuppts</f>
        <v>5</v>
      </c>
    </row>
    <row r="167" spans="1:6" ht="14.95" customHeight="1" thickBot="1" x14ac:dyDescent="0.3">
      <c r="A167" s="366" t="s">
        <v>983</v>
      </c>
      <c r="B167" s="366" t="s">
        <v>527</v>
      </c>
      <c r="C167" s="378">
        <f>oconnorleipremcuptries</f>
        <v>1</v>
      </c>
      <c r="D167" s="386" t="s">
        <v>560</v>
      </c>
      <c r="E167" s="386" t="s">
        <v>79</v>
      </c>
      <c r="F167" s="381">
        <f>llewellynglopremcuppts</f>
        <v>5</v>
      </c>
    </row>
    <row r="168" spans="1:6" ht="14.95" customHeight="1" thickBot="1" x14ac:dyDescent="0.3">
      <c r="A168" s="374" t="s">
        <v>791</v>
      </c>
      <c r="B168" s="374" t="s">
        <v>81</v>
      </c>
      <c r="C168" s="379">
        <f>offiahbthpremcuptries</f>
        <v>1</v>
      </c>
      <c r="D168" s="386" t="s">
        <v>475</v>
      </c>
      <c r="E168" s="386" t="s">
        <v>889</v>
      </c>
      <c r="F168" s="381">
        <f>lockwoodnrbpremcuppts</f>
        <v>5</v>
      </c>
    </row>
    <row r="169" spans="1:6" ht="14.95" customHeight="1" thickBot="1" x14ac:dyDescent="0.3">
      <c r="A169" s="366" t="s">
        <v>339</v>
      </c>
      <c r="B169" s="366" t="s">
        <v>81</v>
      </c>
      <c r="C169" s="378">
        <f>ojomohbthpremcuptries</f>
        <v>1</v>
      </c>
      <c r="D169" s="386" t="s">
        <v>121</v>
      </c>
      <c r="E169" s="386" t="s">
        <v>79</v>
      </c>
      <c r="F169" s="381">
        <f>ludlowglopremcuppts</f>
        <v>5</v>
      </c>
    </row>
    <row r="170" spans="1:6" ht="14.95" customHeight="1" thickBot="1" x14ac:dyDescent="0.3">
      <c r="A170" s="370" t="s">
        <v>687</v>
      </c>
      <c r="B170" s="370" t="s">
        <v>889</v>
      </c>
      <c r="C170" s="379">
        <f>palframannrbpremcuptries</f>
        <v>1</v>
      </c>
      <c r="D170" s="386" t="s">
        <v>525</v>
      </c>
      <c r="E170" s="386" t="s">
        <v>309</v>
      </c>
      <c r="F170" s="381">
        <f>malinssarpremcuppts</f>
        <v>5</v>
      </c>
    </row>
    <row r="171" spans="1:6" ht="14.95" customHeight="1" thickBot="1" x14ac:dyDescent="0.3">
      <c r="A171" s="366" t="s">
        <v>1115</v>
      </c>
      <c r="B171" s="366" t="s">
        <v>527</v>
      </c>
      <c r="C171" s="378">
        <f>palmerleipremcuptries</f>
        <v>1</v>
      </c>
      <c r="D171" s="386" t="s">
        <v>939</v>
      </c>
      <c r="E171" s="386" t="s">
        <v>82</v>
      </c>
      <c r="F171" s="381">
        <f>martinnorpremcuppts</f>
        <v>5</v>
      </c>
    </row>
    <row r="172" spans="1:6" ht="14.95" customHeight="1" thickBot="1" x14ac:dyDescent="0.3">
      <c r="A172" s="366" t="s">
        <v>852</v>
      </c>
      <c r="B172" s="366" t="s">
        <v>889</v>
      </c>
      <c r="C172" s="378">
        <f>parsonsnrbpremcuptries</f>
        <v>1</v>
      </c>
      <c r="D172" s="386" t="s">
        <v>1098</v>
      </c>
      <c r="E172" s="386" t="s">
        <v>81</v>
      </c>
      <c r="F172" s="381">
        <f>Masonbthpremcuppts</f>
        <v>5</v>
      </c>
    </row>
    <row r="173" spans="1:6" ht="14.95" customHeight="1" thickBot="1" x14ac:dyDescent="0.3">
      <c r="A173" s="366" t="s">
        <v>621</v>
      </c>
      <c r="B173" s="366" t="s">
        <v>90</v>
      </c>
      <c r="C173" s="378">
        <f>pearcebripremcuptries</f>
        <v>1</v>
      </c>
      <c r="D173" s="386" t="s">
        <v>550</v>
      </c>
      <c r="E173" s="386" t="s">
        <v>889</v>
      </c>
      <c r="F173" s="381">
        <f>mccallumnrbpremcuppts</f>
        <v>5</v>
      </c>
    </row>
    <row r="174" spans="1:6" ht="14.95" customHeight="1" thickBot="1" x14ac:dyDescent="0.3">
      <c r="A174" s="366" t="s">
        <v>83</v>
      </c>
      <c r="B174" s="366" t="s">
        <v>82</v>
      </c>
      <c r="C174" s="378">
        <f>penaltytriesnorpremcuptries</f>
        <v>1</v>
      </c>
      <c r="D174" s="386" t="s">
        <v>1077</v>
      </c>
      <c r="E174" s="386" t="s">
        <v>527</v>
      </c>
      <c r="F174" s="381">
        <f>mccarthyleipremcuppts</f>
        <v>5</v>
      </c>
    </row>
    <row r="175" spans="1:6" ht="14.95" customHeight="1" thickBot="1" x14ac:dyDescent="0.3">
      <c r="A175" s="374" t="s">
        <v>655</v>
      </c>
      <c r="B175" s="374" t="s">
        <v>527</v>
      </c>
      <c r="C175" s="378">
        <f>pereseleipremcuptries</f>
        <v>1</v>
      </c>
      <c r="D175" s="386" t="s">
        <v>1091</v>
      </c>
      <c r="E175" s="386" t="s">
        <v>87</v>
      </c>
      <c r="F175" s="381">
        <f>McCormackharpremcuppts</f>
        <v>5</v>
      </c>
    </row>
    <row r="176" spans="1:6" ht="14.95" customHeight="1" thickBot="1" x14ac:dyDescent="0.3">
      <c r="A176" s="374" t="s">
        <v>126</v>
      </c>
      <c r="B176" s="374" t="s">
        <v>90</v>
      </c>
      <c r="C176" s="378">
        <f>randallbripremcuptries</f>
        <v>1</v>
      </c>
      <c r="D176" s="386" t="s">
        <v>770</v>
      </c>
      <c r="E176" s="386" t="s">
        <v>80</v>
      </c>
      <c r="F176" s="381">
        <f>mcelroyalpremcuppts</f>
        <v>5</v>
      </c>
    </row>
    <row r="177" spans="1:6" ht="14.95" customHeight="1" thickBot="1" x14ac:dyDescent="0.3">
      <c r="A177" s="366" t="s">
        <v>129</v>
      </c>
      <c r="B177" s="366" t="s">
        <v>80</v>
      </c>
      <c r="C177" s="378">
        <f>reedsalpremcuptries</f>
        <v>1</v>
      </c>
      <c r="D177" s="386" t="s">
        <v>243</v>
      </c>
      <c r="E177" s="386" t="s">
        <v>889</v>
      </c>
      <c r="F177" s="381">
        <f>mcguigannrbpremcuppts</f>
        <v>5</v>
      </c>
    </row>
    <row r="178" spans="1:6" ht="14.95" customHeight="1" thickBot="1" x14ac:dyDescent="0.3">
      <c r="A178" s="366" t="s">
        <v>927</v>
      </c>
      <c r="B178" s="366" t="s">
        <v>90</v>
      </c>
      <c r="C178" s="378">
        <f>reeszammitbripremcuptries</f>
        <v>1</v>
      </c>
      <c r="D178" s="386" t="s">
        <v>1078</v>
      </c>
      <c r="E178" s="386" t="s">
        <v>88</v>
      </c>
      <c r="F178" s="381">
        <f>maloneyexepremcuppts</f>
        <v>5</v>
      </c>
    </row>
    <row r="179" spans="1:6" ht="14.95" customHeight="1" thickBot="1" x14ac:dyDescent="0.3">
      <c r="A179" s="374" t="s">
        <v>1083</v>
      </c>
      <c r="B179" s="366" t="s">
        <v>889</v>
      </c>
      <c r="C179" s="378">
        <f>rewcastlenewpremcuptries</f>
        <v>1</v>
      </c>
      <c r="D179" s="386" t="s">
        <v>225</v>
      </c>
      <c r="E179" s="386" t="s">
        <v>81</v>
      </c>
      <c r="F179" s="381">
        <f>muirbthpremcuppts</f>
        <v>5</v>
      </c>
    </row>
    <row r="180" spans="1:6" ht="14.95" customHeight="1" thickBot="1" x14ac:dyDescent="0.3">
      <c r="A180" s="366" t="s">
        <v>1114</v>
      </c>
      <c r="B180" s="366" t="s">
        <v>81</v>
      </c>
      <c r="C180" s="378">
        <f>Ridgwaybthpremcuptries</f>
        <v>1</v>
      </c>
      <c r="D180" s="387" t="s">
        <v>755</v>
      </c>
      <c r="E180" s="386" t="s">
        <v>82</v>
      </c>
      <c r="F180" s="381">
        <f>munganorpremcuppts</f>
        <v>5</v>
      </c>
    </row>
    <row r="181" spans="1:6" ht="14.95" customHeight="1" thickBot="1" x14ac:dyDescent="0.3">
      <c r="A181" s="366" t="s">
        <v>399</v>
      </c>
      <c r="B181" s="366" t="s">
        <v>87</v>
      </c>
      <c r="C181" s="378">
        <f>rileyharpremcuptries</f>
        <v>1</v>
      </c>
      <c r="D181" s="386" t="s">
        <v>160</v>
      </c>
      <c r="E181" s="386" t="s">
        <v>87</v>
      </c>
      <c r="F181" s="381">
        <f>murleyharpremcuppts</f>
        <v>5</v>
      </c>
    </row>
    <row r="182" spans="1:6" ht="14.95" customHeight="1" thickBot="1" x14ac:dyDescent="0.3">
      <c r="A182" s="366" t="s">
        <v>1029</v>
      </c>
      <c r="B182" s="366" t="s">
        <v>80</v>
      </c>
      <c r="C182" s="378">
        <f>Robertssalpremcuptries</f>
        <v>1</v>
      </c>
      <c r="D182" s="386" t="s">
        <v>416</v>
      </c>
      <c r="E182" s="386" t="s">
        <v>87</v>
      </c>
      <c r="F182" s="381">
        <f>murrayharpremcuppts</f>
        <v>5</v>
      </c>
    </row>
    <row r="183" spans="1:6" ht="14.95" customHeight="1" thickBot="1" x14ac:dyDescent="0.3">
      <c r="A183" s="366" t="s">
        <v>628</v>
      </c>
      <c r="B183" s="366" t="s">
        <v>88</v>
      </c>
      <c r="C183" s="378">
        <f>rootsjexepremcuptries</f>
        <v>1</v>
      </c>
      <c r="D183" s="386" t="s">
        <v>426</v>
      </c>
      <c r="E183" s="386" t="s">
        <v>87</v>
      </c>
      <c r="F183" s="381">
        <f>muskharpremcuppts</f>
        <v>5</v>
      </c>
    </row>
    <row r="184" spans="1:6" ht="14.95" customHeight="1" thickBot="1" x14ac:dyDescent="0.3">
      <c r="A184" s="366" t="s">
        <v>1024</v>
      </c>
      <c r="B184" s="366" t="s">
        <v>82</v>
      </c>
      <c r="C184" s="378">
        <f>rowernorpremcuptries</f>
        <v>1</v>
      </c>
      <c r="D184" s="387" t="s">
        <v>791</v>
      </c>
      <c r="E184" s="387" t="s">
        <v>81</v>
      </c>
      <c r="F184" s="381">
        <f>offiahbthpremcuppts</f>
        <v>5</v>
      </c>
    </row>
    <row r="185" spans="1:6" ht="14.95" customHeight="1" thickBot="1" x14ac:dyDescent="0.3">
      <c r="A185" s="366" t="s">
        <v>1047</v>
      </c>
      <c r="B185" s="366" t="s">
        <v>82</v>
      </c>
      <c r="C185" s="378">
        <f>scolanorpremcuptries</f>
        <v>1</v>
      </c>
      <c r="D185" s="386" t="s">
        <v>339</v>
      </c>
      <c r="E185" s="386" t="s">
        <v>81</v>
      </c>
      <c r="F185" s="381">
        <f>ojomohbthpremcuppts</f>
        <v>5</v>
      </c>
    </row>
    <row r="186" spans="1:6" ht="14.95" customHeight="1" thickBot="1" x14ac:dyDescent="0.3">
      <c r="A186" s="366" t="s">
        <v>989</v>
      </c>
      <c r="B186" s="366" t="s">
        <v>81</v>
      </c>
      <c r="C186" s="378">
        <f>selabthpremcuptries</f>
        <v>1</v>
      </c>
      <c r="D186" s="386" t="s">
        <v>687</v>
      </c>
      <c r="E186" s="386" t="s">
        <v>889</v>
      </c>
      <c r="F186" s="381">
        <f>palframannrbpremcuppts</f>
        <v>5</v>
      </c>
    </row>
    <row r="187" spans="1:6" ht="14.95" customHeight="1" thickBot="1" x14ac:dyDescent="0.3">
      <c r="A187" s="366" t="s">
        <v>191</v>
      </c>
      <c r="B187" s="366" t="s">
        <v>309</v>
      </c>
      <c r="C187" s="378">
        <f>simpsonsarpremcuptries</f>
        <v>1</v>
      </c>
      <c r="D187" s="386" t="s">
        <v>1115</v>
      </c>
      <c r="E187" s="386" t="s">
        <v>527</v>
      </c>
      <c r="F187" s="381">
        <f>palmerleipremcuppts</f>
        <v>5</v>
      </c>
    </row>
    <row r="188" spans="1:6" ht="14.95" customHeight="1" thickBot="1" x14ac:dyDescent="0.3">
      <c r="A188" s="366" t="s">
        <v>415</v>
      </c>
      <c r="B188" s="366" t="s">
        <v>87</v>
      </c>
      <c r="C188" s="378">
        <f>slevinharpremcuptries</f>
        <v>1</v>
      </c>
      <c r="D188" s="386" t="s">
        <v>852</v>
      </c>
      <c r="E188" s="386" t="s">
        <v>889</v>
      </c>
      <c r="F188" s="381">
        <f>parsonsnrbpremcuppts</f>
        <v>5</v>
      </c>
    </row>
    <row r="189" spans="1:6" ht="14.95" customHeight="1" thickBot="1" x14ac:dyDescent="0.3">
      <c r="A189" s="366" t="s">
        <v>778</v>
      </c>
      <c r="B189" s="366" t="s">
        <v>81</v>
      </c>
      <c r="C189" s="378">
        <f>spandlerbthpremcuptries</f>
        <v>1</v>
      </c>
      <c r="D189" s="386" t="s">
        <v>621</v>
      </c>
      <c r="E189" s="386" t="s">
        <v>90</v>
      </c>
      <c r="F189" s="381">
        <f>pearcebripremcuppts</f>
        <v>5</v>
      </c>
    </row>
    <row r="190" spans="1:6" ht="14.95" customHeight="1" thickBot="1" x14ac:dyDescent="0.3">
      <c r="A190" s="366" t="s">
        <v>734</v>
      </c>
      <c r="B190" s="366" t="s">
        <v>309</v>
      </c>
      <c r="C190" s="378">
        <f>spinksarpremcuptries</f>
        <v>1</v>
      </c>
      <c r="D190" s="387" t="s">
        <v>655</v>
      </c>
      <c r="E190" s="387" t="s">
        <v>527</v>
      </c>
      <c r="F190" s="381">
        <f>pereseleipremcuppts</f>
        <v>5</v>
      </c>
    </row>
    <row r="191" spans="1:6" ht="14.95" customHeight="1" thickBot="1" x14ac:dyDescent="0.3">
      <c r="A191" s="366" t="s">
        <v>1042</v>
      </c>
      <c r="B191" s="366" t="s">
        <v>87</v>
      </c>
      <c r="C191" s="378">
        <f>Staplesharpremcuptries</f>
        <v>1</v>
      </c>
      <c r="D191" s="387" t="s">
        <v>126</v>
      </c>
      <c r="E191" s="387" t="s">
        <v>90</v>
      </c>
      <c r="F191" s="381">
        <f>randallbripremcuppts</f>
        <v>5</v>
      </c>
    </row>
    <row r="192" spans="1:6" ht="14.95" customHeight="1" thickBot="1" x14ac:dyDescent="0.3">
      <c r="A192" s="374" t="s">
        <v>562</v>
      </c>
      <c r="B192" s="374" t="s">
        <v>527</v>
      </c>
      <c r="C192" s="378">
        <f>theobaldthomasleipremcuptries</f>
        <v>1</v>
      </c>
      <c r="D192" s="386" t="s">
        <v>129</v>
      </c>
      <c r="E192" s="386" t="s">
        <v>80</v>
      </c>
      <c r="F192" s="381">
        <f>reedsalpremcuppts</f>
        <v>5</v>
      </c>
    </row>
    <row r="193" spans="1:6" ht="14.95" customHeight="1" thickBot="1" x14ac:dyDescent="0.3">
      <c r="A193" s="366" t="s">
        <v>1030</v>
      </c>
      <c r="B193" s="366" t="s">
        <v>80</v>
      </c>
      <c r="C193" s="378">
        <f>thomasalpremcuptries</f>
        <v>1</v>
      </c>
      <c r="D193" s="386" t="s">
        <v>927</v>
      </c>
      <c r="E193" s="386" t="s">
        <v>90</v>
      </c>
      <c r="F193" s="381">
        <f>reeszammitbripremcuppts</f>
        <v>5</v>
      </c>
    </row>
    <row r="194" spans="1:6" ht="14.95" customHeight="1" thickBot="1" x14ac:dyDescent="0.3">
      <c r="A194" s="366" t="s">
        <v>133</v>
      </c>
      <c r="B194" s="366" t="s">
        <v>79</v>
      </c>
      <c r="C194" s="378">
        <f>thorleyglopremcuptries</f>
        <v>1</v>
      </c>
      <c r="D194" s="386" t="s">
        <v>1083</v>
      </c>
      <c r="E194" s="386" t="s">
        <v>889</v>
      </c>
      <c r="F194" s="381">
        <f>rewcastlenewpremcuppts</f>
        <v>5</v>
      </c>
    </row>
    <row r="195" spans="1:6" ht="14.95" customHeight="1" thickBot="1" x14ac:dyDescent="0.3">
      <c r="A195" s="374" t="s">
        <v>798</v>
      </c>
      <c r="B195" s="374" t="s">
        <v>527</v>
      </c>
      <c r="C195" s="378">
        <f>threlfallleipremcuptries</f>
        <v>1</v>
      </c>
      <c r="D195" s="386" t="s">
        <v>1114</v>
      </c>
      <c r="E195" s="386" t="s">
        <v>81</v>
      </c>
      <c r="F195" s="381">
        <f>Ridgwaybthpremcuppts</f>
        <v>5</v>
      </c>
    </row>
    <row r="196" spans="1:6" ht="14.95" customHeight="1" thickBot="1" x14ac:dyDescent="0.3">
      <c r="A196" s="366" t="s">
        <v>134</v>
      </c>
      <c r="B196" s="366" t="s">
        <v>87</v>
      </c>
      <c r="C196" s="378">
        <f>townsendharpremcuptries</f>
        <v>1</v>
      </c>
      <c r="D196" s="386" t="s">
        <v>399</v>
      </c>
      <c r="E196" s="386" t="s">
        <v>87</v>
      </c>
      <c r="F196" s="381">
        <f>rileyharpremcuppts</f>
        <v>5</v>
      </c>
    </row>
    <row r="197" spans="1:6" ht="14.95" customHeight="1" thickBot="1" x14ac:dyDescent="0.3">
      <c r="A197" s="366" t="s">
        <v>1109</v>
      </c>
      <c r="B197" s="366" t="s">
        <v>87</v>
      </c>
      <c r="C197" s="378">
        <f>treadwellharpremcuptries</f>
        <v>1</v>
      </c>
      <c r="D197" s="386" t="s">
        <v>1029</v>
      </c>
      <c r="E197" s="386" t="s">
        <v>80</v>
      </c>
      <c r="F197" s="381">
        <f>Robertssalpremcuppts</f>
        <v>5</v>
      </c>
    </row>
    <row r="198" spans="1:6" ht="14.95" customHeight="1" thickBot="1" x14ac:dyDescent="0.3">
      <c r="A198" s="366" t="s">
        <v>1103</v>
      </c>
      <c r="B198" s="366" t="s">
        <v>82</v>
      </c>
      <c r="C198" s="378">
        <f>ulcoqnorpremcuptries</f>
        <v>1</v>
      </c>
      <c r="D198" s="387" t="s">
        <v>628</v>
      </c>
      <c r="E198" s="387" t="s">
        <v>88</v>
      </c>
      <c r="F198" s="381">
        <f>rootsjexepremcuppts</f>
        <v>5</v>
      </c>
    </row>
    <row r="199" spans="1:6" ht="14.95" customHeight="1" thickBot="1" x14ac:dyDescent="0.3">
      <c r="A199" s="366" t="s">
        <v>324</v>
      </c>
      <c r="B199" s="366" t="s">
        <v>309</v>
      </c>
      <c r="C199" s="378">
        <f>vanzylsarpremcuptries</f>
        <v>1</v>
      </c>
      <c r="D199" s="386" t="s">
        <v>1024</v>
      </c>
      <c r="E199" s="386" t="s">
        <v>82</v>
      </c>
      <c r="F199" s="381">
        <f>rowernorpremcuppts</f>
        <v>5</v>
      </c>
    </row>
    <row r="200" spans="1:6" ht="14.95" customHeight="1" thickBot="1" x14ac:dyDescent="0.3">
      <c r="A200" s="366" t="s">
        <v>202</v>
      </c>
      <c r="B200" s="366" t="s">
        <v>88</v>
      </c>
      <c r="C200" s="378">
        <f>varneyexepremcuptries</f>
        <v>1</v>
      </c>
      <c r="D200" s="386" t="s">
        <v>1047</v>
      </c>
      <c r="E200" s="386" t="s">
        <v>82</v>
      </c>
      <c r="F200" s="381">
        <f>scolanorpremcuppts</f>
        <v>5</v>
      </c>
    </row>
    <row r="201" spans="1:6" ht="14.95" customHeight="1" thickBot="1" x14ac:dyDescent="0.3">
      <c r="A201" s="366" t="s">
        <v>521</v>
      </c>
      <c r="B201" s="366" t="s">
        <v>88</v>
      </c>
      <c r="C201" s="378">
        <f>vintcentexepremcuptries</f>
        <v>1</v>
      </c>
      <c r="D201" s="386" t="s">
        <v>989</v>
      </c>
      <c r="E201" s="386" t="s">
        <v>81</v>
      </c>
      <c r="F201" s="381">
        <f>selabthpremcuppts</f>
        <v>5</v>
      </c>
    </row>
    <row r="202" spans="1:6" ht="14.95" customHeight="1" thickBot="1" x14ac:dyDescent="0.3">
      <c r="A202" s="374" t="s">
        <v>822</v>
      </c>
      <c r="B202" s="374" t="s">
        <v>82</v>
      </c>
      <c r="C202" s="378">
        <f>walkernorpremcuptries</f>
        <v>1</v>
      </c>
      <c r="D202" s="389" t="s">
        <v>191</v>
      </c>
      <c r="E202" s="389" t="s">
        <v>309</v>
      </c>
      <c r="F202" s="381">
        <f>simpsonsarpremcuppts</f>
        <v>5</v>
      </c>
    </row>
    <row r="203" spans="1:6" ht="14.95" customHeight="1" thickBot="1" x14ac:dyDescent="0.3">
      <c r="A203" s="366" t="s">
        <v>1080</v>
      </c>
      <c r="B203" s="374" t="s">
        <v>80</v>
      </c>
      <c r="C203" s="378">
        <f>Wehrsalpremcuptries</f>
        <v>1</v>
      </c>
      <c r="D203" s="389" t="s">
        <v>778</v>
      </c>
      <c r="E203" s="389" t="s">
        <v>81</v>
      </c>
      <c r="F203" s="381">
        <f>spandlerbthpremcuppts</f>
        <v>5</v>
      </c>
    </row>
    <row r="204" spans="1:6" ht="14.95" customHeight="1" thickBot="1" x14ac:dyDescent="0.3">
      <c r="A204" s="375" t="s">
        <v>1074</v>
      </c>
      <c r="B204" s="366" t="s">
        <v>309</v>
      </c>
      <c r="C204" s="378">
        <f>westsarpremcuptries</f>
        <v>1</v>
      </c>
      <c r="D204" s="389" t="s">
        <v>734</v>
      </c>
      <c r="E204" s="389" t="s">
        <v>309</v>
      </c>
      <c r="F204" s="384">
        <f>spinksarpremcuppts</f>
        <v>5</v>
      </c>
    </row>
    <row r="205" spans="1:6" ht="14.95" customHeight="1" thickBot="1" x14ac:dyDescent="0.3">
      <c r="A205" s="375" t="s">
        <v>302</v>
      </c>
      <c r="B205" s="374" t="s">
        <v>527</v>
      </c>
      <c r="C205" s="378">
        <f>whiteleyleipremcuptries</f>
        <v>1</v>
      </c>
      <c r="D205" s="389" t="s">
        <v>1042</v>
      </c>
      <c r="E205" s="389" t="s">
        <v>87</v>
      </c>
      <c r="F205" s="381">
        <f>Staplesharpremcuppts</f>
        <v>5</v>
      </c>
    </row>
    <row r="206" spans="1:6" ht="14.95" customHeight="1" thickBot="1" x14ac:dyDescent="0.3">
      <c r="A206" s="375" t="s">
        <v>670</v>
      </c>
      <c r="B206" s="374" t="s">
        <v>527</v>
      </c>
      <c r="C206" s="379">
        <f>williamsleipremcuptries</f>
        <v>1</v>
      </c>
      <c r="D206" s="390" t="s">
        <v>562</v>
      </c>
      <c r="E206" s="390" t="s">
        <v>527</v>
      </c>
      <c r="F206" s="381">
        <f>theobaldthomasleipremcuppts</f>
        <v>5</v>
      </c>
    </row>
    <row r="207" spans="1:6" ht="14.95" customHeight="1" thickBot="1" x14ac:dyDescent="0.3">
      <c r="A207" s="375" t="s">
        <v>518</v>
      </c>
      <c r="B207" s="366" t="s">
        <v>309</v>
      </c>
      <c r="C207" s="378">
        <f>willissarpremcuptries</f>
        <v>1</v>
      </c>
      <c r="D207" s="389" t="s">
        <v>1030</v>
      </c>
      <c r="E207" s="389" t="s">
        <v>80</v>
      </c>
      <c r="F207" s="381">
        <f>thomasalpremcuppts</f>
        <v>5</v>
      </c>
    </row>
    <row r="208" spans="1:6" ht="14.95" customHeight="1" thickBot="1" x14ac:dyDescent="0.3">
      <c r="A208" s="375" t="s">
        <v>1027</v>
      </c>
      <c r="B208" s="366" t="s">
        <v>80</v>
      </c>
      <c r="C208" s="379">
        <f>wilsonsalpremcuptries</f>
        <v>1</v>
      </c>
      <c r="D208" s="389" t="s">
        <v>133</v>
      </c>
      <c r="E208" s="389" t="s">
        <v>79</v>
      </c>
      <c r="F208" s="381">
        <f>thorleyglopremcuppts</f>
        <v>5</v>
      </c>
    </row>
    <row r="209" spans="1:6" ht="14.95" customHeight="1" thickBot="1" x14ac:dyDescent="0.3">
      <c r="A209" s="375" t="s">
        <v>1106</v>
      </c>
      <c r="B209" s="366" t="s">
        <v>81</v>
      </c>
      <c r="C209" s="378">
        <f>wintersbthpremcuptriees</f>
        <v>1</v>
      </c>
      <c r="D209" s="390" t="s">
        <v>798</v>
      </c>
      <c r="E209" s="390" t="s">
        <v>527</v>
      </c>
      <c r="F209" s="381">
        <f>threlfallleipremcuppts</f>
        <v>5</v>
      </c>
    </row>
    <row r="210" spans="1:6" ht="14.95" customHeight="1" thickBot="1" x14ac:dyDescent="0.3">
      <c r="A210" s="375" t="s">
        <v>137</v>
      </c>
      <c r="B210" s="366" t="s">
        <v>88</v>
      </c>
      <c r="C210" s="378">
        <f>woodburnexepremcuptries</f>
        <v>1</v>
      </c>
      <c r="D210" s="389" t="s">
        <v>134</v>
      </c>
      <c r="E210" s="389" t="s">
        <v>87</v>
      </c>
      <c r="F210" s="381">
        <f>townsendharpremcuppts</f>
        <v>5</v>
      </c>
    </row>
    <row r="211" spans="1:6" ht="14.95" customHeight="1" thickBot="1" x14ac:dyDescent="0.3">
      <c r="A211" s="375" t="s">
        <v>715</v>
      </c>
      <c r="B211" s="366" t="s">
        <v>90</v>
      </c>
      <c r="C211" s="378">
        <f>Worsleybripremcuptries</f>
        <v>1</v>
      </c>
      <c r="D211" s="390" t="s">
        <v>1109</v>
      </c>
      <c r="E211" s="389" t="s">
        <v>87</v>
      </c>
      <c r="F211" s="381">
        <f>treadwellharpremcuppts</f>
        <v>5</v>
      </c>
    </row>
    <row r="212" spans="1:6" ht="14.95" customHeight="1" thickBot="1" x14ac:dyDescent="0.3">
      <c r="A212" s="375" t="s">
        <v>714</v>
      </c>
      <c r="B212" s="366" t="s">
        <v>82</v>
      </c>
      <c r="C212" s="378">
        <f>wrightnorpremcuptries</f>
        <v>1</v>
      </c>
      <c r="D212" s="389" t="s">
        <v>1103</v>
      </c>
      <c r="E212" s="389" t="s">
        <v>82</v>
      </c>
      <c r="F212" s="381">
        <f>ulcoqnorpremcuppts</f>
        <v>5</v>
      </c>
    </row>
    <row r="213" spans="1:6" ht="14.95" customHeight="1" thickBot="1" x14ac:dyDescent="0.3">
      <c r="A213" s="375" t="s">
        <v>1101</v>
      </c>
      <c r="B213" s="366" t="s">
        <v>87</v>
      </c>
      <c r="C213" s="378">
        <f>Yendleharpremcuptries</f>
        <v>1</v>
      </c>
      <c r="D213" s="389" t="s">
        <v>324</v>
      </c>
      <c r="E213" s="389" t="s">
        <v>309</v>
      </c>
      <c r="F213" s="381">
        <f>vanzylsarpremcuppts</f>
        <v>5</v>
      </c>
    </row>
    <row r="214" spans="1:6" ht="14.95" customHeight="1" thickBot="1" x14ac:dyDescent="0.3">
      <c r="A214" s="375" t="s">
        <v>792</v>
      </c>
      <c r="B214" s="366" t="s">
        <v>79</v>
      </c>
      <c r="C214" s="378">
        <v>0</v>
      </c>
      <c r="D214" s="389" t="s">
        <v>202</v>
      </c>
      <c r="E214" s="389" t="s">
        <v>88</v>
      </c>
      <c r="F214" s="381">
        <f>varneyexepremcuppts</f>
        <v>5</v>
      </c>
    </row>
    <row r="215" spans="1:6" ht="14.95" customHeight="1" thickBot="1" x14ac:dyDescent="0.3">
      <c r="A215" s="375" t="s">
        <v>716</v>
      </c>
      <c r="B215" s="366" t="s">
        <v>80</v>
      </c>
      <c r="C215" s="378">
        <v>0</v>
      </c>
      <c r="D215" s="389" t="s">
        <v>521</v>
      </c>
      <c r="E215" s="389" t="s">
        <v>88</v>
      </c>
      <c r="F215" s="381">
        <f>vintcentexepremcuppts</f>
        <v>5</v>
      </c>
    </row>
    <row r="216" spans="1:6" ht="14.95" customHeight="1" thickBot="1" x14ac:dyDescent="0.3">
      <c r="A216" s="375" t="s">
        <v>841</v>
      </c>
      <c r="B216" s="366" t="s">
        <v>79</v>
      </c>
      <c r="C216" s="378">
        <v>0</v>
      </c>
      <c r="D216" s="390" t="s">
        <v>822</v>
      </c>
      <c r="E216" s="390" t="s">
        <v>82</v>
      </c>
      <c r="F216" s="381">
        <f>walkernorpremcuppts</f>
        <v>5</v>
      </c>
    </row>
    <row r="217" spans="1:6" ht="14.95" customHeight="1" thickBot="1" x14ac:dyDescent="0.3">
      <c r="A217" s="368" t="s">
        <v>726</v>
      </c>
      <c r="B217" s="374" t="s">
        <v>80</v>
      </c>
      <c r="C217" s="378">
        <v>0</v>
      </c>
      <c r="D217" s="389" t="s">
        <v>1080</v>
      </c>
      <c r="E217" s="389" t="s">
        <v>80</v>
      </c>
      <c r="F217" s="381">
        <f>Wehrsalpremcuppts</f>
        <v>5</v>
      </c>
    </row>
    <row r="218" spans="1:6" ht="14.95" customHeight="1" thickBot="1" x14ac:dyDescent="0.3">
      <c r="A218" s="375" t="s">
        <v>101</v>
      </c>
      <c r="B218" s="366" t="s">
        <v>81</v>
      </c>
      <c r="C218" s="378">
        <v>0</v>
      </c>
      <c r="D218" s="389" t="s">
        <v>1074</v>
      </c>
      <c r="E218" s="389" t="s">
        <v>309</v>
      </c>
      <c r="F218" s="381">
        <f>westsarpremcuppts</f>
        <v>5</v>
      </c>
    </row>
    <row r="219" spans="1:6" ht="14.95" customHeight="1" thickBot="1" x14ac:dyDescent="0.3">
      <c r="A219" s="375" t="s">
        <v>396</v>
      </c>
      <c r="B219" s="366" t="s">
        <v>87</v>
      </c>
      <c r="C219" s="378">
        <v>0</v>
      </c>
      <c r="D219" s="389" t="s">
        <v>670</v>
      </c>
      <c r="E219" s="389" t="s">
        <v>527</v>
      </c>
      <c r="F219" s="381">
        <f>williamsleipremcuppts</f>
        <v>5</v>
      </c>
    </row>
    <row r="220" spans="1:6" ht="14.95" customHeight="1" thickBot="1" x14ac:dyDescent="0.3">
      <c r="A220" s="375" t="s">
        <v>512</v>
      </c>
      <c r="B220" s="366" t="s">
        <v>88</v>
      </c>
      <c r="C220" s="378">
        <v>0</v>
      </c>
      <c r="D220" s="389" t="s">
        <v>518</v>
      </c>
      <c r="E220" s="389" t="s">
        <v>309</v>
      </c>
      <c r="F220" s="381">
        <f>willissarpremcuppts</f>
        <v>5</v>
      </c>
    </row>
    <row r="221" spans="1:6" ht="14.95" customHeight="1" thickBot="1" x14ac:dyDescent="0.3">
      <c r="A221" s="375" t="s">
        <v>695</v>
      </c>
      <c r="B221" s="366" t="s">
        <v>889</v>
      </c>
      <c r="C221" s="378">
        <v>0</v>
      </c>
      <c r="D221" s="389" t="s">
        <v>1027</v>
      </c>
      <c r="E221" s="389" t="s">
        <v>80</v>
      </c>
      <c r="F221" s="381">
        <f>wilsonsalpremcuppts</f>
        <v>5</v>
      </c>
    </row>
    <row r="222" spans="1:6" ht="14.95" customHeight="1" thickBot="1" x14ac:dyDescent="0.3">
      <c r="A222" s="375" t="s">
        <v>651</v>
      </c>
      <c r="B222" s="366" t="s">
        <v>87</v>
      </c>
      <c r="C222" s="378">
        <v>0</v>
      </c>
      <c r="D222" s="389" t="s">
        <v>1106</v>
      </c>
      <c r="E222" s="389" t="s">
        <v>81</v>
      </c>
      <c r="F222" s="381">
        <f>wintersbthpremcuppts</f>
        <v>5</v>
      </c>
    </row>
    <row r="223" spans="1:6" ht="14.95" customHeight="1" thickBot="1" x14ac:dyDescent="0.3">
      <c r="A223" s="375" t="s">
        <v>368</v>
      </c>
      <c r="B223" s="366" t="s">
        <v>79</v>
      </c>
      <c r="C223" s="378">
        <v>0</v>
      </c>
      <c r="D223" s="389" t="s">
        <v>137</v>
      </c>
      <c r="E223" s="389" t="s">
        <v>88</v>
      </c>
      <c r="F223" s="381">
        <f>woodburnexepremcuppts</f>
        <v>5</v>
      </c>
    </row>
    <row r="224" spans="1:6" ht="14.95" customHeight="1" thickBot="1" x14ac:dyDescent="0.3">
      <c r="A224" s="375" t="s">
        <v>438</v>
      </c>
      <c r="B224" s="366" t="s">
        <v>90</v>
      </c>
      <c r="C224" s="378">
        <v>0</v>
      </c>
      <c r="D224" s="390" t="s">
        <v>714</v>
      </c>
      <c r="E224" s="390" t="s">
        <v>82</v>
      </c>
      <c r="F224" s="381">
        <f>wrightnorpremcuppts</f>
        <v>5</v>
      </c>
    </row>
    <row r="225" spans="1:6" ht="14.95" customHeight="1" thickBot="1" x14ac:dyDescent="0.3">
      <c r="A225" s="375" t="s">
        <v>671</v>
      </c>
      <c r="B225" s="366" t="s">
        <v>889</v>
      </c>
      <c r="C225" s="378">
        <v>0</v>
      </c>
      <c r="D225" s="389" t="s">
        <v>1101</v>
      </c>
      <c r="E225" s="389" t="s">
        <v>87</v>
      </c>
      <c r="F225" s="381">
        <f>Yendleharpremcuppts</f>
        <v>5</v>
      </c>
    </row>
    <row r="226" spans="1:6" ht="14.95" customHeight="1" thickBot="1" x14ac:dyDescent="0.3">
      <c r="A226" s="375" t="s">
        <v>772</v>
      </c>
      <c r="B226" s="366" t="s">
        <v>82</v>
      </c>
      <c r="C226" s="378">
        <v>0</v>
      </c>
      <c r="D226" s="389" t="s">
        <v>763</v>
      </c>
      <c r="E226" s="389" t="s">
        <v>889</v>
      </c>
      <c r="F226" s="381">
        <f>graysonenrbpremcuppts</f>
        <v>4</v>
      </c>
    </row>
    <row r="227" spans="1:6" ht="14.95" customHeight="1" thickBot="1" x14ac:dyDescent="0.3">
      <c r="A227" s="375" t="s">
        <v>740</v>
      </c>
      <c r="B227" s="366" t="s">
        <v>309</v>
      </c>
      <c r="C227" s="378">
        <v>0</v>
      </c>
      <c r="D227" s="389" t="s">
        <v>1019</v>
      </c>
      <c r="E227" s="389" t="s">
        <v>90</v>
      </c>
      <c r="F227" s="381">
        <f>westonbripremcuppts</f>
        <v>4</v>
      </c>
    </row>
    <row r="228" spans="1:6" ht="14.95" customHeight="1" thickBot="1" x14ac:dyDescent="0.3">
      <c r="A228" s="375" t="s">
        <v>504</v>
      </c>
      <c r="B228" s="366" t="s">
        <v>81</v>
      </c>
      <c r="C228" s="378">
        <v>0</v>
      </c>
      <c r="D228" s="389" t="s">
        <v>180</v>
      </c>
      <c r="E228" s="389" t="s">
        <v>90</v>
      </c>
      <c r="F228" s="381">
        <f>williamsbripremcuppts</f>
        <v>4</v>
      </c>
    </row>
    <row r="229" spans="1:6" ht="14.95" customHeight="1" thickBot="1" x14ac:dyDescent="0.3">
      <c r="A229" s="375" t="s">
        <v>592</v>
      </c>
      <c r="B229" s="366" t="s">
        <v>90</v>
      </c>
      <c r="C229" s="378">
        <v>0</v>
      </c>
      <c r="D229" s="389" t="s">
        <v>1036</v>
      </c>
      <c r="E229" s="389" t="s">
        <v>88</v>
      </c>
      <c r="F229" s="381">
        <f>Coenexepremcuppts</f>
        <v>3</v>
      </c>
    </row>
    <row r="230" spans="1:6" ht="14.95" customHeight="1" thickBot="1" x14ac:dyDescent="0.3">
      <c r="A230" s="375" t="s">
        <v>170</v>
      </c>
      <c r="B230" s="375" t="s">
        <v>79</v>
      </c>
      <c r="C230" s="378">
        <f>bartonglopremcuptries</f>
        <v>0</v>
      </c>
      <c r="D230" s="389" t="s">
        <v>873</v>
      </c>
      <c r="E230" s="389" t="s">
        <v>527</v>
      </c>
      <c r="F230" s="381">
        <f>woodwardleipremcuppts</f>
        <v>3</v>
      </c>
    </row>
    <row r="231" spans="1:6" ht="14.95" customHeight="1" thickBot="1" x14ac:dyDescent="0.3">
      <c r="A231" s="375" t="s">
        <v>515</v>
      </c>
      <c r="B231" s="368" t="s">
        <v>527</v>
      </c>
      <c r="C231" s="378">
        <v>0</v>
      </c>
      <c r="D231" s="389" t="s">
        <v>992</v>
      </c>
      <c r="E231" s="389" t="s">
        <v>889</v>
      </c>
      <c r="F231" s="381">
        <f>chamberlainnrbpremcuppts</f>
        <v>2</v>
      </c>
    </row>
    <row r="232" spans="1:6" ht="14.95" customHeight="1" thickBot="1" x14ac:dyDescent="0.3">
      <c r="A232" s="368" t="s">
        <v>183</v>
      </c>
      <c r="B232" s="368" t="s">
        <v>90</v>
      </c>
      <c r="C232" s="378">
        <v>0</v>
      </c>
      <c r="D232" s="389" t="s">
        <v>508</v>
      </c>
      <c r="E232" s="389" t="s">
        <v>87</v>
      </c>
      <c r="F232" s="381">
        <f>Evans_Jharpremcuppts</f>
        <v>2</v>
      </c>
    </row>
    <row r="233" spans="1:6" ht="14.95" customHeight="1" thickBot="1" x14ac:dyDescent="0.3">
      <c r="A233" s="375" t="s">
        <v>282</v>
      </c>
      <c r="B233" s="375" t="s">
        <v>90</v>
      </c>
      <c r="C233" s="378">
        <v>0</v>
      </c>
      <c r="D233" s="389" t="s">
        <v>891</v>
      </c>
      <c r="E233" s="389" t="s">
        <v>87</v>
      </c>
      <c r="F233" s="381">
        <f>kerrharpremcuppts</f>
        <v>2</v>
      </c>
    </row>
    <row r="234" spans="1:6" ht="14.95" customHeight="1" thickBot="1" x14ac:dyDescent="0.3">
      <c r="A234" s="375" t="s">
        <v>473</v>
      </c>
      <c r="B234" s="375" t="s">
        <v>87</v>
      </c>
      <c r="C234" s="378">
        <v>0</v>
      </c>
      <c r="D234" s="389" t="s">
        <v>792</v>
      </c>
      <c r="E234" s="389" t="s">
        <v>79</v>
      </c>
      <c r="F234" s="381">
        <v>0</v>
      </c>
    </row>
    <row r="235" spans="1:6" ht="14.95" customHeight="1" thickBot="1" x14ac:dyDescent="0.3">
      <c r="A235" s="375" t="s">
        <v>102</v>
      </c>
      <c r="B235" s="375" t="s">
        <v>81</v>
      </c>
      <c r="C235" s="378">
        <v>0</v>
      </c>
      <c r="D235" s="389" t="s">
        <v>716</v>
      </c>
      <c r="E235" s="389" t="s">
        <v>80</v>
      </c>
      <c r="F235" s="381">
        <v>0</v>
      </c>
    </row>
    <row r="236" spans="1:6" ht="14.95" customHeight="1" thickBot="1" x14ac:dyDescent="0.3">
      <c r="A236" s="368" t="s">
        <v>358</v>
      </c>
      <c r="B236" s="368" t="s">
        <v>87</v>
      </c>
      <c r="C236" s="378">
        <v>0</v>
      </c>
      <c r="D236" s="390" t="s">
        <v>841</v>
      </c>
      <c r="E236" s="390" t="s">
        <v>79</v>
      </c>
      <c r="F236" s="381">
        <v>0</v>
      </c>
    </row>
    <row r="237" spans="1:6" ht="14.95" customHeight="1" thickBot="1" x14ac:dyDescent="0.3">
      <c r="A237" s="375" t="s">
        <v>103</v>
      </c>
      <c r="B237" s="375" t="s">
        <v>80</v>
      </c>
      <c r="C237" s="379">
        <v>0</v>
      </c>
      <c r="D237" s="389" t="s">
        <v>726</v>
      </c>
      <c r="E237" s="389" t="s">
        <v>80</v>
      </c>
      <c r="F237" s="381">
        <v>0</v>
      </c>
    </row>
    <row r="238" spans="1:6" ht="14.95" customHeight="1" thickBot="1" x14ac:dyDescent="0.3">
      <c r="A238" s="375" t="s">
        <v>425</v>
      </c>
      <c r="B238" s="375" t="s">
        <v>88</v>
      </c>
      <c r="C238" s="378">
        <v>0</v>
      </c>
      <c r="D238" s="390" t="s">
        <v>101</v>
      </c>
      <c r="E238" s="390" t="s">
        <v>81</v>
      </c>
      <c r="F238" s="381">
        <v>0</v>
      </c>
    </row>
    <row r="239" spans="1:6" ht="14.95" customHeight="1" thickBot="1" x14ac:dyDescent="0.3">
      <c r="A239" s="375" t="s">
        <v>150</v>
      </c>
      <c r="B239" s="375" t="s">
        <v>80</v>
      </c>
      <c r="C239" s="379">
        <v>0</v>
      </c>
      <c r="D239" s="390" t="s">
        <v>396</v>
      </c>
      <c r="E239" s="390" t="s">
        <v>87</v>
      </c>
      <c r="F239" s="381">
        <v>0</v>
      </c>
    </row>
    <row r="240" spans="1:6" ht="14.95" customHeight="1" thickBot="1" x14ac:dyDescent="0.3">
      <c r="A240" s="375" t="s">
        <v>630</v>
      </c>
      <c r="B240" s="375" t="s">
        <v>88</v>
      </c>
      <c r="C240" s="378">
        <v>0</v>
      </c>
      <c r="D240" s="389" t="s">
        <v>512</v>
      </c>
      <c r="E240" s="389" t="s">
        <v>88</v>
      </c>
      <c r="F240" s="381">
        <v>0</v>
      </c>
    </row>
    <row r="241" spans="1:6" ht="14.95" customHeight="1" thickBot="1" x14ac:dyDescent="0.3">
      <c r="A241" s="368" t="s">
        <v>548</v>
      </c>
      <c r="B241" s="368" t="s">
        <v>889</v>
      </c>
      <c r="C241" s="378">
        <v>0</v>
      </c>
      <c r="D241" s="389" t="s">
        <v>695</v>
      </c>
      <c r="E241" s="389" t="s">
        <v>889</v>
      </c>
      <c r="F241" s="381">
        <v>0</v>
      </c>
    </row>
    <row r="242" spans="1:6" ht="14.95" customHeight="1" thickBot="1" x14ac:dyDescent="0.3">
      <c r="A242" s="376" t="s">
        <v>354</v>
      </c>
      <c r="B242" s="376" t="s">
        <v>80</v>
      </c>
      <c r="C242" s="379">
        <v>0</v>
      </c>
      <c r="D242" s="389" t="s">
        <v>651</v>
      </c>
      <c r="E242" s="389" t="s">
        <v>87</v>
      </c>
      <c r="F242" s="381">
        <v>0</v>
      </c>
    </row>
    <row r="243" spans="1:6" ht="14.95" customHeight="1" thickBot="1" x14ac:dyDescent="0.3">
      <c r="A243" s="376" t="s">
        <v>238</v>
      </c>
      <c r="B243" s="376" t="s">
        <v>889</v>
      </c>
      <c r="C243" s="379">
        <v>0</v>
      </c>
      <c r="D243" s="389" t="s">
        <v>368</v>
      </c>
      <c r="E243" s="389" t="s">
        <v>79</v>
      </c>
      <c r="F243" s="381">
        <v>0</v>
      </c>
    </row>
    <row r="244" spans="1:6" ht="14.95" customHeight="1" thickBot="1" x14ac:dyDescent="0.3">
      <c r="A244" s="375" t="s">
        <v>739</v>
      </c>
      <c r="B244" s="375" t="s">
        <v>309</v>
      </c>
      <c r="C244" s="378">
        <v>0</v>
      </c>
      <c r="D244" s="389" t="s">
        <v>438</v>
      </c>
      <c r="E244" s="389" t="s">
        <v>90</v>
      </c>
      <c r="F244" s="381">
        <v>0</v>
      </c>
    </row>
    <row r="245" spans="1:6" ht="14.95" customHeight="1" thickBot="1" x14ac:dyDescent="0.3">
      <c r="A245" s="375" t="s">
        <v>746</v>
      </c>
      <c r="B245" s="375" t="s">
        <v>309</v>
      </c>
      <c r="C245" s="378">
        <v>0</v>
      </c>
      <c r="D245" s="386" t="s">
        <v>671</v>
      </c>
      <c r="E245" s="386" t="s">
        <v>889</v>
      </c>
      <c r="F245" s="381">
        <v>0</v>
      </c>
    </row>
    <row r="246" spans="1:6" ht="14.95" customHeight="1" thickBot="1" x14ac:dyDescent="0.3">
      <c r="A246" s="375" t="s">
        <v>240</v>
      </c>
      <c r="B246" s="375" t="s">
        <v>889</v>
      </c>
      <c r="C246" s="378">
        <v>0</v>
      </c>
      <c r="D246" s="386" t="s">
        <v>772</v>
      </c>
      <c r="E246" s="386" t="s">
        <v>82</v>
      </c>
      <c r="F246" s="381">
        <v>0</v>
      </c>
    </row>
    <row r="247" spans="1:6" ht="14.95" customHeight="1" thickBot="1" x14ac:dyDescent="0.3">
      <c r="A247" s="375" t="s">
        <v>526</v>
      </c>
      <c r="B247" s="375" t="s">
        <v>889</v>
      </c>
      <c r="C247" s="378">
        <v>0</v>
      </c>
      <c r="D247" s="386" t="s">
        <v>740</v>
      </c>
      <c r="E247" s="386" t="s">
        <v>309</v>
      </c>
      <c r="F247" s="381">
        <v>0</v>
      </c>
    </row>
    <row r="248" spans="1:6" ht="14.95" customHeight="1" thickBot="1" x14ac:dyDescent="0.3">
      <c r="A248" s="366" t="s">
        <v>104</v>
      </c>
      <c r="B248" s="374" t="s">
        <v>527</v>
      </c>
      <c r="C248" s="378">
        <v>0</v>
      </c>
      <c r="D248" s="386" t="s">
        <v>504</v>
      </c>
      <c r="E248" s="386" t="s">
        <v>81</v>
      </c>
      <c r="F248" s="381">
        <v>0</v>
      </c>
    </row>
    <row r="249" spans="1:6" ht="14.95" customHeight="1" thickBot="1" x14ac:dyDescent="0.3">
      <c r="A249" s="366" t="s">
        <v>736</v>
      </c>
      <c r="B249" s="366" t="s">
        <v>309</v>
      </c>
      <c r="C249" s="378">
        <v>0</v>
      </c>
      <c r="D249" s="386" t="s">
        <v>592</v>
      </c>
      <c r="E249" s="386" t="s">
        <v>90</v>
      </c>
      <c r="F249" s="391">
        <v>0</v>
      </c>
    </row>
    <row r="250" spans="1:6" ht="14.95" customHeight="1" thickBot="1" x14ac:dyDescent="0.3">
      <c r="A250" s="366" t="s">
        <v>811</v>
      </c>
      <c r="B250" s="366" t="s">
        <v>80</v>
      </c>
      <c r="C250" s="378">
        <v>0</v>
      </c>
      <c r="D250" s="386" t="s">
        <v>515</v>
      </c>
      <c r="E250" s="386" t="s">
        <v>527</v>
      </c>
      <c r="F250" s="391">
        <v>0</v>
      </c>
    </row>
    <row r="251" spans="1:6" ht="14.95" customHeight="1" thickBot="1" x14ac:dyDescent="0.3">
      <c r="A251" s="366" t="s">
        <v>825</v>
      </c>
      <c r="B251" s="366" t="s">
        <v>79</v>
      </c>
      <c r="C251" s="378">
        <v>0</v>
      </c>
      <c r="D251" s="387" t="s">
        <v>183</v>
      </c>
      <c r="E251" s="387" t="s">
        <v>90</v>
      </c>
      <c r="F251" s="391">
        <v>0</v>
      </c>
    </row>
    <row r="252" spans="1:6" ht="14.95" customHeight="1" thickBot="1" x14ac:dyDescent="0.3">
      <c r="A252" s="366" t="s">
        <v>821</v>
      </c>
      <c r="B252" s="366" t="s">
        <v>90</v>
      </c>
      <c r="C252" s="378">
        <v>0</v>
      </c>
      <c r="D252" s="387" t="s">
        <v>282</v>
      </c>
      <c r="E252" s="387" t="s">
        <v>90</v>
      </c>
      <c r="F252" s="391">
        <v>0</v>
      </c>
    </row>
    <row r="253" spans="1:6" ht="14.95" customHeight="1" thickBot="1" x14ac:dyDescent="0.3">
      <c r="A253" s="366" t="s">
        <v>880</v>
      </c>
      <c r="B253" s="366" t="s">
        <v>79</v>
      </c>
      <c r="C253" s="378">
        <f>byrneglopremcuptries</f>
        <v>0</v>
      </c>
      <c r="D253" s="386" t="s">
        <v>473</v>
      </c>
      <c r="E253" s="386" t="s">
        <v>87</v>
      </c>
      <c r="F253" s="271">
        <v>0</v>
      </c>
    </row>
    <row r="254" spans="1:6" ht="14.95" customHeight="1" thickBot="1" x14ac:dyDescent="0.3">
      <c r="A254" s="366" t="s">
        <v>471</v>
      </c>
      <c r="B254" s="366" t="s">
        <v>88</v>
      </c>
      <c r="C254" s="378">
        <v>0</v>
      </c>
      <c r="D254" s="386" t="s">
        <v>102</v>
      </c>
      <c r="E254" s="386" t="s">
        <v>81</v>
      </c>
      <c r="F254" s="391">
        <v>0</v>
      </c>
    </row>
    <row r="255" spans="1:6" ht="14.95" customHeight="1" thickBot="1" x14ac:dyDescent="0.3">
      <c r="A255" s="366" t="s">
        <v>185</v>
      </c>
      <c r="B255" s="366" t="s">
        <v>90</v>
      </c>
      <c r="C255" s="378">
        <v>0</v>
      </c>
      <c r="D255" s="386" t="s">
        <v>358</v>
      </c>
      <c r="E255" s="386" t="s">
        <v>87</v>
      </c>
      <c r="F255" s="391">
        <v>0</v>
      </c>
    </row>
    <row r="256" spans="1:6" ht="14.95" customHeight="1" thickBot="1" x14ac:dyDescent="0.3">
      <c r="A256" s="366" t="s">
        <v>154</v>
      </c>
      <c r="B256" s="366" t="s">
        <v>88</v>
      </c>
      <c r="C256" s="378">
        <v>0</v>
      </c>
      <c r="D256" s="386" t="s">
        <v>103</v>
      </c>
      <c r="E256" s="386" t="s">
        <v>80</v>
      </c>
      <c r="F256" s="391">
        <v>0</v>
      </c>
    </row>
    <row r="257" spans="1:6" ht="14.95" customHeight="1" thickBot="1" x14ac:dyDescent="0.3">
      <c r="A257" s="366" t="s">
        <v>850</v>
      </c>
      <c r="B257" s="374" t="s">
        <v>527</v>
      </c>
      <c r="C257" s="378">
        <v>0</v>
      </c>
      <c r="D257" s="386" t="s">
        <v>425</v>
      </c>
      <c r="E257" s="386" t="s">
        <v>88</v>
      </c>
      <c r="F257" s="391">
        <v>0</v>
      </c>
    </row>
    <row r="258" spans="1:6" ht="14.95" customHeight="1" thickBot="1" x14ac:dyDescent="0.3">
      <c r="A258" s="374" t="s">
        <v>384</v>
      </c>
      <c r="B258" s="374" t="s">
        <v>80</v>
      </c>
      <c r="C258" s="378">
        <v>0</v>
      </c>
      <c r="D258" s="386" t="s">
        <v>150</v>
      </c>
      <c r="E258" s="386" t="s">
        <v>80</v>
      </c>
      <c r="F258" s="391">
        <v>0</v>
      </c>
    </row>
    <row r="259" spans="1:6" ht="14.95" customHeight="1" thickBot="1" x14ac:dyDescent="0.3">
      <c r="A259" s="366" t="s">
        <v>413</v>
      </c>
      <c r="B259" s="366" t="s">
        <v>87</v>
      </c>
      <c r="C259" s="378">
        <v>0</v>
      </c>
      <c r="D259" s="386" t="s">
        <v>630</v>
      </c>
      <c r="E259" s="386" t="s">
        <v>88</v>
      </c>
      <c r="F259" s="391">
        <v>0</v>
      </c>
    </row>
    <row r="260" spans="1:6" ht="14.95" customHeight="1" thickBot="1" x14ac:dyDescent="0.3">
      <c r="A260" s="366" t="s">
        <v>743</v>
      </c>
      <c r="B260" s="366" t="s">
        <v>309</v>
      </c>
      <c r="C260" s="378">
        <v>0</v>
      </c>
      <c r="D260" s="386" t="s">
        <v>548</v>
      </c>
      <c r="E260" s="386" t="s">
        <v>889</v>
      </c>
      <c r="F260" s="391">
        <v>0</v>
      </c>
    </row>
    <row r="261" spans="1:6" ht="14.95" customHeight="1" thickBot="1" x14ac:dyDescent="0.3">
      <c r="A261" s="366" t="s">
        <v>992</v>
      </c>
      <c r="B261" s="366" t="s">
        <v>889</v>
      </c>
      <c r="C261" s="378">
        <f>chamberlainnrbpremcuptries</f>
        <v>0</v>
      </c>
      <c r="D261" s="388" t="s">
        <v>354</v>
      </c>
      <c r="E261" s="388" t="s">
        <v>80</v>
      </c>
      <c r="F261" s="391">
        <v>0</v>
      </c>
    </row>
    <row r="262" spans="1:6" ht="14.95" customHeight="1" thickBot="1" x14ac:dyDescent="0.3">
      <c r="A262" s="366" t="s">
        <v>148</v>
      </c>
      <c r="B262" s="366" t="s">
        <v>79</v>
      </c>
      <c r="C262" s="378">
        <v>0</v>
      </c>
      <c r="D262" s="388" t="s">
        <v>238</v>
      </c>
      <c r="E262" s="388" t="s">
        <v>889</v>
      </c>
      <c r="F262" s="392">
        <v>0</v>
      </c>
    </row>
    <row r="263" spans="1:6" ht="14.95" customHeight="1" thickBot="1" x14ac:dyDescent="0.3">
      <c r="A263" s="366" t="s">
        <v>589</v>
      </c>
      <c r="B263" s="366" t="s">
        <v>90</v>
      </c>
      <c r="C263" s="378">
        <v>0</v>
      </c>
      <c r="D263" s="386" t="s">
        <v>739</v>
      </c>
      <c r="E263" s="386" t="s">
        <v>309</v>
      </c>
      <c r="F263" s="392">
        <v>0</v>
      </c>
    </row>
    <row r="264" spans="1:6" ht="14.95" customHeight="1" thickBot="1" x14ac:dyDescent="0.3">
      <c r="A264" s="366" t="s">
        <v>403</v>
      </c>
      <c r="B264" s="374" t="s">
        <v>527</v>
      </c>
      <c r="C264" s="379">
        <v>0</v>
      </c>
      <c r="D264" s="386" t="s">
        <v>746</v>
      </c>
      <c r="E264" s="386" t="s">
        <v>309</v>
      </c>
      <c r="F264" s="392">
        <v>0</v>
      </c>
    </row>
    <row r="265" spans="1:6" ht="14.95" customHeight="1" thickBot="1" x14ac:dyDescent="0.3">
      <c r="A265" s="370" t="s">
        <v>277</v>
      </c>
      <c r="B265" s="374" t="s">
        <v>527</v>
      </c>
      <c r="C265" s="379">
        <v>0</v>
      </c>
      <c r="D265" s="386" t="s">
        <v>240</v>
      </c>
      <c r="E265" s="386" t="s">
        <v>889</v>
      </c>
      <c r="F265" s="392">
        <v>0</v>
      </c>
    </row>
    <row r="266" spans="1:6" ht="14.95" customHeight="1" thickBot="1" x14ac:dyDescent="0.3">
      <c r="A266" s="366" t="s">
        <v>84</v>
      </c>
      <c r="B266" s="366" t="s">
        <v>87</v>
      </c>
      <c r="C266" s="378">
        <v>0</v>
      </c>
      <c r="D266" s="386" t="s">
        <v>526</v>
      </c>
      <c r="E266" s="386" t="s">
        <v>889</v>
      </c>
      <c r="F266" s="392">
        <v>0</v>
      </c>
    </row>
    <row r="267" spans="1:6" ht="14.95" customHeight="1" thickBot="1" x14ac:dyDescent="0.3">
      <c r="A267" s="366" t="s">
        <v>1060</v>
      </c>
      <c r="B267" s="366" t="s">
        <v>889</v>
      </c>
      <c r="C267" s="378">
        <f>Christienrbpremcuptries</f>
        <v>0</v>
      </c>
      <c r="D267" s="386" t="s">
        <v>104</v>
      </c>
      <c r="E267" s="386" t="s">
        <v>527</v>
      </c>
      <c r="F267" s="392">
        <v>0</v>
      </c>
    </row>
    <row r="268" spans="1:6" ht="14.95" customHeight="1" thickBot="1" x14ac:dyDescent="0.3">
      <c r="A268" s="366" t="s">
        <v>538</v>
      </c>
      <c r="B268" s="366" t="s">
        <v>309</v>
      </c>
      <c r="C268" s="378">
        <v>0</v>
      </c>
      <c r="D268" s="386" t="s">
        <v>736</v>
      </c>
      <c r="E268" s="386" t="s">
        <v>309</v>
      </c>
      <c r="F268" s="392">
        <v>0</v>
      </c>
    </row>
    <row r="269" spans="1:6" ht="14.95" customHeight="1" thickBot="1" x14ac:dyDescent="0.3">
      <c r="A269" s="366" t="s">
        <v>310</v>
      </c>
      <c r="B269" s="366" t="s">
        <v>309</v>
      </c>
      <c r="C269" s="378">
        <v>0</v>
      </c>
      <c r="D269" s="387" t="s">
        <v>811</v>
      </c>
      <c r="E269" s="387" t="s">
        <v>80</v>
      </c>
      <c r="F269" s="381">
        <v>0</v>
      </c>
    </row>
    <row r="270" spans="1:6" ht="14.95" customHeight="1" thickBot="1" x14ac:dyDescent="0.3">
      <c r="A270" s="366" t="s">
        <v>427</v>
      </c>
      <c r="B270" s="366" t="s">
        <v>79</v>
      </c>
      <c r="C270" s="378">
        <v>0</v>
      </c>
      <c r="D270" s="386" t="s">
        <v>825</v>
      </c>
      <c r="E270" s="386" t="s">
        <v>79</v>
      </c>
      <c r="F270" s="391">
        <v>0</v>
      </c>
    </row>
    <row r="271" spans="1:6" ht="14.95" customHeight="1" thickBot="1" x14ac:dyDescent="0.3">
      <c r="A271" s="366" t="s">
        <v>105</v>
      </c>
      <c r="B271" s="366" t="s">
        <v>79</v>
      </c>
      <c r="C271" s="378">
        <v>0</v>
      </c>
      <c r="D271" s="386" t="s">
        <v>821</v>
      </c>
      <c r="E271" s="386" t="s">
        <v>90</v>
      </c>
      <c r="F271" s="381">
        <v>0</v>
      </c>
    </row>
    <row r="272" spans="1:6" ht="14.95" customHeight="1" thickBot="1" x14ac:dyDescent="0.3">
      <c r="A272" s="366" t="s">
        <v>662</v>
      </c>
      <c r="B272" s="374" t="s">
        <v>527</v>
      </c>
      <c r="C272" s="378">
        <v>0</v>
      </c>
      <c r="D272" s="386" t="s">
        <v>471</v>
      </c>
      <c r="E272" s="386" t="s">
        <v>88</v>
      </c>
      <c r="F272" s="381">
        <v>0</v>
      </c>
    </row>
    <row r="273" spans="1:6" ht="14.95" customHeight="1" thickBot="1" x14ac:dyDescent="0.3">
      <c r="A273" s="366" t="s">
        <v>333</v>
      </c>
      <c r="B273" s="366" t="s">
        <v>79</v>
      </c>
      <c r="C273" s="378">
        <v>0</v>
      </c>
      <c r="D273" s="386" t="s">
        <v>185</v>
      </c>
      <c r="E273" s="386" t="s">
        <v>90</v>
      </c>
      <c r="F273" s="381">
        <v>0</v>
      </c>
    </row>
    <row r="274" spans="1:6" ht="14.95" customHeight="1" thickBot="1" x14ac:dyDescent="0.3">
      <c r="A274" s="366" t="s">
        <v>1036</v>
      </c>
      <c r="B274" s="374" t="s">
        <v>88</v>
      </c>
      <c r="C274" s="378">
        <f>Coenexepremcuptries</f>
        <v>0</v>
      </c>
      <c r="D274" s="386" t="s">
        <v>154</v>
      </c>
      <c r="E274" s="386" t="s">
        <v>88</v>
      </c>
      <c r="F274" s="381">
        <v>0</v>
      </c>
    </row>
    <row r="275" spans="1:6" ht="14.95" customHeight="1" thickBot="1" x14ac:dyDescent="0.3">
      <c r="A275" s="366" t="s">
        <v>533</v>
      </c>
      <c r="B275" s="366" t="s">
        <v>81</v>
      </c>
      <c r="C275" s="378">
        <v>0</v>
      </c>
      <c r="D275" s="386" t="s">
        <v>850</v>
      </c>
      <c r="E275" s="386" t="s">
        <v>527</v>
      </c>
      <c r="F275" s="381">
        <v>0</v>
      </c>
    </row>
    <row r="276" spans="1:6" ht="14.95" customHeight="1" thickBot="1" x14ac:dyDescent="0.3">
      <c r="A276" s="366" t="s">
        <v>106</v>
      </c>
      <c r="B276" s="366" t="s">
        <v>81</v>
      </c>
      <c r="C276" s="378">
        <v>0</v>
      </c>
      <c r="D276" s="387" t="s">
        <v>384</v>
      </c>
      <c r="E276" s="386" t="s">
        <v>80</v>
      </c>
      <c r="F276" s="381">
        <v>0</v>
      </c>
    </row>
    <row r="277" spans="1:6" ht="14.95" customHeight="1" thickBot="1" x14ac:dyDescent="0.3">
      <c r="A277" s="366" t="s">
        <v>162</v>
      </c>
      <c r="B277" s="366" t="s">
        <v>82</v>
      </c>
      <c r="C277" s="380">
        <v>0</v>
      </c>
      <c r="D277" s="389" t="s">
        <v>413</v>
      </c>
      <c r="E277" s="389" t="s">
        <v>87</v>
      </c>
      <c r="F277" s="381">
        <v>0</v>
      </c>
    </row>
    <row r="278" spans="1:6" ht="14.95" customHeight="1" thickBot="1" x14ac:dyDescent="0.3">
      <c r="A278" s="374" t="s">
        <v>248</v>
      </c>
      <c r="B278" s="374" t="s">
        <v>889</v>
      </c>
      <c r="C278" s="380">
        <f>connonnrbpremcuptries</f>
        <v>0</v>
      </c>
      <c r="D278" s="389" t="s">
        <v>743</v>
      </c>
      <c r="E278" s="389" t="s">
        <v>309</v>
      </c>
      <c r="F278" s="381">
        <v>0</v>
      </c>
    </row>
    <row r="279" spans="1:6" ht="14.95" customHeight="1" thickBot="1" x14ac:dyDescent="0.3">
      <c r="A279" s="366" t="s">
        <v>674</v>
      </c>
      <c r="B279" s="366" t="s">
        <v>889</v>
      </c>
      <c r="C279" s="380">
        <v>0</v>
      </c>
      <c r="D279" s="389" t="s">
        <v>148</v>
      </c>
      <c r="E279" s="389" t="s">
        <v>79</v>
      </c>
      <c r="F279" s="381">
        <v>0</v>
      </c>
    </row>
    <row r="280" spans="1:6" ht="14.95" customHeight="1" thickBot="1" x14ac:dyDescent="0.3">
      <c r="A280" s="366" t="s">
        <v>799</v>
      </c>
      <c r="B280" s="366" t="s">
        <v>82</v>
      </c>
      <c r="C280" s="380">
        <v>0</v>
      </c>
      <c r="D280" s="389" t="s">
        <v>589</v>
      </c>
      <c r="E280" s="389" t="s">
        <v>90</v>
      </c>
      <c r="F280" s="381">
        <v>0</v>
      </c>
    </row>
    <row r="281" spans="1:6" ht="14.95" customHeight="1" thickBot="1" x14ac:dyDescent="0.3">
      <c r="A281" s="374" t="s">
        <v>539</v>
      </c>
      <c r="B281" s="374" t="s">
        <v>80</v>
      </c>
      <c r="C281" s="380">
        <v>0</v>
      </c>
      <c r="D281" s="389" t="s">
        <v>403</v>
      </c>
      <c r="E281" s="389" t="s">
        <v>527</v>
      </c>
      <c r="F281" s="381">
        <v>0</v>
      </c>
    </row>
    <row r="282" spans="1:6" ht="14.95" customHeight="1" thickBot="1" x14ac:dyDescent="0.3">
      <c r="A282" s="366" t="s">
        <v>362</v>
      </c>
      <c r="B282" s="374" t="s">
        <v>527</v>
      </c>
      <c r="C282" s="380">
        <v>0</v>
      </c>
      <c r="D282" s="389" t="s">
        <v>277</v>
      </c>
      <c r="E282" s="389" t="s">
        <v>527</v>
      </c>
      <c r="F282" s="381">
        <v>0</v>
      </c>
    </row>
    <row r="283" spans="1:6" ht="14.95" customHeight="1" thickBot="1" x14ac:dyDescent="0.3">
      <c r="A283" s="375" t="s">
        <v>744</v>
      </c>
      <c r="B283" s="375" t="s">
        <v>309</v>
      </c>
      <c r="C283" s="380">
        <v>0</v>
      </c>
      <c r="D283" s="389" t="s">
        <v>84</v>
      </c>
      <c r="E283" s="389" t="s">
        <v>87</v>
      </c>
      <c r="F283" s="384">
        <v>0</v>
      </c>
    </row>
    <row r="284" spans="1:6" ht="14.95" customHeight="1" thickBot="1" x14ac:dyDescent="0.3">
      <c r="A284" s="368" t="s">
        <v>596</v>
      </c>
      <c r="B284" s="368" t="s">
        <v>90</v>
      </c>
      <c r="C284" s="378">
        <v>0</v>
      </c>
      <c r="D284" s="389" t="s">
        <v>1060</v>
      </c>
      <c r="E284" s="389" t="s">
        <v>889</v>
      </c>
      <c r="F284" s="381">
        <f>Christienrbpremcuppts</f>
        <v>0</v>
      </c>
    </row>
    <row r="285" spans="1:6" ht="14.95" customHeight="1" thickBot="1" x14ac:dyDescent="0.3">
      <c r="A285" s="376" t="s">
        <v>85</v>
      </c>
      <c r="B285" s="376" t="s">
        <v>80</v>
      </c>
      <c r="C285" s="379">
        <v>0</v>
      </c>
      <c r="D285" s="389" t="s">
        <v>538</v>
      </c>
      <c r="E285" s="389" t="s">
        <v>309</v>
      </c>
      <c r="F285" s="381">
        <v>0</v>
      </c>
    </row>
    <row r="286" spans="1:6" ht="14.95" customHeight="1" thickBot="1" x14ac:dyDescent="0.3">
      <c r="A286" s="375" t="s">
        <v>86</v>
      </c>
      <c r="B286" s="375" t="s">
        <v>80</v>
      </c>
      <c r="C286" s="378">
        <v>0</v>
      </c>
      <c r="D286" s="389" t="s">
        <v>310</v>
      </c>
      <c r="E286" s="389" t="s">
        <v>309</v>
      </c>
      <c r="F286" s="381">
        <v>0</v>
      </c>
    </row>
    <row r="287" spans="1:6" ht="14.95" customHeight="1" thickBot="1" x14ac:dyDescent="0.3">
      <c r="A287" s="375" t="s">
        <v>179</v>
      </c>
      <c r="B287" s="375" t="s">
        <v>80</v>
      </c>
      <c r="C287" s="378">
        <f>curtissalpremcuptries</f>
        <v>0</v>
      </c>
      <c r="D287" s="389" t="s">
        <v>427</v>
      </c>
      <c r="E287" s="389" t="s">
        <v>79</v>
      </c>
      <c r="F287" s="381">
        <v>0</v>
      </c>
    </row>
    <row r="288" spans="1:6" ht="14.95" customHeight="1" thickBot="1" x14ac:dyDescent="0.3">
      <c r="A288" s="375" t="s">
        <v>615</v>
      </c>
      <c r="B288" s="375" t="s">
        <v>90</v>
      </c>
      <c r="C288" s="378">
        <v>0</v>
      </c>
      <c r="D288" s="389" t="s">
        <v>105</v>
      </c>
      <c r="E288" s="389" t="s">
        <v>79</v>
      </c>
      <c r="F288" s="381">
        <v>0</v>
      </c>
    </row>
    <row r="289" spans="1:6" ht="14.95" customHeight="1" thickBot="1" x14ac:dyDescent="0.3">
      <c r="A289" s="375" t="s">
        <v>311</v>
      </c>
      <c r="B289" s="375" t="s">
        <v>309</v>
      </c>
      <c r="C289" s="378">
        <v>0</v>
      </c>
      <c r="D289" s="389" t="s">
        <v>662</v>
      </c>
      <c r="E289" s="389" t="s">
        <v>527</v>
      </c>
      <c r="F289" s="381">
        <v>0</v>
      </c>
    </row>
    <row r="290" spans="1:6" ht="14.95" customHeight="1" thickBot="1" x14ac:dyDescent="0.3">
      <c r="A290" s="375" t="s">
        <v>164</v>
      </c>
      <c r="B290" s="375" t="s">
        <v>87</v>
      </c>
      <c r="C290" s="378">
        <v>0</v>
      </c>
      <c r="D290" s="389" t="s">
        <v>333</v>
      </c>
      <c r="E290" s="389" t="s">
        <v>79</v>
      </c>
      <c r="F290" s="381">
        <v>0</v>
      </c>
    </row>
    <row r="291" spans="1:6" ht="14.95" customHeight="1" thickBot="1" x14ac:dyDescent="0.3">
      <c r="A291" s="375" t="s">
        <v>832</v>
      </c>
      <c r="B291" s="375" t="s">
        <v>82</v>
      </c>
      <c r="C291" s="378">
        <v>0</v>
      </c>
      <c r="D291" s="389" t="s">
        <v>533</v>
      </c>
      <c r="E291" s="389" t="s">
        <v>81</v>
      </c>
      <c r="F291" s="381">
        <v>0</v>
      </c>
    </row>
    <row r="292" spans="1:6" ht="14.95" customHeight="1" thickBot="1" x14ac:dyDescent="0.3">
      <c r="A292" s="375" t="s">
        <v>663</v>
      </c>
      <c r="B292" s="368" t="s">
        <v>527</v>
      </c>
      <c r="C292" s="428">
        <v>0</v>
      </c>
      <c r="D292" s="389" t="s">
        <v>106</v>
      </c>
      <c r="E292" s="389" t="s">
        <v>81</v>
      </c>
      <c r="F292" s="381">
        <v>0</v>
      </c>
    </row>
    <row r="293" spans="1:6" ht="14.95" customHeight="1" thickBot="1" x14ac:dyDescent="0.3">
      <c r="A293" s="375" t="s">
        <v>432</v>
      </c>
      <c r="B293" s="375" t="s">
        <v>80</v>
      </c>
      <c r="C293" s="378">
        <v>0</v>
      </c>
      <c r="D293" s="389" t="s">
        <v>162</v>
      </c>
      <c r="E293" s="389" t="s">
        <v>82</v>
      </c>
      <c r="F293" s="381">
        <v>0</v>
      </c>
    </row>
    <row r="294" spans="1:6" ht="14.95" customHeight="1" thickBot="1" x14ac:dyDescent="0.3">
      <c r="A294" s="375" t="s">
        <v>675</v>
      </c>
      <c r="B294" s="375" t="s">
        <v>889</v>
      </c>
      <c r="C294" s="378">
        <v>0</v>
      </c>
      <c r="D294" s="390" t="s">
        <v>674</v>
      </c>
      <c r="E294" s="390" t="s">
        <v>889</v>
      </c>
      <c r="F294" s="381">
        <v>0</v>
      </c>
    </row>
    <row r="295" spans="1:6" ht="14.95" customHeight="1" thickBot="1" x14ac:dyDescent="0.3">
      <c r="A295" s="375" t="s">
        <v>699</v>
      </c>
      <c r="B295" s="375" t="s">
        <v>889</v>
      </c>
      <c r="C295" s="378">
        <v>0</v>
      </c>
      <c r="D295" s="389" t="s">
        <v>799</v>
      </c>
      <c r="E295" s="389" t="s">
        <v>82</v>
      </c>
      <c r="F295" s="381">
        <v>0</v>
      </c>
    </row>
    <row r="296" spans="1:6" ht="14.95" customHeight="1" thickBot="1" x14ac:dyDescent="0.3">
      <c r="A296" s="375" t="s">
        <v>517</v>
      </c>
      <c r="B296" s="375" t="s">
        <v>889</v>
      </c>
      <c r="C296" s="378">
        <v>0</v>
      </c>
      <c r="D296" s="390" t="s">
        <v>539</v>
      </c>
      <c r="E296" s="390" t="s">
        <v>80</v>
      </c>
      <c r="F296" s="381">
        <v>0</v>
      </c>
    </row>
    <row r="297" spans="1:6" ht="14.95" customHeight="1" thickBot="1" x14ac:dyDescent="0.3">
      <c r="A297" s="375" t="s">
        <v>156</v>
      </c>
      <c r="B297" s="375" t="s">
        <v>82</v>
      </c>
      <c r="C297" s="378">
        <v>0</v>
      </c>
      <c r="D297" s="389" t="s">
        <v>362</v>
      </c>
      <c r="E297" s="389" t="s">
        <v>527</v>
      </c>
      <c r="F297" s="381">
        <v>0</v>
      </c>
    </row>
    <row r="298" spans="1:6" ht="14.95" customHeight="1" thickBot="1" x14ac:dyDescent="0.3">
      <c r="A298" s="368" t="s">
        <v>696</v>
      </c>
      <c r="B298" s="375" t="s">
        <v>889</v>
      </c>
      <c r="C298" s="378">
        <v>0</v>
      </c>
      <c r="D298" s="389" t="s">
        <v>744</v>
      </c>
      <c r="E298" s="389" t="s">
        <v>309</v>
      </c>
      <c r="F298" s="381">
        <v>0</v>
      </c>
    </row>
    <row r="299" spans="1:6" ht="14.95" customHeight="1" thickBot="1" x14ac:dyDescent="0.3">
      <c r="A299" s="375" t="s">
        <v>107</v>
      </c>
      <c r="B299" s="375" t="s">
        <v>87</v>
      </c>
      <c r="C299" s="378">
        <v>0</v>
      </c>
      <c r="D299" s="389" t="s">
        <v>596</v>
      </c>
      <c r="E299" s="389" t="s">
        <v>90</v>
      </c>
      <c r="F299" s="381">
        <v>0</v>
      </c>
    </row>
    <row r="300" spans="1:6" ht="14.95" customHeight="1" thickBot="1" x14ac:dyDescent="0.3">
      <c r="A300" s="375" t="s">
        <v>839</v>
      </c>
      <c r="B300" s="375" t="s">
        <v>81</v>
      </c>
      <c r="C300" s="378">
        <v>0</v>
      </c>
      <c r="D300" s="424" t="s">
        <v>85</v>
      </c>
      <c r="E300" s="424" t="s">
        <v>80</v>
      </c>
      <c r="F300" s="381">
        <v>0</v>
      </c>
    </row>
    <row r="301" spans="1:6" ht="14.95" customHeight="1" thickBot="1" x14ac:dyDescent="0.3">
      <c r="A301" s="375" t="s">
        <v>631</v>
      </c>
      <c r="B301" s="375" t="s">
        <v>88</v>
      </c>
      <c r="C301" s="378">
        <v>0</v>
      </c>
      <c r="D301" s="389" t="s">
        <v>86</v>
      </c>
      <c r="E301" s="389" t="s">
        <v>80</v>
      </c>
      <c r="F301" s="381">
        <v>0</v>
      </c>
    </row>
    <row r="302" spans="1:6" ht="14.95" customHeight="1" thickBot="1" x14ac:dyDescent="0.3">
      <c r="A302" s="375" t="s">
        <v>590</v>
      </c>
      <c r="B302" s="375" t="s">
        <v>90</v>
      </c>
      <c r="C302" s="378">
        <v>0</v>
      </c>
      <c r="D302" s="389" t="s">
        <v>615</v>
      </c>
      <c r="E302" s="389" t="s">
        <v>90</v>
      </c>
      <c r="F302" s="381">
        <v>0</v>
      </c>
    </row>
    <row r="303" spans="1:6" ht="14.95" customHeight="1" thickBot="1" x14ac:dyDescent="0.3">
      <c r="A303" s="368" t="s">
        <v>158</v>
      </c>
      <c r="B303" s="375" t="s">
        <v>80</v>
      </c>
      <c r="C303" s="378">
        <v>0</v>
      </c>
      <c r="D303" s="389" t="s">
        <v>311</v>
      </c>
      <c r="E303" s="389" t="s">
        <v>309</v>
      </c>
      <c r="F303" s="381">
        <v>0</v>
      </c>
    </row>
    <row r="304" spans="1:6" ht="14.95" customHeight="1" thickBot="1" x14ac:dyDescent="0.3">
      <c r="A304" s="375" t="s">
        <v>152</v>
      </c>
      <c r="B304" s="375" t="s">
        <v>80</v>
      </c>
      <c r="C304" s="378">
        <f>dupreezralpremcuptries</f>
        <v>0</v>
      </c>
      <c r="D304" s="389" t="s">
        <v>164</v>
      </c>
      <c r="E304" s="389" t="s">
        <v>87</v>
      </c>
      <c r="F304" s="381">
        <v>0</v>
      </c>
    </row>
    <row r="305" spans="1:6" ht="14.95" customHeight="1" thickBot="1" x14ac:dyDescent="0.3">
      <c r="A305" s="368" t="s">
        <v>519</v>
      </c>
      <c r="B305" s="375" t="s">
        <v>81</v>
      </c>
      <c r="C305" s="378">
        <v>0</v>
      </c>
      <c r="D305" s="389" t="s">
        <v>342</v>
      </c>
      <c r="E305" s="389" t="s">
        <v>82</v>
      </c>
      <c r="F305" s="384">
        <v>0</v>
      </c>
    </row>
    <row r="306" spans="1:6" ht="14.95" customHeight="1" thickBot="1" x14ac:dyDescent="0.3">
      <c r="A306" s="375" t="s">
        <v>535</v>
      </c>
      <c r="B306" s="375" t="s">
        <v>90</v>
      </c>
      <c r="C306" s="378">
        <v>0</v>
      </c>
      <c r="D306" s="389" t="s">
        <v>663</v>
      </c>
      <c r="E306" s="389" t="s">
        <v>527</v>
      </c>
      <c r="F306" s="381">
        <v>0</v>
      </c>
    </row>
    <row r="307" spans="1:6" ht="14.95" customHeight="1" thickBot="1" x14ac:dyDescent="0.3">
      <c r="A307" s="368" t="s">
        <v>108</v>
      </c>
      <c r="B307" s="368" t="s">
        <v>81</v>
      </c>
      <c r="C307" s="378">
        <v>0</v>
      </c>
      <c r="D307" s="389" t="s">
        <v>432</v>
      </c>
      <c r="E307" s="389" t="s">
        <v>80</v>
      </c>
      <c r="F307" s="381">
        <v>0</v>
      </c>
    </row>
    <row r="308" spans="1:6" ht="14.95" customHeight="1" thickBot="1" x14ac:dyDescent="0.3">
      <c r="A308" s="375" t="s">
        <v>109</v>
      </c>
      <c r="B308" s="375" t="s">
        <v>309</v>
      </c>
      <c r="C308" s="378">
        <v>0</v>
      </c>
      <c r="D308" s="390" t="s">
        <v>675</v>
      </c>
      <c r="E308" s="390" t="s">
        <v>889</v>
      </c>
      <c r="F308" s="384">
        <v>0</v>
      </c>
    </row>
    <row r="309" spans="1:6" ht="14.95" customHeight="1" thickBot="1" x14ac:dyDescent="0.3">
      <c r="A309" s="368" t="s">
        <v>757</v>
      </c>
      <c r="B309" s="368" t="s">
        <v>309</v>
      </c>
      <c r="C309" s="378">
        <v>0</v>
      </c>
      <c r="D309" s="389" t="s">
        <v>699</v>
      </c>
      <c r="E309" s="389" t="s">
        <v>889</v>
      </c>
      <c r="F309" s="381">
        <v>0</v>
      </c>
    </row>
    <row r="310" spans="1:6" ht="14.95" customHeight="1" thickBot="1" x14ac:dyDescent="0.3">
      <c r="A310" s="375" t="s">
        <v>676</v>
      </c>
      <c r="B310" s="375" t="s">
        <v>889</v>
      </c>
      <c r="C310" s="378">
        <v>0</v>
      </c>
      <c r="D310" s="389" t="s">
        <v>517</v>
      </c>
      <c r="E310" s="389" t="s">
        <v>889</v>
      </c>
      <c r="F310" s="381">
        <v>0</v>
      </c>
    </row>
    <row r="311" spans="1:6" ht="14.95" customHeight="1" thickBot="1" x14ac:dyDescent="0.3">
      <c r="A311" s="375" t="s">
        <v>434</v>
      </c>
      <c r="B311" s="375" t="s">
        <v>309</v>
      </c>
      <c r="C311" s="378">
        <v>0</v>
      </c>
      <c r="D311" s="389" t="s">
        <v>156</v>
      </c>
      <c r="E311" s="389" t="s">
        <v>82</v>
      </c>
      <c r="F311" s="381">
        <v>0</v>
      </c>
    </row>
    <row r="312" spans="1:6" ht="14.95" customHeight="1" thickBot="1" x14ac:dyDescent="0.3">
      <c r="A312" s="375" t="s">
        <v>806</v>
      </c>
      <c r="B312" s="375" t="s">
        <v>80</v>
      </c>
      <c r="C312" s="378">
        <v>0</v>
      </c>
      <c r="D312" s="390" t="s">
        <v>696</v>
      </c>
      <c r="E312" s="390" t="s">
        <v>889</v>
      </c>
      <c r="F312" s="381">
        <v>0</v>
      </c>
    </row>
    <row r="313" spans="1:6" ht="14.95" customHeight="1" thickBot="1" x14ac:dyDescent="0.3">
      <c r="A313" s="375" t="s">
        <v>571</v>
      </c>
      <c r="B313" s="375" t="s">
        <v>79</v>
      </c>
      <c r="C313" s="379">
        <v>0</v>
      </c>
      <c r="D313" s="389" t="s">
        <v>107</v>
      </c>
      <c r="E313" s="389" t="s">
        <v>87</v>
      </c>
      <c r="F313" s="381">
        <v>0</v>
      </c>
    </row>
    <row r="314" spans="1:6" ht="14.95" customHeight="1" thickBot="1" x14ac:dyDescent="0.3">
      <c r="A314" s="375" t="s">
        <v>508</v>
      </c>
      <c r="B314" s="375" t="s">
        <v>87</v>
      </c>
      <c r="C314" s="378">
        <f>Evans_Jharpremcuptries</f>
        <v>0</v>
      </c>
      <c r="D314" s="390" t="s">
        <v>839</v>
      </c>
      <c r="E314" s="390" t="s">
        <v>81</v>
      </c>
      <c r="F314" s="381">
        <v>0</v>
      </c>
    </row>
    <row r="315" spans="1:6" ht="14.95" customHeight="1" thickBot="1" x14ac:dyDescent="0.3">
      <c r="A315" s="375" t="s">
        <v>265</v>
      </c>
      <c r="B315" s="375" t="s">
        <v>87</v>
      </c>
      <c r="C315" s="378">
        <v>0</v>
      </c>
      <c r="D315" s="389" t="s">
        <v>631</v>
      </c>
      <c r="E315" s="389" t="s">
        <v>88</v>
      </c>
      <c r="F315" s="381">
        <v>0</v>
      </c>
    </row>
    <row r="316" spans="1:6" ht="14.95" customHeight="1" thickBot="1" x14ac:dyDescent="0.3">
      <c r="A316" s="375" t="s">
        <v>110</v>
      </c>
      <c r="B316" s="375" t="s">
        <v>81</v>
      </c>
      <c r="C316" s="378">
        <v>0</v>
      </c>
      <c r="D316" s="389" t="s">
        <v>590</v>
      </c>
      <c r="E316" s="389" t="s">
        <v>90</v>
      </c>
      <c r="F316" s="381">
        <v>0</v>
      </c>
    </row>
    <row r="317" spans="1:6" ht="14.95" customHeight="1" thickBot="1" x14ac:dyDescent="0.3">
      <c r="A317" s="368" t="s">
        <v>639</v>
      </c>
      <c r="B317" s="375" t="s">
        <v>79</v>
      </c>
      <c r="C317" s="378">
        <v>0</v>
      </c>
      <c r="D317" s="390" t="s">
        <v>158</v>
      </c>
      <c r="E317" s="389" t="s">
        <v>80</v>
      </c>
      <c r="F317" s="381">
        <v>0</v>
      </c>
    </row>
    <row r="318" spans="1:6" ht="14.95" customHeight="1" thickBot="1" x14ac:dyDescent="0.3">
      <c r="A318" s="366" t="s">
        <v>455</v>
      </c>
      <c r="B318" s="375" t="s">
        <v>88</v>
      </c>
      <c r="C318" s="378">
        <v>0</v>
      </c>
      <c r="D318" s="389" t="s">
        <v>519</v>
      </c>
      <c r="E318" s="389" t="s">
        <v>81</v>
      </c>
      <c r="F318" s="381">
        <v>0</v>
      </c>
    </row>
    <row r="319" spans="1:6" ht="14.95" customHeight="1" thickBot="1" x14ac:dyDescent="0.3">
      <c r="A319" s="366" t="s">
        <v>468</v>
      </c>
      <c r="B319" s="375" t="s">
        <v>80</v>
      </c>
      <c r="C319" s="378">
        <v>0</v>
      </c>
      <c r="D319" s="389" t="s">
        <v>535</v>
      </c>
      <c r="E319" s="389" t="s">
        <v>90</v>
      </c>
      <c r="F319" s="381">
        <v>0</v>
      </c>
    </row>
    <row r="320" spans="1:6" ht="14.95" customHeight="1" thickBot="1" x14ac:dyDescent="0.3">
      <c r="A320" s="375" t="s">
        <v>111</v>
      </c>
      <c r="B320" s="375" t="s">
        <v>79</v>
      </c>
      <c r="C320" s="378">
        <v>0</v>
      </c>
      <c r="D320" s="390" t="s">
        <v>108</v>
      </c>
      <c r="E320" s="390" t="s">
        <v>81</v>
      </c>
      <c r="F320" s="381">
        <v>0</v>
      </c>
    </row>
    <row r="321" spans="1:6" ht="14.95" customHeight="1" thickBot="1" x14ac:dyDescent="0.3">
      <c r="A321" s="375" t="s">
        <v>276</v>
      </c>
      <c r="B321" s="375" t="s">
        <v>82</v>
      </c>
      <c r="C321" s="378">
        <v>0</v>
      </c>
      <c r="D321" s="389" t="s">
        <v>109</v>
      </c>
      <c r="E321" s="389" t="s">
        <v>309</v>
      </c>
      <c r="F321" s="381">
        <v>0</v>
      </c>
    </row>
    <row r="322" spans="1:6" ht="14.95" customHeight="1" thickBot="1" x14ac:dyDescent="0.3">
      <c r="A322" s="375" t="s">
        <v>766</v>
      </c>
      <c r="B322" s="375" t="s">
        <v>90</v>
      </c>
      <c r="C322" s="378">
        <v>0</v>
      </c>
      <c r="D322" s="389" t="s">
        <v>757</v>
      </c>
      <c r="E322" s="389" t="s">
        <v>309</v>
      </c>
      <c r="F322" s="381">
        <v>0</v>
      </c>
    </row>
    <row r="323" spans="1:6" ht="14.95" customHeight="1" thickBot="1" x14ac:dyDescent="0.3">
      <c r="A323" s="375" t="s">
        <v>563</v>
      </c>
      <c r="B323" s="375" t="s">
        <v>82</v>
      </c>
      <c r="C323" s="378">
        <v>0</v>
      </c>
      <c r="D323" s="389" t="s">
        <v>676</v>
      </c>
      <c r="E323" s="389" t="s">
        <v>889</v>
      </c>
      <c r="F323" s="381">
        <v>0</v>
      </c>
    </row>
    <row r="324" spans="1:6" ht="14.95" customHeight="1" thickBot="1" x14ac:dyDescent="0.3">
      <c r="A324" s="375" t="s">
        <v>113</v>
      </c>
      <c r="B324" s="375" t="s">
        <v>90</v>
      </c>
      <c r="C324" s="378">
        <v>0</v>
      </c>
      <c r="D324" s="389" t="s">
        <v>434</v>
      </c>
      <c r="E324" s="389" t="s">
        <v>309</v>
      </c>
      <c r="F324" s="381">
        <v>0</v>
      </c>
    </row>
    <row r="325" spans="1:6" ht="14.95" customHeight="1" thickBot="1" x14ac:dyDescent="0.3">
      <c r="A325" s="375" t="s">
        <v>312</v>
      </c>
      <c r="B325" s="375" t="s">
        <v>309</v>
      </c>
      <c r="C325" s="378">
        <v>0</v>
      </c>
      <c r="D325" s="389" t="s">
        <v>806</v>
      </c>
      <c r="E325" s="389" t="s">
        <v>80</v>
      </c>
      <c r="F325" s="381">
        <v>0</v>
      </c>
    </row>
    <row r="326" spans="1:6" ht="14.95" customHeight="1" thickBot="1" x14ac:dyDescent="0.3">
      <c r="A326" s="375" t="s">
        <v>377</v>
      </c>
      <c r="B326" s="375" t="s">
        <v>87</v>
      </c>
      <c r="C326" s="378">
        <v>0</v>
      </c>
      <c r="D326" s="424" t="s">
        <v>571</v>
      </c>
      <c r="E326" s="424" t="s">
        <v>79</v>
      </c>
      <c r="F326" s="381">
        <v>0</v>
      </c>
    </row>
    <row r="327" spans="1:6" ht="14.95" customHeight="1" thickBot="1" x14ac:dyDescent="0.3">
      <c r="A327" s="375" t="s">
        <v>831</v>
      </c>
      <c r="B327" s="375" t="s">
        <v>82</v>
      </c>
      <c r="C327" s="378">
        <v>0</v>
      </c>
      <c r="D327" s="389" t="s">
        <v>265</v>
      </c>
      <c r="E327" s="389" t="s">
        <v>87</v>
      </c>
      <c r="F327" s="381">
        <v>0</v>
      </c>
    </row>
    <row r="328" spans="1:6" ht="14.95" customHeight="1" thickBot="1" x14ac:dyDescent="0.3">
      <c r="A328" s="375" t="s">
        <v>524</v>
      </c>
      <c r="B328" s="375" t="s">
        <v>309</v>
      </c>
      <c r="C328" s="378">
        <v>0</v>
      </c>
      <c r="D328" s="389" t="s">
        <v>110</v>
      </c>
      <c r="E328" s="389" t="s">
        <v>81</v>
      </c>
      <c r="F328" s="381">
        <v>0</v>
      </c>
    </row>
    <row r="329" spans="1:6" ht="14.95" customHeight="1" thickBot="1" x14ac:dyDescent="0.3">
      <c r="A329" s="375" t="s">
        <v>313</v>
      </c>
      <c r="B329" s="375" t="s">
        <v>309</v>
      </c>
      <c r="C329" s="378">
        <v>0</v>
      </c>
      <c r="D329" s="390" t="s">
        <v>639</v>
      </c>
      <c r="E329" s="390" t="s">
        <v>79</v>
      </c>
      <c r="F329" s="381">
        <v>0</v>
      </c>
    </row>
    <row r="330" spans="1:6" ht="14.95" customHeight="1" thickBot="1" x14ac:dyDescent="0.3">
      <c r="A330" s="375" t="s">
        <v>703</v>
      </c>
      <c r="B330" s="375" t="s">
        <v>889</v>
      </c>
      <c r="C330" s="378">
        <v>0</v>
      </c>
      <c r="D330" s="389" t="s">
        <v>455</v>
      </c>
      <c r="E330" s="389" t="s">
        <v>88</v>
      </c>
      <c r="F330" s="381">
        <v>0</v>
      </c>
    </row>
    <row r="331" spans="1:6" ht="14.95" customHeight="1" thickBot="1" x14ac:dyDescent="0.3">
      <c r="A331" s="375" t="s">
        <v>635</v>
      </c>
      <c r="B331" s="375" t="s">
        <v>79</v>
      </c>
      <c r="C331" s="378">
        <v>0</v>
      </c>
      <c r="D331" s="389" t="s">
        <v>468</v>
      </c>
      <c r="E331" s="389" t="s">
        <v>80</v>
      </c>
      <c r="F331" s="381">
        <v>0</v>
      </c>
    </row>
    <row r="332" spans="1:6" ht="14.95" customHeight="1" thickBot="1" x14ac:dyDescent="0.3">
      <c r="A332" s="375" t="s">
        <v>775</v>
      </c>
      <c r="B332" s="375" t="s">
        <v>81</v>
      </c>
      <c r="C332" s="378">
        <v>0</v>
      </c>
      <c r="D332" s="389" t="s">
        <v>111</v>
      </c>
      <c r="E332" s="389" t="s">
        <v>79</v>
      </c>
      <c r="F332" s="381">
        <v>0</v>
      </c>
    </row>
    <row r="333" spans="1:6" ht="14.95" customHeight="1" thickBot="1" x14ac:dyDescent="0.3">
      <c r="A333" s="375" t="s">
        <v>763</v>
      </c>
      <c r="B333" s="375" t="s">
        <v>889</v>
      </c>
      <c r="C333" s="378">
        <f>graysonenrbpremcuptries</f>
        <v>0</v>
      </c>
      <c r="D333" s="389" t="s">
        <v>276</v>
      </c>
      <c r="E333" s="389" t="s">
        <v>82</v>
      </c>
      <c r="F333" s="384">
        <v>0</v>
      </c>
    </row>
    <row r="334" spans="1:6" ht="14.95" customHeight="1" thickBot="1" x14ac:dyDescent="0.3">
      <c r="A334" s="375" t="s">
        <v>397</v>
      </c>
      <c r="B334" s="375" t="s">
        <v>87</v>
      </c>
      <c r="C334" s="378">
        <v>0</v>
      </c>
      <c r="D334" s="389" t="s">
        <v>766</v>
      </c>
      <c r="E334" s="389" t="s">
        <v>90</v>
      </c>
      <c r="F334" s="381">
        <v>0</v>
      </c>
    </row>
    <row r="335" spans="1:6" ht="14.95" customHeight="1" thickBot="1" x14ac:dyDescent="0.3">
      <c r="A335" s="376" t="s">
        <v>274</v>
      </c>
      <c r="B335" s="376" t="s">
        <v>87</v>
      </c>
      <c r="C335" s="379">
        <v>0</v>
      </c>
      <c r="D335" s="389" t="s">
        <v>563</v>
      </c>
      <c r="E335" s="389" t="s">
        <v>82</v>
      </c>
      <c r="F335" s="381">
        <v>0</v>
      </c>
    </row>
    <row r="336" spans="1:6" ht="14.95" customHeight="1" thickBot="1" x14ac:dyDescent="0.3">
      <c r="A336" s="368" t="s">
        <v>680</v>
      </c>
      <c r="B336" s="368" t="s">
        <v>889</v>
      </c>
      <c r="C336" s="378">
        <v>0</v>
      </c>
      <c r="D336" s="389" t="s">
        <v>113</v>
      </c>
      <c r="E336" s="389" t="s">
        <v>90</v>
      </c>
      <c r="F336" s="381">
        <v>0</v>
      </c>
    </row>
    <row r="337" spans="1:6" ht="14.95" customHeight="1" thickBot="1" x14ac:dyDescent="0.3">
      <c r="A337" s="368" t="s">
        <v>603</v>
      </c>
      <c r="B337" s="368" t="s">
        <v>90</v>
      </c>
      <c r="C337" s="378">
        <v>0</v>
      </c>
      <c r="D337" s="389" t="s">
        <v>312</v>
      </c>
      <c r="E337" s="389" t="s">
        <v>309</v>
      </c>
      <c r="F337" s="381">
        <v>0</v>
      </c>
    </row>
    <row r="338" spans="1:6" ht="14.95" customHeight="1" thickBot="1" x14ac:dyDescent="0.3">
      <c r="A338" s="375" t="s">
        <v>604</v>
      </c>
      <c r="B338" s="375" t="s">
        <v>90</v>
      </c>
      <c r="C338" s="378">
        <v>0</v>
      </c>
      <c r="D338" s="389" t="s">
        <v>377</v>
      </c>
      <c r="E338" s="389" t="s">
        <v>87</v>
      </c>
      <c r="F338" s="381">
        <v>0</v>
      </c>
    </row>
    <row r="339" spans="1:6" ht="14.95" customHeight="1" thickBot="1" x14ac:dyDescent="0.3">
      <c r="A339" s="375" t="s">
        <v>727</v>
      </c>
      <c r="B339" s="375" t="s">
        <v>80</v>
      </c>
      <c r="C339" s="378">
        <v>0</v>
      </c>
      <c r="D339" s="389" t="s">
        <v>831</v>
      </c>
      <c r="E339" s="389" t="s">
        <v>82</v>
      </c>
      <c r="F339" s="381">
        <v>0</v>
      </c>
    </row>
    <row r="340" spans="1:6" ht="14.95" customHeight="1" thickBot="1" x14ac:dyDescent="0.3">
      <c r="A340" s="375" t="s">
        <v>558</v>
      </c>
      <c r="B340" s="375" t="s">
        <v>309</v>
      </c>
      <c r="C340" s="378">
        <v>0</v>
      </c>
      <c r="D340" s="389" t="s">
        <v>524</v>
      </c>
      <c r="E340" s="389" t="s">
        <v>309</v>
      </c>
      <c r="F340" s="381">
        <v>0</v>
      </c>
    </row>
    <row r="341" spans="1:6" ht="14.95" customHeight="1" thickBot="1" x14ac:dyDescent="0.3">
      <c r="A341" s="368" t="s">
        <v>648</v>
      </c>
      <c r="B341" s="368" t="s">
        <v>87</v>
      </c>
      <c r="C341" s="378">
        <v>0</v>
      </c>
      <c r="D341" s="389" t="s">
        <v>313</v>
      </c>
      <c r="E341" s="389" t="s">
        <v>309</v>
      </c>
      <c r="F341" s="381">
        <v>0</v>
      </c>
    </row>
    <row r="342" spans="1:6" ht="14.95" customHeight="1" thickBot="1" x14ac:dyDescent="0.3">
      <c r="A342" s="375" t="s">
        <v>400</v>
      </c>
      <c r="B342" s="375" t="s">
        <v>309</v>
      </c>
      <c r="C342" s="378">
        <v>0</v>
      </c>
      <c r="D342" s="389" t="s">
        <v>703</v>
      </c>
      <c r="E342" s="389" t="s">
        <v>889</v>
      </c>
      <c r="F342" s="381">
        <v>0</v>
      </c>
    </row>
    <row r="343" spans="1:6" ht="14.95" customHeight="1" thickBot="1" x14ac:dyDescent="0.3">
      <c r="A343" s="375" t="s">
        <v>617</v>
      </c>
      <c r="B343" s="375" t="s">
        <v>90</v>
      </c>
      <c r="C343" s="378">
        <v>0</v>
      </c>
      <c r="D343" s="389" t="s">
        <v>635</v>
      </c>
      <c r="E343" s="389" t="s">
        <v>79</v>
      </c>
      <c r="F343" s="381">
        <v>0</v>
      </c>
    </row>
    <row r="344" spans="1:6" ht="14.95" customHeight="1" thickBot="1" x14ac:dyDescent="0.3">
      <c r="A344" s="375" t="s">
        <v>812</v>
      </c>
      <c r="B344" s="375" t="s">
        <v>88</v>
      </c>
      <c r="C344" s="378">
        <v>0</v>
      </c>
      <c r="D344" s="389" t="s">
        <v>775</v>
      </c>
      <c r="E344" s="389" t="s">
        <v>81</v>
      </c>
      <c r="F344" s="381">
        <v>0</v>
      </c>
    </row>
    <row r="345" spans="1:6" ht="14.95" customHeight="1" thickBot="1" x14ac:dyDescent="0.3">
      <c r="A345" s="375" t="s">
        <v>805</v>
      </c>
      <c r="B345" s="375" t="s">
        <v>309</v>
      </c>
      <c r="C345" s="378">
        <v>0</v>
      </c>
      <c r="D345" s="389" t="s">
        <v>397</v>
      </c>
      <c r="E345" s="389" t="s">
        <v>87</v>
      </c>
      <c r="F345" s="381">
        <v>0</v>
      </c>
    </row>
    <row r="346" spans="1:6" ht="14.95" customHeight="1" thickBot="1" x14ac:dyDescent="0.3">
      <c r="A346" s="368" t="s">
        <v>365</v>
      </c>
      <c r="B346" s="368" t="s">
        <v>87</v>
      </c>
      <c r="C346" s="378">
        <v>0</v>
      </c>
      <c r="D346" s="389" t="s">
        <v>274</v>
      </c>
      <c r="E346" s="389" t="s">
        <v>87</v>
      </c>
      <c r="F346" s="381">
        <v>0</v>
      </c>
    </row>
    <row r="347" spans="1:6" ht="14.95" customHeight="1" thickBot="1" x14ac:dyDescent="0.3">
      <c r="A347" s="375" t="s">
        <v>285</v>
      </c>
      <c r="B347" s="375" t="s">
        <v>90</v>
      </c>
      <c r="C347" s="378">
        <v>0</v>
      </c>
      <c r="D347" s="390" t="s">
        <v>680</v>
      </c>
      <c r="E347" s="390" t="s">
        <v>889</v>
      </c>
      <c r="F347" s="381">
        <v>0</v>
      </c>
    </row>
    <row r="348" spans="1:6" ht="14.95" customHeight="1" thickBot="1" x14ac:dyDescent="0.3">
      <c r="A348" s="375" t="s">
        <v>195</v>
      </c>
      <c r="B348" s="375" t="s">
        <v>79</v>
      </c>
      <c r="C348" s="378">
        <v>0</v>
      </c>
      <c r="D348" s="390" t="s">
        <v>603</v>
      </c>
      <c r="E348" s="390" t="s">
        <v>90</v>
      </c>
      <c r="F348" s="381">
        <v>0</v>
      </c>
    </row>
    <row r="349" spans="1:6" ht="14.95" customHeight="1" thickBot="1" x14ac:dyDescent="0.3">
      <c r="A349" s="375" t="s">
        <v>448</v>
      </c>
      <c r="B349" s="375" t="s">
        <v>81</v>
      </c>
      <c r="C349" s="378">
        <v>0</v>
      </c>
      <c r="D349" s="389" t="s">
        <v>604</v>
      </c>
      <c r="E349" s="389" t="s">
        <v>90</v>
      </c>
      <c r="F349" s="381">
        <v>0</v>
      </c>
    </row>
    <row r="350" spans="1:6" ht="14.95" customHeight="1" thickBot="1" x14ac:dyDescent="0.3">
      <c r="A350" s="375" t="s">
        <v>611</v>
      </c>
      <c r="B350" s="375" t="s">
        <v>90</v>
      </c>
      <c r="C350" s="378">
        <v>0</v>
      </c>
      <c r="D350" s="389" t="s">
        <v>727</v>
      </c>
      <c r="E350" s="389" t="s">
        <v>80</v>
      </c>
      <c r="F350" s="381">
        <v>0</v>
      </c>
    </row>
    <row r="351" spans="1:6" ht="14.95" customHeight="1" thickBot="1" x14ac:dyDescent="0.3">
      <c r="A351" s="375" t="s">
        <v>490</v>
      </c>
      <c r="B351" s="368" t="s">
        <v>527</v>
      </c>
      <c r="C351" s="378">
        <v>0</v>
      </c>
      <c r="D351" s="390" t="s">
        <v>558</v>
      </c>
      <c r="E351" s="390" t="s">
        <v>309</v>
      </c>
      <c r="F351" s="381">
        <v>0</v>
      </c>
    </row>
    <row r="352" spans="1:6" ht="14.95" customHeight="1" thickBot="1" x14ac:dyDescent="0.3">
      <c r="A352" s="368" t="s">
        <v>681</v>
      </c>
      <c r="B352" s="368" t="s">
        <v>889</v>
      </c>
      <c r="C352" s="378">
        <v>0</v>
      </c>
      <c r="D352" s="389" t="s">
        <v>648</v>
      </c>
      <c r="E352" s="389" t="s">
        <v>87</v>
      </c>
      <c r="F352" s="381">
        <v>0</v>
      </c>
    </row>
    <row r="353" spans="1:6" ht="14.95" customHeight="1" thickBot="1" x14ac:dyDescent="0.3">
      <c r="A353" s="368" t="s">
        <v>207</v>
      </c>
      <c r="B353" s="368" t="s">
        <v>527</v>
      </c>
      <c r="C353" s="378">
        <v>0</v>
      </c>
      <c r="D353" s="389" t="s">
        <v>400</v>
      </c>
      <c r="E353" s="389" t="s">
        <v>309</v>
      </c>
      <c r="F353" s="381">
        <v>0</v>
      </c>
    </row>
    <row r="354" spans="1:6" ht="14.95" customHeight="1" thickBot="1" x14ac:dyDescent="0.3">
      <c r="A354" s="375" t="s">
        <v>465</v>
      </c>
      <c r="B354" s="375" t="s">
        <v>90</v>
      </c>
      <c r="C354" s="378">
        <v>0</v>
      </c>
      <c r="D354" s="389" t="s">
        <v>617</v>
      </c>
      <c r="E354" s="389" t="s">
        <v>90</v>
      </c>
      <c r="F354" s="381">
        <v>0</v>
      </c>
    </row>
    <row r="355" spans="1:6" ht="14.95" customHeight="1" thickBot="1" x14ac:dyDescent="0.3">
      <c r="A355" s="375" t="s">
        <v>236</v>
      </c>
      <c r="B355" s="368" t="s">
        <v>527</v>
      </c>
      <c r="C355" s="378">
        <v>0</v>
      </c>
      <c r="D355" s="389" t="s">
        <v>812</v>
      </c>
      <c r="E355" s="389" t="s">
        <v>88</v>
      </c>
      <c r="F355" s="381">
        <v>0</v>
      </c>
    </row>
    <row r="356" spans="1:6" ht="14.95" customHeight="1" thickBot="1" x14ac:dyDescent="0.3">
      <c r="A356" s="375" t="s">
        <v>830</v>
      </c>
      <c r="B356" s="375" t="s">
        <v>87</v>
      </c>
      <c r="C356" s="378">
        <v>0</v>
      </c>
      <c r="D356" s="389" t="s">
        <v>805</v>
      </c>
      <c r="E356" s="389" t="s">
        <v>309</v>
      </c>
      <c r="F356" s="381">
        <v>0</v>
      </c>
    </row>
    <row r="357" spans="1:6" ht="14.95" customHeight="1" thickBot="1" x14ac:dyDescent="0.3">
      <c r="A357" s="375" t="s">
        <v>741</v>
      </c>
      <c r="B357" s="375" t="s">
        <v>309</v>
      </c>
      <c r="C357" s="378">
        <v>0</v>
      </c>
      <c r="D357" s="390" t="s">
        <v>365</v>
      </c>
      <c r="E357" s="390" t="s">
        <v>87</v>
      </c>
      <c r="F357" s="381">
        <v>0</v>
      </c>
    </row>
    <row r="358" spans="1:6" ht="14.95" customHeight="1" thickBot="1" x14ac:dyDescent="0.3">
      <c r="A358" s="375" t="s">
        <v>659</v>
      </c>
      <c r="B358" s="368" t="s">
        <v>527</v>
      </c>
      <c r="C358" s="379">
        <v>0</v>
      </c>
      <c r="D358" s="389" t="s">
        <v>285</v>
      </c>
      <c r="E358" s="389" t="s">
        <v>90</v>
      </c>
      <c r="F358" s="381">
        <v>0</v>
      </c>
    </row>
    <row r="359" spans="1:6" ht="14.95" customHeight="1" thickBot="1" x14ac:dyDescent="0.3">
      <c r="A359" s="368" t="s">
        <v>314</v>
      </c>
      <c r="B359" s="375" t="s">
        <v>82</v>
      </c>
      <c r="C359" s="378">
        <v>0</v>
      </c>
      <c r="D359" s="389" t="s">
        <v>195</v>
      </c>
      <c r="E359" s="389" t="s">
        <v>79</v>
      </c>
      <c r="F359" s="381">
        <v>0</v>
      </c>
    </row>
    <row r="360" spans="1:6" ht="14.95" customHeight="1" thickBot="1" x14ac:dyDescent="0.3">
      <c r="A360" s="375" t="s">
        <v>330</v>
      </c>
      <c r="B360" s="368" t="s">
        <v>527</v>
      </c>
      <c r="C360" s="378">
        <v>0</v>
      </c>
      <c r="D360" s="389" t="s">
        <v>448</v>
      </c>
      <c r="E360" s="389" t="s">
        <v>81</v>
      </c>
      <c r="F360" s="381">
        <v>0</v>
      </c>
    </row>
    <row r="361" spans="1:6" ht="14.95" customHeight="1" thickBot="1" x14ac:dyDescent="0.3">
      <c r="A361" s="375" t="s">
        <v>768</v>
      </c>
      <c r="B361" s="375" t="s">
        <v>87</v>
      </c>
      <c r="C361" s="379">
        <v>0</v>
      </c>
      <c r="D361" s="389" t="s">
        <v>611</v>
      </c>
      <c r="E361" s="389" t="s">
        <v>90</v>
      </c>
      <c r="F361" s="381">
        <v>0</v>
      </c>
    </row>
    <row r="362" spans="1:6" ht="14.95" customHeight="1" thickBot="1" x14ac:dyDescent="0.3">
      <c r="A362" s="375" t="s">
        <v>256</v>
      </c>
      <c r="B362" s="375" t="s">
        <v>309</v>
      </c>
      <c r="C362" s="378">
        <v>0</v>
      </c>
      <c r="D362" s="389" t="s">
        <v>490</v>
      </c>
      <c r="E362" s="389" t="s">
        <v>527</v>
      </c>
      <c r="F362" s="381">
        <v>0</v>
      </c>
    </row>
    <row r="363" spans="1:6" ht="14.95" customHeight="1" thickBot="1" x14ac:dyDescent="0.3">
      <c r="A363" s="375" t="s">
        <v>315</v>
      </c>
      <c r="B363" s="375" t="s">
        <v>309</v>
      </c>
      <c r="C363" s="378">
        <v>0</v>
      </c>
      <c r="D363" s="390" t="s">
        <v>681</v>
      </c>
      <c r="E363" s="390" t="s">
        <v>889</v>
      </c>
      <c r="F363" s="381">
        <v>0</v>
      </c>
    </row>
    <row r="364" spans="1:6" ht="14.95" customHeight="1" thickBot="1" x14ac:dyDescent="0.3">
      <c r="A364" s="375" t="s">
        <v>575</v>
      </c>
      <c r="B364" s="375" t="s">
        <v>82</v>
      </c>
      <c r="C364" s="378">
        <v>0</v>
      </c>
      <c r="D364" s="390" t="s">
        <v>207</v>
      </c>
      <c r="E364" s="390" t="s">
        <v>527</v>
      </c>
      <c r="F364" s="381">
        <v>0</v>
      </c>
    </row>
    <row r="365" spans="1:6" ht="14.95" customHeight="1" thickBot="1" x14ac:dyDescent="0.3">
      <c r="A365" s="375" t="s">
        <v>72</v>
      </c>
      <c r="B365" s="375" t="s">
        <v>80</v>
      </c>
      <c r="C365" s="378">
        <v>0</v>
      </c>
      <c r="D365" s="389" t="s">
        <v>465</v>
      </c>
      <c r="E365" s="389" t="s">
        <v>90</v>
      </c>
      <c r="F365" s="381">
        <v>0</v>
      </c>
    </row>
    <row r="366" spans="1:6" ht="14.95" customHeight="1" thickBot="1" x14ac:dyDescent="0.3">
      <c r="A366" s="375" t="s">
        <v>555</v>
      </c>
      <c r="B366" s="375" t="s">
        <v>90</v>
      </c>
      <c r="C366" s="378">
        <v>0</v>
      </c>
      <c r="D366" s="389" t="s">
        <v>236</v>
      </c>
      <c r="E366" s="389" t="s">
        <v>527</v>
      </c>
      <c r="F366" s="381">
        <v>0</v>
      </c>
    </row>
    <row r="367" spans="1:6" ht="14.95" customHeight="1" thickBot="1" x14ac:dyDescent="0.3">
      <c r="A367" s="375" t="s">
        <v>445</v>
      </c>
      <c r="B367" s="375" t="s">
        <v>88</v>
      </c>
      <c r="C367" s="378">
        <v>0</v>
      </c>
      <c r="D367" s="389" t="s">
        <v>830</v>
      </c>
      <c r="E367" s="389" t="s">
        <v>87</v>
      </c>
      <c r="F367" s="381">
        <v>0</v>
      </c>
    </row>
    <row r="368" spans="1:6" ht="14.95" customHeight="1" thickBot="1" x14ac:dyDescent="0.3">
      <c r="A368" s="375" t="s">
        <v>444</v>
      </c>
      <c r="B368" s="375" t="s">
        <v>88</v>
      </c>
      <c r="C368" s="378">
        <v>0</v>
      </c>
      <c r="D368" s="389" t="s">
        <v>741</v>
      </c>
      <c r="E368" s="389" t="s">
        <v>309</v>
      </c>
      <c r="F368" s="381">
        <v>0</v>
      </c>
    </row>
    <row r="369" spans="1:6" ht="14.95" customHeight="1" thickBot="1" x14ac:dyDescent="0.3">
      <c r="A369" s="375" t="s">
        <v>613</v>
      </c>
      <c r="B369" s="375" t="s">
        <v>90</v>
      </c>
      <c r="C369" s="378">
        <v>0</v>
      </c>
      <c r="D369" s="389" t="s">
        <v>659</v>
      </c>
      <c r="E369" s="389" t="s">
        <v>527</v>
      </c>
      <c r="F369" s="381">
        <v>0</v>
      </c>
    </row>
    <row r="370" spans="1:6" ht="14.95" customHeight="1" thickBot="1" x14ac:dyDescent="0.3">
      <c r="A370" s="375" t="s">
        <v>412</v>
      </c>
      <c r="B370" s="375" t="s">
        <v>87</v>
      </c>
      <c r="C370" s="378">
        <v>0</v>
      </c>
      <c r="D370" s="390" t="s">
        <v>314</v>
      </c>
      <c r="E370" s="389" t="s">
        <v>82</v>
      </c>
      <c r="F370" s="381">
        <v>0</v>
      </c>
    </row>
    <row r="371" spans="1:6" ht="14.95" customHeight="1" thickBot="1" x14ac:dyDescent="0.3">
      <c r="A371" s="375" t="s">
        <v>738</v>
      </c>
      <c r="B371" s="375" t="s">
        <v>309</v>
      </c>
      <c r="C371" s="378">
        <f>johnsonsarpremcuptries</f>
        <v>0</v>
      </c>
      <c r="D371" s="389" t="s">
        <v>330</v>
      </c>
      <c r="E371" s="389" t="s">
        <v>527</v>
      </c>
      <c r="F371" s="381">
        <v>0</v>
      </c>
    </row>
    <row r="372" spans="1:6" ht="14.95" customHeight="1" thickBot="1" x14ac:dyDescent="0.3">
      <c r="A372" s="375" t="s">
        <v>640</v>
      </c>
      <c r="B372" s="375" t="s">
        <v>79</v>
      </c>
      <c r="C372" s="378">
        <v>0</v>
      </c>
      <c r="D372" s="389" t="s">
        <v>768</v>
      </c>
      <c r="E372" s="389" t="s">
        <v>87</v>
      </c>
      <c r="F372" s="381">
        <v>0</v>
      </c>
    </row>
    <row r="373" spans="1:6" ht="14.95" customHeight="1" thickBot="1" x14ac:dyDescent="0.3">
      <c r="A373" s="375" t="s">
        <v>649</v>
      </c>
      <c r="B373" s="375" t="s">
        <v>87</v>
      </c>
      <c r="C373" s="378">
        <v>0</v>
      </c>
      <c r="D373" s="389" t="s">
        <v>256</v>
      </c>
      <c r="E373" s="389" t="s">
        <v>309</v>
      </c>
      <c r="F373" s="381">
        <v>0</v>
      </c>
    </row>
    <row r="374" spans="1:6" ht="14.95" customHeight="1" thickBot="1" x14ac:dyDescent="0.3">
      <c r="A374" s="375" t="s">
        <v>360</v>
      </c>
      <c r="B374" s="375" t="s">
        <v>79</v>
      </c>
      <c r="C374" s="378">
        <v>0</v>
      </c>
      <c r="D374" s="389" t="s">
        <v>315</v>
      </c>
      <c r="E374" s="389" t="s">
        <v>309</v>
      </c>
      <c r="F374" s="381">
        <v>0</v>
      </c>
    </row>
    <row r="375" spans="1:6" ht="14.95" customHeight="1" thickBot="1" x14ac:dyDescent="0.3">
      <c r="A375" s="368" t="s">
        <v>344</v>
      </c>
      <c r="B375" s="368" t="s">
        <v>87</v>
      </c>
      <c r="C375" s="378">
        <v>0</v>
      </c>
      <c r="D375" s="389" t="s">
        <v>575</v>
      </c>
      <c r="E375" s="389" t="s">
        <v>82</v>
      </c>
      <c r="F375" s="381">
        <v>0</v>
      </c>
    </row>
    <row r="376" spans="1:6" ht="14.95" customHeight="1" thickBot="1" x14ac:dyDescent="0.3">
      <c r="A376" s="375" t="s">
        <v>394</v>
      </c>
      <c r="B376" s="368" t="s">
        <v>527</v>
      </c>
      <c r="C376" s="378">
        <v>0</v>
      </c>
      <c r="D376" s="389" t="s">
        <v>72</v>
      </c>
      <c r="E376" s="389" t="s">
        <v>80</v>
      </c>
      <c r="F376" s="381">
        <v>0</v>
      </c>
    </row>
    <row r="377" spans="1:6" ht="14.95" customHeight="1" thickBot="1" x14ac:dyDescent="0.3">
      <c r="A377" s="368" t="s">
        <v>262</v>
      </c>
      <c r="B377" s="368" t="s">
        <v>527</v>
      </c>
      <c r="C377" s="378">
        <v>0</v>
      </c>
      <c r="D377" s="389" t="s">
        <v>555</v>
      </c>
      <c r="E377" s="389" t="s">
        <v>90</v>
      </c>
      <c r="F377" s="381">
        <v>0</v>
      </c>
    </row>
    <row r="378" spans="1:6" ht="14.95" customHeight="1" thickBot="1" x14ac:dyDescent="0.3">
      <c r="A378" s="368" t="s">
        <v>682</v>
      </c>
      <c r="B378" s="368" t="s">
        <v>889</v>
      </c>
      <c r="C378" s="378">
        <v>0</v>
      </c>
      <c r="D378" s="389" t="s">
        <v>445</v>
      </c>
      <c r="E378" s="389" t="s">
        <v>88</v>
      </c>
      <c r="F378" s="381">
        <v>0</v>
      </c>
    </row>
    <row r="379" spans="1:6" ht="14.95" customHeight="1" thickBot="1" x14ac:dyDescent="0.3">
      <c r="A379" s="375" t="s">
        <v>827</v>
      </c>
      <c r="B379" s="375" t="s">
        <v>80</v>
      </c>
      <c r="C379" s="378">
        <v>0</v>
      </c>
      <c r="D379" s="389" t="s">
        <v>444</v>
      </c>
      <c r="E379" s="389" t="s">
        <v>88</v>
      </c>
      <c r="F379" s="381">
        <v>0</v>
      </c>
    </row>
    <row r="380" spans="1:6" ht="14.95" customHeight="1" thickBot="1" x14ac:dyDescent="0.3">
      <c r="A380" s="375" t="s">
        <v>762</v>
      </c>
      <c r="B380" s="375" t="s">
        <v>82</v>
      </c>
      <c r="C380" s="378">
        <v>0</v>
      </c>
      <c r="D380" s="389" t="s">
        <v>613</v>
      </c>
      <c r="E380" s="389" t="s">
        <v>90</v>
      </c>
      <c r="F380" s="381">
        <v>0</v>
      </c>
    </row>
    <row r="381" spans="1:6" ht="14.95" customHeight="1" thickBot="1" x14ac:dyDescent="0.3">
      <c r="A381" s="375" t="s">
        <v>290</v>
      </c>
      <c r="B381" s="375" t="s">
        <v>87</v>
      </c>
      <c r="C381" s="378">
        <v>0</v>
      </c>
      <c r="D381" s="389" t="s">
        <v>412</v>
      </c>
      <c r="E381" s="389" t="s">
        <v>87</v>
      </c>
      <c r="F381" s="381">
        <v>0</v>
      </c>
    </row>
    <row r="382" spans="1:6" ht="14.95" customHeight="1" thickBot="1" x14ac:dyDescent="0.3">
      <c r="A382" s="375" t="s">
        <v>891</v>
      </c>
      <c r="B382" s="375" t="s">
        <v>87</v>
      </c>
      <c r="C382" s="378">
        <f>kerrharpremcuptries</f>
        <v>0</v>
      </c>
      <c r="D382" s="389" t="s">
        <v>640</v>
      </c>
      <c r="E382" s="389" t="s">
        <v>79</v>
      </c>
      <c r="F382" s="381">
        <v>0</v>
      </c>
    </row>
    <row r="383" spans="1:6" ht="14.95" customHeight="1" thickBot="1" x14ac:dyDescent="0.3">
      <c r="A383" s="375" t="s">
        <v>116</v>
      </c>
      <c r="B383" s="375" t="s">
        <v>87</v>
      </c>
      <c r="C383" s="378">
        <v>0</v>
      </c>
      <c r="D383" s="389" t="s">
        <v>649</v>
      </c>
      <c r="E383" s="389" t="s">
        <v>87</v>
      </c>
      <c r="F383" s="381">
        <v>0</v>
      </c>
    </row>
    <row r="384" spans="1:6" ht="14.95" customHeight="1" thickBot="1" x14ac:dyDescent="0.3">
      <c r="A384" s="375" t="s">
        <v>665</v>
      </c>
      <c r="B384" s="368" t="s">
        <v>527</v>
      </c>
      <c r="C384" s="378">
        <v>0</v>
      </c>
      <c r="D384" s="389" t="s">
        <v>360</v>
      </c>
      <c r="E384" s="389" t="s">
        <v>79</v>
      </c>
      <c r="F384" s="381">
        <v>0</v>
      </c>
    </row>
    <row r="385" spans="1:6" ht="14.95" customHeight="1" thickBot="1" x14ac:dyDescent="0.3">
      <c r="A385" s="368" t="s">
        <v>844</v>
      </c>
      <c r="B385" s="368" t="s">
        <v>81</v>
      </c>
      <c r="C385" s="378">
        <v>0</v>
      </c>
      <c r="D385" s="390" t="s">
        <v>344</v>
      </c>
      <c r="E385" s="390" t="s">
        <v>87</v>
      </c>
      <c r="F385" s="381">
        <v>0</v>
      </c>
    </row>
    <row r="386" spans="1:6" ht="14.95" customHeight="1" thickBot="1" x14ac:dyDescent="0.3">
      <c r="A386" s="375" t="s">
        <v>264</v>
      </c>
      <c r="B386" s="375" t="s">
        <v>90</v>
      </c>
      <c r="C386" s="378">
        <v>0</v>
      </c>
      <c r="D386" s="389" t="s">
        <v>394</v>
      </c>
      <c r="E386" s="389" t="s">
        <v>527</v>
      </c>
      <c r="F386" s="381">
        <v>0</v>
      </c>
    </row>
    <row r="387" spans="1:6" ht="14.95" customHeight="1" thickBot="1" x14ac:dyDescent="0.3">
      <c r="A387" s="375" t="s">
        <v>451</v>
      </c>
      <c r="B387" s="375" t="s">
        <v>309</v>
      </c>
      <c r="C387" s="378">
        <v>0</v>
      </c>
      <c r="D387" s="389" t="s">
        <v>262</v>
      </c>
      <c r="E387" s="389" t="s">
        <v>527</v>
      </c>
      <c r="F387" s="384">
        <v>0</v>
      </c>
    </row>
    <row r="388" spans="1:6" ht="14.95" customHeight="1" thickBot="1" x14ac:dyDescent="0.3">
      <c r="A388" s="375" t="s">
        <v>228</v>
      </c>
      <c r="B388" s="375" t="s">
        <v>90</v>
      </c>
      <c r="C388" s="378">
        <v>0</v>
      </c>
      <c r="D388" s="389" t="s">
        <v>682</v>
      </c>
      <c r="E388" s="389" t="s">
        <v>889</v>
      </c>
      <c r="F388" s="381">
        <v>0</v>
      </c>
    </row>
    <row r="389" spans="1:6" ht="14.95" customHeight="1" thickBot="1" x14ac:dyDescent="0.3">
      <c r="A389" s="375" t="s">
        <v>117</v>
      </c>
      <c r="B389" s="375" t="s">
        <v>87</v>
      </c>
      <c r="C389" s="378">
        <v>0</v>
      </c>
      <c r="D389" s="389" t="s">
        <v>827</v>
      </c>
      <c r="E389" s="389" t="s">
        <v>80</v>
      </c>
      <c r="F389" s="381">
        <v>0</v>
      </c>
    </row>
    <row r="390" spans="1:6" ht="14.95" customHeight="1" thickBot="1" x14ac:dyDescent="0.3">
      <c r="A390" s="375" t="s">
        <v>650</v>
      </c>
      <c r="B390" s="375" t="s">
        <v>87</v>
      </c>
      <c r="C390" s="378">
        <v>0</v>
      </c>
      <c r="D390" s="389" t="s">
        <v>762</v>
      </c>
      <c r="E390" s="389" t="s">
        <v>82</v>
      </c>
      <c r="F390" s="381">
        <v>0</v>
      </c>
    </row>
    <row r="391" spans="1:6" ht="14.95" customHeight="1" thickBot="1" x14ac:dyDescent="0.3">
      <c r="A391" s="375" t="s">
        <v>706</v>
      </c>
      <c r="B391" s="375" t="s">
        <v>82</v>
      </c>
      <c r="C391" s="378">
        <v>0</v>
      </c>
      <c r="D391" s="389" t="s">
        <v>290</v>
      </c>
      <c r="E391" s="389" t="s">
        <v>87</v>
      </c>
      <c r="F391" s="381">
        <v>0</v>
      </c>
    </row>
    <row r="392" spans="1:6" ht="14.95" customHeight="1" thickBot="1" x14ac:dyDescent="0.3">
      <c r="A392" s="368" t="s">
        <v>707</v>
      </c>
      <c r="B392" s="375" t="s">
        <v>82</v>
      </c>
      <c r="C392" s="378">
        <v>0</v>
      </c>
      <c r="D392" s="389" t="s">
        <v>116</v>
      </c>
      <c r="E392" s="389" t="s">
        <v>87</v>
      </c>
      <c r="F392" s="381">
        <v>0</v>
      </c>
    </row>
    <row r="393" spans="1:6" ht="14.95" customHeight="1" thickBot="1" x14ac:dyDescent="0.3">
      <c r="A393" s="375" t="s">
        <v>838</v>
      </c>
      <c r="B393" s="375" t="s">
        <v>81</v>
      </c>
      <c r="C393" s="378">
        <v>0</v>
      </c>
      <c r="D393" s="389" t="s">
        <v>665</v>
      </c>
      <c r="E393" s="389" t="s">
        <v>527</v>
      </c>
      <c r="F393" s="381">
        <v>0</v>
      </c>
    </row>
    <row r="394" spans="1:6" ht="14.95" customHeight="1" thickBot="1" x14ac:dyDescent="0.3">
      <c r="A394" s="375" t="s">
        <v>683</v>
      </c>
      <c r="B394" s="375" t="s">
        <v>889</v>
      </c>
      <c r="C394" s="378">
        <v>0</v>
      </c>
      <c r="D394" s="389" t="s">
        <v>844</v>
      </c>
      <c r="E394" s="389" t="s">
        <v>81</v>
      </c>
      <c r="F394" s="381">
        <v>0</v>
      </c>
    </row>
    <row r="395" spans="1:6" ht="14.95" customHeight="1" thickBot="1" x14ac:dyDescent="0.3">
      <c r="A395" s="375" t="s">
        <v>809</v>
      </c>
      <c r="B395" s="375" t="s">
        <v>90</v>
      </c>
      <c r="C395" s="378">
        <v>0</v>
      </c>
      <c r="D395" s="389" t="s">
        <v>264</v>
      </c>
      <c r="E395" s="389" t="s">
        <v>90</v>
      </c>
      <c r="F395" s="381">
        <v>0</v>
      </c>
    </row>
    <row r="396" spans="1:6" ht="14.95" customHeight="1" thickBot="1" x14ac:dyDescent="0.3">
      <c r="A396" s="375" t="s">
        <v>197</v>
      </c>
      <c r="B396" s="375" t="s">
        <v>87</v>
      </c>
      <c r="C396" s="378">
        <v>0</v>
      </c>
      <c r="D396" s="389" t="s">
        <v>451</v>
      </c>
      <c r="E396" s="389" t="s">
        <v>309</v>
      </c>
      <c r="F396" s="381">
        <v>0</v>
      </c>
    </row>
    <row r="397" spans="1:6" ht="14.95" customHeight="1" thickBot="1" x14ac:dyDescent="0.3">
      <c r="A397" s="375" t="s">
        <v>545</v>
      </c>
      <c r="B397" s="375" t="s">
        <v>87</v>
      </c>
      <c r="C397" s="378">
        <v>0</v>
      </c>
      <c r="D397" s="389" t="s">
        <v>228</v>
      </c>
      <c r="E397" s="389" t="s">
        <v>90</v>
      </c>
      <c r="F397" s="381">
        <v>0</v>
      </c>
    </row>
    <row r="398" spans="1:6" ht="14.95" customHeight="1" thickBot="1" x14ac:dyDescent="0.3">
      <c r="A398" s="375" t="s">
        <v>976</v>
      </c>
      <c r="B398" s="375" t="s">
        <v>81</v>
      </c>
      <c r="C398" s="378">
        <f>linegarbthpremcuptries</f>
        <v>0</v>
      </c>
      <c r="D398" s="389" t="s">
        <v>117</v>
      </c>
      <c r="E398" s="389" t="s">
        <v>87</v>
      </c>
      <c r="F398" s="381">
        <v>0</v>
      </c>
    </row>
    <row r="399" spans="1:6" ht="14.95" customHeight="1" thickBot="1" x14ac:dyDescent="0.3">
      <c r="A399" s="375" t="s">
        <v>436</v>
      </c>
      <c r="B399" s="375" t="s">
        <v>82</v>
      </c>
      <c r="C399" s="378">
        <v>0</v>
      </c>
      <c r="D399" s="389" t="s">
        <v>650</v>
      </c>
      <c r="E399" s="389" t="s">
        <v>87</v>
      </c>
      <c r="F399" s="381">
        <v>0</v>
      </c>
    </row>
    <row r="400" spans="1:6" ht="14.95" customHeight="1" thickBot="1" x14ac:dyDescent="0.3">
      <c r="A400" s="375" t="s">
        <v>120</v>
      </c>
      <c r="B400" s="375" t="s">
        <v>90</v>
      </c>
      <c r="C400" s="378">
        <v>0</v>
      </c>
      <c r="D400" s="389" t="s">
        <v>495</v>
      </c>
      <c r="E400" s="389" t="s">
        <v>82</v>
      </c>
      <c r="F400" s="381">
        <v>0</v>
      </c>
    </row>
    <row r="401" spans="1:6" ht="14.95" customHeight="1" thickBot="1" x14ac:dyDescent="0.3">
      <c r="A401" s="375" t="s">
        <v>719</v>
      </c>
      <c r="B401" s="375" t="s">
        <v>80</v>
      </c>
      <c r="C401" s="378">
        <v>0</v>
      </c>
      <c r="D401" s="390" t="s">
        <v>707</v>
      </c>
      <c r="E401" s="389" t="s">
        <v>82</v>
      </c>
      <c r="F401" s="381">
        <v>0</v>
      </c>
    </row>
    <row r="402" spans="1:6" ht="14.95" customHeight="1" thickBot="1" x14ac:dyDescent="0.3">
      <c r="A402" s="375" t="s">
        <v>709</v>
      </c>
      <c r="B402" s="375" t="s">
        <v>82</v>
      </c>
      <c r="C402" s="378">
        <v>0</v>
      </c>
      <c r="D402" s="389" t="s">
        <v>838</v>
      </c>
      <c r="E402" s="389" t="s">
        <v>81</v>
      </c>
      <c r="F402" s="381">
        <v>0</v>
      </c>
    </row>
    <row r="403" spans="1:6" ht="14.95" customHeight="1" thickBot="1" x14ac:dyDescent="0.3">
      <c r="A403" s="375" t="s">
        <v>785</v>
      </c>
      <c r="B403" s="375" t="s">
        <v>90</v>
      </c>
      <c r="C403" s="378">
        <v>0</v>
      </c>
      <c r="D403" s="389" t="s">
        <v>683</v>
      </c>
      <c r="E403" s="389" t="s">
        <v>889</v>
      </c>
      <c r="F403" s="381">
        <v>0</v>
      </c>
    </row>
    <row r="404" spans="1:6" ht="14.95" customHeight="1" thickBot="1" x14ac:dyDescent="0.3">
      <c r="A404" s="375" t="s">
        <v>594</v>
      </c>
      <c r="B404" s="375" t="s">
        <v>90</v>
      </c>
      <c r="C404" s="378">
        <v>0</v>
      </c>
      <c r="D404" s="389" t="s">
        <v>809</v>
      </c>
      <c r="E404" s="389" t="s">
        <v>90</v>
      </c>
      <c r="F404" s="381">
        <v>0</v>
      </c>
    </row>
    <row r="405" spans="1:6" ht="14.95" customHeight="1" thickBot="1" x14ac:dyDescent="0.3">
      <c r="A405" s="375" t="s">
        <v>317</v>
      </c>
      <c r="B405" s="375" t="s">
        <v>309</v>
      </c>
      <c r="C405" s="378">
        <v>0</v>
      </c>
      <c r="D405" s="389" t="s">
        <v>197</v>
      </c>
      <c r="E405" s="389" t="s">
        <v>87</v>
      </c>
      <c r="F405" s="381">
        <v>0</v>
      </c>
    </row>
    <row r="406" spans="1:6" ht="14.95" customHeight="1" thickBot="1" x14ac:dyDescent="0.3">
      <c r="A406" s="375" t="s">
        <v>710</v>
      </c>
      <c r="B406" s="375" t="s">
        <v>82</v>
      </c>
      <c r="C406" s="378">
        <v>0</v>
      </c>
      <c r="D406" s="389" t="s">
        <v>545</v>
      </c>
      <c r="E406" s="389" t="s">
        <v>87</v>
      </c>
      <c r="F406" s="384">
        <v>0</v>
      </c>
    </row>
    <row r="407" spans="1:6" ht="14.95" customHeight="1" thickBot="1" x14ac:dyDescent="0.3">
      <c r="A407" s="375" t="s">
        <v>642</v>
      </c>
      <c r="B407" s="375" t="s">
        <v>79</v>
      </c>
      <c r="C407" s="378">
        <v>0</v>
      </c>
      <c r="D407" s="389" t="s">
        <v>436</v>
      </c>
      <c r="E407" s="389" t="s">
        <v>82</v>
      </c>
      <c r="F407" s="381">
        <v>0</v>
      </c>
    </row>
    <row r="408" spans="1:6" ht="14.95" customHeight="1" thickBot="1" x14ac:dyDescent="0.3">
      <c r="A408" s="375" t="s">
        <v>318</v>
      </c>
      <c r="B408" s="375" t="s">
        <v>309</v>
      </c>
      <c r="C408" s="378">
        <v>0</v>
      </c>
      <c r="D408" s="389" t="s">
        <v>120</v>
      </c>
      <c r="E408" s="389" t="s">
        <v>90</v>
      </c>
      <c r="F408" s="381">
        <v>0</v>
      </c>
    </row>
    <row r="409" spans="1:6" ht="14.95" customHeight="1" thickBot="1" x14ac:dyDescent="0.3">
      <c r="A409" s="375" t="s">
        <v>395</v>
      </c>
      <c r="B409" s="375" t="s">
        <v>90</v>
      </c>
      <c r="C409" s="378">
        <f>macgintybripremcuptries</f>
        <v>0</v>
      </c>
      <c r="D409" s="389" t="s">
        <v>719</v>
      </c>
      <c r="E409" s="389" t="s">
        <v>80</v>
      </c>
      <c r="F409" s="381">
        <v>0</v>
      </c>
    </row>
    <row r="410" spans="1:6" ht="14.95" customHeight="1" thickBot="1" x14ac:dyDescent="0.3">
      <c r="A410" s="375" t="s">
        <v>243</v>
      </c>
      <c r="B410" s="375" t="s">
        <v>79</v>
      </c>
      <c r="C410" s="379">
        <v>0</v>
      </c>
      <c r="D410" s="389" t="s">
        <v>709</v>
      </c>
      <c r="E410" s="389" t="s">
        <v>82</v>
      </c>
      <c r="F410" s="381">
        <v>0</v>
      </c>
    </row>
    <row r="411" spans="1:6" ht="14.95" customHeight="1" thickBot="1" x14ac:dyDescent="0.3">
      <c r="A411" s="375" t="s">
        <v>460</v>
      </c>
      <c r="B411" s="375" t="s">
        <v>80</v>
      </c>
      <c r="C411" s="378">
        <v>0</v>
      </c>
      <c r="D411" s="390" t="s">
        <v>785</v>
      </c>
      <c r="E411" s="390" t="s">
        <v>90</v>
      </c>
      <c r="F411" s="381">
        <v>0</v>
      </c>
    </row>
    <row r="412" spans="1:6" ht="14.95" customHeight="1" thickBot="1" x14ac:dyDescent="0.3">
      <c r="A412" s="375" t="s">
        <v>668</v>
      </c>
      <c r="B412" s="368" t="s">
        <v>527</v>
      </c>
      <c r="C412" s="378">
        <v>0</v>
      </c>
      <c r="D412" s="389" t="s">
        <v>594</v>
      </c>
      <c r="E412" s="389" t="s">
        <v>90</v>
      </c>
      <c r="F412" s="381">
        <v>0</v>
      </c>
    </row>
    <row r="413" spans="1:6" ht="14.95" customHeight="1" thickBot="1" x14ac:dyDescent="0.3">
      <c r="A413" s="375" t="s">
        <v>752</v>
      </c>
      <c r="B413" s="375" t="s">
        <v>309</v>
      </c>
      <c r="C413" s="379">
        <v>0</v>
      </c>
      <c r="D413" s="389" t="s">
        <v>317</v>
      </c>
      <c r="E413" s="389" t="s">
        <v>309</v>
      </c>
      <c r="F413" s="381">
        <v>0</v>
      </c>
    </row>
    <row r="414" spans="1:6" ht="14.95" customHeight="1" thickBot="1" x14ac:dyDescent="0.3">
      <c r="A414" s="375" t="s">
        <v>697</v>
      </c>
      <c r="B414" s="375" t="s">
        <v>889</v>
      </c>
      <c r="C414" s="378">
        <v>0</v>
      </c>
      <c r="D414" s="389" t="s">
        <v>710</v>
      </c>
      <c r="E414" s="389" t="s">
        <v>82</v>
      </c>
      <c r="F414" s="381">
        <v>0</v>
      </c>
    </row>
    <row r="415" spans="1:6" ht="14.95" customHeight="1" thickBot="1" x14ac:dyDescent="0.3">
      <c r="A415" s="375" t="s">
        <v>585</v>
      </c>
      <c r="B415" s="375" t="s">
        <v>81</v>
      </c>
      <c r="C415" s="378">
        <v>0</v>
      </c>
      <c r="D415" s="389" t="s">
        <v>642</v>
      </c>
      <c r="E415" s="389" t="s">
        <v>79</v>
      </c>
      <c r="F415" s="381">
        <v>0</v>
      </c>
    </row>
    <row r="416" spans="1:6" ht="14.95" customHeight="1" thickBot="1" x14ac:dyDescent="0.3">
      <c r="A416" s="375" t="s">
        <v>801</v>
      </c>
      <c r="B416" s="375" t="s">
        <v>309</v>
      </c>
      <c r="C416" s="378">
        <v>0</v>
      </c>
      <c r="D416" s="389" t="s">
        <v>318</v>
      </c>
      <c r="E416" s="389" t="s">
        <v>309</v>
      </c>
      <c r="F416" s="381">
        <v>0</v>
      </c>
    </row>
    <row r="417" spans="1:6" ht="14.95" customHeight="1" thickBot="1" x14ac:dyDescent="0.3">
      <c r="A417" s="375" t="s">
        <v>181</v>
      </c>
      <c r="B417" s="375" t="s">
        <v>79</v>
      </c>
      <c r="C417" s="378">
        <v>0</v>
      </c>
      <c r="D417" s="389" t="s">
        <v>243</v>
      </c>
      <c r="E417" s="389" t="s">
        <v>79</v>
      </c>
      <c r="F417" s="381">
        <v>0</v>
      </c>
    </row>
    <row r="418" spans="1:6" ht="14.95" customHeight="1" thickBot="1" x14ac:dyDescent="0.3">
      <c r="A418" s="375" t="s">
        <v>701</v>
      </c>
      <c r="B418" s="375" t="s">
        <v>889</v>
      </c>
      <c r="C418" s="378">
        <v>0</v>
      </c>
      <c r="D418" s="389" t="s">
        <v>460</v>
      </c>
      <c r="E418" s="389" t="s">
        <v>80</v>
      </c>
      <c r="F418" s="381">
        <v>0</v>
      </c>
    </row>
    <row r="419" spans="1:6" ht="14.95" customHeight="1" thickBot="1" x14ac:dyDescent="0.3">
      <c r="A419" s="375" t="s">
        <v>793</v>
      </c>
      <c r="B419" s="375" t="s">
        <v>79</v>
      </c>
      <c r="C419" s="378">
        <v>0</v>
      </c>
      <c r="D419" s="389" t="s">
        <v>668</v>
      </c>
      <c r="E419" s="389" t="s">
        <v>527</v>
      </c>
      <c r="F419" s="381">
        <v>0</v>
      </c>
    </row>
    <row r="420" spans="1:6" ht="14.95" customHeight="1" thickBot="1" x14ac:dyDescent="0.3">
      <c r="A420" s="375" t="s">
        <v>685</v>
      </c>
      <c r="B420" s="375" t="s">
        <v>889</v>
      </c>
      <c r="C420" s="379">
        <v>0</v>
      </c>
      <c r="D420" s="389" t="s">
        <v>752</v>
      </c>
      <c r="E420" s="389" t="s">
        <v>309</v>
      </c>
      <c r="F420" s="381">
        <v>0</v>
      </c>
    </row>
    <row r="421" spans="1:6" ht="14.95" customHeight="1" thickBot="1" x14ac:dyDescent="0.3">
      <c r="A421" s="375" t="s">
        <v>1058</v>
      </c>
      <c r="B421" s="375" t="s">
        <v>889</v>
      </c>
      <c r="C421" s="378">
        <v>0</v>
      </c>
      <c r="D421" s="389" t="s">
        <v>697</v>
      </c>
      <c r="E421" s="389" t="s">
        <v>889</v>
      </c>
      <c r="F421" s="381">
        <v>0</v>
      </c>
    </row>
    <row r="422" spans="1:6" ht="14.95" customHeight="1" thickBot="1" x14ac:dyDescent="0.3">
      <c r="A422" s="375" t="s">
        <v>612</v>
      </c>
      <c r="B422" s="375" t="s">
        <v>90</v>
      </c>
      <c r="C422" s="378">
        <v>0</v>
      </c>
      <c r="D422" s="389" t="s">
        <v>585</v>
      </c>
      <c r="E422" s="389" t="s">
        <v>81</v>
      </c>
      <c r="F422" s="381">
        <v>0</v>
      </c>
    </row>
    <row r="423" spans="1:6" ht="14.95" customHeight="1" thickBot="1" x14ac:dyDescent="0.3">
      <c r="A423" s="370" t="s">
        <v>579</v>
      </c>
      <c r="B423" s="376" t="s">
        <v>82</v>
      </c>
      <c r="C423" s="378">
        <v>0</v>
      </c>
      <c r="D423" s="389" t="s">
        <v>801</v>
      </c>
      <c r="E423" s="389" t="s">
        <v>309</v>
      </c>
      <c r="F423" s="381">
        <v>0</v>
      </c>
    </row>
    <row r="424" spans="1:6" ht="14.95" customHeight="1" thickBot="1" x14ac:dyDescent="0.3">
      <c r="A424" s="366" t="s">
        <v>860</v>
      </c>
      <c r="B424" s="368" t="s">
        <v>80</v>
      </c>
      <c r="C424" s="378">
        <v>0</v>
      </c>
      <c r="D424" s="389" t="s">
        <v>181</v>
      </c>
      <c r="E424" s="389" t="s">
        <v>79</v>
      </c>
      <c r="F424" s="381">
        <v>0</v>
      </c>
    </row>
    <row r="425" spans="1:6" ht="14.95" customHeight="1" thickBot="1" x14ac:dyDescent="0.3">
      <c r="A425" s="366" t="s">
        <v>721</v>
      </c>
      <c r="B425" s="375" t="s">
        <v>80</v>
      </c>
      <c r="C425" s="379">
        <v>0</v>
      </c>
      <c r="D425" s="389" t="s">
        <v>701</v>
      </c>
      <c r="E425" s="389" t="s">
        <v>889</v>
      </c>
      <c r="F425" s="381">
        <v>0</v>
      </c>
    </row>
    <row r="426" spans="1:6" ht="14.95" customHeight="1" thickBot="1" x14ac:dyDescent="0.3">
      <c r="A426" s="366" t="s">
        <v>411</v>
      </c>
      <c r="B426" s="375" t="s">
        <v>87</v>
      </c>
      <c r="C426" s="378">
        <v>0</v>
      </c>
      <c r="D426" s="389" t="s">
        <v>793</v>
      </c>
      <c r="E426" s="389" t="s">
        <v>79</v>
      </c>
      <c r="F426" s="381">
        <v>0</v>
      </c>
    </row>
    <row r="427" spans="1:6" ht="14.95" customHeight="1" thickBot="1" x14ac:dyDescent="0.3">
      <c r="A427" s="374" t="s">
        <v>552</v>
      </c>
      <c r="B427" s="368" t="s">
        <v>889</v>
      </c>
      <c r="C427" s="378">
        <v>0</v>
      </c>
      <c r="D427" s="389" t="s">
        <v>685</v>
      </c>
      <c r="E427" s="389" t="s">
        <v>889</v>
      </c>
      <c r="F427" s="381">
        <v>0</v>
      </c>
    </row>
    <row r="428" spans="1:6" ht="14.95" customHeight="1" thickBot="1" x14ac:dyDescent="0.3">
      <c r="A428" s="366" t="s">
        <v>144</v>
      </c>
      <c r="B428" s="375" t="s">
        <v>88</v>
      </c>
      <c r="C428" s="378">
        <v>0</v>
      </c>
      <c r="D428" s="386" t="s">
        <v>1058</v>
      </c>
      <c r="E428" s="389" t="s">
        <v>889</v>
      </c>
      <c r="F428" s="381">
        <v>0</v>
      </c>
    </row>
    <row r="429" spans="1:6" ht="14.95" customHeight="1" thickBot="1" x14ac:dyDescent="0.3">
      <c r="A429" s="366" t="s">
        <v>776</v>
      </c>
      <c r="B429" s="375" t="s">
        <v>81</v>
      </c>
      <c r="C429" s="378">
        <v>0</v>
      </c>
      <c r="D429" s="386" t="s">
        <v>612</v>
      </c>
      <c r="E429" s="389" t="s">
        <v>90</v>
      </c>
      <c r="F429" s="381">
        <v>0</v>
      </c>
    </row>
    <row r="430" spans="1:6" ht="14.95" customHeight="1" thickBot="1" x14ac:dyDescent="0.3">
      <c r="A430" s="366" t="s">
        <v>565</v>
      </c>
      <c r="B430" s="375" t="s">
        <v>309</v>
      </c>
      <c r="C430" s="378">
        <v>0</v>
      </c>
      <c r="D430" s="386" t="s">
        <v>579</v>
      </c>
      <c r="E430" s="389" t="s">
        <v>82</v>
      </c>
      <c r="F430" s="381">
        <v>0</v>
      </c>
    </row>
    <row r="431" spans="1:6" ht="14.95" customHeight="1" thickBot="1" x14ac:dyDescent="0.3">
      <c r="A431" s="366" t="s">
        <v>846</v>
      </c>
      <c r="B431" s="375" t="s">
        <v>82</v>
      </c>
      <c r="C431" s="378">
        <v>0</v>
      </c>
      <c r="D431" s="386" t="s">
        <v>860</v>
      </c>
      <c r="E431" s="389" t="s">
        <v>80</v>
      </c>
      <c r="F431" s="381">
        <v>0</v>
      </c>
    </row>
    <row r="432" spans="1:6" ht="14.95" customHeight="1" thickBot="1" x14ac:dyDescent="0.3">
      <c r="A432" s="366" t="s">
        <v>367</v>
      </c>
      <c r="B432" s="375" t="s">
        <v>82</v>
      </c>
      <c r="C432" s="379">
        <v>0</v>
      </c>
      <c r="D432" s="386" t="s">
        <v>721</v>
      </c>
      <c r="E432" s="389" t="s">
        <v>80</v>
      </c>
      <c r="F432" s="381">
        <v>0</v>
      </c>
    </row>
    <row r="433" spans="1:6" ht="14.95" customHeight="1" thickBot="1" x14ac:dyDescent="0.3">
      <c r="A433" s="366" t="s">
        <v>4</v>
      </c>
      <c r="B433" s="375" t="s">
        <v>309</v>
      </c>
      <c r="C433" s="378">
        <v>0</v>
      </c>
      <c r="D433" s="386" t="s">
        <v>411</v>
      </c>
      <c r="E433" s="389" t="s">
        <v>87</v>
      </c>
      <c r="F433" s="381">
        <v>0</v>
      </c>
    </row>
    <row r="434" spans="1:6" ht="14.95" customHeight="1" thickBot="1" x14ac:dyDescent="0.3">
      <c r="A434" s="366" t="s">
        <v>83</v>
      </c>
      <c r="B434" s="375" t="s">
        <v>90</v>
      </c>
      <c r="C434" s="378">
        <v>0</v>
      </c>
      <c r="D434" s="386" t="s">
        <v>552</v>
      </c>
      <c r="E434" s="389" t="s">
        <v>889</v>
      </c>
      <c r="F434" s="381">
        <v>0</v>
      </c>
    </row>
    <row r="435" spans="1:6" ht="14.95" customHeight="1" thickBot="1" x14ac:dyDescent="0.3">
      <c r="A435" s="366" t="s">
        <v>83</v>
      </c>
      <c r="B435" s="375" t="s">
        <v>81</v>
      </c>
      <c r="C435" s="378">
        <v>0</v>
      </c>
      <c r="D435" s="386" t="s">
        <v>144</v>
      </c>
      <c r="E435" s="389" t="s">
        <v>88</v>
      </c>
      <c r="F435" s="381">
        <v>0</v>
      </c>
    </row>
    <row r="436" spans="1:6" ht="14.95" customHeight="1" thickBot="1" x14ac:dyDescent="0.3">
      <c r="A436" s="374" t="s">
        <v>83</v>
      </c>
      <c r="B436" s="368" t="s">
        <v>88</v>
      </c>
      <c r="C436" s="378">
        <v>0</v>
      </c>
      <c r="D436" s="386" t="s">
        <v>776</v>
      </c>
      <c r="E436" s="389" t="s">
        <v>81</v>
      </c>
      <c r="F436" s="381">
        <v>0</v>
      </c>
    </row>
    <row r="437" spans="1:6" ht="14.95" customHeight="1" thickBot="1" x14ac:dyDescent="0.3">
      <c r="A437" s="366" t="s">
        <v>83</v>
      </c>
      <c r="B437" s="375" t="s">
        <v>79</v>
      </c>
      <c r="C437" s="378">
        <v>0</v>
      </c>
      <c r="D437" s="386" t="s">
        <v>565</v>
      </c>
      <c r="E437" s="389" t="s">
        <v>309</v>
      </c>
      <c r="F437" s="384">
        <v>0</v>
      </c>
    </row>
    <row r="438" spans="1:6" ht="14.95" customHeight="1" thickBot="1" x14ac:dyDescent="0.3">
      <c r="A438" s="366" t="s">
        <v>83</v>
      </c>
      <c r="B438" s="375" t="s">
        <v>87</v>
      </c>
      <c r="C438" s="378">
        <v>0</v>
      </c>
      <c r="D438" s="386" t="s">
        <v>846</v>
      </c>
      <c r="E438" s="389" t="s">
        <v>82</v>
      </c>
      <c r="F438" s="381">
        <v>0</v>
      </c>
    </row>
    <row r="439" spans="1:6" ht="14.95" customHeight="1" thickBot="1" x14ac:dyDescent="0.3">
      <c r="A439" s="374" t="s">
        <v>83</v>
      </c>
      <c r="B439" s="368" t="s">
        <v>889</v>
      </c>
      <c r="C439" s="378">
        <v>0</v>
      </c>
      <c r="D439" s="386" t="s">
        <v>367</v>
      </c>
      <c r="E439" s="389" t="s">
        <v>82</v>
      </c>
      <c r="F439" s="381">
        <v>0</v>
      </c>
    </row>
    <row r="440" spans="1:6" ht="14.95" customHeight="1" thickBot="1" x14ac:dyDescent="0.3">
      <c r="A440" s="366" t="s">
        <v>83</v>
      </c>
      <c r="B440" s="375" t="s">
        <v>80</v>
      </c>
      <c r="C440" s="378">
        <v>0</v>
      </c>
      <c r="D440" s="386" t="s">
        <v>4</v>
      </c>
      <c r="E440" s="389" t="s">
        <v>309</v>
      </c>
      <c r="F440" s="381">
        <v>0</v>
      </c>
    </row>
    <row r="441" spans="1:6" ht="14.95" customHeight="1" thickBot="1" x14ac:dyDescent="0.3">
      <c r="A441" s="366" t="s">
        <v>440</v>
      </c>
      <c r="B441" s="375" t="s">
        <v>81</v>
      </c>
      <c r="C441" s="378">
        <v>0</v>
      </c>
      <c r="D441" s="386" t="s">
        <v>83</v>
      </c>
      <c r="E441" s="389" t="s">
        <v>90</v>
      </c>
      <c r="F441" s="381">
        <v>0</v>
      </c>
    </row>
    <row r="442" spans="1:6" ht="14.95" customHeight="1" thickBot="1" x14ac:dyDescent="0.3">
      <c r="A442" s="366" t="s">
        <v>855</v>
      </c>
      <c r="B442" s="375" t="s">
        <v>82</v>
      </c>
      <c r="C442" s="378">
        <v>0</v>
      </c>
      <c r="D442" s="386" t="s">
        <v>83</v>
      </c>
      <c r="E442" s="389" t="s">
        <v>81</v>
      </c>
      <c r="F442" s="381">
        <v>0</v>
      </c>
    </row>
    <row r="443" spans="1:6" ht="14.95" customHeight="1" thickBot="1" x14ac:dyDescent="0.3">
      <c r="A443" s="366" t="s">
        <v>320</v>
      </c>
      <c r="B443" s="375" t="s">
        <v>309</v>
      </c>
      <c r="C443" s="378">
        <v>0</v>
      </c>
      <c r="D443" s="387" t="s">
        <v>83</v>
      </c>
      <c r="E443" s="390" t="s">
        <v>88</v>
      </c>
      <c r="F443" s="381">
        <v>0</v>
      </c>
    </row>
    <row r="444" spans="1:6" ht="14.95" customHeight="1" thickBot="1" x14ac:dyDescent="0.3">
      <c r="A444" s="366" t="s">
        <v>461</v>
      </c>
      <c r="B444" s="368" t="s">
        <v>527</v>
      </c>
      <c r="C444" s="378">
        <v>0</v>
      </c>
      <c r="D444" s="386" t="s">
        <v>83</v>
      </c>
      <c r="E444" s="389" t="s">
        <v>79</v>
      </c>
      <c r="F444" s="381">
        <v>0</v>
      </c>
    </row>
    <row r="445" spans="1:6" ht="14.95" customHeight="1" thickBot="1" x14ac:dyDescent="0.3">
      <c r="A445" s="366" t="s">
        <v>431</v>
      </c>
      <c r="B445" s="375" t="s">
        <v>82</v>
      </c>
      <c r="C445" s="378">
        <v>0</v>
      </c>
      <c r="D445" s="386" t="s">
        <v>83</v>
      </c>
      <c r="E445" s="389" t="s">
        <v>87</v>
      </c>
      <c r="F445" s="381">
        <v>0</v>
      </c>
    </row>
    <row r="446" spans="1:6" ht="14.95" customHeight="1" thickBot="1" x14ac:dyDescent="0.3">
      <c r="A446" s="366" t="s">
        <v>522</v>
      </c>
      <c r="B446" s="375" t="s">
        <v>87</v>
      </c>
      <c r="C446" s="378">
        <v>0</v>
      </c>
      <c r="D446" s="386" t="s">
        <v>83</v>
      </c>
      <c r="E446" s="389" t="s">
        <v>889</v>
      </c>
      <c r="F446" s="381">
        <v>0</v>
      </c>
    </row>
    <row r="447" spans="1:6" ht="14.95" customHeight="1" thickBot="1" x14ac:dyDescent="0.3">
      <c r="A447" s="366" t="s">
        <v>287</v>
      </c>
      <c r="B447" s="375" t="s">
        <v>80</v>
      </c>
      <c r="C447" s="378">
        <v>0</v>
      </c>
      <c r="D447" s="386" t="s">
        <v>83</v>
      </c>
      <c r="E447" s="389" t="s">
        <v>80</v>
      </c>
      <c r="F447" s="384">
        <v>0</v>
      </c>
    </row>
    <row r="448" spans="1:6" ht="14.95" customHeight="1" thickBot="1" x14ac:dyDescent="0.3">
      <c r="A448" s="366" t="s">
        <v>127</v>
      </c>
      <c r="B448" s="375" t="s">
        <v>79</v>
      </c>
      <c r="C448" s="378">
        <v>0</v>
      </c>
      <c r="D448" s="386" t="s">
        <v>440</v>
      </c>
      <c r="E448" s="389" t="s">
        <v>81</v>
      </c>
      <c r="F448" s="381">
        <v>0</v>
      </c>
    </row>
    <row r="449" spans="1:6" ht="14.95" customHeight="1" thickBot="1" x14ac:dyDescent="0.3">
      <c r="A449" s="374" t="s">
        <v>598</v>
      </c>
      <c r="B449" s="368" t="s">
        <v>90</v>
      </c>
      <c r="C449" s="378">
        <v>0</v>
      </c>
      <c r="D449" s="386" t="s">
        <v>855</v>
      </c>
      <c r="E449" s="389" t="s">
        <v>82</v>
      </c>
      <c r="F449" s="381">
        <v>0</v>
      </c>
    </row>
    <row r="450" spans="1:6" ht="14.95" customHeight="1" thickBot="1" x14ac:dyDescent="0.3">
      <c r="A450" s="366" t="s">
        <v>128</v>
      </c>
      <c r="B450" s="375" t="s">
        <v>81</v>
      </c>
      <c r="C450" s="378">
        <v>0</v>
      </c>
      <c r="D450" s="386" t="s">
        <v>320</v>
      </c>
      <c r="E450" s="389" t="s">
        <v>309</v>
      </c>
      <c r="F450" s="381">
        <v>0</v>
      </c>
    </row>
    <row r="451" spans="1:6" ht="14.95" customHeight="1" thickBot="1" x14ac:dyDescent="0.3">
      <c r="A451" s="366" t="s">
        <v>356</v>
      </c>
      <c r="B451" s="375" t="s">
        <v>79</v>
      </c>
      <c r="C451" s="378">
        <v>0</v>
      </c>
      <c r="D451" s="386" t="s">
        <v>461</v>
      </c>
      <c r="E451" s="389" t="s">
        <v>527</v>
      </c>
      <c r="F451" s="384">
        <v>0</v>
      </c>
    </row>
    <row r="452" spans="1:6" ht="14.95" customHeight="1" thickBot="1" x14ac:dyDescent="0.3">
      <c r="A452" s="366" t="s">
        <v>223</v>
      </c>
      <c r="B452" s="375" t="s">
        <v>81</v>
      </c>
      <c r="C452" s="378">
        <v>0</v>
      </c>
      <c r="D452" s="386" t="s">
        <v>431</v>
      </c>
      <c r="E452" s="389" t="s">
        <v>82</v>
      </c>
      <c r="F452" s="381">
        <v>0</v>
      </c>
    </row>
    <row r="453" spans="1:6" ht="14.95" customHeight="1" thickBot="1" x14ac:dyDescent="0.3">
      <c r="A453" s="366" t="s">
        <v>370</v>
      </c>
      <c r="B453" s="375" t="s">
        <v>81</v>
      </c>
      <c r="C453" s="378">
        <v>0</v>
      </c>
      <c r="D453" s="386" t="s">
        <v>522</v>
      </c>
      <c r="E453" s="389" t="s">
        <v>87</v>
      </c>
      <c r="F453" s="381">
        <v>0</v>
      </c>
    </row>
    <row r="454" spans="1:6" ht="14.95" customHeight="1" thickBot="1" x14ac:dyDescent="0.3">
      <c r="A454" s="366" t="s">
        <v>771</v>
      </c>
      <c r="B454" s="375" t="s">
        <v>80</v>
      </c>
      <c r="C454" s="378">
        <v>0</v>
      </c>
      <c r="D454" s="386" t="s">
        <v>287</v>
      </c>
      <c r="E454" s="389" t="s">
        <v>80</v>
      </c>
      <c r="F454" s="381">
        <v>0</v>
      </c>
    </row>
    <row r="455" spans="1:6" ht="14.95" customHeight="1" thickBot="1" x14ac:dyDescent="0.3">
      <c r="A455" s="366" t="s">
        <v>273</v>
      </c>
      <c r="B455" s="375" t="s">
        <v>80</v>
      </c>
      <c r="C455" s="378">
        <v>0</v>
      </c>
      <c r="D455" s="386" t="s">
        <v>127</v>
      </c>
      <c r="E455" s="389" t="s">
        <v>79</v>
      </c>
      <c r="F455" s="381">
        <v>0</v>
      </c>
    </row>
    <row r="456" spans="1:6" ht="14.95" customHeight="1" thickBot="1" x14ac:dyDescent="0.3">
      <c r="A456" s="374" t="s">
        <v>177</v>
      </c>
      <c r="B456" s="368" t="s">
        <v>80</v>
      </c>
      <c r="C456" s="378">
        <v>0</v>
      </c>
      <c r="D456" s="387" t="s">
        <v>598</v>
      </c>
      <c r="E456" s="390" t="s">
        <v>90</v>
      </c>
      <c r="F456" s="381">
        <v>0</v>
      </c>
    </row>
    <row r="457" spans="1:6" ht="14.95" customHeight="1" thickBot="1" x14ac:dyDescent="0.3">
      <c r="A457" s="366" t="s">
        <v>717</v>
      </c>
      <c r="B457" s="375" t="s">
        <v>80</v>
      </c>
      <c r="C457" s="379">
        <v>0</v>
      </c>
      <c r="D457" s="386" t="s">
        <v>128</v>
      </c>
      <c r="E457" s="389" t="s">
        <v>81</v>
      </c>
      <c r="F457" s="381">
        <v>0</v>
      </c>
    </row>
    <row r="458" spans="1:6" ht="14.95" customHeight="1" thickBot="1" x14ac:dyDescent="0.3">
      <c r="A458" s="366" t="s">
        <v>1099</v>
      </c>
      <c r="B458" s="375" t="s">
        <v>81</v>
      </c>
      <c r="C458" s="378">
        <f>Rouebthpremcuptries</f>
        <v>0</v>
      </c>
      <c r="D458" s="386" t="s">
        <v>356</v>
      </c>
      <c r="E458" s="389" t="s">
        <v>79</v>
      </c>
      <c r="F458" s="381">
        <v>0</v>
      </c>
    </row>
    <row r="459" spans="1:6" ht="14.95" customHeight="1" thickBot="1" x14ac:dyDescent="0.3">
      <c r="A459" s="366" t="s">
        <v>422</v>
      </c>
      <c r="B459" s="375" t="s">
        <v>90</v>
      </c>
      <c r="C459" s="378">
        <v>0</v>
      </c>
      <c r="D459" s="386" t="s">
        <v>223</v>
      </c>
      <c r="E459" s="389" t="s">
        <v>81</v>
      </c>
      <c r="F459" s="381">
        <v>0</v>
      </c>
    </row>
    <row r="460" spans="1:6" ht="14.95" customHeight="1" thickBot="1" x14ac:dyDescent="0.3">
      <c r="A460" s="366" t="s">
        <v>669</v>
      </c>
      <c r="B460" s="368" t="s">
        <v>527</v>
      </c>
      <c r="C460" s="378">
        <v>0</v>
      </c>
      <c r="D460" s="386" t="s">
        <v>370</v>
      </c>
      <c r="E460" s="389" t="s">
        <v>81</v>
      </c>
      <c r="F460" s="381">
        <v>0</v>
      </c>
    </row>
    <row r="461" spans="1:6" ht="14.95" customHeight="1" thickBot="1" x14ac:dyDescent="0.3">
      <c r="A461" s="366" t="s">
        <v>784</v>
      </c>
      <c r="B461" s="375" t="s">
        <v>87</v>
      </c>
      <c r="C461" s="378">
        <v>0</v>
      </c>
      <c r="D461" s="386" t="s">
        <v>771</v>
      </c>
      <c r="E461" s="389" t="s">
        <v>80</v>
      </c>
      <c r="F461" s="381">
        <v>0</v>
      </c>
    </row>
    <row r="462" spans="1:6" ht="14.95" customHeight="1" thickBot="1" x14ac:dyDescent="0.3">
      <c r="A462" s="366" t="s">
        <v>542</v>
      </c>
      <c r="B462" s="375" t="s">
        <v>81</v>
      </c>
      <c r="C462" s="378">
        <v>0</v>
      </c>
      <c r="D462" s="386" t="s">
        <v>273</v>
      </c>
      <c r="E462" s="389" t="s">
        <v>80</v>
      </c>
      <c r="F462" s="381">
        <v>0</v>
      </c>
    </row>
    <row r="463" spans="1:6" ht="14.95" customHeight="1" thickBot="1" x14ac:dyDescent="0.3">
      <c r="A463" s="366" t="s">
        <v>614</v>
      </c>
      <c r="B463" s="375" t="s">
        <v>90</v>
      </c>
      <c r="C463" s="378">
        <v>0</v>
      </c>
      <c r="D463" s="387" t="s">
        <v>177</v>
      </c>
      <c r="E463" s="390" t="s">
        <v>80</v>
      </c>
      <c r="F463" s="381">
        <v>0</v>
      </c>
    </row>
    <row r="464" spans="1:6" ht="14.95" customHeight="1" thickBot="1" x14ac:dyDescent="0.3">
      <c r="A464" s="366" t="s">
        <v>130</v>
      </c>
      <c r="B464" s="375" t="s">
        <v>82</v>
      </c>
      <c r="C464" s="378">
        <v>0</v>
      </c>
      <c r="D464" s="386" t="s">
        <v>717</v>
      </c>
      <c r="E464" s="389" t="s">
        <v>80</v>
      </c>
      <c r="F464" s="381">
        <v>0</v>
      </c>
    </row>
    <row r="465" spans="1:6" ht="14.95" customHeight="1" thickBot="1" x14ac:dyDescent="0.3">
      <c r="A465" s="374" t="s">
        <v>257</v>
      </c>
      <c r="B465" s="375" t="s">
        <v>79</v>
      </c>
      <c r="C465" s="378">
        <v>0</v>
      </c>
      <c r="D465" s="386" t="s">
        <v>422</v>
      </c>
      <c r="E465" s="389" t="s">
        <v>90</v>
      </c>
      <c r="F465" s="381">
        <v>0</v>
      </c>
    </row>
    <row r="466" spans="1:6" ht="14.95" customHeight="1" thickBot="1" x14ac:dyDescent="0.3">
      <c r="A466" s="366" t="s">
        <v>442</v>
      </c>
      <c r="B466" s="375" t="s">
        <v>88</v>
      </c>
      <c r="C466" s="378">
        <v>0</v>
      </c>
      <c r="D466" s="386" t="s">
        <v>669</v>
      </c>
      <c r="E466" s="389" t="s">
        <v>527</v>
      </c>
      <c r="F466" s="381">
        <v>0</v>
      </c>
    </row>
    <row r="467" spans="1:6" ht="14.95" customHeight="1" thickBot="1" x14ac:dyDescent="0.3">
      <c r="A467" s="366" t="s">
        <v>149</v>
      </c>
      <c r="B467" s="375" t="s">
        <v>88</v>
      </c>
      <c r="C467" s="378">
        <f>skinnerexepremcuptries</f>
        <v>0</v>
      </c>
      <c r="D467" s="386" t="s">
        <v>784</v>
      </c>
      <c r="E467" s="389" t="s">
        <v>87</v>
      </c>
      <c r="F467" s="381">
        <v>0</v>
      </c>
    </row>
    <row r="468" spans="1:6" ht="14.95" customHeight="1" thickBot="1" x14ac:dyDescent="0.3">
      <c r="A468" s="366" t="s">
        <v>132</v>
      </c>
      <c r="B468" s="375" t="s">
        <v>88</v>
      </c>
      <c r="C468" s="378">
        <f>sladeexepremcuptries</f>
        <v>0</v>
      </c>
      <c r="D468" s="386" t="s">
        <v>542</v>
      </c>
      <c r="E468" s="389" t="s">
        <v>81</v>
      </c>
      <c r="F468" s="381">
        <v>0</v>
      </c>
    </row>
    <row r="469" spans="1:6" ht="14.95" customHeight="1" thickBot="1" x14ac:dyDescent="0.3">
      <c r="A469" s="366" t="s">
        <v>378</v>
      </c>
      <c r="B469" s="375" t="s">
        <v>82</v>
      </c>
      <c r="C469" s="378">
        <v>0</v>
      </c>
      <c r="D469" s="386" t="s">
        <v>614</v>
      </c>
      <c r="E469" s="389" t="s">
        <v>90</v>
      </c>
      <c r="F469" s="381">
        <v>0</v>
      </c>
    </row>
    <row r="470" spans="1:6" ht="14.95" customHeight="1" thickBot="1" x14ac:dyDescent="0.3">
      <c r="A470" s="366" t="s">
        <v>378</v>
      </c>
      <c r="B470" s="375" t="s">
        <v>889</v>
      </c>
      <c r="C470" s="378">
        <v>0</v>
      </c>
      <c r="D470" s="386" t="s">
        <v>130</v>
      </c>
      <c r="E470" s="389" t="s">
        <v>82</v>
      </c>
      <c r="F470" s="381">
        <v>0</v>
      </c>
    </row>
    <row r="471" spans="1:6" ht="14.95" customHeight="1" thickBot="1" x14ac:dyDescent="0.3">
      <c r="A471" s="366" t="s">
        <v>331</v>
      </c>
      <c r="B471" s="368" t="s">
        <v>527</v>
      </c>
      <c r="C471" s="378">
        <v>0</v>
      </c>
      <c r="D471" s="386" t="s">
        <v>257</v>
      </c>
      <c r="E471" s="389" t="s">
        <v>79</v>
      </c>
      <c r="F471" s="381">
        <v>0</v>
      </c>
    </row>
    <row r="472" spans="1:6" ht="14.95" customHeight="1" thickBot="1" x14ac:dyDescent="0.3">
      <c r="A472" s="366" t="s">
        <v>98</v>
      </c>
      <c r="B472" s="375" t="s">
        <v>81</v>
      </c>
      <c r="C472" s="378">
        <v>0</v>
      </c>
      <c r="D472" s="386" t="s">
        <v>442</v>
      </c>
      <c r="E472" s="389" t="s">
        <v>88</v>
      </c>
      <c r="F472" s="381">
        <v>0</v>
      </c>
    </row>
    <row r="473" spans="1:6" ht="14.95" customHeight="1" thickBot="1" x14ac:dyDescent="0.3">
      <c r="A473" s="366" t="s">
        <v>211</v>
      </c>
      <c r="B473" s="375" t="s">
        <v>79</v>
      </c>
      <c r="C473" s="378">
        <v>0</v>
      </c>
      <c r="D473" s="386" t="s">
        <v>378</v>
      </c>
      <c r="E473" s="389" t="s">
        <v>82</v>
      </c>
      <c r="F473" s="381">
        <v>0</v>
      </c>
    </row>
    <row r="474" spans="1:6" ht="14.95" customHeight="1" thickBot="1" x14ac:dyDescent="0.3">
      <c r="A474" s="366" t="s">
        <v>251</v>
      </c>
      <c r="B474" s="375" t="s">
        <v>889</v>
      </c>
      <c r="C474" s="378">
        <v>0</v>
      </c>
      <c r="D474" s="386" t="s">
        <v>378</v>
      </c>
      <c r="E474" s="389" t="s">
        <v>889</v>
      </c>
      <c r="F474" s="381">
        <v>0</v>
      </c>
    </row>
    <row r="475" spans="1:6" ht="14.95" customHeight="1" thickBot="1" x14ac:dyDescent="0.3">
      <c r="A475" s="366" t="s">
        <v>194</v>
      </c>
      <c r="B475" s="368" t="s">
        <v>527</v>
      </c>
      <c r="C475" s="379">
        <v>0</v>
      </c>
      <c r="D475" s="386" t="s">
        <v>331</v>
      </c>
      <c r="E475" s="389" t="s">
        <v>527</v>
      </c>
      <c r="F475" s="381">
        <v>0</v>
      </c>
    </row>
    <row r="476" spans="1:6" ht="14.95" customHeight="1" thickBot="1" x14ac:dyDescent="0.3">
      <c r="A476" s="374" t="s">
        <v>246</v>
      </c>
      <c r="B476" s="368" t="s">
        <v>889</v>
      </c>
      <c r="C476" s="378">
        <v>0</v>
      </c>
      <c r="D476" s="386" t="s">
        <v>98</v>
      </c>
      <c r="E476" s="389" t="s">
        <v>81</v>
      </c>
      <c r="F476" s="381">
        <v>0</v>
      </c>
    </row>
    <row r="477" spans="1:6" ht="14.95" customHeight="1" thickBot="1" x14ac:dyDescent="0.3">
      <c r="A477" s="366" t="s">
        <v>814</v>
      </c>
      <c r="B477" s="375" t="s">
        <v>309</v>
      </c>
      <c r="C477" s="378">
        <v>0</v>
      </c>
      <c r="D477" s="386" t="s">
        <v>211</v>
      </c>
      <c r="E477" s="389" t="s">
        <v>79</v>
      </c>
      <c r="F477" s="381">
        <v>0</v>
      </c>
    </row>
    <row r="478" spans="1:6" ht="14.95" customHeight="1" thickBot="1" x14ac:dyDescent="0.3">
      <c r="A478" s="366" t="s">
        <v>605</v>
      </c>
      <c r="B478" s="375" t="s">
        <v>90</v>
      </c>
      <c r="C478" s="378">
        <v>0</v>
      </c>
      <c r="D478" s="386" t="s">
        <v>251</v>
      </c>
      <c r="E478" s="389" t="s">
        <v>889</v>
      </c>
      <c r="F478" s="381">
        <v>0</v>
      </c>
    </row>
    <row r="479" spans="1:6" ht="14.95" customHeight="1" thickBot="1" x14ac:dyDescent="0.3">
      <c r="A479" s="366" t="s">
        <v>355</v>
      </c>
      <c r="B479" s="375" t="s">
        <v>79</v>
      </c>
      <c r="C479" s="378">
        <v>0</v>
      </c>
      <c r="D479" s="386" t="s">
        <v>194</v>
      </c>
      <c r="E479" s="389" t="s">
        <v>527</v>
      </c>
      <c r="F479" s="381">
        <v>0</v>
      </c>
    </row>
    <row r="480" spans="1:6" ht="14.95" customHeight="1" thickBot="1" x14ac:dyDescent="0.3">
      <c r="A480" s="366" t="s">
        <v>643</v>
      </c>
      <c r="B480" s="375" t="s">
        <v>79</v>
      </c>
      <c r="C480" s="378">
        <v>0</v>
      </c>
      <c r="D480" s="387" t="s">
        <v>246</v>
      </c>
      <c r="E480" s="390" t="s">
        <v>889</v>
      </c>
      <c r="F480" s="381">
        <v>0</v>
      </c>
    </row>
    <row r="481" spans="1:6" ht="14.95" customHeight="1" thickBot="1" x14ac:dyDescent="0.3">
      <c r="A481" s="366" t="s">
        <v>100</v>
      </c>
      <c r="B481" s="375" t="s">
        <v>80</v>
      </c>
      <c r="C481" s="378">
        <v>0</v>
      </c>
      <c r="D481" s="386" t="s">
        <v>814</v>
      </c>
      <c r="E481" s="389" t="s">
        <v>309</v>
      </c>
      <c r="F481" s="381">
        <v>0</v>
      </c>
    </row>
    <row r="482" spans="1:6" ht="14.95" customHeight="1" thickBot="1" x14ac:dyDescent="0.3">
      <c r="A482" s="366" t="s">
        <v>47</v>
      </c>
      <c r="B482" s="375" t="s">
        <v>90</v>
      </c>
      <c r="C482" s="378">
        <v>0</v>
      </c>
      <c r="D482" s="386" t="s">
        <v>605</v>
      </c>
      <c r="E482" s="389" t="s">
        <v>90</v>
      </c>
      <c r="F482" s="381">
        <v>0</v>
      </c>
    </row>
    <row r="483" spans="1:6" ht="14.95" customHeight="1" thickBot="1" x14ac:dyDescent="0.3">
      <c r="A483" s="366" t="s">
        <v>388</v>
      </c>
      <c r="B483" s="375" t="s">
        <v>79</v>
      </c>
      <c r="C483" s="378">
        <v>0</v>
      </c>
      <c r="D483" s="386" t="s">
        <v>355</v>
      </c>
      <c r="E483" s="389" t="s">
        <v>79</v>
      </c>
      <c r="F483" s="381">
        <v>0</v>
      </c>
    </row>
    <row r="484" spans="1:6" ht="14.95" customHeight="1" thickBot="1" x14ac:dyDescent="0.3">
      <c r="A484" s="366" t="s">
        <v>94</v>
      </c>
      <c r="B484" s="375" t="s">
        <v>90</v>
      </c>
      <c r="C484" s="378">
        <v>0</v>
      </c>
      <c r="D484" s="386" t="s">
        <v>643</v>
      </c>
      <c r="E484" s="389" t="s">
        <v>79</v>
      </c>
      <c r="F484" s="381">
        <v>0</v>
      </c>
    </row>
    <row r="485" spans="1:6" ht="14.95" customHeight="1" thickBot="1" x14ac:dyDescent="0.3">
      <c r="A485" s="366" t="s">
        <v>390</v>
      </c>
      <c r="B485" s="375" t="s">
        <v>889</v>
      </c>
      <c r="C485" s="378">
        <v>0</v>
      </c>
      <c r="D485" s="386" t="s">
        <v>100</v>
      </c>
      <c r="E485" s="389" t="s">
        <v>80</v>
      </c>
      <c r="F485" s="381">
        <v>0</v>
      </c>
    </row>
    <row r="486" spans="1:6" ht="14.95" customHeight="1" thickBot="1" x14ac:dyDescent="0.3">
      <c r="A486" s="366" t="s">
        <v>896</v>
      </c>
      <c r="B486" s="368" t="s">
        <v>527</v>
      </c>
      <c r="C486" s="378">
        <f>titcombeleipremcuptries</f>
        <v>0</v>
      </c>
      <c r="D486" s="386" t="s">
        <v>47</v>
      </c>
      <c r="E486" s="389" t="s">
        <v>90</v>
      </c>
      <c r="F486" s="381">
        <v>0</v>
      </c>
    </row>
    <row r="487" spans="1:6" ht="14.95" customHeight="1" thickBot="1" x14ac:dyDescent="0.3">
      <c r="A487" s="370" t="s">
        <v>748</v>
      </c>
      <c r="B487" s="375" t="s">
        <v>309</v>
      </c>
      <c r="C487" s="379">
        <v>0</v>
      </c>
      <c r="D487" s="386" t="s">
        <v>388</v>
      </c>
      <c r="E487" s="389" t="s">
        <v>79</v>
      </c>
      <c r="F487" s="381">
        <v>0</v>
      </c>
    </row>
    <row r="488" spans="1:6" ht="14.95" customHeight="1" thickBot="1" x14ac:dyDescent="0.3">
      <c r="A488" s="374" t="s">
        <v>618</v>
      </c>
      <c r="B488" s="368" t="s">
        <v>90</v>
      </c>
      <c r="C488" s="378">
        <v>0</v>
      </c>
      <c r="D488" s="386" t="s">
        <v>94</v>
      </c>
      <c r="E488" s="389" t="s">
        <v>90</v>
      </c>
      <c r="F488" s="381">
        <v>0</v>
      </c>
    </row>
    <row r="489" spans="1:6" ht="14.95" customHeight="1" thickBot="1" x14ac:dyDescent="0.3">
      <c r="A489" s="366" t="s">
        <v>402</v>
      </c>
      <c r="B489" s="375" t="s">
        <v>88</v>
      </c>
      <c r="C489" s="378">
        <v>0</v>
      </c>
      <c r="D489" s="386" t="s">
        <v>390</v>
      </c>
      <c r="E489" s="389" t="s">
        <v>889</v>
      </c>
      <c r="F489" s="381">
        <v>0</v>
      </c>
    </row>
    <row r="490" spans="1:6" ht="14.95" customHeight="1" thickBot="1" x14ac:dyDescent="0.3">
      <c r="A490" s="366" t="s">
        <v>820</v>
      </c>
      <c r="B490" s="375" t="s">
        <v>88</v>
      </c>
      <c r="C490" s="378">
        <v>0</v>
      </c>
      <c r="D490" s="386" t="s">
        <v>748</v>
      </c>
      <c r="E490" s="389" t="s">
        <v>309</v>
      </c>
      <c r="F490" s="381">
        <v>0</v>
      </c>
    </row>
    <row r="491" spans="1:6" ht="14.95" customHeight="1" thickBot="1" x14ac:dyDescent="0.3">
      <c r="A491" s="366" t="s">
        <v>200</v>
      </c>
      <c r="B491" s="375" t="s">
        <v>79</v>
      </c>
      <c r="C491" s="378">
        <v>0</v>
      </c>
      <c r="D491" s="386" t="s">
        <v>618</v>
      </c>
      <c r="E491" s="389" t="s">
        <v>90</v>
      </c>
      <c r="F491" s="381">
        <v>0</v>
      </c>
    </row>
    <row r="492" spans="1:6" ht="14.95" customHeight="1" thickBot="1" x14ac:dyDescent="0.3">
      <c r="A492" s="366" t="s">
        <v>606</v>
      </c>
      <c r="B492" s="375" t="s">
        <v>90</v>
      </c>
      <c r="C492" s="378">
        <v>0</v>
      </c>
      <c r="D492" s="386" t="s">
        <v>402</v>
      </c>
      <c r="E492" s="389" t="s">
        <v>88</v>
      </c>
      <c r="F492" s="381">
        <v>0</v>
      </c>
    </row>
    <row r="493" spans="1:6" ht="14.95" customHeight="1" thickBot="1" x14ac:dyDescent="0.3">
      <c r="A493" s="366" t="s">
        <v>690</v>
      </c>
      <c r="B493" s="375" t="s">
        <v>889</v>
      </c>
      <c r="C493" s="378">
        <v>0</v>
      </c>
      <c r="D493" s="386" t="s">
        <v>820</v>
      </c>
      <c r="E493" s="389" t="s">
        <v>88</v>
      </c>
      <c r="F493" s="381">
        <v>0</v>
      </c>
    </row>
    <row r="494" spans="1:6" ht="14.95" customHeight="1" thickBot="1" x14ac:dyDescent="0.3">
      <c r="A494" s="374" t="s">
        <v>607</v>
      </c>
      <c r="B494" s="374" t="s">
        <v>90</v>
      </c>
      <c r="C494" s="378">
        <v>0</v>
      </c>
      <c r="D494" s="386" t="s">
        <v>200</v>
      </c>
      <c r="E494" s="389" t="s">
        <v>79</v>
      </c>
      <c r="F494" s="381">
        <v>0</v>
      </c>
    </row>
    <row r="495" spans="1:6" ht="14.95" customHeight="1" thickBot="1" x14ac:dyDescent="0.3">
      <c r="A495" s="366" t="s">
        <v>135</v>
      </c>
      <c r="B495" s="366" t="s">
        <v>81</v>
      </c>
      <c r="C495" s="378">
        <v>0</v>
      </c>
      <c r="D495" s="386" t="s">
        <v>606</v>
      </c>
      <c r="E495" s="389" t="s">
        <v>90</v>
      </c>
      <c r="F495" s="381">
        <v>0</v>
      </c>
    </row>
    <row r="496" spans="1:6" ht="14.95" customHeight="1" thickBot="1" x14ac:dyDescent="0.3">
      <c r="A496" s="366" t="s">
        <v>247</v>
      </c>
      <c r="B496" s="366" t="s">
        <v>889</v>
      </c>
      <c r="C496" s="378">
        <v>0</v>
      </c>
      <c r="D496" s="386" t="s">
        <v>690</v>
      </c>
      <c r="E496" s="386" t="s">
        <v>889</v>
      </c>
      <c r="F496" s="381">
        <v>0</v>
      </c>
    </row>
    <row r="497" spans="1:6" ht="14.95" customHeight="1" thickBot="1" x14ac:dyDescent="0.3">
      <c r="A497" s="374" t="s">
        <v>270</v>
      </c>
      <c r="B497" s="374" t="s">
        <v>527</v>
      </c>
      <c r="C497" s="378">
        <v>0</v>
      </c>
      <c r="D497" s="387" t="s">
        <v>607</v>
      </c>
      <c r="E497" s="387" t="s">
        <v>90</v>
      </c>
      <c r="F497" s="381">
        <v>0</v>
      </c>
    </row>
    <row r="498" spans="1:6" ht="14.95" customHeight="1" thickBot="1" x14ac:dyDescent="0.3">
      <c r="A498" s="366" t="s">
        <v>724</v>
      </c>
      <c r="B498" s="366" t="s">
        <v>80</v>
      </c>
      <c r="C498" s="378">
        <v>0</v>
      </c>
      <c r="D498" s="386" t="s">
        <v>135</v>
      </c>
      <c r="E498" s="386" t="s">
        <v>81</v>
      </c>
      <c r="F498" s="381">
        <v>0</v>
      </c>
    </row>
    <row r="499" spans="1:6" ht="14.95" customHeight="1" thickBot="1" x14ac:dyDescent="0.3">
      <c r="A499" s="366" t="s">
        <v>136</v>
      </c>
      <c r="B499" s="366" t="s">
        <v>81</v>
      </c>
      <c r="C499" s="378">
        <v>0</v>
      </c>
      <c r="D499" s="386" t="s">
        <v>247</v>
      </c>
      <c r="E499" s="386" t="s">
        <v>889</v>
      </c>
      <c r="F499" s="381">
        <v>0</v>
      </c>
    </row>
    <row r="500" spans="1:6" ht="14.95" customHeight="1" thickBot="1" x14ac:dyDescent="0.3">
      <c r="A500" s="366" t="s">
        <v>379</v>
      </c>
      <c r="B500" s="374" t="s">
        <v>527</v>
      </c>
      <c r="C500" s="378">
        <v>0</v>
      </c>
      <c r="D500" s="386" t="s">
        <v>270</v>
      </c>
      <c r="E500" s="386" t="s">
        <v>527</v>
      </c>
      <c r="F500" s="381">
        <v>0</v>
      </c>
    </row>
    <row r="501" spans="1:6" ht="14.95" customHeight="1" thickBot="1" x14ac:dyDescent="0.3">
      <c r="A501" s="366" t="s">
        <v>202</v>
      </c>
      <c r="B501" s="366" t="s">
        <v>79</v>
      </c>
      <c r="C501" s="378">
        <v>0</v>
      </c>
      <c r="D501" s="386" t="s">
        <v>724</v>
      </c>
      <c r="E501" s="386" t="s">
        <v>80</v>
      </c>
      <c r="F501" s="381">
        <v>0</v>
      </c>
    </row>
    <row r="502" spans="1:6" ht="14.95" customHeight="1" thickBot="1" x14ac:dyDescent="0.3">
      <c r="A502" s="366" t="s">
        <v>173</v>
      </c>
      <c r="B502" s="366" t="s">
        <v>88</v>
      </c>
      <c r="C502" s="378">
        <v>0</v>
      </c>
      <c r="D502" s="386" t="s">
        <v>136</v>
      </c>
      <c r="E502" s="386" t="s">
        <v>81</v>
      </c>
      <c r="F502" s="381">
        <v>0</v>
      </c>
    </row>
    <row r="503" spans="1:6" ht="14.95" customHeight="1" thickBot="1" x14ac:dyDescent="0.3">
      <c r="A503" s="366" t="s">
        <v>636</v>
      </c>
      <c r="B503" s="366" t="s">
        <v>79</v>
      </c>
      <c r="C503" s="378">
        <v>0</v>
      </c>
      <c r="D503" s="386" t="s">
        <v>379</v>
      </c>
      <c r="E503" s="386" t="s">
        <v>527</v>
      </c>
      <c r="F503" s="381">
        <v>0</v>
      </c>
    </row>
    <row r="504" spans="1:6" ht="14.95" customHeight="1" thickBot="1" x14ac:dyDescent="0.3">
      <c r="A504" s="366" t="s">
        <v>645</v>
      </c>
      <c r="B504" s="366" t="s">
        <v>79</v>
      </c>
      <c r="C504" s="378">
        <v>0</v>
      </c>
      <c r="D504" s="386" t="s">
        <v>202</v>
      </c>
      <c r="E504" s="386" t="s">
        <v>79</v>
      </c>
      <c r="F504" s="381">
        <v>0</v>
      </c>
    </row>
    <row r="505" spans="1:6" ht="14.95" customHeight="1" thickBot="1" x14ac:dyDescent="0.3">
      <c r="A505" s="366" t="s">
        <v>848</v>
      </c>
      <c r="B505" s="366" t="s">
        <v>87</v>
      </c>
      <c r="C505" s="378">
        <v>0</v>
      </c>
      <c r="D505" s="386" t="s">
        <v>173</v>
      </c>
      <c r="E505" s="386" t="s">
        <v>88</v>
      </c>
      <c r="F505" s="381">
        <v>0</v>
      </c>
    </row>
    <row r="506" spans="1:6" ht="14.95" customHeight="1" thickBot="1" x14ac:dyDescent="0.3">
      <c r="A506" s="366" t="s">
        <v>859</v>
      </c>
      <c r="B506" s="366" t="s">
        <v>79</v>
      </c>
      <c r="C506" s="378">
        <v>0</v>
      </c>
      <c r="D506" s="386" t="s">
        <v>636</v>
      </c>
      <c r="E506" s="386" t="s">
        <v>79</v>
      </c>
      <c r="F506" s="381">
        <v>0</v>
      </c>
    </row>
    <row r="507" spans="1:6" ht="14.95" customHeight="1" thickBot="1" x14ac:dyDescent="0.3">
      <c r="A507" s="366" t="s">
        <v>722</v>
      </c>
      <c r="B507" s="366" t="s">
        <v>80</v>
      </c>
      <c r="C507" s="378">
        <v>0</v>
      </c>
      <c r="D507" s="386" t="s">
        <v>645</v>
      </c>
      <c r="E507" s="386" t="s">
        <v>79</v>
      </c>
      <c r="F507" s="384">
        <v>0</v>
      </c>
    </row>
    <row r="508" spans="1:6" ht="14.95" customHeight="1" thickBot="1" x14ac:dyDescent="0.3">
      <c r="A508" s="366" t="s">
        <v>341</v>
      </c>
      <c r="B508" s="366" t="s">
        <v>80</v>
      </c>
      <c r="C508" s="378">
        <v>0</v>
      </c>
      <c r="D508" s="386" t="s">
        <v>848</v>
      </c>
      <c r="E508" s="386" t="s">
        <v>87</v>
      </c>
      <c r="F508" s="381">
        <v>0</v>
      </c>
    </row>
    <row r="509" spans="1:6" ht="14.95" customHeight="1" thickBot="1" x14ac:dyDescent="0.3">
      <c r="A509" s="366" t="s">
        <v>146</v>
      </c>
      <c r="B509" s="374" t="s">
        <v>527</v>
      </c>
      <c r="C509" s="378">
        <v>0</v>
      </c>
      <c r="D509" s="386" t="s">
        <v>859</v>
      </c>
      <c r="E509" s="386" t="s">
        <v>79</v>
      </c>
      <c r="F509" s="381">
        <v>0</v>
      </c>
    </row>
    <row r="510" spans="1:6" ht="14.95" customHeight="1" thickBot="1" x14ac:dyDescent="0.3">
      <c r="A510" s="366" t="s">
        <v>713</v>
      </c>
      <c r="B510" s="366" t="s">
        <v>82</v>
      </c>
      <c r="C510" s="378">
        <v>0</v>
      </c>
      <c r="D510" s="386" t="s">
        <v>722</v>
      </c>
      <c r="E510" s="386" t="s">
        <v>80</v>
      </c>
      <c r="F510" s="381">
        <v>0</v>
      </c>
    </row>
    <row r="511" spans="1:6" ht="14.95" customHeight="1" thickBot="1" x14ac:dyDescent="0.3">
      <c r="A511" s="366" t="s">
        <v>1019</v>
      </c>
      <c r="B511" s="366" t="s">
        <v>90</v>
      </c>
      <c r="C511" s="378">
        <f>westonbripremcuptries</f>
        <v>0</v>
      </c>
      <c r="D511" s="386" t="s">
        <v>341</v>
      </c>
      <c r="E511" s="386" t="s">
        <v>80</v>
      </c>
      <c r="F511" s="381">
        <v>0</v>
      </c>
    </row>
    <row r="512" spans="1:6" ht="14.95" customHeight="1" thickBot="1" x14ac:dyDescent="0.3">
      <c r="A512" s="366" t="s">
        <v>691</v>
      </c>
      <c r="B512" s="366" t="s">
        <v>889</v>
      </c>
      <c r="C512" s="378">
        <v>0</v>
      </c>
      <c r="D512" s="386" t="s">
        <v>146</v>
      </c>
      <c r="E512" s="386" t="s">
        <v>527</v>
      </c>
      <c r="F512" s="381">
        <v>0</v>
      </c>
    </row>
    <row r="513" spans="1:6" ht="14.95" customHeight="1" thickBot="1" x14ac:dyDescent="0.3">
      <c r="A513" s="366" t="s">
        <v>180</v>
      </c>
      <c r="B513" s="366" t="s">
        <v>90</v>
      </c>
      <c r="C513" s="378">
        <f>williamsbripremcuptries</f>
        <v>0</v>
      </c>
      <c r="D513" s="386" t="s">
        <v>713</v>
      </c>
      <c r="E513" s="386" t="s">
        <v>82</v>
      </c>
      <c r="F513" s="381">
        <v>0</v>
      </c>
    </row>
    <row r="514" spans="1:6" ht="14.95" customHeight="1" thickBot="1" x14ac:dyDescent="0.3">
      <c r="A514" s="366" t="s">
        <v>646</v>
      </c>
      <c r="B514" s="366" t="s">
        <v>79</v>
      </c>
      <c r="C514" s="378">
        <v>0</v>
      </c>
      <c r="D514" s="386" t="s">
        <v>691</v>
      </c>
      <c r="E514" s="386" t="s">
        <v>889</v>
      </c>
      <c r="F514" s="381">
        <v>0</v>
      </c>
    </row>
    <row r="515" spans="1:6" ht="14.95" thickBot="1" x14ac:dyDescent="0.3">
      <c r="A515" s="366" t="s">
        <v>749</v>
      </c>
      <c r="B515" s="366" t="s">
        <v>309</v>
      </c>
      <c r="C515" s="378">
        <v>0</v>
      </c>
      <c r="D515" s="386" t="s">
        <v>646</v>
      </c>
      <c r="E515" s="386" t="s">
        <v>79</v>
      </c>
      <c r="F515" s="381">
        <v>0</v>
      </c>
    </row>
    <row r="516" spans="1:6" ht="14.95" thickBot="1" x14ac:dyDescent="0.3">
      <c r="A516" s="366" t="s">
        <v>842</v>
      </c>
      <c r="B516" s="366" t="s">
        <v>309</v>
      </c>
      <c r="C516" s="379">
        <v>0</v>
      </c>
      <c r="D516" s="386" t="s">
        <v>749</v>
      </c>
      <c r="E516" s="386" t="s">
        <v>309</v>
      </c>
      <c r="F516" s="381">
        <v>0</v>
      </c>
    </row>
    <row r="517" spans="1:6" ht="14.95" thickBot="1" x14ac:dyDescent="0.3">
      <c r="A517" s="366" t="s">
        <v>853</v>
      </c>
      <c r="B517" s="366" t="s">
        <v>82</v>
      </c>
      <c r="C517" s="378">
        <v>0</v>
      </c>
      <c r="D517" s="386" t="s">
        <v>842</v>
      </c>
      <c r="E517" s="386" t="s">
        <v>309</v>
      </c>
      <c r="F517" s="381">
        <v>0</v>
      </c>
    </row>
    <row r="518" spans="1:6" ht="14.95" thickBot="1" x14ac:dyDescent="0.3">
      <c r="A518" s="370" t="s">
        <v>600</v>
      </c>
      <c r="B518" s="370" t="s">
        <v>90</v>
      </c>
      <c r="C518" s="378">
        <v>0</v>
      </c>
      <c r="D518" s="386" t="s">
        <v>853</v>
      </c>
      <c r="E518" s="386" t="s">
        <v>82</v>
      </c>
      <c r="F518" s="381">
        <v>0</v>
      </c>
    </row>
    <row r="519" spans="1:6" ht="14.95" thickBot="1" x14ac:dyDescent="0.3">
      <c r="A519" s="366" t="s">
        <v>732</v>
      </c>
      <c r="B519" s="366" t="s">
        <v>80</v>
      </c>
      <c r="C519" s="378">
        <v>0</v>
      </c>
      <c r="D519" s="388" t="s">
        <v>600</v>
      </c>
      <c r="E519" s="388" t="s">
        <v>90</v>
      </c>
      <c r="F519" s="381">
        <v>0</v>
      </c>
    </row>
    <row r="520" spans="1:6" ht="14.95" thickBot="1" x14ac:dyDescent="0.3">
      <c r="A520" s="366" t="s">
        <v>873</v>
      </c>
      <c r="B520" s="374" t="s">
        <v>527</v>
      </c>
      <c r="C520" s="378">
        <v>0</v>
      </c>
      <c r="D520" s="386" t="s">
        <v>732</v>
      </c>
      <c r="E520" s="386" t="s">
        <v>80</v>
      </c>
      <c r="F520" s="381">
        <v>0</v>
      </c>
    </row>
    <row r="521" spans="1:6" ht="14.95" thickBot="1" x14ac:dyDescent="0.3">
      <c r="A521" s="366" t="s">
        <v>138</v>
      </c>
      <c r="B521" s="366" t="s">
        <v>90</v>
      </c>
      <c r="C521" s="378">
        <v>0</v>
      </c>
      <c r="D521" s="386" t="s">
        <v>138</v>
      </c>
      <c r="E521" s="386" t="s">
        <v>90</v>
      </c>
      <c r="F521" s="381">
        <v>0</v>
      </c>
    </row>
    <row r="522" spans="1:6" ht="14.95" thickBot="1" x14ac:dyDescent="0.3">
      <c r="A522" s="366" t="s">
        <v>172</v>
      </c>
      <c r="B522" s="366" t="s">
        <v>88</v>
      </c>
      <c r="C522" s="378">
        <v>0</v>
      </c>
      <c r="D522" s="386" t="s">
        <v>172</v>
      </c>
      <c r="E522" s="386" t="s">
        <v>88</v>
      </c>
      <c r="F522" s="381">
        <v>0</v>
      </c>
    </row>
    <row r="523" spans="1:6" ht="14.95" thickBot="1" x14ac:dyDescent="0.3">
      <c r="A523" s="366" t="s">
        <v>1130</v>
      </c>
      <c r="B523" s="366" t="s">
        <v>88</v>
      </c>
      <c r="C523" s="378">
        <f>Zamboninexepremcuptries</f>
        <v>0</v>
      </c>
      <c r="D523" s="386" t="s">
        <v>1130</v>
      </c>
      <c r="E523" s="386" t="s">
        <v>88</v>
      </c>
      <c r="F523" s="381">
        <f>Zamboninexepremcuppts</f>
        <v>0</v>
      </c>
    </row>
    <row r="524" spans="1:6" ht="14.95" thickBot="1" x14ac:dyDescent="0.3">
      <c r="A524" s="366" t="s">
        <v>139</v>
      </c>
      <c r="B524" s="366" t="s">
        <v>88</v>
      </c>
      <c r="C524" s="378">
        <v>0</v>
      </c>
      <c r="D524" s="386" t="s">
        <v>139</v>
      </c>
      <c r="E524" s="386" t="s">
        <v>88</v>
      </c>
      <c r="F524" s="381">
        <v>0</v>
      </c>
    </row>
    <row r="525" spans="1:6" ht="14.95" thickBot="1" x14ac:dyDescent="0.3">
      <c r="A525" s="368" t="s">
        <v>13</v>
      </c>
      <c r="B525" s="368"/>
      <c r="C525" s="368">
        <f>SUM(C4:C524)</f>
        <v>357</v>
      </c>
      <c r="D525" s="390" t="s">
        <v>13</v>
      </c>
      <c r="E525" s="390"/>
      <c r="F525" s="390">
        <f>SUM(F4:F524)</f>
        <v>2331</v>
      </c>
    </row>
    <row r="526" spans="1:6" x14ac:dyDescent="0.25">
      <c r="A526" s="447" t="s">
        <v>34</v>
      </c>
      <c r="B526" s="485"/>
    </row>
  </sheetData>
  <sortState xmlns:xlrd2="http://schemas.microsoft.com/office/spreadsheetml/2017/richdata2" ref="G14:K16">
    <sortCondition sortBy="fontColor" ref="J14:J16" dxfId="0"/>
    <sortCondition descending="1" ref="K14:K16"/>
    <sortCondition descending="1" ref="J14:J16"/>
    <sortCondition ref="G14:G16"/>
  </sortState>
  <mergeCells count="3">
    <mergeCell ref="G3:H3"/>
    <mergeCell ref="A1:C1"/>
    <mergeCell ref="A526:B5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L118"/>
  <sheetViews>
    <sheetView workbookViewId="0">
      <selection activeCell="V21" sqref="V21"/>
    </sheetView>
  </sheetViews>
  <sheetFormatPr defaultColWidth="8.875" defaultRowHeight="14.3" x14ac:dyDescent="0.25"/>
  <cols>
    <col min="1" max="1" width="16.375" customWidth="1"/>
    <col min="2" max="4" width="3.75" customWidth="1"/>
    <col min="5" max="5" width="4.75" customWidth="1"/>
    <col min="6" max="6" width="16.375" customWidth="1"/>
    <col min="7" max="10" width="5.25" customWidth="1"/>
    <col min="11" max="11" width="16.75" customWidth="1"/>
    <col min="12" max="17" width="4.75" customWidth="1"/>
    <col min="18" max="18" width="5.875" bestFit="1" customWidth="1"/>
    <col min="19" max="31" width="4.75" customWidth="1"/>
    <col min="32" max="46" width="5.75" customWidth="1"/>
    <col min="47" max="55" width="5.625" customWidth="1"/>
  </cols>
  <sheetData>
    <row r="1" spans="1:64" ht="14.95" customHeight="1" thickBot="1" x14ac:dyDescent="0.3">
      <c r="A1" s="495" t="s">
        <v>905</v>
      </c>
      <c r="B1" s="496"/>
      <c r="C1" s="496"/>
      <c r="D1" s="496"/>
      <c r="E1" s="496"/>
      <c r="F1" s="496"/>
      <c r="G1" s="496"/>
      <c r="H1" s="496"/>
      <c r="I1" s="496"/>
      <c r="J1" s="497"/>
      <c r="K1" s="467" t="s">
        <v>187</v>
      </c>
      <c r="L1" s="457" t="s">
        <v>14</v>
      </c>
      <c r="M1" s="461"/>
      <c r="N1" s="458"/>
      <c r="O1" s="457" t="s">
        <v>95</v>
      </c>
      <c r="P1" s="461"/>
      <c r="Q1" s="458"/>
      <c r="R1" s="457" t="s">
        <v>186</v>
      </c>
      <c r="S1" s="458"/>
      <c r="T1" s="449" t="s">
        <v>226</v>
      </c>
      <c r="U1" s="450"/>
      <c r="V1" s="451"/>
      <c r="W1" s="449" t="s">
        <v>875</v>
      </c>
      <c r="X1" s="450"/>
      <c r="Y1" s="451"/>
      <c r="Z1" s="195"/>
      <c r="AA1" s="160"/>
      <c r="AB1" s="160"/>
      <c r="AC1" s="449" t="s">
        <v>581</v>
      </c>
      <c r="AD1" s="450"/>
      <c r="AE1" s="451"/>
      <c r="AF1" s="449" t="s">
        <v>477</v>
      </c>
      <c r="AG1" s="450"/>
      <c r="AH1" s="451"/>
      <c r="AI1" s="449" t="s">
        <v>391</v>
      </c>
      <c r="AJ1" s="450"/>
      <c r="AK1" s="451"/>
      <c r="AL1" s="449" t="s">
        <v>300</v>
      </c>
      <c r="AM1" s="450"/>
      <c r="AN1" s="451"/>
      <c r="AO1" s="478" t="s">
        <v>219</v>
      </c>
      <c r="AP1" s="479"/>
      <c r="AQ1" s="480"/>
      <c r="AR1" s="478" t="s">
        <v>165</v>
      </c>
      <c r="AS1" s="479"/>
      <c r="AT1" s="480"/>
      <c r="AU1" s="478" t="s">
        <v>78</v>
      </c>
      <c r="AV1" s="479"/>
      <c r="AW1" s="480"/>
      <c r="AX1" s="478" t="s">
        <v>54</v>
      </c>
      <c r="AY1" s="479"/>
      <c r="AZ1" s="480"/>
      <c r="BA1" s="478" t="s">
        <v>50</v>
      </c>
      <c r="BB1" s="479"/>
      <c r="BC1" s="480"/>
      <c r="BD1" s="4"/>
      <c r="BE1" s="4"/>
      <c r="BF1" s="4"/>
      <c r="BI1" s="4"/>
    </row>
    <row r="2" spans="1:64" ht="14.95" customHeight="1" thickBot="1" x14ac:dyDescent="0.3">
      <c r="A2" s="399" t="s">
        <v>0</v>
      </c>
      <c r="B2" s="400" t="s">
        <v>218</v>
      </c>
      <c r="C2" s="401" t="s">
        <v>30</v>
      </c>
      <c r="D2" s="402" t="s">
        <v>326</v>
      </c>
      <c r="E2" s="108" t="s">
        <v>1</v>
      </c>
      <c r="F2" s="296" t="s">
        <v>2</v>
      </c>
      <c r="G2" s="137" t="s">
        <v>218</v>
      </c>
      <c r="H2" s="323" t="s">
        <v>30</v>
      </c>
      <c r="I2" s="213" t="s">
        <v>326</v>
      </c>
      <c r="J2" s="138" t="s">
        <v>1</v>
      </c>
      <c r="K2" s="468"/>
      <c r="L2" s="459"/>
      <c r="M2" s="462"/>
      <c r="N2" s="460"/>
      <c r="O2" s="459"/>
      <c r="P2" s="462"/>
      <c r="Q2" s="460"/>
      <c r="R2" s="459"/>
      <c r="S2" s="460"/>
      <c r="T2" s="452"/>
      <c r="U2" s="453"/>
      <c r="V2" s="454"/>
      <c r="W2" s="452"/>
      <c r="X2" s="453"/>
      <c r="Y2" s="454"/>
      <c r="Z2" s="195"/>
      <c r="AA2" s="160"/>
      <c r="AB2" s="160"/>
      <c r="AC2" s="452"/>
      <c r="AD2" s="453"/>
      <c r="AE2" s="454"/>
      <c r="AF2" s="452"/>
      <c r="AG2" s="453"/>
      <c r="AH2" s="454"/>
      <c r="AI2" s="452"/>
      <c r="AJ2" s="453"/>
      <c r="AK2" s="454"/>
      <c r="AL2" s="452"/>
      <c r="AM2" s="453"/>
      <c r="AN2" s="454"/>
      <c r="AO2" s="481"/>
      <c r="AP2" s="482"/>
      <c r="AQ2" s="483"/>
      <c r="AR2" s="481"/>
      <c r="AS2" s="482"/>
      <c r="AT2" s="483"/>
      <c r="AU2" s="481"/>
      <c r="AV2" s="482"/>
      <c r="AW2" s="483"/>
      <c r="AX2" s="481"/>
      <c r="AY2" s="482"/>
      <c r="AZ2" s="483"/>
      <c r="BA2" s="481"/>
      <c r="BB2" s="482"/>
      <c r="BC2" s="483"/>
      <c r="BG2" s="4"/>
      <c r="BH2" s="4"/>
      <c r="BI2" s="4"/>
      <c r="BJ2" s="4"/>
      <c r="BK2" s="4"/>
      <c r="BL2" s="4"/>
    </row>
    <row r="3" spans="1:64" ht="14.95" customHeight="1" thickBot="1" x14ac:dyDescent="0.3">
      <c r="A3" s="308" t="s">
        <v>622</v>
      </c>
      <c r="B3" s="144">
        <v>0</v>
      </c>
      <c r="C3" s="403">
        <v>0</v>
      </c>
      <c r="D3" s="404">
        <v>0</v>
      </c>
      <c r="E3" s="75">
        <f t="shared" ref="E3:E57" si="0">SUM(B3:D3)</f>
        <v>0</v>
      </c>
      <c r="F3" s="297" t="s">
        <v>622</v>
      </c>
      <c r="G3" s="135">
        <v>0</v>
      </c>
      <c r="H3" s="324">
        <v>0</v>
      </c>
      <c r="I3" s="214">
        <v>0</v>
      </c>
      <c r="J3" s="136">
        <f t="shared" ref="J3:J57" si="1">SUM(G3:I3)</f>
        <v>0</v>
      </c>
      <c r="K3" s="217" t="s">
        <v>21</v>
      </c>
      <c r="L3" s="3" t="s">
        <v>46</v>
      </c>
      <c r="M3" s="3" t="s">
        <v>9</v>
      </c>
      <c r="N3" s="3" t="s">
        <v>10</v>
      </c>
      <c r="O3" s="158" t="s">
        <v>46</v>
      </c>
      <c r="P3" s="3" t="s">
        <v>9</v>
      </c>
      <c r="Q3" s="3" t="s">
        <v>10</v>
      </c>
      <c r="R3" s="3" t="s">
        <v>187</v>
      </c>
      <c r="S3" s="3" t="s">
        <v>58</v>
      </c>
      <c r="T3" s="7" t="s">
        <v>46</v>
      </c>
      <c r="U3" s="7" t="s">
        <v>9</v>
      </c>
      <c r="V3" s="7" t="s">
        <v>10</v>
      </c>
      <c r="W3" s="148" t="s">
        <v>46</v>
      </c>
      <c r="X3" s="7" t="s">
        <v>9</v>
      </c>
      <c r="Y3" s="7" t="s">
        <v>10</v>
      </c>
      <c r="Z3" s="93"/>
      <c r="AA3" s="94"/>
      <c r="AB3" s="94"/>
      <c r="AC3" s="148" t="s">
        <v>46</v>
      </c>
      <c r="AD3" s="7" t="s">
        <v>9</v>
      </c>
      <c r="AE3" s="7" t="s">
        <v>10</v>
      </c>
      <c r="AF3" s="148" t="s">
        <v>46</v>
      </c>
      <c r="AG3" s="7" t="s">
        <v>9</v>
      </c>
      <c r="AH3" s="7" t="s">
        <v>10</v>
      </c>
      <c r="AI3" s="148" t="s">
        <v>46</v>
      </c>
      <c r="AJ3" s="7" t="s">
        <v>9</v>
      </c>
      <c r="AK3" s="7" t="s">
        <v>10</v>
      </c>
      <c r="AL3" s="148" t="s">
        <v>46</v>
      </c>
      <c r="AM3" s="7" t="s">
        <v>9</v>
      </c>
      <c r="AN3" s="7" t="s">
        <v>10</v>
      </c>
      <c r="AO3" s="84" t="s">
        <v>46</v>
      </c>
      <c r="AP3" s="79" t="s">
        <v>9</v>
      </c>
      <c r="AQ3" s="79" t="s">
        <v>10</v>
      </c>
      <c r="AR3" s="84" t="s">
        <v>46</v>
      </c>
      <c r="AS3" s="79" t="s">
        <v>9</v>
      </c>
      <c r="AT3" s="79" t="s">
        <v>10</v>
      </c>
      <c r="AU3" s="84" t="s">
        <v>46</v>
      </c>
      <c r="AV3" s="79" t="s">
        <v>9</v>
      </c>
      <c r="AW3" s="97" t="s">
        <v>10</v>
      </c>
      <c r="AX3" s="97" t="s">
        <v>46</v>
      </c>
      <c r="AY3" s="79" t="s">
        <v>9</v>
      </c>
      <c r="AZ3" s="79" t="s">
        <v>10</v>
      </c>
      <c r="BA3" s="79" t="s">
        <v>46</v>
      </c>
      <c r="BB3" s="79" t="s">
        <v>9</v>
      </c>
      <c r="BC3" s="79" t="s">
        <v>10</v>
      </c>
    </row>
    <row r="4" spans="1:64" ht="14.95" customHeight="1" thickBot="1" x14ac:dyDescent="0.3">
      <c r="A4" s="308" t="s">
        <v>591</v>
      </c>
      <c r="B4" s="144">
        <v>0</v>
      </c>
      <c r="C4" s="403">
        <v>0</v>
      </c>
      <c r="D4" s="404">
        <v>0</v>
      </c>
      <c r="E4" s="75">
        <f t="shared" si="0"/>
        <v>0</v>
      </c>
      <c r="F4" s="297" t="s">
        <v>591</v>
      </c>
      <c r="G4" s="135">
        <v>0</v>
      </c>
      <c r="H4" s="324">
        <v>0</v>
      </c>
      <c r="I4" s="214">
        <v>0</v>
      </c>
      <c r="J4" s="136">
        <f t="shared" si="1"/>
        <v>0</v>
      </c>
      <c r="K4" s="399" t="s">
        <v>786</v>
      </c>
      <c r="L4" s="405" t="s">
        <v>15</v>
      </c>
      <c r="M4" s="405" t="s">
        <v>15</v>
      </c>
      <c r="N4" s="406" t="s">
        <v>15</v>
      </c>
      <c r="O4" s="405" t="s">
        <v>15</v>
      </c>
      <c r="P4" s="405" t="s">
        <v>15</v>
      </c>
      <c r="Q4" s="406" t="s">
        <v>15</v>
      </c>
      <c r="R4" s="108" t="s">
        <v>19</v>
      </c>
      <c r="S4" s="108">
        <v>-1</v>
      </c>
      <c r="T4" s="6" t="s">
        <v>15</v>
      </c>
      <c r="U4" s="6" t="s">
        <v>15</v>
      </c>
      <c r="V4" s="157" t="s">
        <v>15</v>
      </c>
      <c r="W4" s="6" t="s">
        <v>15</v>
      </c>
      <c r="X4" s="6" t="s">
        <v>15</v>
      </c>
      <c r="Y4" s="157" t="s">
        <v>15</v>
      </c>
      <c r="Z4" s="93"/>
      <c r="AA4" s="94"/>
      <c r="AB4" s="94"/>
      <c r="AC4" s="6" t="s">
        <v>15</v>
      </c>
      <c r="AD4" s="6" t="s">
        <v>15</v>
      </c>
      <c r="AE4" s="157" t="s">
        <v>15</v>
      </c>
      <c r="AF4" s="6" t="s">
        <v>15</v>
      </c>
      <c r="AG4" s="6" t="s">
        <v>15</v>
      </c>
      <c r="AH4" s="157" t="s">
        <v>15</v>
      </c>
      <c r="AI4" s="6" t="s">
        <v>15</v>
      </c>
      <c r="AJ4" s="6" t="s">
        <v>15</v>
      </c>
      <c r="AK4" s="157" t="s">
        <v>15</v>
      </c>
      <c r="AL4" s="6" t="s">
        <v>15</v>
      </c>
      <c r="AM4" s="6" t="s">
        <v>15</v>
      </c>
      <c r="AN4" s="157" t="s">
        <v>15</v>
      </c>
      <c r="AO4" s="6" t="s">
        <v>15</v>
      </c>
      <c r="AP4" s="6" t="s">
        <v>15</v>
      </c>
      <c r="AQ4" s="157" t="s">
        <v>15</v>
      </c>
      <c r="AR4" s="6" t="s">
        <v>15</v>
      </c>
      <c r="AS4" s="6" t="s">
        <v>15</v>
      </c>
      <c r="AT4" s="157" t="s">
        <v>15</v>
      </c>
      <c r="AU4" s="6" t="s">
        <v>15</v>
      </c>
      <c r="AV4" s="6" t="s">
        <v>15</v>
      </c>
      <c r="AW4" s="157" t="s">
        <v>15</v>
      </c>
      <c r="AX4" s="6" t="s">
        <v>15</v>
      </c>
      <c r="AY4" s="6" t="s">
        <v>15</v>
      </c>
      <c r="AZ4" s="157" t="s">
        <v>15</v>
      </c>
      <c r="BA4" s="6" t="s">
        <v>15</v>
      </c>
      <c r="BB4" s="6" t="s">
        <v>15</v>
      </c>
      <c r="BC4" s="157" t="s">
        <v>15</v>
      </c>
    </row>
    <row r="5" spans="1:64" ht="14.95" customHeight="1" thickBot="1" x14ac:dyDescent="0.3">
      <c r="A5" s="308" t="s">
        <v>182</v>
      </c>
      <c r="B5" s="144">
        <v>0</v>
      </c>
      <c r="C5" s="403">
        <v>0</v>
      </c>
      <c r="D5" s="404">
        <v>0</v>
      </c>
      <c r="E5" s="75">
        <f t="shared" si="0"/>
        <v>0</v>
      </c>
      <c r="F5" s="297" t="s">
        <v>182</v>
      </c>
      <c r="G5" s="135">
        <v>0</v>
      </c>
      <c r="H5" s="324">
        <v>0</v>
      </c>
      <c r="I5" s="214">
        <v>0</v>
      </c>
      <c r="J5" s="136">
        <f t="shared" si="1"/>
        <v>0</v>
      </c>
      <c r="K5" s="399" t="s">
        <v>452</v>
      </c>
      <c r="L5" s="405" t="s">
        <v>15</v>
      </c>
      <c r="M5" s="405" t="s">
        <v>15</v>
      </c>
      <c r="N5" s="406" t="s">
        <v>15</v>
      </c>
      <c r="O5" s="405" t="s">
        <v>15</v>
      </c>
      <c r="P5" s="405" t="s">
        <v>15</v>
      </c>
      <c r="Q5" s="406" t="s">
        <v>15</v>
      </c>
      <c r="R5" s="108">
        <v>1</v>
      </c>
      <c r="S5" s="108">
        <v>1</v>
      </c>
      <c r="T5" s="6" t="s">
        <v>15</v>
      </c>
      <c r="U5" s="6" t="s">
        <v>15</v>
      </c>
      <c r="V5" s="157" t="s">
        <v>15</v>
      </c>
      <c r="W5" s="6" t="s">
        <v>15</v>
      </c>
      <c r="X5" s="6" t="s">
        <v>15</v>
      </c>
      <c r="Y5" s="157" t="s">
        <v>15</v>
      </c>
      <c r="Z5" s="93"/>
      <c r="AA5" s="94"/>
      <c r="AB5" s="94"/>
      <c r="AC5" s="6">
        <v>1</v>
      </c>
      <c r="AD5" s="6">
        <v>1</v>
      </c>
      <c r="AE5" s="157">
        <v>100</v>
      </c>
      <c r="AF5" s="6" t="s">
        <v>15</v>
      </c>
      <c r="AG5" s="6" t="s">
        <v>15</v>
      </c>
      <c r="AH5" s="157" t="s">
        <v>15</v>
      </c>
      <c r="AI5" s="6" t="s">
        <v>15</v>
      </c>
      <c r="AJ5" s="6" t="s">
        <v>15</v>
      </c>
      <c r="AK5" s="157" t="s">
        <v>15</v>
      </c>
      <c r="AL5" s="6" t="s">
        <v>15</v>
      </c>
      <c r="AM5" s="6" t="s">
        <v>15</v>
      </c>
      <c r="AN5" s="157" t="s">
        <v>15</v>
      </c>
      <c r="AO5" s="6" t="s">
        <v>15</v>
      </c>
      <c r="AP5" s="6" t="s">
        <v>15</v>
      </c>
      <c r="AQ5" s="157" t="s">
        <v>15</v>
      </c>
      <c r="AR5" s="6" t="s">
        <v>15</v>
      </c>
      <c r="AS5" s="6" t="s">
        <v>15</v>
      </c>
      <c r="AT5" s="157" t="s">
        <v>15</v>
      </c>
      <c r="AU5" s="6" t="s">
        <v>15</v>
      </c>
      <c r="AV5" s="6" t="s">
        <v>15</v>
      </c>
      <c r="AW5" s="157" t="s">
        <v>15</v>
      </c>
      <c r="AX5" s="6" t="s">
        <v>15</v>
      </c>
      <c r="AY5" s="6" t="s">
        <v>15</v>
      </c>
      <c r="AZ5" s="157" t="s">
        <v>15</v>
      </c>
      <c r="BA5" s="6" t="s">
        <v>15</v>
      </c>
      <c r="BB5" s="6" t="s">
        <v>15</v>
      </c>
      <c r="BC5" s="157" t="s">
        <v>15</v>
      </c>
    </row>
    <row r="6" spans="1:64" ht="14.95" customHeight="1" thickBot="1" x14ac:dyDescent="0.3">
      <c r="A6" s="308" t="s">
        <v>281</v>
      </c>
      <c r="B6" s="144">
        <v>1</v>
      </c>
      <c r="C6" s="403">
        <v>1</v>
      </c>
      <c r="D6" s="404">
        <v>0</v>
      </c>
      <c r="E6" s="75">
        <f t="shared" si="0"/>
        <v>2</v>
      </c>
      <c r="F6" s="297" t="s">
        <v>281</v>
      </c>
      <c r="G6" s="135">
        <v>5</v>
      </c>
      <c r="H6" s="324">
        <v>5</v>
      </c>
      <c r="I6" s="214">
        <v>0</v>
      </c>
      <c r="J6" s="136">
        <f t="shared" si="1"/>
        <v>10</v>
      </c>
      <c r="K6" s="399" t="s">
        <v>573</v>
      </c>
      <c r="L6" s="405" t="s">
        <v>15</v>
      </c>
      <c r="M6" s="405" t="s">
        <v>15</v>
      </c>
      <c r="N6" s="406" t="s">
        <v>15</v>
      </c>
      <c r="O6" s="405" t="s">
        <v>15</v>
      </c>
      <c r="P6" s="405" t="s">
        <v>15</v>
      </c>
      <c r="Q6" s="406" t="s">
        <v>15</v>
      </c>
      <c r="R6" s="108">
        <v>1</v>
      </c>
      <c r="S6" s="108">
        <v>-1</v>
      </c>
      <c r="T6" s="6">
        <v>2</v>
      </c>
      <c r="U6" s="6">
        <v>4</v>
      </c>
      <c r="V6" s="157">
        <v>50</v>
      </c>
      <c r="W6" s="6">
        <v>2</v>
      </c>
      <c r="X6" s="6">
        <v>3</v>
      </c>
      <c r="Y6" s="157">
        <v>66.666666666666657</v>
      </c>
      <c r="Z6" s="93"/>
      <c r="AA6" s="94"/>
      <c r="AB6" s="94"/>
      <c r="AC6" s="6" t="s">
        <v>15</v>
      </c>
      <c r="AD6" s="6" t="s">
        <v>15</v>
      </c>
      <c r="AE6" s="157" t="s">
        <v>15</v>
      </c>
      <c r="AF6" s="6" t="s">
        <v>15</v>
      </c>
      <c r="AG6" s="6" t="s">
        <v>15</v>
      </c>
      <c r="AH6" s="157" t="s">
        <v>15</v>
      </c>
      <c r="AI6" s="6" t="s">
        <v>15</v>
      </c>
      <c r="AJ6" s="6" t="s">
        <v>15</v>
      </c>
      <c r="AK6" s="157" t="s">
        <v>15</v>
      </c>
      <c r="AL6" s="6" t="s">
        <v>15</v>
      </c>
      <c r="AM6" s="6" t="s">
        <v>15</v>
      </c>
      <c r="AN6" s="157" t="s">
        <v>15</v>
      </c>
      <c r="AO6" s="6" t="s">
        <v>15</v>
      </c>
      <c r="AP6" s="6" t="s">
        <v>15</v>
      </c>
      <c r="AQ6" s="6" t="s">
        <v>15</v>
      </c>
      <c r="AR6" s="6" t="s">
        <v>15</v>
      </c>
      <c r="AS6" s="6" t="s">
        <v>15</v>
      </c>
      <c r="AT6" s="6" t="s">
        <v>15</v>
      </c>
      <c r="AU6" s="6" t="s">
        <v>15</v>
      </c>
      <c r="AV6" s="6" t="s">
        <v>15</v>
      </c>
      <c r="AW6" s="6" t="s">
        <v>15</v>
      </c>
      <c r="AX6" s="6" t="s">
        <v>15</v>
      </c>
      <c r="AY6" s="6" t="s">
        <v>15</v>
      </c>
      <c r="AZ6" s="6" t="s">
        <v>15</v>
      </c>
      <c r="BA6" s="6" t="s">
        <v>15</v>
      </c>
      <c r="BB6" s="6" t="s">
        <v>15</v>
      </c>
      <c r="BC6" s="6" t="s">
        <v>15</v>
      </c>
    </row>
    <row r="7" spans="1:64" ht="14.95" customHeight="1" thickBot="1" x14ac:dyDescent="0.3">
      <c r="A7" s="308" t="s">
        <v>608</v>
      </c>
      <c r="B7" s="144">
        <v>1</v>
      </c>
      <c r="C7" s="403">
        <v>1</v>
      </c>
      <c r="D7" s="404">
        <v>2</v>
      </c>
      <c r="E7" s="75">
        <f t="shared" si="0"/>
        <v>4</v>
      </c>
      <c r="F7" s="297" t="s">
        <v>608</v>
      </c>
      <c r="G7" s="135">
        <v>5</v>
      </c>
      <c r="H7" s="324">
        <v>5</v>
      </c>
      <c r="I7" s="214">
        <v>10</v>
      </c>
      <c r="J7" s="136">
        <f t="shared" si="1"/>
        <v>20</v>
      </c>
      <c r="K7" s="399" t="s">
        <v>1000</v>
      </c>
      <c r="L7" s="405">
        <v>14</v>
      </c>
      <c r="M7" s="405">
        <v>24</v>
      </c>
      <c r="N7" s="406">
        <f t="shared" ref="N7" si="2">(L7/M7)*100</f>
        <v>58.333333333333336</v>
      </c>
      <c r="O7" s="405" t="s">
        <v>15</v>
      </c>
      <c r="P7" s="405" t="s">
        <v>15</v>
      </c>
      <c r="Q7" s="406" t="s">
        <v>15</v>
      </c>
      <c r="R7" s="108">
        <v>-3</v>
      </c>
      <c r="S7" s="108">
        <v>-3</v>
      </c>
      <c r="T7" s="6">
        <v>11</v>
      </c>
      <c r="U7" s="6">
        <v>14</v>
      </c>
      <c r="V7" s="157">
        <v>78.571428571428569</v>
      </c>
      <c r="W7" s="6">
        <v>7</v>
      </c>
      <c r="X7" s="6">
        <v>11</v>
      </c>
      <c r="Y7" s="157">
        <v>64</v>
      </c>
      <c r="Z7" s="93"/>
      <c r="AA7" s="94"/>
      <c r="AB7" s="94"/>
      <c r="AC7" s="6">
        <v>12</v>
      </c>
      <c r="AD7" s="6">
        <v>21</v>
      </c>
      <c r="AE7" s="157">
        <v>57</v>
      </c>
      <c r="AF7" s="6" t="s">
        <v>15</v>
      </c>
      <c r="AG7" s="6" t="s">
        <v>15</v>
      </c>
      <c r="AH7" s="157" t="s">
        <v>15</v>
      </c>
      <c r="AI7" s="6" t="s">
        <v>15</v>
      </c>
      <c r="AJ7" s="6" t="s">
        <v>15</v>
      </c>
      <c r="AK7" s="157" t="s">
        <v>15</v>
      </c>
      <c r="AL7" s="6" t="s">
        <v>15</v>
      </c>
      <c r="AM7" s="6" t="s">
        <v>15</v>
      </c>
      <c r="AN7" s="157" t="s">
        <v>15</v>
      </c>
      <c r="AO7" s="6" t="s">
        <v>15</v>
      </c>
      <c r="AP7" s="6" t="s">
        <v>15</v>
      </c>
      <c r="AQ7" s="157" t="s">
        <v>15</v>
      </c>
      <c r="AR7" s="6" t="s">
        <v>15</v>
      </c>
      <c r="AS7" s="6" t="s">
        <v>15</v>
      </c>
      <c r="AT7" s="157" t="s">
        <v>15</v>
      </c>
      <c r="AU7" s="6" t="s">
        <v>15</v>
      </c>
      <c r="AV7" s="6" t="s">
        <v>15</v>
      </c>
      <c r="AW7" s="157" t="s">
        <v>15</v>
      </c>
      <c r="AX7" s="6" t="s">
        <v>15</v>
      </c>
      <c r="AY7" s="6" t="s">
        <v>15</v>
      </c>
      <c r="AZ7" s="157" t="s">
        <v>15</v>
      </c>
      <c r="BA7" s="6" t="s">
        <v>15</v>
      </c>
      <c r="BB7" s="6" t="s">
        <v>15</v>
      </c>
      <c r="BC7" s="157" t="s">
        <v>15</v>
      </c>
    </row>
    <row r="8" spans="1:64" ht="14.95" customHeight="1" thickBot="1" x14ac:dyDescent="0.3">
      <c r="A8" s="308" t="s">
        <v>1017</v>
      </c>
      <c r="B8" s="144">
        <v>0</v>
      </c>
      <c r="C8" s="403">
        <v>0</v>
      </c>
      <c r="D8" s="404">
        <v>1</v>
      </c>
      <c r="E8" s="75">
        <f t="shared" si="0"/>
        <v>1</v>
      </c>
      <c r="F8" s="297" t="s">
        <v>1017</v>
      </c>
      <c r="G8" s="135">
        <v>0</v>
      </c>
      <c r="H8" s="324">
        <v>0</v>
      </c>
      <c r="I8" s="214">
        <v>5</v>
      </c>
      <c r="J8" s="136">
        <f t="shared" si="1"/>
        <v>5</v>
      </c>
      <c r="K8" s="399" t="s">
        <v>375</v>
      </c>
      <c r="L8" s="405" t="s">
        <v>15</v>
      </c>
      <c r="M8" s="405" t="s">
        <v>15</v>
      </c>
      <c r="N8" s="406" t="s">
        <v>15</v>
      </c>
      <c r="O8" s="405" t="s">
        <v>15</v>
      </c>
      <c r="P8" s="405" t="s">
        <v>15</v>
      </c>
      <c r="Q8" s="406" t="s">
        <v>15</v>
      </c>
      <c r="R8" s="108" t="s">
        <v>19</v>
      </c>
      <c r="S8" s="108">
        <v>1</v>
      </c>
      <c r="T8" s="6" t="s">
        <v>15</v>
      </c>
      <c r="U8" s="6" t="s">
        <v>15</v>
      </c>
      <c r="V8" s="157" t="s">
        <v>15</v>
      </c>
      <c r="W8" s="6" t="s">
        <v>15</v>
      </c>
      <c r="X8" s="6" t="s">
        <v>15</v>
      </c>
      <c r="Y8" s="157" t="s">
        <v>15</v>
      </c>
      <c r="Z8" s="93"/>
      <c r="AA8" s="94"/>
      <c r="AB8" s="94"/>
      <c r="AC8" s="6" t="s">
        <v>15</v>
      </c>
      <c r="AD8" s="6" t="s">
        <v>15</v>
      </c>
      <c r="AE8" s="157" t="s">
        <v>15</v>
      </c>
      <c r="AF8" s="6" t="s">
        <v>15</v>
      </c>
      <c r="AG8" s="6" t="s">
        <v>15</v>
      </c>
      <c r="AH8" s="157" t="s">
        <v>15</v>
      </c>
      <c r="AI8" s="6" t="s">
        <v>15</v>
      </c>
      <c r="AJ8" s="6" t="s">
        <v>15</v>
      </c>
      <c r="AK8" s="157" t="s">
        <v>15</v>
      </c>
      <c r="AL8" s="6" t="s">
        <v>15</v>
      </c>
      <c r="AM8" s="6" t="s">
        <v>15</v>
      </c>
      <c r="AN8" s="157" t="s">
        <v>15</v>
      </c>
      <c r="AO8" s="6" t="s">
        <v>15</v>
      </c>
      <c r="AP8" s="6" t="s">
        <v>15</v>
      </c>
      <c r="AQ8" s="157" t="s">
        <v>15</v>
      </c>
      <c r="AR8" s="6" t="s">
        <v>15</v>
      </c>
      <c r="AS8" s="6" t="s">
        <v>15</v>
      </c>
      <c r="AT8" s="157" t="s">
        <v>15</v>
      </c>
      <c r="AU8" s="6" t="s">
        <v>15</v>
      </c>
      <c r="AV8" s="6" t="s">
        <v>15</v>
      </c>
      <c r="AW8" s="157" t="s">
        <v>15</v>
      </c>
      <c r="AX8" s="6" t="s">
        <v>15</v>
      </c>
      <c r="AY8" s="6" t="s">
        <v>15</v>
      </c>
      <c r="AZ8" s="157" t="s">
        <v>15</v>
      </c>
      <c r="BA8" s="6" t="s">
        <v>15</v>
      </c>
      <c r="BB8" s="6" t="s">
        <v>15</v>
      </c>
      <c r="BC8" s="157" t="s">
        <v>15</v>
      </c>
      <c r="BD8" s="4"/>
    </row>
    <row r="9" spans="1:64" ht="14.95" customHeight="1" thickBot="1" x14ac:dyDescent="0.3">
      <c r="A9" s="308" t="s">
        <v>184</v>
      </c>
      <c r="B9" s="144">
        <v>0</v>
      </c>
      <c r="C9" s="403">
        <v>0</v>
      </c>
      <c r="D9" s="404">
        <v>0</v>
      </c>
      <c r="E9" s="75">
        <f t="shared" si="0"/>
        <v>0</v>
      </c>
      <c r="F9" s="297" t="s">
        <v>184</v>
      </c>
      <c r="G9" s="135">
        <v>0</v>
      </c>
      <c r="H9" s="324">
        <v>0</v>
      </c>
      <c r="I9" s="214">
        <v>0</v>
      </c>
      <c r="J9" s="136">
        <f t="shared" si="1"/>
        <v>0</v>
      </c>
      <c r="K9" s="399" t="s">
        <v>420</v>
      </c>
      <c r="L9" s="405">
        <v>1</v>
      </c>
      <c r="M9" s="405">
        <v>1</v>
      </c>
      <c r="N9" s="406">
        <f t="shared" ref="N9" si="3">(L9/M9)*100</f>
        <v>100</v>
      </c>
      <c r="O9" s="405" t="s">
        <v>15</v>
      </c>
      <c r="P9" s="405" t="s">
        <v>15</v>
      </c>
      <c r="Q9" s="406" t="s">
        <v>15</v>
      </c>
      <c r="R9" s="108">
        <v>7</v>
      </c>
      <c r="S9" s="108">
        <v>4</v>
      </c>
      <c r="T9" s="6">
        <v>55</v>
      </c>
      <c r="U9" s="152">
        <v>75</v>
      </c>
      <c r="V9" s="157">
        <v>73.333333333333329</v>
      </c>
      <c r="W9" s="6">
        <v>34</v>
      </c>
      <c r="X9" s="152">
        <v>41</v>
      </c>
      <c r="Y9" s="157">
        <v>82.926829268292678</v>
      </c>
      <c r="Z9" s="93"/>
      <c r="AA9" s="94"/>
      <c r="AB9" s="94"/>
      <c r="AC9" s="6">
        <v>42</v>
      </c>
      <c r="AD9" s="152">
        <v>53</v>
      </c>
      <c r="AE9" s="157">
        <v>79.245283018867923</v>
      </c>
      <c r="AF9" s="6">
        <v>38</v>
      </c>
      <c r="AG9" s="152">
        <v>53</v>
      </c>
      <c r="AH9" s="157">
        <v>71.698113207547166</v>
      </c>
      <c r="AI9" s="6">
        <v>71</v>
      </c>
      <c r="AJ9" s="152">
        <v>87</v>
      </c>
      <c r="AK9" s="157">
        <v>81.609195402298852</v>
      </c>
      <c r="AL9" s="6">
        <v>27</v>
      </c>
      <c r="AM9" s="152">
        <v>34</v>
      </c>
      <c r="AN9" s="157">
        <v>79.411764705882348</v>
      </c>
      <c r="AO9" s="6">
        <v>40</v>
      </c>
      <c r="AP9" s="152">
        <v>48</v>
      </c>
      <c r="AQ9" s="7">
        <v>83</v>
      </c>
      <c r="AR9" s="6">
        <v>58</v>
      </c>
      <c r="AS9" s="152">
        <v>69</v>
      </c>
      <c r="AT9" s="152">
        <v>84</v>
      </c>
      <c r="AU9" s="6">
        <v>40</v>
      </c>
      <c r="AV9" s="152">
        <v>48</v>
      </c>
      <c r="AW9" s="6">
        <v>83</v>
      </c>
      <c r="AX9" s="6" t="s">
        <v>15</v>
      </c>
      <c r="AY9" s="152" t="s">
        <v>15</v>
      </c>
      <c r="AZ9" s="152" t="s">
        <v>15</v>
      </c>
      <c r="BA9" s="6" t="s">
        <v>15</v>
      </c>
      <c r="BB9" s="152" t="s">
        <v>15</v>
      </c>
      <c r="BC9" s="152" t="s">
        <v>15</v>
      </c>
    </row>
    <row r="10" spans="1:64" ht="14.95" customHeight="1" thickBot="1" x14ac:dyDescent="0.3">
      <c r="A10" s="308" t="s">
        <v>906</v>
      </c>
      <c r="B10" s="144">
        <v>1</v>
      </c>
      <c r="C10" s="403">
        <v>0</v>
      </c>
      <c r="D10" s="404">
        <v>1</v>
      </c>
      <c r="E10" s="75">
        <f t="shared" si="0"/>
        <v>2</v>
      </c>
      <c r="F10" s="297" t="s">
        <v>906</v>
      </c>
      <c r="G10" s="135">
        <v>5</v>
      </c>
      <c r="H10" s="324">
        <v>0</v>
      </c>
      <c r="I10" s="214">
        <v>5</v>
      </c>
      <c r="J10" s="136">
        <f t="shared" si="1"/>
        <v>10</v>
      </c>
      <c r="K10" s="407" t="s">
        <v>1018</v>
      </c>
      <c r="L10" s="405" t="s">
        <v>15</v>
      </c>
      <c r="M10" s="405" t="s">
        <v>15</v>
      </c>
      <c r="N10" s="406" t="s">
        <v>15</v>
      </c>
      <c r="O10" s="405" t="s">
        <v>15</v>
      </c>
      <c r="P10" s="405" t="s">
        <v>15</v>
      </c>
      <c r="Q10" s="406" t="s">
        <v>15</v>
      </c>
      <c r="R10" s="408" t="s">
        <v>19</v>
      </c>
      <c r="S10" s="408">
        <v>2</v>
      </c>
      <c r="T10" s="6" t="s">
        <v>15</v>
      </c>
      <c r="U10" s="6" t="s">
        <v>15</v>
      </c>
      <c r="V10" s="157" t="s">
        <v>15</v>
      </c>
      <c r="W10" s="6" t="s">
        <v>15</v>
      </c>
      <c r="X10" s="6" t="s">
        <v>15</v>
      </c>
      <c r="Y10" s="157" t="s">
        <v>15</v>
      </c>
      <c r="Z10" s="93"/>
      <c r="AA10" s="94"/>
      <c r="AB10" s="94"/>
      <c r="AC10" s="6" t="s">
        <v>15</v>
      </c>
      <c r="AD10" s="6" t="s">
        <v>15</v>
      </c>
      <c r="AE10" s="157" t="s">
        <v>15</v>
      </c>
      <c r="AF10" s="6" t="s">
        <v>15</v>
      </c>
      <c r="AG10" s="6" t="s">
        <v>15</v>
      </c>
      <c r="AH10" s="157" t="s">
        <v>15</v>
      </c>
      <c r="AI10" s="6" t="s">
        <v>15</v>
      </c>
      <c r="AJ10" s="6" t="s">
        <v>15</v>
      </c>
      <c r="AK10" s="157" t="s">
        <v>15</v>
      </c>
      <c r="AL10" s="6" t="s">
        <v>15</v>
      </c>
      <c r="AM10" s="6" t="s">
        <v>15</v>
      </c>
      <c r="AN10" s="157" t="s">
        <v>15</v>
      </c>
      <c r="AO10" s="6" t="s">
        <v>15</v>
      </c>
      <c r="AP10" s="6" t="s">
        <v>15</v>
      </c>
      <c r="AQ10" s="157" t="s">
        <v>15</v>
      </c>
      <c r="AR10" s="6" t="s">
        <v>15</v>
      </c>
      <c r="AS10" s="6" t="s">
        <v>15</v>
      </c>
      <c r="AT10" s="157" t="s">
        <v>15</v>
      </c>
      <c r="AU10" s="6" t="s">
        <v>15</v>
      </c>
      <c r="AV10" s="6" t="s">
        <v>15</v>
      </c>
      <c r="AW10" s="157" t="s">
        <v>15</v>
      </c>
      <c r="AX10" s="6" t="s">
        <v>15</v>
      </c>
      <c r="AY10" s="6" t="s">
        <v>15</v>
      </c>
      <c r="AZ10" s="157" t="s">
        <v>15</v>
      </c>
      <c r="BA10" s="6" t="s">
        <v>15</v>
      </c>
      <c r="BB10" s="6" t="s">
        <v>15</v>
      </c>
      <c r="BC10" s="157" t="s">
        <v>15</v>
      </c>
    </row>
    <row r="11" spans="1:64" ht="14.95" customHeight="1" thickBot="1" x14ac:dyDescent="0.3">
      <c r="A11" s="308" t="s">
        <v>588</v>
      </c>
      <c r="B11" s="144">
        <v>0</v>
      </c>
      <c r="C11" s="403">
        <v>0</v>
      </c>
      <c r="D11" s="404">
        <v>0</v>
      </c>
      <c r="E11" s="75">
        <f t="shared" si="0"/>
        <v>0</v>
      </c>
      <c r="F11" s="297" t="s">
        <v>588</v>
      </c>
      <c r="G11" s="135">
        <v>0</v>
      </c>
      <c r="H11" s="324">
        <v>0</v>
      </c>
      <c r="I11" s="214">
        <v>0</v>
      </c>
      <c r="J11" s="136">
        <f t="shared" si="1"/>
        <v>0</v>
      </c>
      <c r="K11" s="407" t="s">
        <v>5</v>
      </c>
      <c r="L11" s="405">
        <v>7</v>
      </c>
      <c r="M11" s="405">
        <v>8</v>
      </c>
      <c r="N11" s="406">
        <f t="shared" ref="N11" si="4">(L11/M11)*100</f>
        <v>87.5</v>
      </c>
      <c r="O11" s="405">
        <v>3</v>
      </c>
      <c r="P11" s="405">
        <v>4</v>
      </c>
      <c r="Q11" s="406">
        <f t="shared" ref="Q11" si="5">(O11/P11)*100</f>
        <v>75</v>
      </c>
      <c r="R11" s="408">
        <v>4</v>
      </c>
      <c r="S11" s="408">
        <v>2</v>
      </c>
      <c r="T11" s="6">
        <v>1</v>
      </c>
      <c r="U11" s="6">
        <v>1</v>
      </c>
      <c r="V11" s="157">
        <v>100</v>
      </c>
      <c r="W11" s="6">
        <v>15</v>
      </c>
      <c r="X11" s="6">
        <v>20</v>
      </c>
      <c r="Y11" s="157">
        <v>75</v>
      </c>
      <c r="Z11" s="93"/>
      <c r="AA11" s="94"/>
      <c r="AB11" s="94"/>
      <c r="AC11" s="6">
        <v>12</v>
      </c>
      <c r="AD11" s="6">
        <v>18</v>
      </c>
      <c r="AE11" s="157">
        <v>66.666666666666657</v>
      </c>
      <c r="AF11" s="6" t="s">
        <v>15</v>
      </c>
      <c r="AG11" s="6" t="s">
        <v>15</v>
      </c>
      <c r="AH11" s="157" t="s">
        <v>15</v>
      </c>
      <c r="AI11" s="6" t="s">
        <v>15</v>
      </c>
      <c r="AJ11" s="6" t="s">
        <v>15</v>
      </c>
      <c r="AK11" s="6" t="s">
        <v>15</v>
      </c>
      <c r="AL11" s="6" t="s">
        <v>15</v>
      </c>
      <c r="AM11" s="6" t="s">
        <v>15</v>
      </c>
      <c r="AN11" s="6" t="s">
        <v>15</v>
      </c>
      <c r="AO11" s="6" t="s">
        <v>15</v>
      </c>
      <c r="AP11" s="6" t="s">
        <v>15</v>
      </c>
      <c r="AQ11" s="6" t="s">
        <v>15</v>
      </c>
      <c r="AR11" s="6" t="s">
        <v>15</v>
      </c>
      <c r="AS11" s="152" t="s">
        <v>15</v>
      </c>
      <c r="AT11" s="152" t="s">
        <v>15</v>
      </c>
      <c r="AU11" s="6" t="s">
        <v>15</v>
      </c>
      <c r="AV11" s="152" t="s">
        <v>15</v>
      </c>
      <c r="AW11" s="6" t="s">
        <v>15</v>
      </c>
      <c r="AX11" s="6" t="s">
        <v>15</v>
      </c>
      <c r="AY11" s="152" t="s">
        <v>15</v>
      </c>
      <c r="AZ11" s="152" t="s">
        <v>15</v>
      </c>
      <c r="BA11" s="6" t="s">
        <v>15</v>
      </c>
      <c r="BB11" s="152" t="s">
        <v>15</v>
      </c>
      <c r="BC11" s="152" t="s">
        <v>15</v>
      </c>
    </row>
    <row r="12" spans="1:64" ht="14.95" customHeight="1" thickBot="1" x14ac:dyDescent="0.3">
      <c r="A12" s="308" t="s">
        <v>595</v>
      </c>
      <c r="B12" s="144">
        <v>0</v>
      </c>
      <c r="C12" s="403">
        <v>0</v>
      </c>
      <c r="D12" s="404">
        <v>0</v>
      </c>
      <c r="E12" s="75">
        <f t="shared" si="0"/>
        <v>0</v>
      </c>
      <c r="F12" s="297" t="s">
        <v>595</v>
      </c>
      <c r="G12" s="135">
        <v>0</v>
      </c>
      <c r="H12" s="324">
        <v>0</v>
      </c>
      <c r="I12" s="214">
        <v>0</v>
      </c>
      <c r="J12" s="136">
        <f t="shared" si="1"/>
        <v>0</v>
      </c>
      <c r="K12" s="407" t="s">
        <v>423</v>
      </c>
      <c r="L12" s="405">
        <v>20</v>
      </c>
      <c r="M12" s="405">
        <v>24</v>
      </c>
      <c r="N12" s="406">
        <f t="shared" ref="N12" si="6">(L12/M12)*100</f>
        <v>83.333333333333343</v>
      </c>
      <c r="O12" s="405" t="s">
        <v>15</v>
      </c>
      <c r="P12" s="405" t="s">
        <v>15</v>
      </c>
      <c r="Q12" s="406" t="s">
        <v>15</v>
      </c>
      <c r="R12" s="408">
        <v>-1</v>
      </c>
      <c r="S12" s="408">
        <v>-1</v>
      </c>
      <c r="T12" s="6">
        <v>5</v>
      </c>
      <c r="U12" s="6">
        <v>6</v>
      </c>
      <c r="V12" s="157">
        <v>83.333333333333343</v>
      </c>
      <c r="W12" s="6" t="s">
        <v>15</v>
      </c>
      <c r="X12" s="6" t="s">
        <v>15</v>
      </c>
      <c r="Y12" s="157" t="s">
        <v>15</v>
      </c>
      <c r="Z12" s="93"/>
      <c r="AA12" s="94"/>
      <c r="AB12" s="94"/>
      <c r="AC12" s="6" t="s">
        <v>15</v>
      </c>
      <c r="AD12" s="6" t="s">
        <v>15</v>
      </c>
      <c r="AE12" s="157" t="s">
        <v>15</v>
      </c>
      <c r="AF12" s="6" t="s">
        <v>15</v>
      </c>
      <c r="AG12" s="6" t="s">
        <v>15</v>
      </c>
      <c r="AH12" s="157" t="s">
        <v>15</v>
      </c>
      <c r="AI12" s="6" t="s">
        <v>15</v>
      </c>
      <c r="AJ12" s="6" t="s">
        <v>15</v>
      </c>
      <c r="AK12" s="6" t="s">
        <v>15</v>
      </c>
      <c r="AL12" s="6" t="s">
        <v>15</v>
      </c>
      <c r="AM12" s="6" t="s">
        <v>15</v>
      </c>
      <c r="AN12" s="6" t="s">
        <v>15</v>
      </c>
      <c r="AO12" s="6" t="s">
        <v>15</v>
      </c>
      <c r="AP12" s="6" t="s">
        <v>15</v>
      </c>
      <c r="AQ12" s="6" t="s">
        <v>15</v>
      </c>
      <c r="AR12" s="6" t="s">
        <v>15</v>
      </c>
      <c r="AS12" s="152" t="s">
        <v>15</v>
      </c>
      <c r="AT12" s="152" t="s">
        <v>15</v>
      </c>
      <c r="AU12" s="6" t="s">
        <v>15</v>
      </c>
      <c r="AV12" s="152" t="s">
        <v>15</v>
      </c>
      <c r="AW12" s="6" t="s">
        <v>15</v>
      </c>
      <c r="AX12" s="6" t="s">
        <v>15</v>
      </c>
      <c r="AY12" s="152" t="s">
        <v>15</v>
      </c>
      <c r="AZ12" s="152" t="s">
        <v>15</v>
      </c>
      <c r="BA12" s="6" t="s">
        <v>15</v>
      </c>
      <c r="BB12" s="152" t="s">
        <v>15</v>
      </c>
      <c r="BC12" s="152" t="s">
        <v>15</v>
      </c>
      <c r="BD12" s="4"/>
      <c r="BE12" s="4"/>
      <c r="BF12" s="4"/>
    </row>
    <row r="13" spans="1:64" ht="14.95" customHeight="1" thickBot="1" x14ac:dyDescent="0.3">
      <c r="A13" s="308" t="s">
        <v>534</v>
      </c>
      <c r="B13" s="144">
        <v>0</v>
      </c>
      <c r="C13" s="403">
        <v>0</v>
      </c>
      <c r="D13" s="404">
        <v>0</v>
      </c>
      <c r="E13" s="75">
        <f t="shared" si="0"/>
        <v>0</v>
      </c>
      <c r="F13" s="297" t="s">
        <v>534</v>
      </c>
      <c r="G13" s="135">
        <v>0</v>
      </c>
      <c r="H13" s="324">
        <v>0</v>
      </c>
      <c r="I13" s="214">
        <v>0</v>
      </c>
      <c r="J13" s="136">
        <f t="shared" si="1"/>
        <v>0</v>
      </c>
      <c r="K13" s="101"/>
      <c r="L13" s="56"/>
      <c r="M13" s="100"/>
      <c r="N13" s="100"/>
      <c r="O13" s="100"/>
      <c r="P13" s="100"/>
      <c r="Q13" s="100"/>
      <c r="R13" s="159"/>
      <c r="S13" s="159"/>
      <c r="T13" s="149"/>
      <c r="U13" s="149"/>
      <c r="V13" s="149"/>
      <c r="W13" s="149"/>
      <c r="X13" s="150"/>
      <c r="Y13" s="150"/>
      <c r="Z13" s="86"/>
      <c r="AA13" s="86"/>
      <c r="AB13" s="86"/>
      <c r="AC13" s="86"/>
      <c r="AD13" s="86"/>
      <c r="AE13" s="86"/>
      <c r="AF13" s="172"/>
      <c r="AG13" s="170"/>
      <c r="AH13" s="170"/>
      <c r="AI13" s="172"/>
      <c r="AJ13" s="170"/>
      <c r="AK13" s="172"/>
      <c r="AT13" s="4"/>
      <c r="BA13" s="4"/>
      <c r="BB13" s="4"/>
      <c r="BC13" s="4"/>
    </row>
    <row r="14" spans="1:64" ht="14.95" customHeight="1" thickBot="1" x14ac:dyDescent="0.3">
      <c r="A14" s="308" t="s">
        <v>786</v>
      </c>
      <c r="B14" s="144">
        <v>0</v>
      </c>
      <c r="C14" s="403">
        <v>0</v>
      </c>
      <c r="D14" s="404">
        <v>2</v>
      </c>
      <c r="E14" s="75">
        <f t="shared" si="0"/>
        <v>2</v>
      </c>
      <c r="F14" s="297" t="s">
        <v>786</v>
      </c>
      <c r="G14" s="135">
        <v>0</v>
      </c>
      <c r="H14" s="324">
        <v>0</v>
      </c>
      <c r="I14" s="214">
        <v>10</v>
      </c>
      <c r="J14" s="136">
        <f t="shared" si="1"/>
        <v>10</v>
      </c>
      <c r="K14" s="465" t="s">
        <v>188</v>
      </c>
      <c r="L14" s="498" t="s">
        <v>14</v>
      </c>
      <c r="M14" s="499"/>
      <c r="N14" s="500"/>
      <c r="O14" s="449" t="s">
        <v>226</v>
      </c>
      <c r="P14" s="450"/>
      <c r="Q14" s="451"/>
      <c r="R14" s="449" t="s">
        <v>875</v>
      </c>
      <c r="S14" s="450"/>
      <c r="T14" s="451"/>
      <c r="U14" s="449" t="s">
        <v>581</v>
      </c>
      <c r="V14" s="450"/>
      <c r="W14" s="451"/>
      <c r="X14" s="85"/>
      <c r="Y14" s="85"/>
      <c r="Z14" s="85"/>
      <c r="AC14" s="449" t="s">
        <v>477</v>
      </c>
      <c r="AD14" s="450"/>
      <c r="AE14" s="451"/>
      <c r="AF14" s="449" t="s">
        <v>391</v>
      </c>
      <c r="AG14" s="450"/>
      <c r="AH14" s="451"/>
      <c r="AI14" s="449" t="s">
        <v>300</v>
      </c>
      <c r="AJ14" s="450"/>
      <c r="AK14" s="451"/>
      <c r="AL14" s="478" t="s">
        <v>219</v>
      </c>
      <c r="AM14" s="479"/>
      <c r="AN14" s="480"/>
      <c r="AO14" s="449" t="s">
        <v>78</v>
      </c>
      <c r="AP14" s="450"/>
      <c r="AQ14" s="451"/>
      <c r="AR14" s="449" t="s">
        <v>54</v>
      </c>
      <c r="AS14" s="504"/>
      <c r="AT14" s="505"/>
      <c r="AU14" s="449" t="s">
        <v>50</v>
      </c>
      <c r="AV14" s="504"/>
      <c r="AW14" s="505"/>
      <c r="AX14" s="449" t="s">
        <v>37</v>
      </c>
      <c r="AY14" s="504"/>
      <c r="AZ14" s="505"/>
    </row>
    <row r="15" spans="1:64" ht="14.95" customHeight="1" thickBot="1" x14ac:dyDescent="0.3">
      <c r="A15" s="308" t="s">
        <v>52</v>
      </c>
      <c r="B15" s="144">
        <v>1</v>
      </c>
      <c r="C15" s="403">
        <v>1</v>
      </c>
      <c r="D15" s="404">
        <v>0</v>
      </c>
      <c r="E15" s="75">
        <f t="shared" si="0"/>
        <v>2</v>
      </c>
      <c r="F15" s="297" t="s">
        <v>52</v>
      </c>
      <c r="G15" s="135">
        <v>5</v>
      </c>
      <c r="H15" s="324">
        <v>5</v>
      </c>
      <c r="I15" s="214">
        <v>0</v>
      </c>
      <c r="J15" s="136">
        <f t="shared" si="1"/>
        <v>10</v>
      </c>
      <c r="K15" s="466"/>
      <c r="L15" s="501"/>
      <c r="M15" s="502"/>
      <c r="N15" s="503"/>
      <c r="O15" s="452"/>
      <c r="P15" s="453"/>
      <c r="Q15" s="454"/>
      <c r="R15" s="452"/>
      <c r="S15" s="453"/>
      <c r="T15" s="454"/>
      <c r="U15" s="452"/>
      <c r="V15" s="453"/>
      <c r="W15" s="454"/>
      <c r="X15" s="85"/>
      <c r="Y15" s="85"/>
      <c r="Z15" s="85"/>
      <c r="AC15" s="452"/>
      <c r="AD15" s="453"/>
      <c r="AE15" s="454"/>
      <c r="AF15" s="452"/>
      <c r="AG15" s="453"/>
      <c r="AH15" s="454"/>
      <c r="AI15" s="452"/>
      <c r="AJ15" s="453"/>
      <c r="AK15" s="454"/>
      <c r="AL15" s="481"/>
      <c r="AM15" s="482"/>
      <c r="AN15" s="483"/>
      <c r="AO15" s="452"/>
      <c r="AP15" s="453"/>
      <c r="AQ15" s="454"/>
      <c r="AR15" s="506"/>
      <c r="AS15" s="507"/>
      <c r="AT15" s="508"/>
      <c r="AU15" s="506"/>
      <c r="AV15" s="507"/>
      <c r="AW15" s="508"/>
      <c r="AX15" s="506"/>
      <c r="AY15" s="507"/>
      <c r="AZ15" s="508"/>
      <c r="BC15" s="4"/>
    </row>
    <row r="16" spans="1:64" ht="14.95" customHeight="1" thickBot="1" x14ac:dyDescent="0.3">
      <c r="A16" s="308" t="s">
        <v>601</v>
      </c>
      <c r="B16" s="144">
        <v>0</v>
      </c>
      <c r="C16" s="403">
        <v>0</v>
      </c>
      <c r="D16" s="404">
        <v>1</v>
      </c>
      <c r="E16" s="75">
        <f t="shared" si="0"/>
        <v>1</v>
      </c>
      <c r="F16" s="297" t="s">
        <v>601</v>
      </c>
      <c r="G16" s="135">
        <v>0</v>
      </c>
      <c r="H16" s="324">
        <v>0</v>
      </c>
      <c r="I16" s="214">
        <v>5</v>
      </c>
      <c r="J16" s="136">
        <f t="shared" si="1"/>
        <v>5</v>
      </c>
      <c r="K16" s="253" t="s">
        <v>21</v>
      </c>
      <c r="L16" s="247" t="s">
        <v>46</v>
      </c>
      <c r="M16" s="247" t="s">
        <v>9</v>
      </c>
      <c r="N16" s="247" t="s">
        <v>10</v>
      </c>
      <c r="O16" s="7" t="s">
        <v>46</v>
      </c>
      <c r="P16" s="7" t="s">
        <v>9</v>
      </c>
      <c r="Q16" s="7" t="s">
        <v>10</v>
      </c>
      <c r="R16" s="7" t="s">
        <v>46</v>
      </c>
      <c r="S16" s="7" t="s">
        <v>9</v>
      </c>
      <c r="T16" s="7" t="s">
        <v>10</v>
      </c>
      <c r="U16" s="7" t="s">
        <v>46</v>
      </c>
      <c r="V16" s="7" t="s">
        <v>9</v>
      </c>
      <c r="W16" s="7" t="s">
        <v>10</v>
      </c>
      <c r="AC16" s="148" t="s">
        <v>46</v>
      </c>
      <c r="AD16" s="7" t="s">
        <v>9</v>
      </c>
      <c r="AE16" s="7" t="s">
        <v>10</v>
      </c>
      <c r="AF16" s="148" t="s">
        <v>46</v>
      </c>
      <c r="AG16" s="7" t="s">
        <v>9</v>
      </c>
      <c r="AH16" s="7" t="s">
        <v>10</v>
      </c>
      <c r="AI16" s="148" t="s">
        <v>46</v>
      </c>
      <c r="AJ16" s="7" t="s">
        <v>9</v>
      </c>
      <c r="AK16" s="7" t="s">
        <v>10</v>
      </c>
      <c r="AL16" s="84" t="s">
        <v>46</v>
      </c>
      <c r="AM16" s="79" t="s">
        <v>9</v>
      </c>
      <c r="AN16" s="79" t="s">
        <v>10</v>
      </c>
      <c r="AO16" s="148" t="s">
        <v>46</v>
      </c>
      <c r="AP16" s="7" t="s">
        <v>9</v>
      </c>
      <c r="AQ16" s="7" t="s">
        <v>10</v>
      </c>
      <c r="AR16" s="6" t="s">
        <v>46</v>
      </c>
      <c r="AS16" s="6" t="s">
        <v>9</v>
      </c>
      <c r="AT16" s="6" t="s">
        <v>10</v>
      </c>
      <c r="AU16" s="6" t="s">
        <v>46</v>
      </c>
      <c r="AV16" s="6" t="s">
        <v>9</v>
      </c>
      <c r="AW16" s="6" t="s">
        <v>10</v>
      </c>
      <c r="AX16" s="6" t="s">
        <v>46</v>
      </c>
      <c r="AY16" s="6" t="s">
        <v>9</v>
      </c>
      <c r="AZ16" s="6" t="s">
        <v>10</v>
      </c>
    </row>
    <row r="17" spans="1:57" ht="14.95" customHeight="1" thickBot="1" x14ac:dyDescent="0.3">
      <c r="A17" s="308" t="s">
        <v>603</v>
      </c>
      <c r="B17" s="144">
        <v>0</v>
      </c>
      <c r="C17" s="403">
        <v>1</v>
      </c>
      <c r="D17" s="404">
        <v>0</v>
      </c>
      <c r="E17" s="75">
        <f t="shared" si="0"/>
        <v>1</v>
      </c>
      <c r="F17" s="297" t="s">
        <v>603</v>
      </c>
      <c r="G17" s="135">
        <v>0</v>
      </c>
      <c r="H17" s="324">
        <v>5</v>
      </c>
      <c r="I17" s="214">
        <v>0</v>
      </c>
      <c r="J17" s="136">
        <f t="shared" si="1"/>
        <v>5</v>
      </c>
      <c r="K17" s="399" t="s">
        <v>573</v>
      </c>
      <c r="L17" s="405" t="s">
        <v>15</v>
      </c>
      <c r="M17" s="108" t="s">
        <v>15</v>
      </c>
      <c r="N17" s="406" t="s">
        <v>15</v>
      </c>
      <c r="O17" s="6">
        <v>1</v>
      </c>
      <c r="P17" s="152">
        <v>2</v>
      </c>
      <c r="Q17" s="157">
        <v>50</v>
      </c>
      <c r="R17" s="6" t="s">
        <v>15</v>
      </c>
      <c r="S17" s="152" t="s">
        <v>15</v>
      </c>
      <c r="T17" s="157" t="s">
        <v>15</v>
      </c>
      <c r="U17" s="6" t="s">
        <v>15</v>
      </c>
      <c r="V17" s="152" t="s">
        <v>15</v>
      </c>
      <c r="W17" s="157" t="s">
        <v>15</v>
      </c>
      <c r="AC17" s="6" t="s">
        <v>15</v>
      </c>
      <c r="AD17" s="152" t="s">
        <v>15</v>
      </c>
      <c r="AE17" s="157" t="s">
        <v>15</v>
      </c>
      <c r="AF17" s="6" t="s">
        <v>15</v>
      </c>
      <c r="AG17" s="152" t="s">
        <v>15</v>
      </c>
      <c r="AH17" s="157" t="s">
        <v>15</v>
      </c>
      <c r="AI17" s="6" t="s">
        <v>15</v>
      </c>
      <c r="AJ17" s="152" t="s">
        <v>15</v>
      </c>
      <c r="AK17" s="157" t="s">
        <v>15</v>
      </c>
      <c r="AL17" s="6" t="s">
        <v>15</v>
      </c>
      <c r="AM17" s="152" t="s">
        <v>15</v>
      </c>
      <c r="AN17" s="157" t="s">
        <v>15</v>
      </c>
      <c r="AO17" s="6" t="s">
        <v>15</v>
      </c>
      <c r="AP17" s="152" t="s">
        <v>15</v>
      </c>
      <c r="AQ17" s="157" t="s">
        <v>15</v>
      </c>
      <c r="AR17" s="6" t="s">
        <v>15</v>
      </c>
      <c r="AS17" s="152" t="s">
        <v>15</v>
      </c>
      <c r="AT17" s="157" t="s">
        <v>15</v>
      </c>
      <c r="AU17" s="6" t="s">
        <v>15</v>
      </c>
      <c r="AV17" s="152" t="s">
        <v>15</v>
      </c>
      <c r="AW17" s="157" t="s">
        <v>15</v>
      </c>
      <c r="AX17" s="6" t="s">
        <v>15</v>
      </c>
      <c r="AY17" s="152" t="s">
        <v>15</v>
      </c>
      <c r="AZ17" s="157" t="s">
        <v>15</v>
      </c>
    </row>
    <row r="18" spans="1:57" ht="14.95" customHeight="1" thickBot="1" x14ac:dyDescent="0.3">
      <c r="A18" s="308" t="s">
        <v>604</v>
      </c>
      <c r="B18" s="144">
        <v>1</v>
      </c>
      <c r="C18" s="403">
        <v>1</v>
      </c>
      <c r="D18" s="404">
        <v>0</v>
      </c>
      <c r="E18" s="75">
        <f t="shared" si="0"/>
        <v>2</v>
      </c>
      <c r="F18" s="297" t="s">
        <v>604</v>
      </c>
      <c r="G18" s="135">
        <v>5</v>
      </c>
      <c r="H18" s="324">
        <v>5</v>
      </c>
      <c r="I18" s="214">
        <v>0</v>
      </c>
      <c r="J18" s="136">
        <f t="shared" si="1"/>
        <v>10</v>
      </c>
      <c r="K18" s="399" t="s">
        <v>1000</v>
      </c>
      <c r="L18" s="405">
        <v>16</v>
      </c>
      <c r="M18" s="108">
        <v>19</v>
      </c>
      <c r="N18" s="406">
        <f t="shared" ref="N18" si="7">(L18/M18)*100</f>
        <v>84.210526315789465</v>
      </c>
      <c r="O18" s="154">
        <v>3</v>
      </c>
      <c r="P18" s="154">
        <v>6</v>
      </c>
      <c r="Q18" s="153">
        <v>50</v>
      </c>
      <c r="R18" s="154">
        <v>0</v>
      </c>
      <c r="S18" s="154">
        <v>2</v>
      </c>
      <c r="T18" s="153">
        <v>0</v>
      </c>
      <c r="U18" s="154" t="s">
        <v>15</v>
      </c>
      <c r="V18" s="154" t="s">
        <v>15</v>
      </c>
      <c r="W18" s="153" t="s">
        <v>15</v>
      </c>
      <c r="AC18" s="6" t="s">
        <v>15</v>
      </c>
      <c r="AD18" s="152" t="s">
        <v>15</v>
      </c>
      <c r="AE18" s="153" t="s">
        <v>15</v>
      </c>
      <c r="AF18" s="6" t="s">
        <v>15</v>
      </c>
      <c r="AG18" s="152" t="s">
        <v>15</v>
      </c>
      <c r="AH18" s="153" t="s">
        <v>15</v>
      </c>
      <c r="AI18" s="6" t="s">
        <v>15</v>
      </c>
      <c r="AJ18" s="6" t="s">
        <v>15</v>
      </c>
      <c r="AK18" s="157" t="s">
        <v>15</v>
      </c>
      <c r="AL18" s="6" t="s">
        <v>15</v>
      </c>
      <c r="AM18" s="6" t="s">
        <v>15</v>
      </c>
      <c r="AN18" s="157" t="s">
        <v>15</v>
      </c>
      <c r="AO18" s="6" t="s">
        <v>15</v>
      </c>
      <c r="AP18" s="6" t="s">
        <v>15</v>
      </c>
      <c r="AQ18" s="157" t="s">
        <v>15</v>
      </c>
      <c r="AR18" s="6" t="s">
        <v>15</v>
      </c>
      <c r="AS18" s="6" t="s">
        <v>15</v>
      </c>
      <c r="AT18" s="157" t="s">
        <v>15</v>
      </c>
      <c r="AU18" s="6" t="s">
        <v>15</v>
      </c>
      <c r="AV18" s="6" t="s">
        <v>15</v>
      </c>
      <c r="AW18" s="153" t="s">
        <v>15</v>
      </c>
      <c r="AX18" s="6" t="s">
        <v>15</v>
      </c>
      <c r="AY18" s="6" t="s">
        <v>15</v>
      </c>
      <c r="AZ18" s="153" t="s">
        <v>15</v>
      </c>
    </row>
    <row r="19" spans="1:57" ht="14.95" customHeight="1" thickBot="1" x14ac:dyDescent="0.3">
      <c r="A19" s="308" t="s">
        <v>624</v>
      </c>
      <c r="B19" s="144">
        <v>0</v>
      </c>
      <c r="C19" s="403">
        <v>0</v>
      </c>
      <c r="D19" s="404">
        <v>3</v>
      </c>
      <c r="E19" s="75">
        <f t="shared" si="0"/>
        <v>3</v>
      </c>
      <c r="F19" s="297" t="s">
        <v>624</v>
      </c>
      <c r="G19" s="135">
        <v>0</v>
      </c>
      <c r="H19" s="324">
        <v>0</v>
      </c>
      <c r="I19" s="214">
        <v>15</v>
      </c>
      <c r="J19" s="136">
        <f t="shared" si="1"/>
        <v>15</v>
      </c>
      <c r="K19" s="399" t="s">
        <v>420</v>
      </c>
      <c r="L19" s="405" t="s">
        <v>15</v>
      </c>
      <c r="M19" s="108" t="s">
        <v>15</v>
      </c>
      <c r="N19" s="406" t="s">
        <v>15</v>
      </c>
      <c r="O19" s="6" t="s">
        <v>15</v>
      </c>
      <c r="P19" s="152" t="s">
        <v>15</v>
      </c>
      <c r="Q19" s="157" t="s">
        <v>15</v>
      </c>
      <c r="R19" s="6">
        <v>2</v>
      </c>
      <c r="S19" s="152">
        <v>4</v>
      </c>
      <c r="T19" s="157">
        <v>50</v>
      </c>
      <c r="U19" s="6" t="s">
        <v>15</v>
      </c>
      <c r="V19" s="152" t="s">
        <v>15</v>
      </c>
      <c r="W19" s="157" t="s">
        <v>15</v>
      </c>
      <c r="AC19" s="148">
        <v>7</v>
      </c>
      <c r="AD19" s="7">
        <v>7</v>
      </c>
      <c r="AE19" s="153">
        <f t="shared" ref="AE19" si="8">SUM(AC19/AD19)*100</f>
        <v>100</v>
      </c>
      <c r="AF19" s="148">
        <v>17</v>
      </c>
      <c r="AG19" s="7">
        <v>20</v>
      </c>
      <c r="AH19" s="153">
        <f t="shared" ref="AH19" si="9">SUM(AF19/AG19)*100</f>
        <v>85</v>
      </c>
      <c r="AI19" s="148">
        <v>9</v>
      </c>
      <c r="AJ19" s="7">
        <v>12</v>
      </c>
      <c r="AK19" s="153">
        <f t="shared" ref="AK19" si="10">SUM(AI19/AJ19)*100</f>
        <v>75</v>
      </c>
      <c r="AL19" s="148" t="s">
        <v>15</v>
      </c>
      <c r="AM19" s="7" t="s">
        <v>15</v>
      </c>
      <c r="AN19" s="7" t="s">
        <v>15</v>
      </c>
      <c r="AO19" s="148" t="s">
        <v>15</v>
      </c>
      <c r="AP19" s="7" t="s">
        <v>15</v>
      </c>
      <c r="AQ19" s="7" t="s">
        <v>15</v>
      </c>
      <c r="AR19" s="148">
        <v>8</v>
      </c>
      <c r="AS19" s="7">
        <v>10</v>
      </c>
      <c r="AT19" s="153">
        <f>SUM(AR19/AS19)*100</f>
        <v>80</v>
      </c>
      <c r="AU19" s="6" t="s">
        <v>15</v>
      </c>
      <c r="AV19" s="7" t="s">
        <v>15</v>
      </c>
      <c r="AW19" s="7" t="s">
        <v>15</v>
      </c>
      <c r="AX19" s="148">
        <v>7</v>
      </c>
      <c r="AY19" s="7">
        <v>8</v>
      </c>
      <c r="AZ19" s="157">
        <f>SUM(AX19/AY19)*100</f>
        <v>87.5</v>
      </c>
      <c r="BA19" s="86"/>
      <c r="BB19" s="86"/>
      <c r="BC19" s="86"/>
      <c r="BD19" s="80"/>
      <c r="BE19" s="80"/>
    </row>
    <row r="20" spans="1:57" ht="14.95" customHeight="1" thickBot="1" x14ac:dyDescent="0.3">
      <c r="A20" s="308" t="s">
        <v>616</v>
      </c>
      <c r="B20" s="144">
        <v>0</v>
      </c>
      <c r="C20" s="403">
        <v>0</v>
      </c>
      <c r="D20" s="404">
        <v>0</v>
      </c>
      <c r="E20" s="75">
        <f t="shared" si="0"/>
        <v>0</v>
      </c>
      <c r="F20" s="297" t="s">
        <v>616</v>
      </c>
      <c r="G20" s="135">
        <v>0</v>
      </c>
      <c r="H20" s="324">
        <v>0</v>
      </c>
      <c r="I20" s="214">
        <v>0</v>
      </c>
      <c r="J20" s="136">
        <f t="shared" si="1"/>
        <v>0</v>
      </c>
      <c r="K20" s="399" t="s">
        <v>5</v>
      </c>
      <c r="L20" s="405">
        <v>3</v>
      </c>
      <c r="M20" s="108">
        <v>4</v>
      </c>
      <c r="N20" s="406">
        <f t="shared" ref="N20" si="11">(L20/M20)*100</f>
        <v>75</v>
      </c>
      <c r="O20" s="154" t="s">
        <v>15</v>
      </c>
      <c r="P20" s="154" t="s">
        <v>15</v>
      </c>
      <c r="Q20" s="153" t="s">
        <v>15</v>
      </c>
      <c r="R20" s="154" t="s">
        <v>15</v>
      </c>
      <c r="S20" s="154" t="s">
        <v>15</v>
      </c>
      <c r="T20" s="153" t="s">
        <v>15</v>
      </c>
      <c r="U20" s="154" t="s">
        <v>15</v>
      </c>
      <c r="V20" s="154" t="s">
        <v>15</v>
      </c>
      <c r="W20" s="153" t="s">
        <v>15</v>
      </c>
      <c r="AC20" s="331" t="s">
        <v>15</v>
      </c>
      <c r="AD20" s="154" t="s">
        <v>15</v>
      </c>
      <c r="AE20" s="153" t="s">
        <v>15</v>
      </c>
      <c r="AF20" s="6" t="s">
        <v>15</v>
      </c>
      <c r="AG20" s="154" t="s">
        <v>15</v>
      </c>
      <c r="AH20" s="153" t="s">
        <v>15</v>
      </c>
      <c r="AI20" s="154" t="s">
        <v>15</v>
      </c>
      <c r="AJ20" s="154" t="s">
        <v>15</v>
      </c>
      <c r="AK20" s="153" t="s">
        <v>15</v>
      </c>
      <c r="AL20" s="154" t="s">
        <v>15</v>
      </c>
      <c r="AM20" s="154" t="s">
        <v>15</v>
      </c>
      <c r="AN20" s="153" t="s">
        <v>15</v>
      </c>
      <c r="AO20" s="154" t="s">
        <v>15</v>
      </c>
      <c r="AP20" s="154" t="s">
        <v>15</v>
      </c>
      <c r="AQ20" s="153" t="s">
        <v>15</v>
      </c>
      <c r="AR20" s="154" t="s">
        <v>15</v>
      </c>
      <c r="AS20" s="154" t="s">
        <v>15</v>
      </c>
      <c r="AT20" s="153" t="s">
        <v>15</v>
      </c>
      <c r="AU20" s="154" t="s">
        <v>15</v>
      </c>
      <c r="AV20" s="154" t="s">
        <v>15</v>
      </c>
      <c r="AW20" s="153" t="s">
        <v>15</v>
      </c>
      <c r="AX20" s="154" t="s">
        <v>15</v>
      </c>
      <c r="AY20" s="154" t="s">
        <v>15</v>
      </c>
      <c r="AZ20" s="153" t="s">
        <v>15</v>
      </c>
    </row>
    <row r="21" spans="1:57" ht="14.95" customHeight="1" thickBot="1" x14ac:dyDescent="0.3">
      <c r="A21" s="308" t="s">
        <v>284</v>
      </c>
      <c r="B21" s="144">
        <v>5</v>
      </c>
      <c r="C21" s="403">
        <v>1</v>
      </c>
      <c r="D21" s="404">
        <v>0</v>
      </c>
      <c r="E21" s="75">
        <f t="shared" si="0"/>
        <v>6</v>
      </c>
      <c r="F21" s="297" t="s">
        <v>284</v>
      </c>
      <c r="G21" s="135">
        <v>25</v>
      </c>
      <c r="H21" s="324">
        <v>5</v>
      </c>
      <c r="I21" s="214">
        <v>0</v>
      </c>
      <c r="J21" s="136">
        <f t="shared" si="1"/>
        <v>30</v>
      </c>
      <c r="K21" s="407" t="s">
        <v>423</v>
      </c>
      <c r="L21" s="405">
        <v>3</v>
      </c>
      <c r="M21" s="108">
        <v>5</v>
      </c>
      <c r="N21" s="406">
        <f t="shared" ref="N21" si="12">(L21/M21)*100</f>
        <v>60</v>
      </c>
      <c r="O21" s="154">
        <v>1</v>
      </c>
      <c r="P21" s="154">
        <v>1</v>
      </c>
      <c r="Q21" s="153">
        <v>100</v>
      </c>
      <c r="R21" s="154">
        <v>3</v>
      </c>
      <c r="S21" s="154">
        <v>3</v>
      </c>
      <c r="T21" s="153">
        <v>100</v>
      </c>
      <c r="U21" s="154" t="s">
        <v>15</v>
      </c>
      <c r="V21" s="154" t="s">
        <v>15</v>
      </c>
      <c r="W21" s="153" t="s">
        <v>15</v>
      </c>
      <c r="AC21" s="6" t="s">
        <v>15</v>
      </c>
      <c r="AD21" s="152" t="s">
        <v>15</v>
      </c>
      <c r="AE21" s="153" t="s">
        <v>15</v>
      </c>
      <c r="AF21" s="6" t="s">
        <v>15</v>
      </c>
      <c r="AG21" s="152" t="s">
        <v>15</v>
      </c>
      <c r="AH21" s="153" t="s">
        <v>15</v>
      </c>
      <c r="AI21" s="6" t="s">
        <v>15</v>
      </c>
      <c r="AJ21" s="6" t="s">
        <v>15</v>
      </c>
      <c r="AK21" s="157" t="s">
        <v>15</v>
      </c>
      <c r="AL21" s="6" t="s">
        <v>15</v>
      </c>
      <c r="AM21" s="6" t="s">
        <v>15</v>
      </c>
      <c r="AN21" s="157" t="s">
        <v>15</v>
      </c>
      <c r="AO21" s="6" t="s">
        <v>15</v>
      </c>
      <c r="AP21" s="6" t="s">
        <v>15</v>
      </c>
      <c r="AQ21" s="157" t="s">
        <v>15</v>
      </c>
      <c r="AR21" s="6" t="s">
        <v>15</v>
      </c>
      <c r="AS21" s="6" t="s">
        <v>15</v>
      </c>
      <c r="AT21" s="157" t="s">
        <v>15</v>
      </c>
      <c r="AU21" s="6" t="s">
        <v>15</v>
      </c>
      <c r="AV21" s="6" t="s">
        <v>15</v>
      </c>
      <c r="AW21" s="153" t="s">
        <v>15</v>
      </c>
      <c r="AX21" s="6" t="s">
        <v>15</v>
      </c>
      <c r="AY21" s="6" t="s">
        <v>15</v>
      </c>
      <c r="AZ21" s="153" t="s">
        <v>15</v>
      </c>
    </row>
    <row r="22" spans="1:57" ht="14.95" customHeight="1" thickBot="1" x14ac:dyDescent="0.3">
      <c r="A22" s="308" t="s">
        <v>610</v>
      </c>
      <c r="B22" s="144">
        <v>0</v>
      </c>
      <c r="C22" s="403">
        <v>0</v>
      </c>
      <c r="D22" s="404">
        <v>0</v>
      </c>
      <c r="E22" s="75">
        <f t="shared" si="0"/>
        <v>0</v>
      </c>
      <c r="F22" s="297" t="s">
        <v>610</v>
      </c>
      <c r="G22" s="135">
        <v>0</v>
      </c>
      <c r="H22" s="324">
        <v>0</v>
      </c>
      <c r="I22" s="214">
        <v>0</v>
      </c>
      <c r="J22" s="136">
        <f t="shared" si="1"/>
        <v>0</v>
      </c>
      <c r="K22" t="s">
        <v>21</v>
      </c>
      <c r="O22" s="34"/>
      <c r="P22" s="37"/>
      <c r="Q22" s="37"/>
      <c r="R22" s="37"/>
      <c r="S22" s="37"/>
      <c r="T22" s="37"/>
      <c r="U22" s="37"/>
      <c r="V22" s="37"/>
      <c r="W22" s="37"/>
    </row>
    <row r="23" spans="1:57" ht="14.95" customHeight="1" thickBot="1" x14ac:dyDescent="0.3">
      <c r="A23" s="308" t="s">
        <v>190</v>
      </c>
      <c r="B23" s="144">
        <v>2</v>
      </c>
      <c r="C23" s="403">
        <v>4</v>
      </c>
      <c r="D23" s="404">
        <v>0</v>
      </c>
      <c r="E23" s="75">
        <f t="shared" si="0"/>
        <v>6</v>
      </c>
      <c r="F23" s="297" t="s">
        <v>190</v>
      </c>
      <c r="G23" s="135">
        <v>10</v>
      </c>
      <c r="H23" s="324">
        <v>20</v>
      </c>
      <c r="I23" s="214">
        <v>0</v>
      </c>
      <c r="J23" s="136">
        <f t="shared" si="1"/>
        <v>30</v>
      </c>
      <c r="K23" s="455" t="s">
        <v>189</v>
      </c>
      <c r="L23" s="478" t="s">
        <v>14</v>
      </c>
      <c r="M23" s="479"/>
      <c r="N23" s="480"/>
      <c r="O23" s="449" t="s">
        <v>226</v>
      </c>
      <c r="P23" s="450"/>
      <c r="Q23" s="451"/>
      <c r="R23" s="449" t="s">
        <v>875</v>
      </c>
      <c r="S23" s="450"/>
      <c r="T23" s="451"/>
      <c r="U23" s="449" t="s">
        <v>581</v>
      </c>
      <c r="V23" s="450"/>
      <c r="W23" s="451"/>
      <c r="AC23" s="449" t="s">
        <v>477</v>
      </c>
      <c r="AD23" s="450"/>
      <c r="AE23" s="451"/>
      <c r="AF23" s="449" t="s">
        <v>391</v>
      </c>
      <c r="AG23" s="450"/>
      <c r="AH23" s="451"/>
      <c r="AI23" s="449" t="s">
        <v>300</v>
      </c>
      <c r="AJ23" s="450"/>
      <c r="AK23" s="451"/>
      <c r="AL23" s="478" t="s">
        <v>219</v>
      </c>
      <c r="AM23" s="479"/>
      <c r="AN23" s="480"/>
      <c r="AO23" s="449" t="s">
        <v>78</v>
      </c>
      <c r="AP23" s="450"/>
      <c r="AQ23" s="451"/>
      <c r="AR23" s="449" t="s">
        <v>54</v>
      </c>
      <c r="AS23" s="504"/>
      <c r="AT23" s="505"/>
      <c r="AU23" s="449" t="s">
        <v>50</v>
      </c>
      <c r="AV23" s="504"/>
      <c r="AW23" s="505"/>
      <c r="AX23" s="449" t="s">
        <v>37</v>
      </c>
      <c r="AY23" s="504"/>
      <c r="AZ23" s="505"/>
    </row>
    <row r="24" spans="1:57" ht="14.95" customHeight="1" thickBot="1" x14ac:dyDescent="0.3">
      <c r="A24" s="308" t="s">
        <v>452</v>
      </c>
      <c r="B24" s="144">
        <v>1</v>
      </c>
      <c r="C24" s="403">
        <v>0</v>
      </c>
      <c r="D24" s="404">
        <v>3</v>
      </c>
      <c r="E24" s="75">
        <f t="shared" si="0"/>
        <v>4</v>
      </c>
      <c r="F24" s="297" t="s">
        <v>452</v>
      </c>
      <c r="G24" s="135">
        <v>5</v>
      </c>
      <c r="H24" s="324">
        <v>0</v>
      </c>
      <c r="I24" s="214">
        <v>15</v>
      </c>
      <c r="J24" s="136">
        <f t="shared" si="1"/>
        <v>20</v>
      </c>
      <c r="K24" s="456"/>
      <c r="L24" s="481"/>
      <c r="M24" s="482"/>
      <c r="N24" s="483"/>
      <c r="O24" s="452"/>
      <c r="P24" s="453"/>
      <c r="Q24" s="454"/>
      <c r="R24" s="452"/>
      <c r="S24" s="453"/>
      <c r="T24" s="454"/>
      <c r="U24" s="452"/>
      <c r="V24" s="453"/>
      <c r="W24" s="454"/>
      <c r="AC24" s="452"/>
      <c r="AD24" s="453"/>
      <c r="AE24" s="454"/>
      <c r="AF24" s="452"/>
      <c r="AG24" s="453"/>
      <c r="AH24" s="454"/>
      <c r="AI24" s="452"/>
      <c r="AJ24" s="453"/>
      <c r="AK24" s="454"/>
      <c r="AL24" s="481"/>
      <c r="AM24" s="482"/>
      <c r="AN24" s="483"/>
      <c r="AO24" s="452"/>
      <c r="AP24" s="453"/>
      <c r="AQ24" s="454"/>
      <c r="AR24" s="506"/>
      <c r="AS24" s="507"/>
      <c r="AT24" s="508"/>
      <c r="AU24" s="506"/>
      <c r="AV24" s="507"/>
      <c r="AW24" s="508"/>
      <c r="AX24" s="506"/>
      <c r="AY24" s="507"/>
      <c r="AZ24" s="508"/>
    </row>
    <row r="25" spans="1:57" ht="14.95" customHeight="1" thickBot="1" x14ac:dyDescent="0.3">
      <c r="A25" s="308" t="s">
        <v>924</v>
      </c>
      <c r="B25" s="144">
        <v>1</v>
      </c>
      <c r="C25" s="403">
        <v>0</v>
      </c>
      <c r="D25" s="404">
        <v>0</v>
      </c>
      <c r="E25" s="75">
        <f t="shared" si="0"/>
        <v>1</v>
      </c>
      <c r="F25" s="297" t="s">
        <v>924</v>
      </c>
      <c r="G25" s="135">
        <v>5</v>
      </c>
      <c r="H25" s="324">
        <v>0</v>
      </c>
      <c r="I25" s="214">
        <v>0</v>
      </c>
      <c r="J25" s="136">
        <f t="shared" si="1"/>
        <v>5</v>
      </c>
      <c r="K25" s="248" t="s">
        <v>21</v>
      </c>
      <c r="L25" s="84" t="s">
        <v>46</v>
      </c>
      <c r="M25" s="79" t="s">
        <v>9</v>
      </c>
      <c r="N25" s="79" t="s">
        <v>10</v>
      </c>
      <c r="O25" s="148" t="s">
        <v>46</v>
      </c>
      <c r="P25" s="7" t="s">
        <v>9</v>
      </c>
      <c r="Q25" s="7" t="s">
        <v>10</v>
      </c>
      <c r="R25" s="7" t="s">
        <v>46</v>
      </c>
      <c r="S25" s="7" t="s">
        <v>9</v>
      </c>
      <c r="T25" s="7" t="s">
        <v>10</v>
      </c>
      <c r="U25" s="7" t="s">
        <v>46</v>
      </c>
      <c r="V25" s="7" t="s">
        <v>9</v>
      </c>
      <c r="W25" s="7" t="s">
        <v>10</v>
      </c>
      <c r="AC25" s="148" t="s">
        <v>46</v>
      </c>
      <c r="AD25" s="7" t="s">
        <v>9</v>
      </c>
      <c r="AE25" s="7" t="s">
        <v>10</v>
      </c>
      <c r="AF25" s="148" t="s">
        <v>46</v>
      </c>
      <c r="AG25" s="7" t="s">
        <v>9</v>
      </c>
      <c r="AH25" s="7" t="s">
        <v>10</v>
      </c>
      <c r="AI25" s="148" t="s">
        <v>46</v>
      </c>
      <c r="AJ25" s="7" t="s">
        <v>9</v>
      </c>
      <c r="AK25" s="7" t="s">
        <v>10</v>
      </c>
      <c r="AL25" s="84" t="s">
        <v>46</v>
      </c>
      <c r="AM25" s="79" t="s">
        <v>9</v>
      </c>
      <c r="AN25" s="79" t="s">
        <v>10</v>
      </c>
      <c r="AO25" s="148" t="s">
        <v>46</v>
      </c>
      <c r="AP25" s="7" t="s">
        <v>9</v>
      </c>
      <c r="AQ25" s="7" t="s">
        <v>10</v>
      </c>
      <c r="AR25" s="6" t="s">
        <v>46</v>
      </c>
      <c r="AS25" s="6" t="s">
        <v>9</v>
      </c>
      <c r="AT25" s="6" t="s">
        <v>10</v>
      </c>
      <c r="AU25" s="6" t="s">
        <v>46</v>
      </c>
      <c r="AV25" s="6" t="s">
        <v>9</v>
      </c>
      <c r="AW25" s="6" t="s">
        <v>10</v>
      </c>
      <c r="AX25" s="6" t="s">
        <v>46</v>
      </c>
      <c r="AY25" s="6" t="s">
        <v>9</v>
      </c>
      <c r="AZ25" s="6" t="s">
        <v>10</v>
      </c>
    </row>
    <row r="26" spans="1:57" ht="14.95" customHeight="1" thickBot="1" x14ac:dyDescent="0.3">
      <c r="A26" s="308" t="s">
        <v>554</v>
      </c>
      <c r="B26" s="144">
        <v>0</v>
      </c>
      <c r="C26" s="403">
        <v>3</v>
      </c>
      <c r="D26" s="404">
        <v>0</v>
      </c>
      <c r="E26" s="75">
        <f t="shared" si="0"/>
        <v>3</v>
      </c>
      <c r="F26" s="297" t="s">
        <v>554</v>
      </c>
      <c r="G26" s="135">
        <v>0</v>
      </c>
      <c r="H26" s="324">
        <v>15</v>
      </c>
      <c r="I26" s="214">
        <v>0</v>
      </c>
      <c r="J26" s="136">
        <f t="shared" si="1"/>
        <v>15</v>
      </c>
      <c r="K26" s="399" t="s">
        <v>1000</v>
      </c>
      <c r="L26" s="6" t="s">
        <v>15</v>
      </c>
      <c r="M26" s="152" t="s">
        <v>15</v>
      </c>
      <c r="N26" s="153" t="s">
        <v>15</v>
      </c>
      <c r="O26" s="6" t="s">
        <v>15</v>
      </c>
      <c r="P26" s="152" t="s">
        <v>15</v>
      </c>
      <c r="Q26" s="153" t="s">
        <v>15</v>
      </c>
      <c r="R26" s="6" t="s">
        <v>15</v>
      </c>
      <c r="S26" s="152" t="s">
        <v>15</v>
      </c>
      <c r="T26" s="153" t="s">
        <v>15</v>
      </c>
      <c r="U26" s="7">
        <v>2</v>
      </c>
      <c r="V26" s="7">
        <v>3</v>
      </c>
      <c r="W26" s="153">
        <v>67</v>
      </c>
      <c r="AC26" s="148" t="s">
        <v>15</v>
      </c>
      <c r="AD26" s="7" t="s">
        <v>15</v>
      </c>
      <c r="AE26" s="153" t="s">
        <v>15</v>
      </c>
      <c r="AF26" s="148" t="s">
        <v>15</v>
      </c>
      <c r="AG26" s="7" t="s">
        <v>15</v>
      </c>
      <c r="AH26" s="153" t="s">
        <v>15</v>
      </c>
      <c r="AI26" s="148" t="s">
        <v>15</v>
      </c>
      <c r="AJ26" s="7" t="s">
        <v>15</v>
      </c>
      <c r="AK26" s="153" t="s">
        <v>15</v>
      </c>
      <c r="AL26" s="6" t="s">
        <v>15</v>
      </c>
      <c r="AM26" s="7" t="s">
        <v>15</v>
      </c>
      <c r="AN26" s="153" t="s">
        <v>15</v>
      </c>
      <c r="AO26" s="7" t="s">
        <v>15</v>
      </c>
      <c r="AP26" s="7" t="s">
        <v>15</v>
      </c>
      <c r="AQ26" s="153" t="s">
        <v>15</v>
      </c>
      <c r="AR26" s="7" t="s">
        <v>15</v>
      </c>
      <c r="AS26" s="7" t="s">
        <v>15</v>
      </c>
      <c r="AT26" s="153" t="s">
        <v>15</v>
      </c>
      <c r="AU26" s="7" t="s">
        <v>15</v>
      </c>
      <c r="AV26" s="7" t="s">
        <v>15</v>
      </c>
      <c r="AW26" s="153" t="s">
        <v>15</v>
      </c>
      <c r="AX26" s="7" t="s">
        <v>15</v>
      </c>
      <c r="AY26" s="7" t="s">
        <v>15</v>
      </c>
      <c r="AZ26" s="153" t="s">
        <v>15</v>
      </c>
    </row>
    <row r="27" spans="1:57" ht="14.95" customHeight="1" thickBot="1" x14ac:dyDescent="0.3">
      <c r="A27" s="308" t="s">
        <v>458</v>
      </c>
      <c r="B27" s="144">
        <v>0</v>
      </c>
      <c r="C27" s="403">
        <v>0</v>
      </c>
      <c r="D27" s="404">
        <v>1</v>
      </c>
      <c r="E27" s="75">
        <f t="shared" si="0"/>
        <v>1</v>
      </c>
      <c r="F27" s="297" t="s">
        <v>458</v>
      </c>
      <c r="G27" s="135">
        <v>0</v>
      </c>
      <c r="H27" s="324">
        <v>0</v>
      </c>
      <c r="I27" s="214">
        <v>5</v>
      </c>
      <c r="J27" s="136">
        <f t="shared" si="1"/>
        <v>5</v>
      </c>
      <c r="K27" s="399" t="s">
        <v>420</v>
      </c>
      <c r="L27" s="331" t="s">
        <v>15</v>
      </c>
      <c r="M27" s="154" t="s">
        <v>15</v>
      </c>
      <c r="N27" s="153" t="s">
        <v>15</v>
      </c>
      <c r="O27" s="331" t="s">
        <v>15</v>
      </c>
      <c r="P27" s="154" t="s">
        <v>15</v>
      </c>
      <c r="Q27" s="153" t="s">
        <v>15</v>
      </c>
      <c r="R27" s="331" t="s">
        <v>15</v>
      </c>
      <c r="S27" s="154" t="s">
        <v>15</v>
      </c>
      <c r="T27" s="153" t="s">
        <v>15</v>
      </c>
      <c r="U27" s="7">
        <v>17</v>
      </c>
      <c r="V27" s="7">
        <v>19</v>
      </c>
      <c r="W27" s="153">
        <v>89.473684210526315</v>
      </c>
      <c r="AC27" s="148" t="s">
        <v>15</v>
      </c>
      <c r="AD27" s="7" t="s">
        <v>15</v>
      </c>
      <c r="AE27" s="153" t="s">
        <v>15</v>
      </c>
      <c r="AF27" s="148" t="s">
        <v>15</v>
      </c>
      <c r="AG27" s="7" t="s">
        <v>15</v>
      </c>
      <c r="AH27" s="153" t="s">
        <v>15</v>
      </c>
      <c r="AI27" s="148">
        <v>17</v>
      </c>
      <c r="AJ27" s="7">
        <v>20</v>
      </c>
      <c r="AK27" s="153">
        <f t="shared" ref="AK27" si="13">SUM(AI27/AJ27)*100</f>
        <v>85</v>
      </c>
      <c r="AL27" s="148">
        <v>4</v>
      </c>
      <c r="AM27" s="7">
        <v>4</v>
      </c>
      <c r="AN27" s="7">
        <v>100</v>
      </c>
      <c r="AO27" s="148">
        <v>5</v>
      </c>
      <c r="AP27" s="7">
        <v>6</v>
      </c>
      <c r="AQ27" s="153">
        <f t="shared" ref="AQ27" si="14">SUM(AO27/AP27)*100</f>
        <v>83.333333333333343</v>
      </c>
      <c r="AR27" s="148" t="s">
        <v>15</v>
      </c>
      <c r="AS27" s="7" t="s">
        <v>15</v>
      </c>
      <c r="AT27" s="7" t="s">
        <v>15</v>
      </c>
      <c r="AU27" s="148">
        <v>6</v>
      </c>
      <c r="AV27" s="7">
        <v>16</v>
      </c>
      <c r="AW27" s="153">
        <f>SUM(AU27/AV27)*100</f>
        <v>37.5</v>
      </c>
      <c r="AX27" s="7" t="s">
        <v>15</v>
      </c>
      <c r="AY27" s="7" t="s">
        <v>15</v>
      </c>
      <c r="AZ27" s="148" t="s">
        <v>15</v>
      </c>
    </row>
    <row r="28" spans="1:57" ht="14.95" customHeight="1" thickBot="1" x14ac:dyDescent="0.3">
      <c r="A28" s="308" t="s">
        <v>613</v>
      </c>
      <c r="B28" s="144">
        <v>0</v>
      </c>
      <c r="C28" s="403">
        <v>0</v>
      </c>
      <c r="D28" s="404">
        <v>0</v>
      </c>
      <c r="E28" s="75">
        <f t="shared" si="0"/>
        <v>0</v>
      </c>
      <c r="F28" s="297" t="s">
        <v>613</v>
      </c>
      <c r="G28" s="135">
        <v>0</v>
      </c>
      <c r="H28" s="324">
        <v>0</v>
      </c>
      <c r="I28" s="214">
        <v>0</v>
      </c>
      <c r="J28" s="136">
        <f t="shared" si="1"/>
        <v>0</v>
      </c>
      <c r="K28" s="399" t="s">
        <v>5</v>
      </c>
      <c r="L28" s="6" t="s">
        <v>15</v>
      </c>
      <c r="M28" s="152" t="s">
        <v>15</v>
      </c>
      <c r="N28" s="153" t="s">
        <v>15</v>
      </c>
      <c r="O28" s="6" t="s">
        <v>15</v>
      </c>
      <c r="P28" s="152" t="s">
        <v>15</v>
      </c>
      <c r="Q28" s="153" t="s">
        <v>15</v>
      </c>
      <c r="R28" s="6" t="s">
        <v>15</v>
      </c>
      <c r="S28" s="152" t="s">
        <v>15</v>
      </c>
      <c r="T28" s="153" t="s">
        <v>15</v>
      </c>
      <c r="U28" s="7">
        <v>0</v>
      </c>
      <c r="V28" s="7">
        <v>1</v>
      </c>
      <c r="W28" s="153">
        <v>0</v>
      </c>
      <c r="AC28" s="148" t="s">
        <v>15</v>
      </c>
      <c r="AD28" s="7" t="s">
        <v>15</v>
      </c>
      <c r="AE28" s="153" t="s">
        <v>15</v>
      </c>
      <c r="AF28" s="148" t="s">
        <v>15</v>
      </c>
      <c r="AG28" s="7" t="s">
        <v>15</v>
      </c>
      <c r="AH28" s="153" t="s">
        <v>15</v>
      </c>
      <c r="AI28" s="148" t="s">
        <v>15</v>
      </c>
      <c r="AJ28" s="7" t="s">
        <v>15</v>
      </c>
      <c r="AK28" s="153" t="s">
        <v>15</v>
      </c>
      <c r="AL28" s="6" t="s">
        <v>15</v>
      </c>
      <c r="AM28" s="7" t="s">
        <v>15</v>
      </c>
      <c r="AN28" s="153" t="s">
        <v>15</v>
      </c>
      <c r="AO28" s="7" t="s">
        <v>15</v>
      </c>
      <c r="AP28" s="7" t="s">
        <v>15</v>
      </c>
      <c r="AQ28" s="153" t="s">
        <v>15</v>
      </c>
      <c r="AR28" s="7" t="s">
        <v>15</v>
      </c>
      <c r="AS28" s="7" t="s">
        <v>15</v>
      </c>
      <c r="AT28" s="153" t="s">
        <v>15</v>
      </c>
      <c r="AU28" s="7" t="s">
        <v>15</v>
      </c>
      <c r="AV28" s="7" t="s">
        <v>15</v>
      </c>
      <c r="AW28" s="153" t="s">
        <v>15</v>
      </c>
      <c r="AX28" s="7" t="s">
        <v>15</v>
      </c>
      <c r="AY28" s="7" t="s">
        <v>15</v>
      </c>
      <c r="AZ28" s="153" t="s">
        <v>15</v>
      </c>
    </row>
    <row r="29" spans="1:57" ht="14.95" customHeight="1" thickBot="1" x14ac:dyDescent="0.3">
      <c r="A29" s="308" t="s">
        <v>359</v>
      </c>
      <c r="B29" s="144">
        <v>1</v>
      </c>
      <c r="C29" s="403">
        <v>0</v>
      </c>
      <c r="D29" s="404">
        <v>0</v>
      </c>
      <c r="E29" s="75">
        <f t="shared" si="0"/>
        <v>1</v>
      </c>
      <c r="F29" s="297" t="s">
        <v>359</v>
      </c>
      <c r="G29" s="135">
        <v>36</v>
      </c>
      <c r="H29" s="324">
        <v>32</v>
      </c>
      <c r="I29" s="215">
        <v>0</v>
      </c>
      <c r="J29" s="139">
        <f t="shared" si="1"/>
        <v>68</v>
      </c>
      <c r="O29" s="100"/>
      <c r="P29" s="100"/>
      <c r="Q29" s="100"/>
      <c r="R29" s="100"/>
      <c r="S29" s="100"/>
      <c r="T29" s="100"/>
      <c r="U29" s="100"/>
      <c r="V29" s="100"/>
      <c r="W29" s="100"/>
    </row>
    <row r="30" spans="1:57" ht="14.95" customHeight="1" thickBot="1" x14ac:dyDescent="0.3">
      <c r="A30" s="308" t="s">
        <v>263</v>
      </c>
      <c r="B30" s="144">
        <v>0</v>
      </c>
      <c r="C30" s="403">
        <v>0</v>
      </c>
      <c r="D30" s="404">
        <v>0</v>
      </c>
      <c r="E30" s="75">
        <f t="shared" si="0"/>
        <v>0</v>
      </c>
      <c r="F30" s="297" t="s">
        <v>263</v>
      </c>
      <c r="G30" s="135">
        <v>0</v>
      </c>
      <c r="H30" s="324">
        <v>0</v>
      </c>
      <c r="I30" s="215">
        <v>0</v>
      </c>
      <c r="J30" s="139">
        <f t="shared" si="1"/>
        <v>0</v>
      </c>
      <c r="K30" s="472" t="s">
        <v>1003</v>
      </c>
      <c r="L30" s="457" t="s">
        <v>14</v>
      </c>
      <c r="M30" s="461"/>
      <c r="N30" s="458"/>
      <c r="O30" s="449" t="s">
        <v>226</v>
      </c>
      <c r="P30" s="450"/>
      <c r="Q30" s="451"/>
      <c r="R30" s="449" t="s">
        <v>875</v>
      </c>
      <c r="S30" s="450"/>
      <c r="T30" s="451"/>
      <c r="U30" s="449" t="s">
        <v>581</v>
      </c>
      <c r="V30" s="450"/>
      <c r="W30" s="451"/>
      <c r="AC30" s="449" t="s">
        <v>477</v>
      </c>
      <c r="AD30" s="450"/>
      <c r="AE30" s="451"/>
      <c r="AF30" s="449" t="s">
        <v>300</v>
      </c>
      <c r="AG30" s="450"/>
      <c r="AH30" s="451"/>
      <c r="AI30" s="449" t="s">
        <v>219</v>
      </c>
      <c r="AJ30" s="450"/>
      <c r="AK30" s="451"/>
      <c r="AL30" s="478" t="s">
        <v>165</v>
      </c>
      <c r="AM30" s="479"/>
      <c r="AN30" s="480"/>
      <c r="AO30" s="449" t="s">
        <v>78</v>
      </c>
      <c r="AP30" s="450"/>
      <c r="AQ30" s="451"/>
      <c r="AR30" s="205"/>
    </row>
    <row r="31" spans="1:57" ht="14.95" customHeight="1" thickBot="1" x14ac:dyDescent="0.3">
      <c r="A31" s="308" t="s">
        <v>227</v>
      </c>
      <c r="B31" s="144">
        <v>0</v>
      </c>
      <c r="C31" s="403">
        <v>1</v>
      </c>
      <c r="D31" s="404">
        <v>0</v>
      </c>
      <c r="E31" s="75">
        <f t="shared" si="0"/>
        <v>1</v>
      </c>
      <c r="F31" s="297" t="s">
        <v>227</v>
      </c>
      <c r="G31" s="135">
        <v>0</v>
      </c>
      <c r="H31" s="324">
        <v>5</v>
      </c>
      <c r="I31" s="215">
        <v>0</v>
      </c>
      <c r="J31" s="139">
        <f t="shared" si="1"/>
        <v>5</v>
      </c>
      <c r="K31" s="473"/>
      <c r="L31" s="459"/>
      <c r="M31" s="462"/>
      <c r="N31" s="460"/>
      <c r="O31" s="452"/>
      <c r="P31" s="453"/>
      <c r="Q31" s="454"/>
      <c r="R31" s="452"/>
      <c r="S31" s="453"/>
      <c r="T31" s="454"/>
      <c r="U31" s="452"/>
      <c r="V31" s="453"/>
      <c r="W31" s="454"/>
      <c r="AC31" s="452"/>
      <c r="AD31" s="453"/>
      <c r="AE31" s="454"/>
      <c r="AF31" s="452"/>
      <c r="AG31" s="453"/>
      <c r="AH31" s="454"/>
      <c r="AI31" s="452"/>
      <c r="AJ31" s="453"/>
      <c r="AK31" s="454"/>
      <c r="AL31" s="481"/>
      <c r="AM31" s="482"/>
      <c r="AN31" s="483"/>
      <c r="AO31" s="452"/>
      <c r="AP31" s="453"/>
      <c r="AQ31" s="454"/>
      <c r="AR31" s="92"/>
    </row>
    <row r="32" spans="1:57" ht="14.95" customHeight="1" thickBot="1" x14ac:dyDescent="0.3">
      <c r="A32" s="308" t="s">
        <v>375</v>
      </c>
      <c r="B32" s="144">
        <v>0</v>
      </c>
      <c r="C32" s="403">
        <v>0</v>
      </c>
      <c r="D32" s="404">
        <v>2</v>
      </c>
      <c r="E32" s="75">
        <f t="shared" si="0"/>
        <v>2</v>
      </c>
      <c r="F32" s="297" t="s">
        <v>375</v>
      </c>
      <c r="G32" s="135">
        <v>0</v>
      </c>
      <c r="H32" s="324">
        <v>0</v>
      </c>
      <c r="I32" s="215">
        <v>10</v>
      </c>
      <c r="J32" s="139">
        <f t="shared" si="1"/>
        <v>10</v>
      </c>
      <c r="K32" s="413" t="s">
        <v>21</v>
      </c>
      <c r="L32" s="3" t="s">
        <v>46</v>
      </c>
      <c r="M32" s="3" t="s">
        <v>9</v>
      </c>
      <c r="N32" s="3" t="s">
        <v>10</v>
      </c>
      <c r="O32" s="7" t="s">
        <v>46</v>
      </c>
      <c r="P32" s="7" t="s">
        <v>9</v>
      </c>
      <c r="Q32" s="7" t="s">
        <v>10</v>
      </c>
      <c r="R32" s="7" t="s">
        <v>46</v>
      </c>
      <c r="S32" s="7" t="s">
        <v>9</v>
      </c>
      <c r="T32" s="7" t="s">
        <v>10</v>
      </c>
      <c r="U32" s="7" t="s">
        <v>46</v>
      </c>
      <c r="V32" s="7" t="s">
        <v>9</v>
      </c>
      <c r="W32" s="7" t="s">
        <v>10</v>
      </c>
      <c r="AC32" s="148" t="s">
        <v>46</v>
      </c>
      <c r="AD32" s="7" t="s">
        <v>9</v>
      </c>
      <c r="AE32" s="7" t="s">
        <v>10</v>
      </c>
      <c r="AF32" s="332" t="s">
        <v>46</v>
      </c>
      <c r="AG32" s="156" t="s">
        <v>9</v>
      </c>
      <c r="AH32" s="156" t="s">
        <v>10</v>
      </c>
      <c r="AI32" s="6" t="s">
        <v>46</v>
      </c>
      <c r="AJ32" s="6" t="s">
        <v>9</v>
      </c>
      <c r="AK32" s="6" t="s">
        <v>10</v>
      </c>
      <c r="AL32" s="97" t="s">
        <v>46</v>
      </c>
      <c r="AM32" s="97" t="s">
        <v>9</v>
      </c>
      <c r="AN32" s="97" t="s">
        <v>10</v>
      </c>
      <c r="AO32" s="6" t="s">
        <v>46</v>
      </c>
      <c r="AP32" s="7" t="s">
        <v>9</v>
      </c>
      <c r="AQ32" s="7" t="s">
        <v>10</v>
      </c>
      <c r="AR32" s="92"/>
      <c r="AX32" s="4"/>
    </row>
    <row r="33" spans="1:50" ht="14.95" customHeight="1" thickBot="1" x14ac:dyDescent="0.3">
      <c r="A33" s="308" t="s">
        <v>808</v>
      </c>
      <c r="B33" s="144">
        <v>0</v>
      </c>
      <c r="C33" s="403">
        <v>0</v>
      </c>
      <c r="D33" s="404">
        <v>0</v>
      </c>
      <c r="E33" s="75">
        <f t="shared" si="0"/>
        <v>0</v>
      </c>
      <c r="F33" s="297" t="s">
        <v>808</v>
      </c>
      <c r="G33" s="135">
        <v>0</v>
      </c>
      <c r="H33" s="324">
        <v>0</v>
      </c>
      <c r="I33" s="215">
        <v>0</v>
      </c>
      <c r="J33" s="139">
        <f t="shared" si="1"/>
        <v>0</v>
      </c>
      <c r="K33" s="399" t="s">
        <v>786</v>
      </c>
      <c r="L33" s="409" t="s">
        <v>15</v>
      </c>
      <c r="M33" s="409" t="s">
        <v>15</v>
      </c>
      <c r="N33" s="410" t="s">
        <v>15</v>
      </c>
      <c r="O33" s="154">
        <v>3</v>
      </c>
      <c r="P33" s="154">
        <v>7</v>
      </c>
      <c r="Q33" s="153">
        <v>42.857142857142854</v>
      </c>
      <c r="R33" s="154" t="s">
        <v>15</v>
      </c>
      <c r="S33" s="154" t="s">
        <v>15</v>
      </c>
      <c r="T33" s="153" t="s">
        <v>15</v>
      </c>
      <c r="U33" s="154" t="s">
        <v>15</v>
      </c>
      <c r="V33" s="154" t="s">
        <v>15</v>
      </c>
      <c r="W33" s="153" t="s">
        <v>15</v>
      </c>
      <c r="AC33" s="331" t="s">
        <v>15</v>
      </c>
      <c r="AD33" s="154" t="s">
        <v>15</v>
      </c>
      <c r="AE33" s="153" t="s">
        <v>15</v>
      </c>
      <c r="AF33" s="331" t="s">
        <v>15</v>
      </c>
      <c r="AG33" s="154" t="s">
        <v>15</v>
      </c>
      <c r="AH33" s="157" t="s">
        <v>15</v>
      </c>
      <c r="AI33" s="6" t="s">
        <v>15</v>
      </c>
      <c r="AJ33" s="154" t="s">
        <v>15</v>
      </c>
      <c r="AK33" s="153" t="s">
        <v>15</v>
      </c>
      <c r="AL33" s="154" t="s">
        <v>15</v>
      </c>
      <c r="AM33" s="154" t="s">
        <v>15</v>
      </c>
      <c r="AN33" s="153" t="s">
        <v>15</v>
      </c>
      <c r="AO33" s="154" t="s">
        <v>15</v>
      </c>
      <c r="AP33" s="154" t="s">
        <v>15</v>
      </c>
      <c r="AQ33" s="153" t="s">
        <v>15</v>
      </c>
      <c r="AR33" s="92"/>
    </row>
    <row r="34" spans="1:50" ht="14.95" customHeight="1" thickBot="1" x14ac:dyDescent="0.3">
      <c r="A34" s="308" t="s">
        <v>91</v>
      </c>
      <c r="B34" s="144">
        <v>1</v>
      </c>
      <c r="C34" s="403">
        <v>0</v>
      </c>
      <c r="D34" s="404">
        <v>0</v>
      </c>
      <c r="E34" s="75">
        <f t="shared" si="0"/>
        <v>1</v>
      </c>
      <c r="F34" s="297" t="s">
        <v>91</v>
      </c>
      <c r="G34" s="135">
        <v>5</v>
      </c>
      <c r="H34" s="324">
        <v>0</v>
      </c>
      <c r="I34" s="215">
        <v>0</v>
      </c>
      <c r="J34" s="139">
        <f t="shared" si="1"/>
        <v>5</v>
      </c>
      <c r="K34" s="399" t="s">
        <v>573</v>
      </c>
      <c r="L34" s="409" t="s">
        <v>15</v>
      </c>
      <c r="M34" s="409" t="s">
        <v>15</v>
      </c>
      <c r="N34" s="410" t="s">
        <v>15</v>
      </c>
      <c r="O34" s="154">
        <v>6</v>
      </c>
      <c r="P34" s="154">
        <v>8</v>
      </c>
      <c r="Q34" s="153">
        <v>75</v>
      </c>
      <c r="R34" s="154" t="s">
        <v>15</v>
      </c>
      <c r="S34" s="154" t="s">
        <v>15</v>
      </c>
      <c r="T34" s="153" t="s">
        <v>15</v>
      </c>
      <c r="U34" s="154" t="s">
        <v>15</v>
      </c>
      <c r="V34" s="154" t="s">
        <v>15</v>
      </c>
      <c r="W34" s="153" t="s">
        <v>15</v>
      </c>
      <c r="AC34" s="331" t="s">
        <v>15</v>
      </c>
      <c r="AD34" s="154" t="s">
        <v>15</v>
      </c>
      <c r="AE34" s="153" t="s">
        <v>15</v>
      </c>
      <c r="AF34" s="331" t="s">
        <v>15</v>
      </c>
      <c r="AG34" s="154" t="s">
        <v>15</v>
      </c>
      <c r="AH34" s="157" t="s">
        <v>15</v>
      </c>
      <c r="AI34" s="6" t="s">
        <v>15</v>
      </c>
      <c r="AJ34" s="154" t="s">
        <v>15</v>
      </c>
      <c r="AK34" s="153" t="s">
        <v>15</v>
      </c>
      <c r="AL34" s="154" t="s">
        <v>15</v>
      </c>
      <c r="AM34" s="154" t="s">
        <v>15</v>
      </c>
      <c r="AN34" s="153" t="s">
        <v>15</v>
      </c>
      <c r="AO34" s="154" t="s">
        <v>15</v>
      </c>
      <c r="AP34" s="154" t="s">
        <v>15</v>
      </c>
      <c r="AQ34" s="153" t="s">
        <v>15</v>
      </c>
      <c r="AR34" s="92"/>
    </row>
    <row r="35" spans="1:50" ht="14.95" customHeight="1" thickBot="1" x14ac:dyDescent="0.3">
      <c r="A35" s="308" t="s">
        <v>51</v>
      </c>
      <c r="B35" s="144">
        <v>0</v>
      </c>
      <c r="C35" s="403">
        <v>0</v>
      </c>
      <c r="D35" s="404">
        <v>0</v>
      </c>
      <c r="E35" s="75">
        <f t="shared" si="0"/>
        <v>0</v>
      </c>
      <c r="F35" s="297" t="s">
        <v>51</v>
      </c>
      <c r="G35" s="135">
        <v>3</v>
      </c>
      <c r="H35" s="324">
        <v>0</v>
      </c>
      <c r="I35" s="215">
        <v>11</v>
      </c>
      <c r="J35" s="139">
        <f t="shared" si="1"/>
        <v>14</v>
      </c>
      <c r="K35" s="399" t="s">
        <v>375</v>
      </c>
      <c r="L35" s="409" t="s">
        <v>15</v>
      </c>
      <c r="M35" s="409" t="s">
        <v>15</v>
      </c>
      <c r="N35" s="410" t="s">
        <v>15</v>
      </c>
      <c r="O35" s="154">
        <v>2</v>
      </c>
      <c r="P35" s="154">
        <v>3</v>
      </c>
      <c r="Q35" s="153">
        <v>66.666666666666657</v>
      </c>
      <c r="R35" s="154" t="s">
        <v>15</v>
      </c>
      <c r="S35" s="154" t="s">
        <v>15</v>
      </c>
      <c r="T35" s="153" t="s">
        <v>15</v>
      </c>
      <c r="U35" s="154" t="s">
        <v>15</v>
      </c>
      <c r="V35" s="154" t="s">
        <v>15</v>
      </c>
      <c r="W35" s="153" t="s">
        <v>15</v>
      </c>
      <c r="AC35" s="331" t="s">
        <v>15</v>
      </c>
      <c r="AD35" s="154" t="s">
        <v>15</v>
      </c>
      <c r="AE35" s="153" t="s">
        <v>15</v>
      </c>
      <c r="AF35" s="331" t="s">
        <v>15</v>
      </c>
      <c r="AG35" s="154" t="s">
        <v>15</v>
      </c>
      <c r="AH35" s="157" t="s">
        <v>15</v>
      </c>
      <c r="AI35" s="6" t="s">
        <v>15</v>
      </c>
      <c r="AJ35" s="154" t="s">
        <v>15</v>
      </c>
      <c r="AK35" s="153" t="s">
        <v>15</v>
      </c>
      <c r="AL35" s="154" t="s">
        <v>15</v>
      </c>
      <c r="AM35" s="154" t="s">
        <v>15</v>
      </c>
      <c r="AN35" s="153" t="s">
        <v>15</v>
      </c>
      <c r="AO35" s="154" t="s">
        <v>15</v>
      </c>
      <c r="AP35" s="154" t="s">
        <v>15</v>
      </c>
      <c r="AQ35" s="153" t="s">
        <v>15</v>
      </c>
      <c r="AR35" s="92"/>
    </row>
    <row r="36" spans="1:50" ht="14.95" customHeight="1" thickBot="1" x14ac:dyDescent="0.3">
      <c r="A36" s="308" t="s">
        <v>479</v>
      </c>
      <c r="B36" s="144">
        <v>5</v>
      </c>
      <c r="C36" s="403">
        <v>2</v>
      </c>
      <c r="D36" s="404">
        <v>0</v>
      </c>
      <c r="E36" s="75">
        <f t="shared" si="0"/>
        <v>7</v>
      </c>
      <c r="F36" s="297" t="s">
        <v>479</v>
      </c>
      <c r="G36" s="135">
        <v>25</v>
      </c>
      <c r="H36" s="324">
        <v>10</v>
      </c>
      <c r="I36" s="215">
        <v>0</v>
      </c>
      <c r="J36" s="139">
        <f t="shared" si="1"/>
        <v>35</v>
      </c>
      <c r="K36" s="399" t="s">
        <v>420</v>
      </c>
      <c r="L36" s="409">
        <v>5</v>
      </c>
      <c r="M36" s="409">
        <v>7</v>
      </c>
      <c r="N36" s="410">
        <f t="shared" ref="N36:N38" si="15">(L36/M36)*100</f>
        <v>71.428571428571431</v>
      </c>
      <c r="O36" s="154" t="s">
        <v>15</v>
      </c>
      <c r="P36" s="154" t="s">
        <v>15</v>
      </c>
      <c r="Q36" s="153" t="s">
        <v>15</v>
      </c>
      <c r="R36" s="154">
        <v>6</v>
      </c>
      <c r="S36" s="154">
        <v>11</v>
      </c>
      <c r="T36" s="153">
        <v>100</v>
      </c>
      <c r="U36" s="154" t="s">
        <v>15</v>
      </c>
      <c r="V36" s="154" t="s">
        <v>15</v>
      </c>
      <c r="W36" s="153" t="s">
        <v>15</v>
      </c>
      <c r="AC36" s="331" t="s">
        <v>15</v>
      </c>
      <c r="AD36" s="154" t="s">
        <v>15</v>
      </c>
      <c r="AE36" s="153" t="s">
        <v>15</v>
      </c>
      <c r="AF36" s="331" t="s">
        <v>15</v>
      </c>
      <c r="AG36" s="154" t="s">
        <v>15</v>
      </c>
      <c r="AH36" s="157" t="s">
        <v>15</v>
      </c>
      <c r="AI36" s="6" t="s">
        <v>15</v>
      </c>
      <c r="AJ36" s="154" t="s">
        <v>15</v>
      </c>
      <c r="AK36" s="153" t="s">
        <v>15</v>
      </c>
      <c r="AL36" s="154" t="s">
        <v>15</v>
      </c>
      <c r="AM36" s="154" t="s">
        <v>15</v>
      </c>
      <c r="AN36" s="153" t="s">
        <v>15</v>
      </c>
      <c r="AO36" s="154" t="s">
        <v>15</v>
      </c>
      <c r="AP36" s="154" t="s">
        <v>15</v>
      </c>
      <c r="AQ36" s="153" t="s">
        <v>15</v>
      </c>
      <c r="AR36" s="92"/>
    </row>
    <row r="37" spans="1:50" ht="14.95" customHeight="1" thickBot="1" x14ac:dyDescent="0.3">
      <c r="A37" s="308" t="s">
        <v>593</v>
      </c>
      <c r="B37" s="144">
        <v>2</v>
      </c>
      <c r="C37" s="403">
        <v>2</v>
      </c>
      <c r="D37" s="404">
        <v>0</v>
      </c>
      <c r="E37" s="75">
        <f t="shared" si="0"/>
        <v>4</v>
      </c>
      <c r="F37" s="297" t="s">
        <v>593</v>
      </c>
      <c r="G37" s="135">
        <v>10</v>
      </c>
      <c r="H37" s="324">
        <v>10</v>
      </c>
      <c r="I37" s="214">
        <v>0</v>
      </c>
      <c r="J37" s="136">
        <f t="shared" si="1"/>
        <v>20</v>
      </c>
      <c r="K37" s="399" t="s">
        <v>1018</v>
      </c>
      <c r="L37" s="405">
        <v>2</v>
      </c>
      <c r="M37" s="405">
        <v>3</v>
      </c>
      <c r="N37" s="406">
        <f t="shared" si="15"/>
        <v>66.666666666666657</v>
      </c>
      <c r="O37" s="154" t="s">
        <v>15</v>
      </c>
      <c r="P37" s="154" t="s">
        <v>15</v>
      </c>
      <c r="Q37" s="153" t="s">
        <v>15</v>
      </c>
      <c r="R37" s="154" t="s">
        <v>15</v>
      </c>
      <c r="S37" s="154" t="s">
        <v>15</v>
      </c>
      <c r="T37" s="153" t="s">
        <v>15</v>
      </c>
      <c r="U37" s="154" t="s">
        <v>15</v>
      </c>
      <c r="V37" s="154" t="s">
        <v>15</v>
      </c>
      <c r="W37" s="153" t="s">
        <v>15</v>
      </c>
      <c r="AC37" s="6" t="s">
        <v>15</v>
      </c>
      <c r="AD37" s="154" t="s">
        <v>15</v>
      </c>
      <c r="AE37" s="153" t="s">
        <v>15</v>
      </c>
      <c r="AF37" s="154" t="s">
        <v>15</v>
      </c>
      <c r="AG37" s="154" t="s">
        <v>15</v>
      </c>
      <c r="AH37" s="153" t="s">
        <v>15</v>
      </c>
      <c r="AI37" s="154" t="s">
        <v>15</v>
      </c>
      <c r="AJ37" s="154" t="s">
        <v>15</v>
      </c>
      <c r="AK37" s="153" t="s">
        <v>15</v>
      </c>
      <c r="AL37" s="154" t="s">
        <v>15</v>
      </c>
      <c r="AM37" s="154" t="s">
        <v>15</v>
      </c>
      <c r="AN37" s="153" t="s">
        <v>15</v>
      </c>
      <c r="AO37" s="154" t="s">
        <v>15</v>
      </c>
      <c r="AP37" s="154" t="s">
        <v>15</v>
      </c>
      <c r="AQ37" s="153" t="s">
        <v>15</v>
      </c>
      <c r="AR37" s="92"/>
    </row>
    <row r="38" spans="1:50" ht="14.95" customHeight="1" thickBot="1" x14ac:dyDescent="0.3">
      <c r="A38" s="308" t="s">
        <v>1063</v>
      </c>
      <c r="B38" s="144">
        <v>2</v>
      </c>
      <c r="C38" s="403">
        <v>0</v>
      </c>
      <c r="D38" s="404">
        <v>0</v>
      </c>
      <c r="E38" s="75">
        <f t="shared" si="0"/>
        <v>2</v>
      </c>
      <c r="F38" s="297" t="s">
        <v>1063</v>
      </c>
      <c r="G38" s="135">
        <v>10</v>
      </c>
      <c r="H38" s="324">
        <v>0</v>
      </c>
      <c r="I38" s="214">
        <v>0</v>
      </c>
      <c r="J38" s="136">
        <f t="shared" si="1"/>
        <v>10</v>
      </c>
      <c r="K38" s="399" t="s">
        <v>5</v>
      </c>
      <c r="L38" s="409">
        <v>2</v>
      </c>
      <c r="M38" s="409">
        <v>3</v>
      </c>
      <c r="N38" s="410">
        <f t="shared" si="15"/>
        <v>66.666666666666657</v>
      </c>
      <c r="O38" s="154" t="s">
        <v>15</v>
      </c>
      <c r="P38" s="154" t="s">
        <v>15</v>
      </c>
      <c r="Q38" s="153" t="s">
        <v>15</v>
      </c>
      <c r="R38" s="154">
        <v>2</v>
      </c>
      <c r="S38" s="154">
        <v>3</v>
      </c>
      <c r="T38" s="153">
        <v>67</v>
      </c>
      <c r="U38" s="154">
        <v>9</v>
      </c>
      <c r="V38" s="154">
        <v>12</v>
      </c>
      <c r="W38" s="153">
        <v>75</v>
      </c>
      <c r="AC38" s="331" t="s">
        <v>15</v>
      </c>
      <c r="AD38" s="154" t="s">
        <v>15</v>
      </c>
      <c r="AE38" s="153" t="s">
        <v>15</v>
      </c>
      <c r="AF38" s="331" t="s">
        <v>15</v>
      </c>
      <c r="AG38" s="154" t="s">
        <v>15</v>
      </c>
      <c r="AH38" s="153" t="s">
        <v>15</v>
      </c>
      <c r="AI38" s="6" t="s">
        <v>15</v>
      </c>
      <c r="AJ38" s="154" t="s">
        <v>15</v>
      </c>
      <c r="AK38" s="153" t="s">
        <v>15</v>
      </c>
      <c r="AL38" s="6" t="s">
        <v>15</v>
      </c>
      <c r="AM38" s="154" t="s">
        <v>15</v>
      </c>
      <c r="AN38" s="153" t="s">
        <v>15</v>
      </c>
      <c r="AO38" s="154" t="s">
        <v>15</v>
      </c>
      <c r="AP38" s="154" t="s">
        <v>15</v>
      </c>
      <c r="AQ38" s="153" t="s">
        <v>15</v>
      </c>
      <c r="AR38" s="92"/>
      <c r="AX38" s="4"/>
    </row>
    <row r="39" spans="1:50" ht="14.95" customHeight="1" thickBot="1" x14ac:dyDescent="0.3">
      <c r="A39" s="308" t="s">
        <v>530</v>
      </c>
      <c r="B39" s="144">
        <v>7</v>
      </c>
      <c r="C39" s="403">
        <v>2</v>
      </c>
      <c r="D39" s="404">
        <v>4</v>
      </c>
      <c r="E39" s="75">
        <f t="shared" si="0"/>
        <v>13</v>
      </c>
      <c r="F39" s="297" t="s">
        <v>530</v>
      </c>
      <c r="G39" s="135">
        <v>35</v>
      </c>
      <c r="H39" s="324">
        <v>10</v>
      </c>
      <c r="I39" s="214">
        <v>20</v>
      </c>
      <c r="J39" s="136">
        <f t="shared" si="1"/>
        <v>65</v>
      </c>
      <c r="K39" s="399" t="s">
        <v>423</v>
      </c>
      <c r="L39" s="409">
        <v>16</v>
      </c>
      <c r="M39" s="409">
        <v>19</v>
      </c>
      <c r="N39" s="410">
        <f t="shared" ref="N39" si="16">(L39/M39)*100</f>
        <v>84.210526315789465</v>
      </c>
      <c r="O39" s="6">
        <v>9</v>
      </c>
      <c r="P39" s="6">
        <v>14</v>
      </c>
      <c r="Q39" s="157">
        <v>64.285714285714292</v>
      </c>
      <c r="R39" s="6">
        <v>8</v>
      </c>
      <c r="S39" s="6">
        <v>9</v>
      </c>
      <c r="T39" s="157">
        <v>89</v>
      </c>
      <c r="U39" s="6">
        <v>0</v>
      </c>
      <c r="V39" s="6">
        <v>3</v>
      </c>
      <c r="W39" s="157">
        <v>0</v>
      </c>
      <c r="AC39" s="6" t="s">
        <v>15</v>
      </c>
      <c r="AD39" s="6" t="s">
        <v>15</v>
      </c>
      <c r="AE39" s="157" t="s">
        <v>15</v>
      </c>
      <c r="AF39" s="6" t="s">
        <v>15</v>
      </c>
      <c r="AG39" s="6" t="s">
        <v>15</v>
      </c>
      <c r="AH39" s="157" t="s">
        <v>15</v>
      </c>
      <c r="AI39" s="6" t="s">
        <v>15</v>
      </c>
      <c r="AJ39" s="6" t="s">
        <v>15</v>
      </c>
      <c r="AK39" s="153" t="s">
        <v>15</v>
      </c>
      <c r="AL39" s="6" t="s">
        <v>15</v>
      </c>
      <c r="AM39" s="6" t="s">
        <v>15</v>
      </c>
      <c r="AN39" s="153" t="s">
        <v>15</v>
      </c>
      <c r="AO39" s="6" t="s">
        <v>15</v>
      </c>
      <c r="AP39" s="6" t="s">
        <v>15</v>
      </c>
      <c r="AQ39" s="153" t="s">
        <v>15</v>
      </c>
      <c r="AX39" s="4"/>
    </row>
    <row r="40" spans="1:50" ht="14.95" customHeight="1" thickBot="1" x14ac:dyDescent="0.3">
      <c r="A40" s="308" t="s">
        <v>480</v>
      </c>
      <c r="B40" s="144">
        <v>1</v>
      </c>
      <c r="C40" s="403">
        <v>0</v>
      </c>
      <c r="D40" s="404">
        <v>2</v>
      </c>
      <c r="E40" s="75">
        <f t="shared" si="0"/>
        <v>3</v>
      </c>
      <c r="F40" s="297" t="s">
        <v>480</v>
      </c>
      <c r="G40" s="135">
        <v>5</v>
      </c>
      <c r="H40" s="324">
        <v>0</v>
      </c>
      <c r="I40" s="214">
        <v>10</v>
      </c>
      <c r="J40" s="136">
        <f t="shared" si="1"/>
        <v>15</v>
      </c>
      <c r="K40" s="494" t="s">
        <v>1001</v>
      </c>
      <c r="L40" s="477"/>
      <c r="M40" s="477"/>
      <c r="N40" s="477"/>
      <c r="O40" s="477"/>
      <c r="P40" s="477"/>
      <c r="Q40" s="477"/>
      <c r="R40" s="477"/>
      <c r="S40" s="477"/>
      <c r="T40" s="477"/>
      <c r="U40" s="477"/>
      <c r="V40" s="477"/>
      <c r="W40" s="477"/>
      <c r="X40" s="477"/>
      <c r="Y40" s="477"/>
      <c r="Z40" s="249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</row>
    <row r="41" spans="1:50" ht="14.95" customHeight="1" thickBot="1" x14ac:dyDescent="0.3">
      <c r="A41" s="308" t="s">
        <v>620</v>
      </c>
      <c r="B41" s="144">
        <v>0</v>
      </c>
      <c r="C41" s="403">
        <v>0</v>
      </c>
      <c r="D41" s="404">
        <v>1</v>
      </c>
      <c r="E41" s="75">
        <f t="shared" si="0"/>
        <v>1</v>
      </c>
      <c r="F41" s="297" t="s">
        <v>620</v>
      </c>
      <c r="G41" s="135">
        <v>0</v>
      </c>
      <c r="H41" s="324">
        <v>0</v>
      </c>
      <c r="I41" s="214">
        <v>5</v>
      </c>
      <c r="J41" s="136">
        <f t="shared" si="1"/>
        <v>5</v>
      </c>
      <c r="K41" s="320"/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0"/>
      <c r="Z41" s="300"/>
      <c r="AA41" s="300"/>
      <c r="AB41" s="300"/>
      <c r="AC41" s="300"/>
      <c r="AD41" s="300"/>
      <c r="AE41" s="300"/>
      <c r="AF41" s="300"/>
      <c r="AG41" s="300"/>
      <c r="AH41" s="300"/>
      <c r="AI41" s="300"/>
      <c r="AJ41" s="300"/>
      <c r="AK41" s="300"/>
      <c r="AL41" s="300"/>
      <c r="AM41" s="300"/>
      <c r="AN41" s="300"/>
      <c r="AO41" s="300"/>
      <c r="AP41" s="300"/>
      <c r="AQ41" s="300"/>
      <c r="AR41" s="300"/>
      <c r="AS41" s="300"/>
      <c r="AT41" s="300"/>
    </row>
    <row r="42" spans="1:50" ht="14.95" customHeight="1" thickBot="1" x14ac:dyDescent="0.3">
      <c r="A42" s="308" t="s">
        <v>4</v>
      </c>
      <c r="B42" s="144">
        <v>0</v>
      </c>
      <c r="C42" s="403">
        <v>0</v>
      </c>
      <c r="D42" s="404">
        <v>0</v>
      </c>
      <c r="E42" s="75">
        <f t="shared" si="0"/>
        <v>0</v>
      </c>
      <c r="F42" s="297" t="s">
        <v>4</v>
      </c>
      <c r="G42" s="135">
        <v>0</v>
      </c>
      <c r="H42" s="324">
        <v>0</v>
      </c>
      <c r="I42" s="214">
        <v>0</v>
      </c>
      <c r="J42" s="136">
        <f t="shared" si="1"/>
        <v>0</v>
      </c>
      <c r="X42" s="94"/>
      <c r="Y42" s="94"/>
      <c r="Z42" s="94"/>
      <c r="AR42" s="62"/>
      <c r="AS42" s="62"/>
      <c r="AT42" s="62"/>
    </row>
    <row r="43" spans="1:50" ht="14.95" thickBot="1" x14ac:dyDescent="0.3">
      <c r="A43" s="308" t="s">
        <v>583</v>
      </c>
      <c r="B43" s="144">
        <v>0</v>
      </c>
      <c r="C43" s="403">
        <v>0</v>
      </c>
      <c r="D43" s="404">
        <v>2</v>
      </c>
      <c r="E43" s="75">
        <f t="shared" si="0"/>
        <v>2</v>
      </c>
      <c r="F43" s="297" t="s">
        <v>583</v>
      </c>
      <c r="G43" s="135">
        <v>0</v>
      </c>
      <c r="H43" s="324">
        <v>0</v>
      </c>
      <c r="I43" s="214">
        <v>10</v>
      </c>
      <c r="J43" s="136">
        <f t="shared" si="1"/>
        <v>10</v>
      </c>
      <c r="X43" s="94"/>
      <c r="Y43" s="94"/>
      <c r="Z43" s="94"/>
      <c r="AM43" s="4"/>
      <c r="AN43" s="4"/>
    </row>
    <row r="44" spans="1:50" ht="14.95" thickBot="1" x14ac:dyDescent="0.3">
      <c r="A44" s="308" t="s">
        <v>923</v>
      </c>
      <c r="B44" s="144">
        <v>0</v>
      </c>
      <c r="C44" s="403">
        <v>0</v>
      </c>
      <c r="D44" s="404">
        <v>0</v>
      </c>
      <c r="E44" s="75">
        <f t="shared" si="0"/>
        <v>0</v>
      </c>
      <c r="F44" s="297" t="s">
        <v>923</v>
      </c>
      <c r="G44" s="135">
        <v>0</v>
      </c>
      <c r="H44" s="324">
        <v>0</v>
      </c>
      <c r="I44" s="214">
        <v>0</v>
      </c>
      <c r="J44" s="136">
        <f t="shared" si="1"/>
        <v>0</v>
      </c>
      <c r="Z44" s="94"/>
    </row>
    <row r="45" spans="1:50" ht="14.95" customHeight="1" thickBot="1" x14ac:dyDescent="0.3">
      <c r="A45" s="308" t="s">
        <v>92</v>
      </c>
      <c r="B45" s="144">
        <v>0</v>
      </c>
      <c r="C45" s="403">
        <v>0</v>
      </c>
      <c r="D45" s="404">
        <v>1</v>
      </c>
      <c r="E45" s="75">
        <f t="shared" si="0"/>
        <v>1</v>
      </c>
      <c r="F45" s="297" t="s">
        <v>92</v>
      </c>
      <c r="G45" s="135">
        <v>0</v>
      </c>
      <c r="H45" s="324">
        <v>0</v>
      </c>
      <c r="I45" s="214">
        <v>5</v>
      </c>
      <c r="J45" s="136">
        <f t="shared" si="1"/>
        <v>5</v>
      </c>
      <c r="Z45" s="94"/>
    </row>
    <row r="46" spans="1:50" ht="14.95" thickBot="1" x14ac:dyDescent="0.3">
      <c r="A46" s="308" t="s">
        <v>597</v>
      </c>
      <c r="B46" s="144">
        <v>8</v>
      </c>
      <c r="C46" s="403">
        <v>4</v>
      </c>
      <c r="D46" s="404">
        <v>0</v>
      </c>
      <c r="E46" s="75">
        <f t="shared" si="0"/>
        <v>12</v>
      </c>
      <c r="F46" s="297" t="s">
        <v>597</v>
      </c>
      <c r="G46" s="135">
        <v>40</v>
      </c>
      <c r="H46" s="324">
        <v>20</v>
      </c>
      <c r="I46" s="214">
        <v>0</v>
      </c>
      <c r="J46" s="136">
        <f t="shared" si="1"/>
        <v>60</v>
      </c>
      <c r="Z46" s="94"/>
    </row>
    <row r="47" spans="1:50" ht="14.95" thickBot="1" x14ac:dyDescent="0.3">
      <c r="A47" s="308" t="s">
        <v>925</v>
      </c>
      <c r="B47" s="144">
        <v>4</v>
      </c>
      <c r="C47" s="403">
        <v>1</v>
      </c>
      <c r="D47" s="404">
        <v>1</v>
      </c>
      <c r="E47" s="75">
        <f t="shared" si="0"/>
        <v>6</v>
      </c>
      <c r="F47" s="297" t="s">
        <v>925</v>
      </c>
      <c r="G47" s="135">
        <v>20</v>
      </c>
      <c r="H47" s="324">
        <v>5</v>
      </c>
      <c r="I47" s="214">
        <v>5</v>
      </c>
      <c r="J47" s="136">
        <f t="shared" si="1"/>
        <v>30</v>
      </c>
    </row>
    <row r="48" spans="1:50" ht="14.95" thickBot="1" x14ac:dyDescent="0.3">
      <c r="A48" s="308" t="s">
        <v>476</v>
      </c>
      <c r="B48" s="144">
        <v>0</v>
      </c>
      <c r="C48" s="403">
        <v>1</v>
      </c>
      <c r="D48" s="404">
        <v>0</v>
      </c>
      <c r="E48" s="75">
        <f t="shared" si="0"/>
        <v>1</v>
      </c>
      <c r="F48" s="297" t="s">
        <v>476</v>
      </c>
      <c r="G48" s="135">
        <v>0</v>
      </c>
      <c r="H48" s="324">
        <v>5</v>
      </c>
      <c r="I48" s="214">
        <v>0</v>
      </c>
      <c r="J48" s="136">
        <f t="shared" si="1"/>
        <v>5</v>
      </c>
    </row>
    <row r="49" spans="1:50" ht="14.95" thickBot="1" x14ac:dyDescent="0.3">
      <c r="A49" s="308" t="s">
        <v>216</v>
      </c>
      <c r="B49" s="144">
        <v>0</v>
      </c>
      <c r="C49" s="403">
        <v>0</v>
      </c>
      <c r="D49" s="404">
        <v>0</v>
      </c>
      <c r="E49" s="75">
        <f t="shared" si="0"/>
        <v>0</v>
      </c>
      <c r="F49" s="297" t="s">
        <v>216</v>
      </c>
      <c r="G49" s="135">
        <v>0</v>
      </c>
      <c r="H49" s="324">
        <v>0</v>
      </c>
      <c r="I49" s="214">
        <v>0</v>
      </c>
      <c r="J49" s="136">
        <f t="shared" si="1"/>
        <v>0</v>
      </c>
    </row>
    <row r="50" spans="1:50" ht="14.95" thickBot="1" x14ac:dyDescent="0.3">
      <c r="A50" s="308" t="s">
        <v>53</v>
      </c>
      <c r="B50" s="144">
        <v>0</v>
      </c>
      <c r="C50" s="403">
        <v>0</v>
      </c>
      <c r="D50" s="404">
        <v>0</v>
      </c>
      <c r="E50" s="75">
        <f t="shared" si="0"/>
        <v>0</v>
      </c>
      <c r="F50" s="297" t="s">
        <v>53</v>
      </c>
      <c r="G50" s="135">
        <v>0</v>
      </c>
      <c r="H50" s="324">
        <v>0</v>
      </c>
      <c r="I50" s="214">
        <v>0</v>
      </c>
      <c r="J50" s="136">
        <f t="shared" si="1"/>
        <v>0</v>
      </c>
      <c r="AI50" s="4"/>
    </row>
    <row r="51" spans="1:50" ht="14.95" customHeight="1" thickBot="1" x14ac:dyDescent="0.3">
      <c r="A51" s="308" t="s">
        <v>93</v>
      </c>
      <c r="B51" s="144">
        <v>0</v>
      </c>
      <c r="C51" s="403">
        <v>0</v>
      </c>
      <c r="D51" s="404">
        <v>0</v>
      </c>
      <c r="E51" s="75">
        <f t="shared" si="0"/>
        <v>0</v>
      </c>
      <c r="F51" s="297" t="s">
        <v>93</v>
      </c>
      <c r="G51" s="135">
        <v>0</v>
      </c>
      <c r="H51" s="324">
        <v>0</v>
      </c>
      <c r="I51" s="214">
        <v>0</v>
      </c>
      <c r="J51" s="136">
        <f t="shared" si="1"/>
        <v>0</v>
      </c>
      <c r="AX51" s="300"/>
    </row>
    <row r="52" spans="1:50" ht="14.95" customHeight="1" thickBot="1" x14ac:dyDescent="0.3">
      <c r="A52" s="308" t="s">
        <v>619</v>
      </c>
      <c r="B52" s="144">
        <v>0</v>
      </c>
      <c r="C52" s="403">
        <v>0</v>
      </c>
      <c r="D52" s="404">
        <v>0</v>
      </c>
      <c r="E52" s="75">
        <f t="shared" si="0"/>
        <v>0</v>
      </c>
      <c r="F52" s="297" t="s">
        <v>619</v>
      </c>
      <c r="G52" s="135">
        <v>0</v>
      </c>
      <c r="H52" s="324">
        <v>0</v>
      </c>
      <c r="I52" s="214">
        <v>0</v>
      </c>
      <c r="J52" s="136">
        <f t="shared" si="1"/>
        <v>0</v>
      </c>
    </row>
    <row r="53" spans="1:50" ht="14.95" thickBot="1" x14ac:dyDescent="0.3">
      <c r="A53" s="308" t="s">
        <v>1018</v>
      </c>
      <c r="B53" s="144">
        <v>0</v>
      </c>
      <c r="C53" s="403">
        <v>0</v>
      </c>
      <c r="D53" s="404">
        <v>0</v>
      </c>
      <c r="E53" s="75">
        <f t="shared" si="0"/>
        <v>0</v>
      </c>
      <c r="F53" s="297" t="s">
        <v>1018</v>
      </c>
      <c r="G53" s="135">
        <v>0</v>
      </c>
      <c r="H53" s="324">
        <v>0</v>
      </c>
      <c r="I53" s="214">
        <v>4</v>
      </c>
      <c r="J53" s="136">
        <f t="shared" si="1"/>
        <v>4</v>
      </c>
    </row>
    <row r="54" spans="1:50" ht="14.95" customHeight="1" thickBot="1" x14ac:dyDescent="0.3">
      <c r="A54" s="308" t="s">
        <v>5</v>
      </c>
      <c r="B54" s="144">
        <v>0</v>
      </c>
      <c r="C54" s="403">
        <v>1</v>
      </c>
      <c r="D54" s="404">
        <v>0</v>
      </c>
      <c r="E54" s="75">
        <f t="shared" si="0"/>
        <v>1</v>
      </c>
      <c r="F54" s="297" t="s">
        <v>5</v>
      </c>
      <c r="G54" s="135">
        <v>15</v>
      </c>
      <c r="H54" s="324">
        <v>11</v>
      </c>
      <c r="I54" s="214">
        <v>4</v>
      </c>
      <c r="J54" s="136">
        <f t="shared" si="1"/>
        <v>30</v>
      </c>
      <c r="AF54" s="4"/>
      <c r="AG54" s="4"/>
      <c r="AH54" s="4"/>
    </row>
    <row r="55" spans="1:50" ht="14.95" customHeight="1" thickBot="1" x14ac:dyDescent="0.3">
      <c r="A55" s="308" t="s">
        <v>599</v>
      </c>
      <c r="B55" s="144">
        <v>0</v>
      </c>
      <c r="C55" s="403">
        <v>0</v>
      </c>
      <c r="D55" s="404">
        <v>0</v>
      </c>
      <c r="E55" s="75">
        <f t="shared" si="0"/>
        <v>0</v>
      </c>
      <c r="F55" s="297" t="s">
        <v>599</v>
      </c>
      <c r="G55" s="135">
        <v>0</v>
      </c>
      <c r="H55" s="324">
        <v>0</v>
      </c>
      <c r="I55" s="214">
        <v>0</v>
      </c>
      <c r="J55" s="136">
        <f t="shared" si="1"/>
        <v>0</v>
      </c>
    </row>
    <row r="56" spans="1:50" ht="14.95" thickBot="1" x14ac:dyDescent="0.3">
      <c r="A56" s="308" t="s">
        <v>39</v>
      </c>
      <c r="B56" s="144">
        <v>0</v>
      </c>
      <c r="C56" s="403">
        <v>0</v>
      </c>
      <c r="D56" s="404">
        <v>0</v>
      </c>
      <c r="E56" s="75">
        <f t="shared" si="0"/>
        <v>0</v>
      </c>
      <c r="F56" s="297" t="s">
        <v>39</v>
      </c>
      <c r="G56" s="135">
        <v>0</v>
      </c>
      <c r="H56" s="324">
        <v>0</v>
      </c>
      <c r="I56" s="214">
        <v>0</v>
      </c>
      <c r="J56" s="136">
        <f t="shared" si="1"/>
        <v>0</v>
      </c>
    </row>
    <row r="57" spans="1:50" ht="14.95" thickBot="1" x14ac:dyDescent="0.3">
      <c r="A57" s="308" t="s">
        <v>423</v>
      </c>
      <c r="B57" s="144">
        <v>1</v>
      </c>
      <c r="C57" s="403">
        <v>0</v>
      </c>
      <c r="D57" s="404">
        <v>1</v>
      </c>
      <c r="E57" s="75">
        <f t="shared" si="0"/>
        <v>2</v>
      </c>
      <c r="F57" s="297" t="s">
        <v>423</v>
      </c>
      <c r="G57" s="135">
        <v>49</v>
      </c>
      <c r="H57" s="324">
        <v>7</v>
      </c>
      <c r="I57" s="214">
        <v>40</v>
      </c>
      <c r="J57" s="136">
        <f t="shared" si="1"/>
        <v>96</v>
      </c>
    </row>
    <row r="58" spans="1:50" ht="14.95" thickBot="1" x14ac:dyDescent="0.3">
      <c r="A58" s="308" t="s">
        <v>3</v>
      </c>
      <c r="B58" s="144">
        <f>SUM(B3:B57)</f>
        <v>46</v>
      </c>
      <c r="C58" s="403">
        <f>SUM(C3:C57)</f>
        <v>27</v>
      </c>
      <c r="D58" s="404">
        <f>SUM(D3:D57)</f>
        <v>28</v>
      </c>
      <c r="E58" s="75">
        <f>SUM(E3:E57)</f>
        <v>101</v>
      </c>
      <c r="F58" s="297" t="s">
        <v>3</v>
      </c>
      <c r="G58" s="135">
        <f>SUM(G3:G57)</f>
        <v>323</v>
      </c>
      <c r="H58" s="324">
        <f>SUM(H3:H57)</f>
        <v>180</v>
      </c>
      <c r="I58" s="214">
        <f>SUM(I3:I57)</f>
        <v>194</v>
      </c>
      <c r="J58" s="136">
        <f>SUM(J3:J57)</f>
        <v>697</v>
      </c>
    </row>
    <row r="59" spans="1:50" x14ac:dyDescent="0.25">
      <c r="A59" s="463"/>
      <c r="B59" s="464"/>
      <c r="C59" s="464"/>
      <c r="D59" s="464"/>
      <c r="E59" s="464"/>
      <c r="F59" s="464"/>
      <c r="G59" s="464"/>
      <c r="H59" s="464"/>
      <c r="I59" s="34"/>
      <c r="J59" s="34"/>
    </row>
    <row r="60" spans="1:50" ht="14.95" thickBot="1" x14ac:dyDescent="0.3">
      <c r="A60" t="s">
        <v>12</v>
      </c>
      <c r="B60" s="132"/>
      <c r="F60" s="33"/>
      <c r="G60" s="133"/>
      <c r="H60" s="36"/>
      <c r="I60" s="36"/>
      <c r="J60" s="36"/>
    </row>
    <row r="61" spans="1:50" ht="14.95" thickBot="1" x14ac:dyDescent="0.3">
      <c r="A61" s="399" t="s">
        <v>0</v>
      </c>
      <c r="B61" s="400" t="s">
        <v>218</v>
      </c>
      <c r="C61" s="401" t="s">
        <v>30</v>
      </c>
      <c r="D61" s="402" t="s">
        <v>326</v>
      </c>
      <c r="E61" s="108" t="s">
        <v>1</v>
      </c>
      <c r="F61" s="296" t="s">
        <v>2</v>
      </c>
      <c r="G61" s="137" t="s">
        <v>218</v>
      </c>
      <c r="H61" s="323" t="s">
        <v>30</v>
      </c>
      <c r="I61" s="213" t="s">
        <v>326</v>
      </c>
      <c r="J61" s="138" t="s">
        <v>1</v>
      </c>
    </row>
    <row r="62" spans="1:50" ht="14.95" thickBot="1" x14ac:dyDescent="0.3">
      <c r="A62" s="308" t="s">
        <v>530</v>
      </c>
      <c r="B62" s="144">
        <v>7</v>
      </c>
      <c r="C62" s="403">
        <v>2</v>
      </c>
      <c r="D62" s="404">
        <v>4</v>
      </c>
      <c r="E62" s="75">
        <f t="shared" ref="E62:E93" si="17">SUM(B62:D62)</f>
        <v>13</v>
      </c>
      <c r="F62" s="297" t="s">
        <v>423</v>
      </c>
      <c r="G62" s="135">
        <v>49</v>
      </c>
      <c r="H62" s="324">
        <v>7</v>
      </c>
      <c r="I62" s="214">
        <v>40</v>
      </c>
      <c r="J62" s="136">
        <f t="shared" ref="J62:J93" si="18">SUM(G62:I62)</f>
        <v>96</v>
      </c>
    </row>
    <row r="63" spans="1:50" ht="14.95" thickBot="1" x14ac:dyDescent="0.3">
      <c r="A63" s="308" t="s">
        <v>597</v>
      </c>
      <c r="B63" s="144">
        <v>8</v>
      </c>
      <c r="C63" s="403">
        <v>4</v>
      </c>
      <c r="D63" s="404">
        <v>0</v>
      </c>
      <c r="E63" s="75">
        <f t="shared" si="17"/>
        <v>12</v>
      </c>
      <c r="F63" s="297" t="s">
        <v>359</v>
      </c>
      <c r="G63" s="135">
        <v>36</v>
      </c>
      <c r="H63" s="324">
        <v>32</v>
      </c>
      <c r="I63" s="214">
        <v>0</v>
      </c>
      <c r="J63" s="136">
        <f t="shared" si="18"/>
        <v>68</v>
      </c>
    </row>
    <row r="64" spans="1:50" ht="14.95" thickBot="1" x14ac:dyDescent="0.3">
      <c r="A64" s="308" t="s">
        <v>479</v>
      </c>
      <c r="B64" s="144">
        <v>5</v>
      </c>
      <c r="C64" s="403">
        <v>2</v>
      </c>
      <c r="D64" s="404">
        <v>0</v>
      </c>
      <c r="E64" s="75">
        <f t="shared" si="17"/>
        <v>7</v>
      </c>
      <c r="F64" s="297" t="s">
        <v>530</v>
      </c>
      <c r="G64" s="135">
        <v>35</v>
      </c>
      <c r="H64" s="324">
        <v>10</v>
      </c>
      <c r="I64" s="214">
        <v>20</v>
      </c>
      <c r="J64" s="136">
        <f t="shared" si="18"/>
        <v>65</v>
      </c>
    </row>
    <row r="65" spans="1:10" ht="14.95" thickBot="1" x14ac:dyDescent="0.3">
      <c r="A65" s="308" t="s">
        <v>284</v>
      </c>
      <c r="B65" s="144">
        <v>5</v>
      </c>
      <c r="C65" s="403">
        <v>1</v>
      </c>
      <c r="D65" s="404">
        <v>0</v>
      </c>
      <c r="E65" s="75">
        <f t="shared" si="17"/>
        <v>6</v>
      </c>
      <c r="F65" s="297" t="s">
        <v>597</v>
      </c>
      <c r="G65" s="135">
        <v>40</v>
      </c>
      <c r="H65" s="324">
        <v>20</v>
      </c>
      <c r="I65" s="214">
        <v>0</v>
      </c>
      <c r="J65" s="136">
        <f t="shared" si="18"/>
        <v>60</v>
      </c>
    </row>
    <row r="66" spans="1:10" ht="14.95" thickBot="1" x14ac:dyDescent="0.3">
      <c r="A66" s="308" t="s">
        <v>190</v>
      </c>
      <c r="B66" s="144">
        <v>2</v>
      </c>
      <c r="C66" s="403">
        <v>4</v>
      </c>
      <c r="D66" s="404">
        <v>0</v>
      </c>
      <c r="E66" s="75">
        <f t="shared" si="17"/>
        <v>6</v>
      </c>
      <c r="F66" s="297" t="s">
        <v>479</v>
      </c>
      <c r="G66" s="135">
        <v>25</v>
      </c>
      <c r="H66" s="324">
        <v>10</v>
      </c>
      <c r="I66" s="214">
        <v>0</v>
      </c>
      <c r="J66" s="136">
        <f t="shared" si="18"/>
        <v>35</v>
      </c>
    </row>
    <row r="67" spans="1:10" ht="14.95" thickBot="1" x14ac:dyDescent="0.3">
      <c r="A67" s="308" t="s">
        <v>925</v>
      </c>
      <c r="B67" s="144">
        <v>4</v>
      </c>
      <c r="C67" s="403">
        <v>1</v>
      </c>
      <c r="D67" s="404">
        <v>1</v>
      </c>
      <c r="E67" s="75">
        <f t="shared" si="17"/>
        <v>6</v>
      </c>
      <c r="F67" s="297" t="s">
        <v>284</v>
      </c>
      <c r="G67" s="135">
        <v>25</v>
      </c>
      <c r="H67" s="324">
        <v>5</v>
      </c>
      <c r="I67" s="214">
        <v>0</v>
      </c>
      <c r="J67" s="136">
        <f t="shared" si="18"/>
        <v>30</v>
      </c>
    </row>
    <row r="68" spans="1:10" ht="14.95" thickBot="1" x14ac:dyDescent="0.3">
      <c r="A68" s="308" t="s">
        <v>608</v>
      </c>
      <c r="B68" s="144">
        <v>1</v>
      </c>
      <c r="C68" s="403">
        <v>1</v>
      </c>
      <c r="D68" s="404">
        <v>2</v>
      </c>
      <c r="E68" s="75">
        <f t="shared" si="17"/>
        <v>4</v>
      </c>
      <c r="F68" s="297" t="s">
        <v>190</v>
      </c>
      <c r="G68" s="135">
        <v>10</v>
      </c>
      <c r="H68" s="324">
        <v>20</v>
      </c>
      <c r="I68" s="214">
        <v>0</v>
      </c>
      <c r="J68" s="136">
        <f t="shared" si="18"/>
        <v>30</v>
      </c>
    </row>
    <row r="69" spans="1:10" ht="14.95" thickBot="1" x14ac:dyDescent="0.3">
      <c r="A69" s="308" t="s">
        <v>452</v>
      </c>
      <c r="B69" s="144">
        <v>1</v>
      </c>
      <c r="C69" s="403">
        <v>0</v>
      </c>
      <c r="D69" s="404">
        <v>3</v>
      </c>
      <c r="E69" s="75">
        <f t="shared" si="17"/>
        <v>4</v>
      </c>
      <c r="F69" s="297" t="s">
        <v>925</v>
      </c>
      <c r="G69" s="135">
        <v>20</v>
      </c>
      <c r="H69" s="324">
        <v>5</v>
      </c>
      <c r="I69" s="214">
        <v>5</v>
      </c>
      <c r="J69" s="136">
        <f t="shared" si="18"/>
        <v>30</v>
      </c>
    </row>
    <row r="70" spans="1:10" ht="14.95" thickBot="1" x14ac:dyDescent="0.3">
      <c r="A70" s="308" t="s">
        <v>593</v>
      </c>
      <c r="B70" s="144">
        <v>2</v>
      </c>
      <c r="C70" s="403">
        <v>2</v>
      </c>
      <c r="D70" s="404">
        <v>0</v>
      </c>
      <c r="E70" s="75">
        <f t="shared" si="17"/>
        <v>4</v>
      </c>
      <c r="F70" s="297" t="s">
        <v>5</v>
      </c>
      <c r="G70" s="135">
        <v>15</v>
      </c>
      <c r="H70" s="324">
        <v>11</v>
      </c>
      <c r="I70" s="214">
        <v>4</v>
      </c>
      <c r="J70" s="136">
        <f t="shared" si="18"/>
        <v>30</v>
      </c>
    </row>
    <row r="71" spans="1:10" ht="14.95" thickBot="1" x14ac:dyDescent="0.3">
      <c r="A71" s="308" t="s">
        <v>624</v>
      </c>
      <c r="B71" s="144">
        <v>0</v>
      </c>
      <c r="C71" s="403">
        <v>0</v>
      </c>
      <c r="D71" s="404">
        <v>3</v>
      </c>
      <c r="E71" s="75">
        <f t="shared" si="17"/>
        <v>3</v>
      </c>
      <c r="F71" s="297" t="s">
        <v>608</v>
      </c>
      <c r="G71" s="135">
        <v>5</v>
      </c>
      <c r="H71" s="324">
        <v>5</v>
      </c>
      <c r="I71" s="214">
        <v>10</v>
      </c>
      <c r="J71" s="136">
        <f t="shared" si="18"/>
        <v>20</v>
      </c>
    </row>
    <row r="72" spans="1:10" ht="14.95" thickBot="1" x14ac:dyDescent="0.3">
      <c r="A72" s="308" t="s">
        <v>554</v>
      </c>
      <c r="B72" s="144">
        <v>0</v>
      </c>
      <c r="C72" s="403">
        <v>3</v>
      </c>
      <c r="D72" s="404">
        <v>0</v>
      </c>
      <c r="E72" s="75">
        <f t="shared" si="17"/>
        <v>3</v>
      </c>
      <c r="F72" s="297" t="s">
        <v>452</v>
      </c>
      <c r="G72" s="135">
        <v>5</v>
      </c>
      <c r="H72" s="324">
        <v>0</v>
      </c>
      <c r="I72" s="214">
        <v>15</v>
      </c>
      <c r="J72" s="136">
        <f t="shared" si="18"/>
        <v>20</v>
      </c>
    </row>
    <row r="73" spans="1:10" ht="14.95" thickBot="1" x14ac:dyDescent="0.3">
      <c r="A73" s="308" t="s">
        <v>480</v>
      </c>
      <c r="B73" s="144">
        <v>1</v>
      </c>
      <c r="C73" s="403">
        <v>0</v>
      </c>
      <c r="D73" s="404">
        <v>2</v>
      </c>
      <c r="E73" s="75">
        <f t="shared" si="17"/>
        <v>3</v>
      </c>
      <c r="F73" s="297" t="s">
        <v>593</v>
      </c>
      <c r="G73" s="135">
        <v>10</v>
      </c>
      <c r="H73" s="324">
        <v>10</v>
      </c>
      <c r="I73" s="214">
        <v>0</v>
      </c>
      <c r="J73" s="136">
        <f t="shared" si="18"/>
        <v>20</v>
      </c>
    </row>
    <row r="74" spans="1:10" ht="14.95" thickBot="1" x14ac:dyDescent="0.3">
      <c r="A74" s="308" t="s">
        <v>281</v>
      </c>
      <c r="B74" s="144">
        <v>1</v>
      </c>
      <c r="C74" s="403">
        <v>1</v>
      </c>
      <c r="D74" s="404">
        <v>0</v>
      </c>
      <c r="E74" s="75">
        <f t="shared" si="17"/>
        <v>2</v>
      </c>
      <c r="F74" s="297" t="s">
        <v>624</v>
      </c>
      <c r="G74" s="135">
        <v>0</v>
      </c>
      <c r="H74" s="324">
        <v>0</v>
      </c>
      <c r="I74" s="214">
        <v>15</v>
      </c>
      <c r="J74" s="136">
        <f t="shared" si="18"/>
        <v>15</v>
      </c>
    </row>
    <row r="75" spans="1:10" ht="14.95" thickBot="1" x14ac:dyDescent="0.3">
      <c r="A75" s="308" t="s">
        <v>906</v>
      </c>
      <c r="B75" s="144">
        <v>1</v>
      </c>
      <c r="C75" s="403">
        <v>0</v>
      </c>
      <c r="D75" s="404">
        <v>1</v>
      </c>
      <c r="E75" s="75">
        <f t="shared" si="17"/>
        <v>2</v>
      </c>
      <c r="F75" s="297" t="s">
        <v>554</v>
      </c>
      <c r="G75" s="135">
        <v>0</v>
      </c>
      <c r="H75" s="324">
        <v>15</v>
      </c>
      <c r="I75" s="214">
        <v>0</v>
      </c>
      <c r="J75" s="136">
        <f t="shared" si="18"/>
        <v>15</v>
      </c>
    </row>
    <row r="76" spans="1:10" ht="14.95" thickBot="1" x14ac:dyDescent="0.3">
      <c r="A76" s="308" t="s">
        <v>786</v>
      </c>
      <c r="B76" s="144">
        <v>0</v>
      </c>
      <c r="C76" s="403">
        <v>0</v>
      </c>
      <c r="D76" s="404">
        <v>2</v>
      </c>
      <c r="E76" s="75">
        <f t="shared" si="17"/>
        <v>2</v>
      </c>
      <c r="F76" s="297" t="s">
        <v>480</v>
      </c>
      <c r="G76" s="135">
        <v>5</v>
      </c>
      <c r="H76" s="324">
        <v>0</v>
      </c>
      <c r="I76" s="214">
        <v>10</v>
      </c>
      <c r="J76" s="136">
        <f t="shared" si="18"/>
        <v>15</v>
      </c>
    </row>
    <row r="77" spans="1:10" ht="14.95" thickBot="1" x14ac:dyDescent="0.3">
      <c r="A77" s="308" t="s">
        <v>52</v>
      </c>
      <c r="B77" s="144">
        <v>1</v>
      </c>
      <c r="C77" s="403">
        <v>1</v>
      </c>
      <c r="D77" s="404">
        <v>0</v>
      </c>
      <c r="E77" s="75">
        <f t="shared" si="17"/>
        <v>2</v>
      </c>
      <c r="F77" s="297" t="s">
        <v>51</v>
      </c>
      <c r="G77" s="135">
        <v>3</v>
      </c>
      <c r="H77" s="324">
        <v>0</v>
      </c>
      <c r="I77" s="214">
        <v>11</v>
      </c>
      <c r="J77" s="136">
        <f t="shared" si="18"/>
        <v>14</v>
      </c>
    </row>
    <row r="78" spans="1:10" ht="14.95" thickBot="1" x14ac:dyDescent="0.3">
      <c r="A78" s="308" t="s">
        <v>604</v>
      </c>
      <c r="B78" s="144">
        <v>1</v>
      </c>
      <c r="C78" s="403">
        <v>1</v>
      </c>
      <c r="D78" s="404">
        <v>0</v>
      </c>
      <c r="E78" s="75">
        <f t="shared" si="17"/>
        <v>2</v>
      </c>
      <c r="F78" s="297" t="s">
        <v>281</v>
      </c>
      <c r="G78" s="135">
        <v>5</v>
      </c>
      <c r="H78" s="324">
        <v>5</v>
      </c>
      <c r="I78" s="214">
        <v>0</v>
      </c>
      <c r="J78" s="136">
        <f t="shared" si="18"/>
        <v>10</v>
      </c>
    </row>
    <row r="79" spans="1:10" ht="14.95" thickBot="1" x14ac:dyDescent="0.3">
      <c r="A79" s="308" t="s">
        <v>375</v>
      </c>
      <c r="B79" s="144">
        <v>0</v>
      </c>
      <c r="C79" s="403">
        <v>0</v>
      </c>
      <c r="D79" s="404">
        <v>2</v>
      </c>
      <c r="E79" s="75">
        <f t="shared" si="17"/>
        <v>2</v>
      </c>
      <c r="F79" s="297" t="s">
        <v>906</v>
      </c>
      <c r="G79" s="135">
        <v>5</v>
      </c>
      <c r="H79" s="324">
        <v>0</v>
      </c>
      <c r="I79" s="214">
        <v>5</v>
      </c>
      <c r="J79" s="136">
        <f t="shared" si="18"/>
        <v>10</v>
      </c>
    </row>
    <row r="80" spans="1:10" ht="14.95" thickBot="1" x14ac:dyDescent="0.3">
      <c r="A80" s="308" t="s">
        <v>1063</v>
      </c>
      <c r="B80" s="144">
        <v>2</v>
      </c>
      <c r="C80" s="403">
        <v>0</v>
      </c>
      <c r="D80" s="404">
        <v>0</v>
      </c>
      <c r="E80" s="75">
        <f t="shared" si="17"/>
        <v>2</v>
      </c>
      <c r="F80" s="297" t="s">
        <v>786</v>
      </c>
      <c r="G80" s="135">
        <v>0</v>
      </c>
      <c r="H80" s="324">
        <v>0</v>
      </c>
      <c r="I80" s="214">
        <v>10</v>
      </c>
      <c r="J80" s="136">
        <f t="shared" si="18"/>
        <v>10</v>
      </c>
    </row>
    <row r="81" spans="1:10" ht="14.95" thickBot="1" x14ac:dyDescent="0.3">
      <c r="A81" s="308" t="s">
        <v>583</v>
      </c>
      <c r="B81" s="144">
        <v>0</v>
      </c>
      <c r="C81" s="403">
        <v>0</v>
      </c>
      <c r="D81" s="404">
        <v>2</v>
      </c>
      <c r="E81" s="75">
        <f t="shared" si="17"/>
        <v>2</v>
      </c>
      <c r="F81" s="297" t="s">
        <v>52</v>
      </c>
      <c r="G81" s="135">
        <v>5</v>
      </c>
      <c r="H81" s="324">
        <v>5</v>
      </c>
      <c r="I81" s="214">
        <v>0</v>
      </c>
      <c r="J81" s="136">
        <f t="shared" si="18"/>
        <v>10</v>
      </c>
    </row>
    <row r="82" spans="1:10" ht="14.95" thickBot="1" x14ac:dyDescent="0.3">
      <c r="A82" s="308" t="s">
        <v>423</v>
      </c>
      <c r="B82" s="144">
        <v>1</v>
      </c>
      <c r="C82" s="403">
        <v>0</v>
      </c>
      <c r="D82" s="404">
        <v>1</v>
      </c>
      <c r="E82" s="75">
        <f t="shared" si="17"/>
        <v>2</v>
      </c>
      <c r="F82" s="297" t="s">
        <v>604</v>
      </c>
      <c r="G82" s="135">
        <v>5</v>
      </c>
      <c r="H82" s="324">
        <v>5</v>
      </c>
      <c r="I82" s="214">
        <v>0</v>
      </c>
      <c r="J82" s="136">
        <f t="shared" si="18"/>
        <v>10</v>
      </c>
    </row>
    <row r="83" spans="1:10" ht="14.95" thickBot="1" x14ac:dyDescent="0.3">
      <c r="A83" s="308" t="s">
        <v>1017</v>
      </c>
      <c r="B83" s="144">
        <v>0</v>
      </c>
      <c r="C83" s="403">
        <v>0</v>
      </c>
      <c r="D83" s="404">
        <v>1</v>
      </c>
      <c r="E83" s="75">
        <f t="shared" si="17"/>
        <v>1</v>
      </c>
      <c r="F83" s="297" t="s">
        <v>375</v>
      </c>
      <c r="G83" s="135">
        <v>0</v>
      </c>
      <c r="H83" s="324">
        <v>0</v>
      </c>
      <c r="I83" s="214">
        <v>10</v>
      </c>
      <c r="J83" s="136">
        <f t="shared" si="18"/>
        <v>10</v>
      </c>
    </row>
    <row r="84" spans="1:10" ht="14.95" thickBot="1" x14ac:dyDescent="0.3">
      <c r="A84" s="308" t="s">
        <v>601</v>
      </c>
      <c r="B84" s="144">
        <v>0</v>
      </c>
      <c r="C84" s="403">
        <v>0</v>
      </c>
      <c r="D84" s="404">
        <v>1</v>
      </c>
      <c r="E84" s="75">
        <f t="shared" si="17"/>
        <v>1</v>
      </c>
      <c r="F84" s="297" t="s">
        <v>1063</v>
      </c>
      <c r="G84" s="135">
        <v>10</v>
      </c>
      <c r="H84" s="324">
        <v>0</v>
      </c>
      <c r="I84" s="214">
        <v>0</v>
      </c>
      <c r="J84" s="136">
        <f t="shared" si="18"/>
        <v>10</v>
      </c>
    </row>
    <row r="85" spans="1:10" ht="14.95" thickBot="1" x14ac:dyDescent="0.3">
      <c r="A85" s="308" t="s">
        <v>603</v>
      </c>
      <c r="B85" s="144">
        <v>0</v>
      </c>
      <c r="C85" s="403">
        <v>1</v>
      </c>
      <c r="D85" s="404">
        <v>0</v>
      </c>
      <c r="E85" s="75">
        <f t="shared" si="17"/>
        <v>1</v>
      </c>
      <c r="F85" s="297" t="s">
        <v>583</v>
      </c>
      <c r="G85" s="135">
        <v>0</v>
      </c>
      <c r="H85" s="324">
        <v>0</v>
      </c>
      <c r="I85" s="214">
        <v>10</v>
      </c>
      <c r="J85" s="136">
        <f t="shared" si="18"/>
        <v>10</v>
      </c>
    </row>
    <row r="86" spans="1:10" ht="14.95" thickBot="1" x14ac:dyDescent="0.3">
      <c r="A86" s="308" t="s">
        <v>924</v>
      </c>
      <c r="B86" s="144">
        <v>1</v>
      </c>
      <c r="C86" s="403">
        <v>0</v>
      </c>
      <c r="D86" s="404">
        <v>0</v>
      </c>
      <c r="E86" s="75">
        <f t="shared" si="17"/>
        <v>1</v>
      </c>
      <c r="F86" s="297" t="s">
        <v>1017</v>
      </c>
      <c r="G86" s="135">
        <v>0</v>
      </c>
      <c r="H86" s="324">
        <v>0</v>
      </c>
      <c r="I86" s="214">
        <v>5</v>
      </c>
      <c r="J86" s="136">
        <f t="shared" si="18"/>
        <v>5</v>
      </c>
    </row>
    <row r="87" spans="1:10" ht="14.95" thickBot="1" x14ac:dyDescent="0.3">
      <c r="A87" s="308" t="s">
        <v>458</v>
      </c>
      <c r="B87" s="144">
        <v>0</v>
      </c>
      <c r="C87" s="403">
        <v>0</v>
      </c>
      <c r="D87" s="404">
        <v>1</v>
      </c>
      <c r="E87" s="75">
        <f t="shared" si="17"/>
        <v>1</v>
      </c>
      <c r="F87" s="297" t="s">
        <v>601</v>
      </c>
      <c r="G87" s="135">
        <v>0</v>
      </c>
      <c r="H87" s="324">
        <v>0</v>
      </c>
      <c r="I87" s="214">
        <v>5</v>
      </c>
      <c r="J87" s="136">
        <f t="shared" si="18"/>
        <v>5</v>
      </c>
    </row>
    <row r="88" spans="1:10" ht="14.95" thickBot="1" x14ac:dyDescent="0.3">
      <c r="A88" s="308" t="s">
        <v>359</v>
      </c>
      <c r="B88" s="144">
        <v>1</v>
      </c>
      <c r="C88" s="403">
        <v>0</v>
      </c>
      <c r="D88" s="404">
        <v>0</v>
      </c>
      <c r="E88" s="75">
        <f t="shared" si="17"/>
        <v>1</v>
      </c>
      <c r="F88" s="297" t="s">
        <v>603</v>
      </c>
      <c r="G88" s="135">
        <v>0</v>
      </c>
      <c r="H88" s="324">
        <v>5</v>
      </c>
      <c r="I88" s="215">
        <v>0</v>
      </c>
      <c r="J88" s="139">
        <f t="shared" si="18"/>
        <v>5</v>
      </c>
    </row>
    <row r="89" spans="1:10" ht="14.95" thickBot="1" x14ac:dyDescent="0.3">
      <c r="A89" s="308" t="s">
        <v>227</v>
      </c>
      <c r="B89" s="144">
        <v>0</v>
      </c>
      <c r="C89" s="403">
        <v>1</v>
      </c>
      <c r="D89" s="404">
        <v>0</v>
      </c>
      <c r="E89" s="75">
        <f t="shared" si="17"/>
        <v>1</v>
      </c>
      <c r="F89" s="297" t="s">
        <v>924</v>
      </c>
      <c r="G89" s="135">
        <v>5</v>
      </c>
      <c r="H89" s="324">
        <v>0</v>
      </c>
      <c r="I89" s="215">
        <v>0</v>
      </c>
      <c r="J89" s="139">
        <f t="shared" si="18"/>
        <v>5</v>
      </c>
    </row>
    <row r="90" spans="1:10" ht="14.95" thickBot="1" x14ac:dyDescent="0.3">
      <c r="A90" s="308" t="s">
        <v>91</v>
      </c>
      <c r="B90" s="144">
        <v>1</v>
      </c>
      <c r="C90" s="403">
        <v>0</v>
      </c>
      <c r="D90" s="404">
        <v>0</v>
      </c>
      <c r="E90" s="75">
        <f t="shared" si="17"/>
        <v>1</v>
      </c>
      <c r="F90" s="297" t="s">
        <v>458</v>
      </c>
      <c r="G90" s="135">
        <v>0</v>
      </c>
      <c r="H90" s="324">
        <v>0</v>
      </c>
      <c r="I90" s="215">
        <v>5</v>
      </c>
      <c r="J90" s="139">
        <f t="shared" si="18"/>
        <v>5</v>
      </c>
    </row>
    <row r="91" spans="1:10" ht="14.95" thickBot="1" x14ac:dyDescent="0.3">
      <c r="A91" s="308" t="s">
        <v>620</v>
      </c>
      <c r="B91" s="144">
        <v>0</v>
      </c>
      <c r="C91" s="403">
        <v>0</v>
      </c>
      <c r="D91" s="404">
        <v>1</v>
      </c>
      <c r="E91" s="75">
        <f t="shared" si="17"/>
        <v>1</v>
      </c>
      <c r="F91" s="297" t="s">
        <v>227</v>
      </c>
      <c r="G91" s="135">
        <v>0</v>
      </c>
      <c r="H91" s="324">
        <v>5</v>
      </c>
      <c r="I91" s="215">
        <v>0</v>
      </c>
      <c r="J91" s="139">
        <f t="shared" si="18"/>
        <v>5</v>
      </c>
    </row>
    <row r="92" spans="1:10" ht="14.95" thickBot="1" x14ac:dyDescent="0.3">
      <c r="A92" s="308" t="s">
        <v>92</v>
      </c>
      <c r="B92" s="144">
        <v>0</v>
      </c>
      <c r="C92" s="403">
        <v>0</v>
      </c>
      <c r="D92" s="404">
        <v>1</v>
      </c>
      <c r="E92" s="75">
        <f t="shared" si="17"/>
        <v>1</v>
      </c>
      <c r="F92" s="297" t="s">
        <v>91</v>
      </c>
      <c r="G92" s="135">
        <v>5</v>
      </c>
      <c r="H92" s="324">
        <v>0</v>
      </c>
      <c r="I92" s="215">
        <v>0</v>
      </c>
      <c r="J92" s="139">
        <f t="shared" si="18"/>
        <v>5</v>
      </c>
    </row>
    <row r="93" spans="1:10" ht="14.95" thickBot="1" x14ac:dyDescent="0.3">
      <c r="A93" s="308" t="s">
        <v>476</v>
      </c>
      <c r="B93" s="144">
        <v>0</v>
      </c>
      <c r="C93" s="403">
        <v>1</v>
      </c>
      <c r="D93" s="404">
        <v>0</v>
      </c>
      <c r="E93" s="75">
        <f t="shared" si="17"/>
        <v>1</v>
      </c>
      <c r="F93" s="297" t="s">
        <v>620</v>
      </c>
      <c r="G93" s="135">
        <v>0</v>
      </c>
      <c r="H93" s="324">
        <v>0</v>
      </c>
      <c r="I93" s="215">
        <v>5</v>
      </c>
      <c r="J93" s="139">
        <f t="shared" si="18"/>
        <v>5</v>
      </c>
    </row>
    <row r="94" spans="1:10" ht="14.95" thickBot="1" x14ac:dyDescent="0.3">
      <c r="A94" s="308" t="s">
        <v>5</v>
      </c>
      <c r="B94" s="144">
        <v>0</v>
      </c>
      <c r="C94" s="403">
        <v>1</v>
      </c>
      <c r="D94" s="404">
        <v>0</v>
      </c>
      <c r="E94" s="75">
        <f t="shared" ref="E94:E125" si="19">SUM(B94:D94)</f>
        <v>1</v>
      </c>
      <c r="F94" s="297" t="s">
        <v>92</v>
      </c>
      <c r="G94" s="135">
        <v>0</v>
      </c>
      <c r="H94" s="324">
        <v>0</v>
      </c>
      <c r="I94" s="215">
        <v>5</v>
      </c>
      <c r="J94" s="139">
        <f t="shared" ref="J94:J125" si="20">SUM(G94:I94)</f>
        <v>5</v>
      </c>
    </row>
    <row r="95" spans="1:10" ht="14.95" thickBot="1" x14ac:dyDescent="0.3">
      <c r="A95" s="308" t="s">
        <v>622</v>
      </c>
      <c r="B95" s="144">
        <v>0</v>
      </c>
      <c r="C95" s="403">
        <v>0</v>
      </c>
      <c r="D95" s="404">
        <v>0</v>
      </c>
      <c r="E95" s="75">
        <f t="shared" si="19"/>
        <v>0</v>
      </c>
      <c r="F95" s="297" t="s">
        <v>476</v>
      </c>
      <c r="G95" s="135">
        <v>0</v>
      </c>
      <c r="H95" s="324">
        <v>5</v>
      </c>
      <c r="I95" s="215">
        <v>0</v>
      </c>
      <c r="J95" s="139">
        <f t="shared" si="20"/>
        <v>5</v>
      </c>
    </row>
    <row r="96" spans="1:10" ht="14.95" thickBot="1" x14ac:dyDescent="0.3">
      <c r="A96" s="308" t="s">
        <v>591</v>
      </c>
      <c r="B96" s="144">
        <v>0</v>
      </c>
      <c r="C96" s="403">
        <v>0</v>
      </c>
      <c r="D96" s="404">
        <v>0</v>
      </c>
      <c r="E96" s="75">
        <f t="shared" si="19"/>
        <v>0</v>
      </c>
      <c r="F96" s="297" t="s">
        <v>1018</v>
      </c>
      <c r="G96" s="135">
        <v>0</v>
      </c>
      <c r="H96" s="324">
        <v>0</v>
      </c>
      <c r="I96" s="214">
        <v>4</v>
      </c>
      <c r="J96" s="136">
        <f t="shared" si="20"/>
        <v>4</v>
      </c>
    </row>
    <row r="97" spans="1:10" ht="14.95" thickBot="1" x14ac:dyDescent="0.3">
      <c r="A97" s="308" t="s">
        <v>182</v>
      </c>
      <c r="B97" s="144">
        <v>0</v>
      </c>
      <c r="C97" s="403">
        <v>0</v>
      </c>
      <c r="D97" s="404">
        <v>0</v>
      </c>
      <c r="E97" s="75">
        <f t="shared" si="19"/>
        <v>0</v>
      </c>
      <c r="F97" s="297" t="s">
        <v>622</v>
      </c>
      <c r="G97" s="135">
        <v>0</v>
      </c>
      <c r="H97" s="324">
        <v>0</v>
      </c>
      <c r="I97" s="214">
        <v>0</v>
      </c>
      <c r="J97" s="136">
        <f t="shared" si="20"/>
        <v>0</v>
      </c>
    </row>
    <row r="98" spans="1:10" ht="14.95" thickBot="1" x14ac:dyDescent="0.3">
      <c r="A98" s="308" t="s">
        <v>184</v>
      </c>
      <c r="B98" s="144">
        <v>0</v>
      </c>
      <c r="C98" s="403">
        <v>0</v>
      </c>
      <c r="D98" s="404">
        <v>0</v>
      </c>
      <c r="E98" s="75">
        <f t="shared" si="19"/>
        <v>0</v>
      </c>
      <c r="F98" s="297" t="s">
        <v>591</v>
      </c>
      <c r="G98" s="135">
        <v>0</v>
      </c>
      <c r="H98" s="324">
        <v>0</v>
      </c>
      <c r="I98" s="214">
        <v>0</v>
      </c>
      <c r="J98" s="136">
        <f t="shared" si="20"/>
        <v>0</v>
      </c>
    </row>
    <row r="99" spans="1:10" ht="14.95" thickBot="1" x14ac:dyDescent="0.3">
      <c r="A99" s="308" t="s">
        <v>588</v>
      </c>
      <c r="B99" s="144">
        <v>0</v>
      </c>
      <c r="C99" s="403">
        <v>0</v>
      </c>
      <c r="D99" s="404">
        <v>0</v>
      </c>
      <c r="E99" s="75">
        <f t="shared" si="19"/>
        <v>0</v>
      </c>
      <c r="F99" s="297" t="s">
        <v>182</v>
      </c>
      <c r="G99" s="135">
        <v>0</v>
      </c>
      <c r="H99" s="324">
        <v>0</v>
      </c>
      <c r="I99" s="214">
        <v>0</v>
      </c>
      <c r="J99" s="136">
        <f t="shared" si="20"/>
        <v>0</v>
      </c>
    </row>
    <row r="100" spans="1:10" ht="14.95" thickBot="1" x14ac:dyDescent="0.3">
      <c r="A100" s="308" t="s">
        <v>595</v>
      </c>
      <c r="B100" s="144">
        <v>0</v>
      </c>
      <c r="C100" s="403">
        <v>0</v>
      </c>
      <c r="D100" s="404">
        <v>0</v>
      </c>
      <c r="E100" s="75">
        <f t="shared" si="19"/>
        <v>0</v>
      </c>
      <c r="F100" s="297" t="s">
        <v>184</v>
      </c>
      <c r="G100" s="135">
        <v>0</v>
      </c>
      <c r="H100" s="324">
        <v>0</v>
      </c>
      <c r="I100" s="214">
        <v>0</v>
      </c>
      <c r="J100" s="136">
        <f t="shared" si="20"/>
        <v>0</v>
      </c>
    </row>
    <row r="101" spans="1:10" ht="14.95" thickBot="1" x14ac:dyDescent="0.3">
      <c r="A101" s="308" t="s">
        <v>534</v>
      </c>
      <c r="B101" s="144">
        <v>0</v>
      </c>
      <c r="C101" s="403">
        <v>0</v>
      </c>
      <c r="D101" s="404">
        <v>0</v>
      </c>
      <c r="E101" s="75">
        <f t="shared" si="19"/>
        <v>0</v>
      </c>
      <c r="F101" s="297" t="s">
        <v>588</v>
      </c>
      <c r="G101" s="135">
        <v>0</v>
      </c>
      <c r="H101" s="324">
        <v>0</v>
      </c>
      <c r="I101" s="214">
        <v>0</v>
      </c>
      <c r="J101" s="136">
        <f t="shared" si="20"/>
        <v>0</v>
      </c>
    </row>
    <row r="102" spans="1:10" ht="14.95" thickBot="1" x14ac:dyDescent="0.3">
      <c r="A102" s="308" t="s">
        <v>616</v>
      </c>
      <c r="B102" s="144">
        <v>0</v>
      </c>
      <c r="C102" s="403">
        <v>0</v>
      </c>
      <c r="D102" s="404">
        <v>0</v>
      </c>
      <c r="E102" s="75">
        <f t="shared" si="19"/>
        <v>0</v>
      </c>
      <c r="F102" s="297" t="s">
        <v>595</v>
      </c>
      <c r="G102" s="135">
        <v>0</v>
      </c>
      <c r="H102" s="324">
        <v>0</v>
      </c>
      <c r="I102" s="214">
        <v>0</v>
      </c>
      <c r="J102" s="136">
        <f t="shared" si="20"/>
        <v>0</v>
      </c>
    </row>
    <row r="103" spans="1:10" ht="14.95" thickBot="1" x14ac:dyDescent="0.3">
      <c r="A103" s="308" t="s">
        <v>610</v>
      </c>
      <c r="B103" s="144">
        <v>0</v>
      </c>
      <c r="C103" s="403">
        <v>0</v>
      </c>
      <c r="D103" s="404">
        <v>0</v>
      </c>
      <c r="E103" s="75">
        <f t="shared" si="19"/>
        <v>0</v>
      </c>
      <c r="F103" s="297" t="s">
        <v>534</v>
      </c>
      <c r="G103" s="135">
        <v>0</v>
      </c>
      <c r="H103" s="324">
        <v>0</v>
      </c>
      <c r="I103" s="214">
        <v>0</v>
      </c>
      <c r="J103" s="136">
        <f t="shared" si="20"/>
        <v>0</v>
      </c>
    </row>
    <row r="104" spans="1:10" ht="14.95" thickBot="1" x14ac:dyDescent="0.3">
      <c r="A104" s="308" t="s">
        <v>613</v>
      </c>
      <c r="B104" s="144">
        <v>0</v>
      </c>
      <c r="C104" s="403">
        <v>0</v>
      </c>
      <c r="D104" s="404">
        <v>0</v>
      </c>
      <c r="E104" s="75">
        <f t="shared" si="19"/>
        <v>0</v>
      </c>
      <c r="F104" s="297" t="s">
        <v>616</v>
      </c>
      <c r="G104" s="135">
        <v>0</v>
      </c>
      <c r="H104" s="324">
        <v>0</v>
      </c>
      <c r="I104" s="214">
        <v>0</v>
      </c>
      <c r="J104" s="136">
        <f t="shared" si="20"/>
        <v>0</v>
      </c>
    </row>
    <row r="105" spans="1:10" ht="14.95" thickBot="1" x14ac:dyDescent="0.3">
      <c r="A105" s="308" t="s">
        <v>263</v>
      </c>
      <c r="B105" s="144">
        <v>0</v>
      </c>
      <c r="C105" s="403">
        <v>0</v>
      </c>
      <c r="D105" s="404">
        <v>0</v>
      </c>
      <c r="E105" s="75">
        <f t="shared" si="19"/>
        <v>0</v>
      </c>
      <c r="F105" s="297" t="s">
        <v>610</v>
      </c>
      <c r="G105" s="135">
        <v>0</v>
      </c>
      <c r="H105" s="324">
        <v>0</v>
      </c>
      <c r="I105" s="214">
        <v>0</v>
      </c>
      <c r="J105" s="136">
        <f t="shared" si="20"/>
        <v>0</v>
      </c>
    </row>
    <row r="106" spans="1:10" ht="14.95" thickBot="1" x14ac:dyDescent="0.3">
      <c r="A106" s="308" t="s">
        <v>808</v>
      </c>
      <c r="B106" s="144">
        <v>0</v>
      </c>
      <c r="C106" s="403">
        <v>0</v>
      </c>
      <c r="D106" s="404">
        <v>0</v>
      </c>
      <c r="E106" s="75">
        <f t="shared" si="19"/>
        <v>0</v>
      </c>
      <c r="F106" s="297" t="s">
        <v>613</v>
      </c>
      <c r="G106" s="135">
        <v>0</v>
      </c>
      <c r="H106" s="324">
        <v>0</v>
      </c>
      <c r="I106" s="214">
        <v>0</v>
      </c>
      <c r="J106" s="136">
        <f t="shared" si="20"/>
        <v>0</v>
      </c>
    </row>
    <row r="107" spans="1:10" ht="14.95" thickBot="1" x14ac:dyDescent="0.3">
      <c r="A107" s="308" t="s">
        <v>51</v>
      </c>
      <c r="B107" s="144">
        <v>0</v>
      </c>
      <c r="C107" s="403">
        <v>0</v>
      </c>
      <c r="D107" s="404">
        <v>0</v>
      </c>
      <c r="E107" s="75">
        <f t="shared" si="19"/>
        <v>0</v>
      </c>
      <c r="F107" s="297" t="s">
        <v>263</v>
      </c>
      <c r="G107" s="135">
        <v>0</v>
      </c>
      <c r="H107" s="324">
        <v>0</v>
      </c>
      <c r="I107" s="214">
        <v>0</v>
      </c>
      <c r="J107" s="136">
        <f t="shared" si="20"/>
        <v>0</v>
      </c>
    </row>
    <row r="108" spans="1:10" ht="14.95" thickBot="1" x14ac:dyDescent="0.3">
      <c r="A108" s="308" t="s">
        <v>4</v>
      </c>
      <c r="B108" s="144">
        <v>0</v>
      </c>
      <c r="C108" s="403">
        <v>0</v>
      </c>
      <c r="D108" s="404">
        <v>0</v>
      </c>
      <c r="E108" s="75">
        <f t="shared" si="19"/>
        <v>0</v>
      </c>
      <c r="F108" s="297" t="s">
        <v>808</v>
      </c>
      <c r="G108" s="135">
        <v>0</v>
      </c>
      <c r="H108" s="324">
        <v>0</v>
      </c>
      <c r="I108" s="214">
        <v>0</v>
      </c>
      <c r="J108" s="136">
        <f t="shared" si="20"/>
        <v>0</v>
      </c>
    </row>
    <row r="109" spans="1:10" ht="14.95" thickBot="1" x14ac:dyDescent="0.3">
      <c r="A109" s="308" t="s">
        <v>923</v>
      </c>
      <c r="B109" s="144">
        <v>0</v>
      </c>
      <c r="C109" s="403">
        <v>0</v>
      </c>
      <c r="D109" s="404">
        <v>0</v>
      </c>
      <c r="E109" s="75">
        <f t="shared" si="19"/>
        <v>0</v>
      </c>
      <c r="F109" s="297" t="s">
        <v>4</v>
      </c>
      <c r="G109" s="135">
        <v>0</v>
      </c>
      <c r="H109" s="324">
        <v>0</v>
      </c>
      <c r="I109" s="214">
        <v>0</v>
      </c>
      <c r="J109" s="136">
        <f t="shared" si="20"/>
        <v>0</v>
      </c>
    </row>
    <row r="110" spans="1:10" ht="14.95" thickBot="1" x14ac:dyDescent="0.3">
      <c r="A110" s="308" t="s">
        <v>216</v>
      </c>
      <c r="B110" s="144">
        <v>0</v>
      </c>
      <c r="C110" s="403">
        <v>0</v>
      </c>
      <c r="D110" s="404">
        <v>0</v>
      </c>
      <c r="E110" s="75">
        <f t="shared" si="19"/>
        <v>0</v>
      </c>
      <c r="F110" s="297" t="s">
        <v>923</v>
      </c>
      <c r="G110" s="135">
        <v>0</v>
      </c>
      <c r="H110" s="324">
        <v>0</v>
      </c>
      <c r="I110" s="214">
        <v>0</v>
      </c>
      <c r="J110" s="136">
        <f t="shared" si="20"/>
        <v>0</v>
      </c>
    </row>
    <row r="111" spans="1:10" ht="14.95" thickBot="1" x14ac:dyDescent="0.3">
      <c r="A111" s="308" t="s">
        <v>53</v>
      </c>
      <c r="B111" s="144">
        <v>0</v>
      </c>
      <c r="C111" s="403">
        <v>0</v>
      </c>
      <c r="D111" s="404">
        <v>0</v>
      </c>
      <c r="E111" s="75">
        <f t="shared" si="19"/>
        <v>0</v>
      </c>
      <c r="F111" s="297" t="s">
        <v>216</v>
      </c>
      <c r="G111" s="135">
        <v>0</v>
      </c>
      <c r="H111" s="324">
        <v>0</v>
      </c>
      <c r="I111" s="214">
        <v>0</v>
      </c>
      <c r="J111" s="136">
        <f t="shared" si="20"/>
        <v>0</v>
      </c>
    </row>
    <row r="112" spans="1:10" ht="14.95" thickBot="1" x14ac:dyDescent="0.3">
      <c r="A112" s="308" t="s">
        <v>93</v>
      </c>
      <c r="B112" s="144">
        <v>0</v>
      </c>
      <c r="C112" s="403">
        <v>0</v>
      </c>
      <c r="D112" s="404">
        <v>0</v>
      </c>
      <c r="E112" s="75">
        <f t="shared" si="19"/>
        <v>0</v>
      </c>
      <c r="F112" s="297" t="s">
        <v>53</v>
      </c>
      <c r="G112" s="135">
        <v>0</v>
      </c>
      <c r="H112" s="324">
        <v>0</v>
      </c>
      <c r="I112" s="214">
        <v>0</v>
      </c>
      <c r="J112" s="136">
        <f t="shared" si="20"/>
        <v>0</v>
      </c>
    </row>
    <row r="113" spans="1:10" ht="14.95" thickBot="1" x14ac:dyDescent="0.3">
      <c r="A113" s="308" t="s">
        <v>619</v>
      </c>
      <c r="B113" s="144">
        <v>0</v>
      </c>
      <c r="C113" s="403">
        <v>0</v>
      </c>
      <c r="D113" s="404">
        <v>0</v>
      </c>
      <c r="E113" s="75">
        <f t="shared" si="19"/>
        <v>0</v>
      </c>
      <c r="F113" s="297" t="s">
        <v>93</v>
      </c>
      <c r="G113" s="135">
        <v>0</v>
      </c>
      <c r="H113" s="324">
        <v>0</v>
      </c>
      <c r="I113" s="214">
        <v>0</v>
      </c>
      <c r="J113" s="136">
        <f t="shared" si="20"/>
        <v>0</v>
      </c>
    </row>
    <row r="114" spans="1:10" ht="14.95" thickBot="1" x14ac:dyDescent="0.3">
      <c r="A114" s="308" t="s">
        <v>1018</v>
      </c>
      <c r="B114" s="144">
        <v>0</v>
      </c>
      <c r="C114" s="403">
        <v>0</v>
      </c>
      <c r="D114" s="404">
        <v>0</v>
      </c>
      <c r="E114" s="75">
        <f t="shared" si="19"/>
        <v>0</v>
      </c>
      <c r="F114" s="297" t="s">
        <v>619</v>
      </c>
      <c r="G114" s="135">
        <v>0</v>
      </c>
      <c r="H114" s="324">
        <v>0</v>
      </c>
      <c r="I114" s="214">
        <v>0</v>
      </c>
      <c r="J114" s="136">
        <f t="shared" si="20"/>
        <v>0</v>
      </c>
    </row>
    <row r="115" spans="1:10" ht="14.95" thickBot="1" x14ac:dyDescent="0.3">
      <c r="A115" s="308" t="s">
        <v>599</v>
      </c>
      <c r="B115" s="144">
        <v>0</v>
      </c>
      <c r="C115" s="403">
        <v>0</v>
      </c>
      <c r="D115" s="404">
        <v>0</v>
      </c>
      <c r="E115" s="75">
        <f t="shared" si="19"/>
        <v>0</v>
      </c>
      <c r="F115" s="297" t="s">
        <v>599</v>
      </c>
      <c r="G115" s="135">
        <v>0</v>
      </c>
      <c r="H115" s="324">
        <v>0</v>
      </c>
      <c r="I115" s="214">
        <v>0</v>
      </c>
      <c r="J115" s="136">
        <f t="shared" si="20"/>
        <v>0</v>
      </c>
    </row>
    <row r="116" spans="1:10" ht="14.95" thickBot="1" x14ac:dyDescent="0.3">
      <c r="A116" s="308" t="s">
        <v>39</v>
      </c>
      <c r="B116" s="144">
        <v>0</v>
      </c>
      <c r="C116" s="403">
        <v>0</v>
      </c>
      <c r="D116" s="404">
        <v>0</v>
      </c>
      <c r="E116" s="75">
        <f t="shared" si="19"/>
        <v>0</v>
      </c>
      <c r="F116" s="297" t="s">
        <v>39</v>
      </c>
      <c r="G116" s="135">
        <v>0</v>
      </c>
      <c r="H116" s="324">
        <v>0</v>
      </c>
      <c r="I116" s="214">
        <v>0</v>
      </c>
      <c r="J116" s="136">
        <f t="shared" si="20"/>
        <v>0</v>
      </c>
    </row>
    <row r="117" spans="1:10" ht="14.95" thickBot="1" x14ac:dyDescent="0.3">
      <c r="A117" s="308" t="s">
        <v>3</v>
      </c>
      <c r="B117" s="144">
        <f>SUM(B62:B116)</f>
        <v>46</v>
      </c>
      <c r="C117" s="403">
        <f>SUM(C62:C116)</f>
        <v>27</v>
      </c>
      <c r="D117" s="404">
        <f>SUM(D62:D116)</f>
        <v>28</v>
      </c>
      <c r="E117" s="75">
        <f>SUM(E62:E116)</f>
        <v>101</v>
      </c>
      <c r="F117" s="297" t="s">
        <v>3</v>
      </c>
      <c r="G117" s="135">
        <f>SUM(G62:G116)</f>
        <v>323</v>
      </c>
      <c r="H117" s="324">
        <f>SUM(H62:H116)</f>
        <v>180</v>
      </c>
      <c r="I117" s="214">
        <f>SUM(I62:I116)</f>
        <v>194</v>
      </c>
      <c r="J117" s="136">
        <f>SUM(J62:J116)</f>
        <v>697</v>
      </c>
    </row>
    <row r="118" spans="1:10" x14ac:dyDescent="0.25">
      <c r="A118" s="447" t="s">
        <v>34</v>
      </c>
      <c r="B118" s="485"/>
      <c r="C118" s="485"/>
    </row>
  </sheetData>
  <sortState xmlns:xlrd2="http://schemas.microsoft.com/office/spreadsheetml/2017/richdata2" ref="F62:J116">
    <sortCondition descending="1" ref="J62:J116"/>
  </sortState>
  <mergeCells count="55">
    <mergeCell ref="AC14:AE15"/>
    <mergeCell ref="AC23:AE24"/>
    <mergeCell ref="AC30:AE31"/>
    <mergeCell ref="BA1:BC2"/>
    <mergeCell ref="AU14:AW15"/>
    <mergeCell ref="AR14:AT15"/>
    <mergeCell ref="AU1:AW2"/>
    <mergeCell ref="AU23:AW24"/>
    <mergeCell ref="AX23:AZ24"/>
    <mergeCell ref="AR23:AT24"/>
    <mergeCell ref="AO23:AQ24"/>
    <mergeCell ref="AI23:AK24"/>
    <mergeCell ref="AI30:AK31"/>
    <mergeCell ref="W1:Y2"/>
    <mergeCell ref="R14:T15"/>
    <mergeCell ref="AO1:AQ2"/>
    <mergeCell ref="AX14:AZ15"/>
    <mergeCell ref="AX1:AZ2"/>
    <mergeCell ref="T1:V2"/>
    <mergeCell ref="AL1:AN2"/>
    <mergeCell ref="AL14:AN15"/>
    <mergeCell ref="U14:W15"/>
    <mergeCell ref="AR1:AT2"/>
    <mergeCell ref="AI1:AK2"/>
    <mergeCell ref="AI14:AK15"/>
    <mergeCell ref="AF1:AH2"/>
    <mergeCell ref="AF14:AH15"/>
    <mergeCell ref="AO14:AQ15"/>
    <mergeCell ref="AC1:AE2"/>
    <mergeCell ref="A1:J1"/>
    <mergeCell ref="K30:K31"/>
    <mergeCell ref="L30:N31"/>
    <mergeCell ref="R1:S2"/>
    <mergeCell ref="K14:K15"/>
    <mergeCell ref="K1:K2"/>
    <mergeCell ref="L1:N2"/>
    <mergeCell ref="K23:K24"/>
    <mergeCell ref="L23:N24"/>
    <mergeCell ref="L14:N15"/>
    <mergeCell ref="R30:T31"/>
    <mergeCell ref="R23:T24"/>
    <mergeCell ref="O1:Q2"/>
    <mergeCell ref="O14:Q15"/>
    <mergeCell ref="O30:Q31"/>
    <mergeCell ref="O23:Q24"/>
    <mergeCell ref="U23:W24"/>
    <mergeCell ref="AL30:AN31"/>
    <mergeCell ref="AL23:AN24"/>
    <mergeCell ref="AF23:AH24"/>
    <mergeCell ref="AF30:AH31"/>
    <mergeCell ref="A118:C118"/>
    <mergeCell ref="AO30:AQ31"/>
    <mergeCell ref="U30:W31"/>
    <mergeCell ref="A59:H59"/>
    <mergeCell ref="K40:Y4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N102"/>
  <sheetViews>
    <sheetView topLeftCell="A10" zoomScaleNormal="100" workbookViewId="0">
      <selection activeCell="R25" sqref="R25"/>
    </sheetView>
  </sheetViews>
  <sheetFormatPr defaultColWidth="8.875" defaultRowHeight="14.3" x14ac:dyDescent="0.25"/>
  <cols>
    <col min="1" max="1" width="16.375" customWidth="1"/>
    <col min="2" max="4" width="3.75" customWidth="1"/>
    <col min="5" max="5" width="4.75" customWidth="1"/>
    <col min="6" max="6" width="16.375" customWidth="1"/>
    <col min="7" max="10" width="5.25" customWidth="1"/>
    <col min="11" max="11" width="15.75" customWidth="1"/>
    <col min="12" max="17" width="5.375" customWidth="1"/>
    <col min="18" max="18" width="5.875" bestFit="1" customWidth="1"/>
    <col min="19" max="19" width="5.75" customWidth="1"/>
    <col min="20" max="30" width="5.375" customWidth="1"/>
    <col min="31" max="51" width="5.75" customWidth="1"/>
    <col min="52" max="60" width="5.625" customWidth="1"/>
  </cols>
  <sheetData>
    <row r="1" spans="1:66" ht="14.95" customHeight="1" thickBot="1" x14ac:dyDescent="0.3">
      <c r="A1" s="88" t="s">
        <v>882</v>
      </c>
      <c r="B1" s="64"/>
      <c r="C1" s="64"/>
      <c r="D1" s="64"/>
      <c r="E1" s="64"/>
      <c r="F1" s="64"/>
      <c r="G1" s="64"/>
      <c r="H1" s="64"/>
      <c r="I1" s="64"/>
      <c r="J1" s="65"/>
      <c r="K1" s="467" t="s">
        <v>187</v>
      </c>
      <c r="L1" s="457" t="s">
        <v>44</v>
      </c>
      <c r="M1" s="461"/>
      <c r="N1" s="458"/>
      <c r="O1" s="457" t="s">
        <v>40</v>
      </c>
      <c r="P1" s="461"/>
      <c r="Q1" s="458"/>
      <c r="R1" s="457" t="s">
        <v>186</v>
      </c>
      <c r="S1" s="458"/>
      <c r="T1" s="449" t="s">
        <v>230</v>
      </c>
      <c r="U1" s="450"/>
      <c r="V1" s="451"/>
      <c r="W1" s="449" t="s">
        <v>875</v>
      </c>
      <c r="X1" s="450"/>
      <c r="Y1" s="451"/>
      <c r="Z1" s="195"/>
      <c r="AA1" s="160"/>
      <c r="AB1" s="449" t="s">
        <v>581</v>
      </c>
      <c r="AC1" s="450"/>
      <c r="AD1" s="451"/>
      <c r="AE1" s="449" t="s">
        <v>477</v>
      </c>
      <c r="AF1" s="450"/>
      <c r="AG1" s="451"/>
      <c r="AH1" s="449" t="s">
        <v>391</v>
      </c>
      <c r="AI1" s="450"/>
      <c r="AJ1" s="451"/>
      <c r="AK1" s="449" t="s">
        <v>300</v>
      </c>
      <c r="AL1" s="450"/>
      <c r="AM1" s="451"/>
      <c r="AN1" s="449" t="s">
        <v>220</v>
      </c>
      <c r="AO1" s="450"/>
      <c r="AP1" s="451"/>
      <c r="AQ1" s="449" t="s">
        <v>165</v>
      </c>
      <c r="AR1" s="450"/>
      <c r="AS1" s="451"/>
      <c r="AT1" s="449" t="s">
        <v>78</v>
      </c>
      <c r="AU1" s="450"/>
      <c r="AV1" s="451"/>
      <c r="AW1" s="449" t="s">
        <v>54</v>
      </c>
      <c r="AX1" s="450"/>
      <c r="AY1" s="451"/>
      <c r="AZ1" s="449" t="s">
        <v>50</v>
      </c>
      <c r="BA1" s="450"/>
      <c r="BB1" s="451"/>
      <c r="BC1" s="449" t="s">
        <v>37</v>
      </c>
      <c r="BD1" s="450"/>
      <c r="BE1" s="451"/>
      <c r="BF1" s="449" t="s">
        <v>42</v>
      </c>
      <c r="BG1" s="450"/>
      <c r="BH1" s="451"/>
      <c r="BI1" s="4"/>
      <c r="BJ1" s="4"/>
      <c r="BK1" s="4"/>
      <c r="BN1" s="4"/>
    </row>
    <row r="2" spans="1:66" ht="14.95" customHeight="1" thickBot="1" x14ac:dyDescent="0.3">
      <c r="A2" s="106" t="s">
        <v>0</v>
      </c>
      <c r="B2" s="114" t="s">
        <v>218</v>
      </c>
      <c r="C2" s="278" t="s">
        <v>31</v>
      </c>
      <c r="D2" s="227" t="s">
        <v>326</v>
      </c>
      <c r="E2" s="107" t="s">
        <v>1</v>
      </c>
      <c r="F2" s="259" t="s">
        <v>2</v>
      </c>
      <c r="G2" s="292" t="s">
        <v>218</v>
      </c>
      <c r="H2" s="325" t="s">
        <v>31</v>
      </c>
      <c r="I2" s="260" t="s">
        <v>326</v>
      </c>
      <c r="J2" s="105" t="s">
        <v>1</v>
      </c>
      <c r="K2" s="468"/>
      <c r="L2" s="459"/>
      <c r="M2" s="462"/>
      <c r="N2" s="460"/>
      <c r="O2" s="459"/>
      <c r="P2" s="462"/>
      <c r="Q2" s="460"/>
      <c r="R2" s="459"/>
      <c r="S2" s="460"/>
      <c r="T2" s="452"/>
      <c r="U2" s="453"/>
      <c r="V2" s="454"/>
      <c r="W2" s="452"/>
      <c r="X2" s="453"/>
      <c r="Y2" s="454"/>
      <c r="Z2" s="195"/>
      <c r="AA2" s="160"/>
      <c r="AB2" s="452"/>
      <c r="AC2" s="453"/>
      <c r="AD2" s="454"/>
      <c r="AE2" s="452"/>
      <c r="AF2" s="453"/>
      <c r="AG2" s="454"/>
      <c r="AH2" s="452"/>
      <c r="AI2" s="453"/>
      <c r="AJ2" s="454"/>
      <c r="AK2" s="452"/>
      <c r="AL2" s="453"/>
      <c r="AM2" s="454"/>
      <c r="AN2" s="452"/>
      <c r="AO2" s="453"/>
      <c r="AP2" s="454"/>
      <c r="AQ2" s="452"/>
      <c r="AR2" s="453"/>
      <c r="AS2" s="454"/>
      <c r="AT2" s="452"/>
      <c r="AU2" s="453"/>
      <c r="AV2" s="454"/>
      <c r="AW2" s="452"/>
      <c r="AX2" s="453"/>
      <c r="AY2" s="454"/>
      <c r="AZ2" s="452"/>
      <c r="BA2" s="453"/>
      <c r="BB2" s="454"/>
      <c r="BC2" s="452"/>
      <c r="BD2" s="453"/>
      <c r="BE2" s="454"/>
      <c r="BF2" s="452"/>
      <c r="BG2" s="453"/>
      <c r="BH2" s="454"/>
      <c r="BI2" s="4"/>
      <c r="BJ2" s="4"/>
      <c r="BK2" s="4"/>
      <c r="BL2" s="4"/>
      <c r="BM2" s="4"/>
    </row>
    <row r="3" spans="1:66" ht="14.95" customHeight="1" thickBot="1" x14ac:dyDescent="0.3">
      <c r="A3" s="42" t="s">
        <v>424</v>
      </c>
      <c r="B3" s="77">
        <v>0</v>
      </c>
      <c r="C3" s="279">
        <v>0</v>
      </c>
      <c r="D3" s="228">
        <v>0</v>
      </c>
      <c r="E3" s="5">
        <f>SUM(B3:D3)</f>
        <v>0</v>
      </c>
      <c r="F3" s="261" t="s">
        <v>424</v>
      </c>
      <c r="G3" s="293">
        <v>0</v>
      </c>
      <c r="H3" s="326">
        <v>0</v>
      </c>
      <c r="I3" s="262">
        <v>0</v>
      </c>
      <c r="J3" s="76">
        <f>SUM(G3:I3)</f>
        <v>0</v>
      </c>
      <c r="K3" s="217" t="s">
        <v>21</v>
      </c>
      <c r="L3" s="3" t="s">
        <v>46</v>
      </c>
      <c r="M3" s="3" t="s">
        <v>9</v>
      </c>
      <c r="N3" s="3" t="s">
        <v>10</v>
      </c>
      <c r="O3" s="3" t="s">
        <v>46</v>
      </c>
      <c r="P3" s="3" t="s">
        <v>9</v>
      </c>
      <c r="Q3" s="3" t="s">
        <v>10</v>
      </c>
      <c r="R3" s="3" t="s">
        <v>187</v>
      </c>
      <c r="S3" s="3" t="s">
        <v>58</v>
      </c>
      <c r="T3" s="7" t="s">
        <v>46</v>
      </c>
      <c r="U3" s="7" t="s">
        <v>9</v>
      </c>
      <c r="V3" s="7" t="s">
        <v>10</v>
      </c>
      <c r="W3" s="7" t="s">
        <v>46</v>
      </c>
      <c r="X3" s="7" t="s">
        <v>9</v>
      </c>
      <c r="Y3" s="7" t="s">
        <v>10</v>
      </c>
      <c r="Z3" s="93"/>
      <c r="AA3" s="94"/>
      <c r="AB3" s="148" t="s">
        <v>46</v>
      </c>
      <c r="AC3" s="7" t="s">
        <v>9</v>
      </c>
      <c r="AD3" s="7" t="s">
        <v>10</v>
      </c>
      <c r="AE3" s="148" t="s">
        <v>46</v>
      </c>
      <c r="AF3" s="7" t="s">
        <v>9</v>
      </c>
      <c r="AG3" s="7" t="s">
        <v>10</v>
      </c>
      <c r="AH3" s="148" t="s">
        <v>46</v>
      </c>
      <c r="AI3" s="7" t="s">
        <v>9</v>
      </c>
      <c r="AJ3" s="7" t="s">
        <v>10</v>
      </c>
      <c r="AK3" s="148" t="s">
        <v>46</v>
      </c>
      <c r="AL3" s="7" t="s">
        <v>9</v>
      </c>
      <c r="AM3" s="7" t="s">
        <v>10</v>
      </c>
      <c r="AN3" s="148" t="s">
        <v>46</v>
      </c>
      <c r="AO3" s="7" t="s">
        <v>9</v>
      </c>
      <c r="AP3" s="7" t="s">
        <v>10</v>
      </c>
      <c r="AQ3" s="148" t="s">
        <v>46</v>
      </c>
      <c r="AR3" s="7" t="s">
        <v>9</v>
      </c>
      <c r="AS3" s="7" t="s">
        <v>10</v>
      </c>
      <c r="AT3" s="148" t="s">
        <v>46</v>
      </c>
      <c r="AU3" s="7" t="s">
        <v>9</v>
      </c>
      <c r="AV3" s="7" t="s">
        <v>10</v>
      </c>
      <c r="AW3" s="6" t="s">
        <v>46</v>
      </c>
      <c r="AX3" s="7" t="s">
        <v>9</v>
      </c>
      <c r="AY3" s="7" t="s">
        <v>10</v>
      </c>
      <c r="AZ3" s="7" t="s">
        <v>46</v>
      </c>
      <c r="BA3" s="7" t="s">
        <v>9</v>
      </c>
      <c r="BB3" s="7" t="s">
        <v>10</v>
      </c>
      <c r="BC3" s="7" t="s">
        <v>46</v>
      </c>
      <c r="BD3" s="7" t="s">
        <v>9</v>
      </c>
      <c r="BE3" s="7" t="s">
        <v>10</v>
      </c>
      <c r="BF3" s="7" t="s">
        <v>46</v>
      </c>
      <c r="BG3" s="7" t="s">
        <v>9</v>
      </c>
      <c r="BH3" s="7" t="s">
        <v>10</v>
      </c>
    </row>
    <row r="4" spans="1:66" ht="14.95" thickBot="1" x14ac:dyDescent="0.3">
      <c r="A4" s="42" t="s">
        <v>629</v>
      </c>
      <c r="B4" s="77">
        <v>0</v>
      </c>
      <c r="C4" s="279">
        <v>0</v>
      </c>
      <c r="D4" s="228">
        <v>0</v>
      </c>
      <c r="E4" s="5">
        <f>SUM(B4:D4)</f>
        <v>0</v>
      </c>
      <c r="F4" s="261" t="s">
        <v>629</v>
      </c>
      <c r="G4" s="293">
        <v>0</v>
      </c>
      <c r="H4" s="326">
        <v>0</v>
      </c>
      <c r="I4" s="262">
        <v>0</v>
      </c>
      <c r="J4" s="76">
        <f>SUM(G4:I4)</f>
        <v>0</v>
      </c>
      <c r="K4" s="118" t="s">
        <v>424</v>
      </c>
      <c r="L4" s="40" t="s">
        <v>15</v>
      </c>
      <c r="M4" s="40" t="s">
        <v>15</v>
      </c>
      <c r="N4" s="41" t="s">
        <v>15</v>
      </c>
      <c r="O4" s="89" t="s">
        <v>15</v>
      </c>
      <c r="P4" s="89" t="s">
        <v>15</v>
      </c>
      <c r="Q4" s="90" t="s">
        <v>15</v>
      </c>
      <c r="R4" s="40" t="s">
        <v>19</v>
      </c>
      <c r="S4" s="40">
        <v>4</v>
      </c>
      <c r="T4" s="7" t="s">
        <v>15</v>
      </c>
      <c r="U4" s="7" t="s">
        <v>15</v>
      </c>
      <c r="V4" s="153" t="s">
        <v>15</v>
      </c>
      <c r="W4" s="7" t="s">
        <v>15</v>
      </c>
      <c r="X4" s="7" t="s">
        <v>15</v>
      </c>
      <c r="Y4" s="153" t="s">
        <v>15</v>
      </c>
      <c r="Z4" s="93"/>
      <c r="AA4" s="94"/>
      <c r="AB4" s="148" t="s">
        <v>15</v>
      </c>
      <c r="AC4" s="7" t="s">
        <v>15</v>
      </c>
      <c r="AD4" s="153" t="s">
        <v>15</v>
      </c>
      <c r="AE4" s="148" t="s">
        <v>15</v>
      </c>
      <c r="AF4" s="7" t="s">
        <v>15</v>
      </c>
      <c r="AG4" s="153" t="s">
        <v>15</v>
      </c>
      <c r="AH4" s="148" t="s">
        <v>15</v>
      </c>
      <c r="AI4" s="7" t="s">
        <v>15</v>
      </c>
      <c r="AJ4" s="7" t="s">
        <v>15</v>
      </c>
      <c r="AK4" s="148" t="s">
        <v>15</v>
      </c>
      <c r="AL4" s="7" t="s">
        <v>15</v>
      </c>
      <c r="AM4" s="7" t="s">
        <v>15</v>
      </c>
      <c r="AN4" s="148" t="s">
        <v>15</v>
      </c>
      <c r="AO4" s="7" t="s">
        <v>15</v>
      </c>
      <c r="AP4" s="7" t="s">
        <v>15</v>
      </c>
      <c r="AQ4" s="148" t="s">
        <v>15</v>
      </c>
      <c r="AR4" s="7" t="s">
        <v>15</v>
      </c>
      <c r="AS4" s="7" t="s">
        <v>15</v>
      </c>
      <c r="AT4" s="148" t="s">
        <v>15</v>
      </c>
      <c r="AU4" s="7" t="s">
        <v>15</v>
      </c>
      <c r="AV4" s="7" t="s">
        <v>15</v>
      </c>
      <c r="AW4" s="148" t="s">
        <v>15</v>
      </c>
      <c r="AX4" s="7" t="s">
        <v>15</v>
      </c>
      <c r="AY4" s="7" t="s">
        <v>15</v>
      </c>
      <c r="AZ4" s="148" t="s">
        <v>15</v>
      </c>
      <c r="BA4" s="7" t="s">
        <v>15</v>
      </c>
      <c r="BB4" s="7" t="s">
        <v>15</v>
      </c>
      <c r="BC4" s="148" t="s">
        <v>15</v>
      </c>
      <c r="BD4" s="7" t="s">
        <v>15</v>
      </c>
      <c r="BE4" s="7" t="s">
        <v>15</v>
      </c>
      <c r="BF4" s="148" t="s">
        <v>15</v>
      </c>
      <c r="BG4" s="7" t="s">
        <v>15</v>
      </c>
      <c r="BH4" s="7" t="s">
        <v>15</v>
      </c>
      <c r="BI4" s="4"/>
      <c r="BJ4" s="4"/>
      <c r="BK4" s="4"/>
      <c r="BL4" s="4"/>
      <c r="BM4" s="4"/>
    </row>
    <row r="5" spans="1:66" ht="14.95" thickBot="1" x14ac:dyDescent="0.3">
      <c r="A5" s="42" t="s">
        <v>764</v>
      </c>
      <c r="B5" s="77">
        <v>4</v>
      </c>
      <c r="C5" s="279">
        <v>2</v>
      </c>
      <c r="D5" s="228">
        <v>2</v>
      </c>
      <c r="E5" s="5">
        <f>SUM(B5:D5)</f>
        <v>8</v>
      </c>
      <c r="F5" s="261" t="s">
        <v>764</v>
      </c>
      <c r="G5" s="293">
        <v>20</v>
      </c>
      <c r="H5" s="326">
        <v>10</v>
      </c>
      <c r="I5" s="262">
        <v>10</v>
      </c>
      <c r="J5" s="76">
        <f>SUM(G5:I5)</f>
        <v>40</v>
      </c>
      <c r="K5" s="118" t="s">
        <v>1035</v>
      </c>
      <c r="L5" s="40" t="s">
        <v>15</v>
      </c>
      <c r="M5" s="40" t="s">
        <v>15</v>
      </c>
      <c r="N5" s="41" t="s">
        <v>15</v>
      </c>
      <c r="O5" s="89" t="s">
        <v>15</v>
      </c>
      <c r="P5" s="89" t="s">
        <v>15</v>
      </c>
      <c r="Q5" s="90" t="s">
        <v>15</v>
      </c>
      <c r="R5" s="40" t="s">
        <v>19</v>
      </c>
      <c r="S5" s="40">
        <v>6</v>
      </c>
      <c r="T5" s="7" t="s">
        <v>15</v>
      </c>
      <c r="U5" s="7" t="s">
        <v>15</v>
      </c>
      <c r="V5" s="153" t="s">
        <v>15</v>
      </c>
      <c r="W5" s="7" t="s">
        <v>15</v>
      </c>
      <c r="X5" s="7" t="s">
        <v>15</v>
      </c>
      <c r="Y5" s="153" t="s">
        <v>15</v>
      </c>
      <c r="Z5" s="93"/>
      <c r="AA5" s="94"/>
      <c r="AB5" s="148" t="s">
        <v>15</v>
      </c>
      <c r="AC5" s="7" t="s">
        <v>15</v>
      </c>
      <c r="AD5" s="153" t="s">
        <v>15</v>
      </c>
      <c r="AE5" s="148" t="s">
        <v>15</v>
      </c>
      <c r="AF5" s="7" t="s">
        <v>15</v>
      </c>
      <c r="AG5" s="153" t="s">
        <v>15</v>
      </c>
      <c r="AH5" s="148" t="s">
        <v>15</v>
      </c>
      <c r="AI5" s="7" t="s">
        <v>15</v>
      </c>
      <c r="AJ5" s="7" t="s">
        <v>15</v>
      </c>
      <c r="AK5" s="148" t="s">
        <v>15</v>
      </c>
      <c r="AL5" s="7" t="s">
        <v>15</v>
      </c>
      <c r="AM5" s="7" t="s">
        <v>15</v>
      </c>
      <c r="AN5" s="148" t="s">
        <v>15</v>
      </c>
      <c r="AO5" s="7" t="s">
        <v>15</v>
      </c>
      <c r="AP5" s="7" t="s">
        <v>15</v>
      </c>
      <c r="AQ5" s="148" t="s">
        <v>15</v>
      </c>
      <c r="AR5" s="7" t="s">
        <v>15</v>
      </c>
      <c r="AS5" s="7" t="s">
        <v>15</v>
      </c>
      <c r="AT5" s="148" t="s">
        <v>15</v>
      </c>
      <c r="AU5" s="7" t="s">
        <v>15</v>
      </c>
      <c r="AV5" s="7" t="s">
        <v>15</v>
      </c>
      <c r="AW5" s="148" t="s">
        <v>15</v>
      </c>
      <c r="AX5" s="7" t="s">
        <v>15</v>
      </c>
      <c r="AY5" s="7" t="s">
        <v>15</v>
      </c>
      <c r="AZ5" s="148" t="s">
        <v>15</v>
      </c>
      <c r="BA5" s="7" t="s">
        <v>15</v>
      </c>
      <c r="BB5" s="7" t="s">
        <v>15</v>
      </c>
      <c r="BC5" s="148" t="s">
        <v>15</v>
      </c>
      <c r="BD5" s="7" t="s">
        <v>15</v>
      </c>
      <c r="BE5" s="7" t="s">
        <v>15</v>
      </c>
      <c r="BF5" s="148" t="s">
        <v>15</v>
      </c>
      <c r="BG5" s="7" t="s">
        <v>15</v>
      </c>
      <c r="BH5" s="7" t="s">
        <v>15</v>
      </c>
      <c r="BI5" s="4"/>
      <c r="BJ5" s="4"/>
      <c r="BK5" s="4"/>
      <c r="BL5" s="4"/>
      <c r="BM5" s="4"/>
    </row>
    <row r="6" spans="1:66" ht="14.95" thickBot="1" x14ac:dyDescent="0.3">
      <c r="A6" s="42" t="s">
        <v>470</v>
      </c>
      <c r="B6" s="77">
        <v>0</v>
      </c>
      <c r="C6" s="279">
        <v>0</v>
      </c>
      <c r="D6" s="228">
        <v>0</v>
      </c>
      <c r="E6" s="5">
        <f>SUM(B6:D6)</f>
        <v>0</v>
      </c>
      <c r="F6" s="261" t="s">
        <v>470</v>
      </c>
      <c r="G6" s="293">
        <v>0</v>
      </c>
      <c r="H6" s="326">
        <v>0</v>
      </c>
      <c r="I6" s="262">
        <v>0</v>
      </c>
      <c r="J6" s="76">
        <f>SUM(G6:I6)</f>
        <v>0</v>
      </c>
      <c r="K6" s="118" t="s">
        <v>866</v>
      </c>
      <c r="L6" s="40" t="s">
        <v>15</v>
      </c>
      <c r="M6" s="40" t="s">
        <v>15</v>
      </c>
      <c r="N6" s="41" t="s">
        <v>15</v>
      </c>
      <c r="O6" s="89" t="s">
        <v>15</v>
      </c>
      <c r="P6" s="89" t="s">
        <v>15</v>
      </c>
      <c r="Q6" s="90" t="s">
        <v>15</v>
      </c>
      <c r="R6" s="40">
        <v>-1</v>
      </c>
      <c r="S6" s="40">
        <v>1</v>
      </c>
      <c r="T6" s="7">
        <v>0</v>
      </c>
      <c r="U6" s="7">
        <v>1</v>
      </c>
      <c r="V6" s="153">
        <v>0</v>
      </c>
      <c r="W6" s="7" t="s">
        <v>15</v>
      </c>
      <c r="X6" s="7" t="s">
        <v>15</v>
      </c>
      <c r="Y6" s="153" t="s">
        <v>15</v>
      </c>
      <c r="Z6" s="93"/>
      <c r="AA6" s="94"/>
      <c r="AB6" s="148">
        <v>1</v>
      </c>
      <c r="AC6" s="7">
        <v>1</v>
      </c>
      <c r="AD6" s="153">
        <v>100</v>
      </c>
      <c r="AE6" s="148">
        <v>25</v>
      </c>
      <c r="AF6" s="7">
        <v>33</v>
      </c>
      <c r="AG6" s="153">
        <v>75.757575757575751</v>
      </c>
      <c r="AH6" s="148" t="s">
        <v>15</v>
      </c>
      <c r="AI6" s="7" t="s">
        <v>15</v>
      </c>
      <c r="AJ6" s="7" t="s">
        <v>15</v>
      </c>
      <c r="AK6" s="148" t="s">
        <v>15</v>
      </c>
      <c r="AL6" s="7" t="s">
        <v>15</v>
      </c>
      <c r="AM6" s="7" t="s">
        <v>15</v>
      </c>
      <c r="AN6" s="148" t="s">
        <v>15</v>
      </c>
      <c r="AO6" s="7" t="s">
        <v>15</v>
      </c>
      <c r="AP6" s="7" t="s">
        <v>15</v>
      </c>
      <c r="AQ6" s="148" t="s">
        <v>15</v>
      </c>
      <c r="AR6" s="7" t="s">
        <v>15</v>
      </c>
      <c r="AS6" s="7" t="s">
        <v>15</v>
      </c>
      <c r="AT6" s="148" t="s">
        <v>15</v>
      </c>
      <c r="AU6" s="7" t="s">
        <v>15</v>
      </c>
      <c r="AV6" s="7" t="s">
        <v>15</v>
      </c>
      <c r="AW6" s="148" t="s">
        <v>15</v>
      </c>
      <c r="AX6" s="7" t="s">
        <v>15</v>
      </c>
      <c r="AY6" s="7" t="s">
        <v>15</v>
      </c>
      <c r="AZ6" s="148" t="s">
        <v>15</v>
      </c>
      <c r="BA6" s="7" t="s">
        <v>15</v>
      </c>
      <c r="BB6" s="7" t="s">
        <v>15</v>
      </c>
      <c r="BC6" s="148" t="s">
        <v>15</v>
      </c>
      <c r="BD6" s="7" t="s">
        <v>15</v>
      </c>
      <c r="BE6" s="7" t="s">
        <v>15</v>
      </c>
      <c r="BF6" s="148" t="s">
        <v>15</v>
      </c>
      <c r="BG6" s="7" t="s">
        <v>15</v>
      </c>
      <c r="BH6" s="7" t="s">
        <v>15</v>
      </c>
      <c r="BI6" s="4"/>
      <c r="BJ6" s="4"/>
      <c r="BK6" s="4"/>
      <c r="BL6" s="4"/>
      <c r="BM6" s="4"/>
    </row>
    <row r="7" spans="1:66" ht="14.95" thickBot="1" x14ac:dyDescent="0.3">
      <c r="A7" s="42" t="s">
        <v>153</v>
      </c>
      <c r="B7" s="77">
        <v>0</v>
      </c>
      <c r="C7" s="279">
        <v>0</v>
      </c>
      <c r="D7" s="228">
        <v>0</v>
      </c>
      <c r="E7" s="5">
        <f t="shared" ref="E7:E49" si="0">SUM(B7:D7)</f>
        <v>0</v>
      </c>
      <c r="F7" s="261" t="s">
        <v>153</v>
      </c>
      <c r="G7" s="293">
        <v>0</v>
      </c>
      <c r="H7" s="326">
        <v>0</v>
      </c>
      <c r="I7" s="262">
        <v>0</v>
      </c>
      <c r="J7" s="76">
        <f t="shared" ref="J7:J49" si="1">SUM(G7:I7)</f>
        <v>0</v>
      </c>
      <c r="K7" s="118" t="s">
        <v>212</v>
      </c>
      <c r="L7" s="40">
        <v>1</v>
      </c>
      <c r="M7" s="40">
        <v>1</v>
      </c>
      <c r="N7" s="41">
        <f t="shared" ref="N7" si="2">SUM(L7/M7)*100</f>
        <v>100</v>
      </c>
      <c r="O7" s="89" t="s">
        <v>15</v>
      </c>
      <c r="P7" s="89" t="s">
        <v>15</v>
      </c>
      <c r="Q7" s="90" t="s">
        <v>15</v>
      </c>
      <c r="R7" s="40">
        <v>7</v>
      </c>
      <c r="S7" s="40">
        <v>2</v>
      </c>
      <c r="T7" s="7">
        <v>25</v>
      </c>
      <c r="U7" s="7">
        <v>31</v>
      </c>
      <c r="V7" s="153">
        <v>80.645161290322577</v>
      </c>
      <c r="W7" s="7">
        <v>5</v>
      </c>
      <c r="X7" s="7">
        <v>6</v>
      </c>
      <c r="Y7" s="153">
        <v>83.333333333333343</v>
      </c>
      <c r="Z7" s="93"/>
      <c r="AA7" s="94"/>
      <c r="AB7" s="148" t="s">
        <v>15</v>
      </c>
      <c r="AC7" s="7" t="s">
        <v>15</v>
      </c>
      <c r="AD7" s="153" t="s">
        <v>15</v>
      </c>
      <c r="AE7" s="148" t="s">
        <v>15</v>
      </c>
      <c r="AF7" s="7" t="s">
        <v>15</v>
      </c>
      <c r="AG7" s="153" t="s">
        <v>15</v>
      </c>
      <c r="AH7" s="148" t="s">
        <v>15</v>
      </c>
      <c r="AI7" s="7" t="s">
        <v>15</v>
      </c>
      <c r="AJ7" s="7" t="s">
        <v>15</v>
      </c>
      <c r="AK7" s="148">
        <v>0</v>
      </c>
      <c r="AL7" s="7">
        <v>2</v>
      </c>
      <c r="AM7" s="7">
        <f t="shared" ref="AM7" si="3">SUM(AK7/AL7)*100</f>
        <v>0</v>
      </c>
      <c r="AN7" s="148" t="s">
        <v>15</v>
      </c>
      <c r="AO7" s="7" t="s">
        <v>15</v>
      </c>
      <c r="AP7" s="7" t="s">
        <v>15</v>
      </c>
      <c r="AQ7" s="148" t="s">
        <v>15</v>
      </c>
      <c r="AR7" s="7" t="s">
        <v>15</v>
      </c>
      <c r="AS7" s="7" t="s">
        <v>15</v>
      </c>
      <c r="AT7" s="148" t="s">
        <v>15</v>
      </c>
      <c r="AU7" s="7" t="s">
        <v>15</v>
      </c>
      <c r="AV7" s="7" t="s">
        <v>15</v>
      </c>
      <c r="AW7" s="148" t="s">
        <v>15</v>
      </c>
      <c r="AX7" s="7" t="s">
        <v>15</v>
      </c>
      <c r="AY7" s="7" t="s">
        <v>15</v>
      </c>
      <c r="AZ7" s="7" t="s">
        <v>15</v>
      </c>
      <c r="BA7" s="7" t="s">
        <v>15</v>
      </c>
      <c r="BB7" s="7" t="s">
        <v>15</v>
      </c>
      <c r="BC7" s="7" t="s">
        <v>15</v>
      </c>
      <c r="BD7" s="7" t="s">
        <v>15</v>
      </c>
      <c r="BE7" s="7" t="s">
        <v>15</v>
      </c>
      <c r="BF7" s="7" t="s">
        <v>15</v>
      </c>
      <c r="BG7" s="7" t="s">
        <v>15</v>
      </c>
      <c r="BH7" s="7" t="s">
        <v>15</v>
      </c>
      <c r="BI7" s="4"/>
      <c r="BJ7" s="4"/>
      <c r="BK7" s="4"/>
      <c r="BL7" s="4"/>
      <c r="BM7" s="4"/>
    </row>
    <row r="8" spans="1:66" ht="14.95" thickBot="1" x14ac:dyDescent="0.3">
      <c r="A8" s="42" t="s">
        <v>147</v>
      </c>
      <c r="B8" s="77">
        <v>0</v>
      </c>
      <c r="C8" s="279">
        <v>0</v>
      </c>
      <c r="D8" s="228">
        <v>0</v>
      </c>
      <c r="E8" s="5">
        <f t="shared" si="0"/>
        <v>0</v>
      </c>
      <c r="F8" s="261" t="s">
        <v>147</v>
      </c>
      <c r="G8" s="293">
        <v>0</v>
      </c>
      <c r="H8" s="326">
        <v>0</v>
      </c>
      <c r="I8" s="262">
        <v>0</v>
      </c>
      <c r="J8" s="76">
        <f t="shared" si="1"/>
        <v>0</v>
      </c>
      <c r="K8" s="118" t="s">
        <v>444</v>
      </c>
      <c r="L8" s="40" t="s">
        <v>15</v>
      </c>
      <c r="M8" s="40" t="s">
        <v>15</v>
      </c>
      <c r="N8" s="41" t="s">
        <v>15</v>
      </c>
      <c r="O8" s="89" t="s">
        <v>15</v>
      </c>
      <c r="P8" s="89" t="s">
        <v>15</v>
      </c>
      <c r="Q8" s="90" t="s">
        <v>15</v>
      </c>
      <c r="R8" s="40" t="s">
        <v>19</v>
      </c>
      <c r="S8" s="40">
        <v>5</v>
      </c>
      <c r="T8" s="7" t="s">
        <v>15</v>
      </c>
      <c r="U8" s="7" t="s">
        <v>15</v>
      </c>
      <c r="V8" s="153" t="s">
        <v>15</v>
      </c>
      <c r="W8" s="7" t="s">
        <v>15</v>
      </c>
      <c r="X8" s="7" t="s">
        <v>15</v>
      </c>
      <c r="Y8" s="153" t="s">
        <v>15</v>
      </c>
      <c r="Z8" s="93"/>
      <c r="AA8" s="94"/>
      <c r="AB8" s="148" t="s">
        <v>15</v>
      </c>
      <c r="AC8" s="7" t="s">
        <v>15</v>
      </c>
      <c r="AD8" s="153" t="s">
        <v>15</v>
      </c>
      <c r="AE8" s="148" t="s">
        <v>15</v>
      </c>
      <c r="AF8" s="7" t="s">
        <v>15</v>
      </c>
      <c r="AG8" s="153" t="s">
        <v>15</v>
      </c>
      <c r="AH8" s="148" t="s">
        <v>15</v>
      </c>
      <c r="AI8" s="7" t="s">
        <v>15</v>
      </c>
      <c r="AJ8" s="7" t="s">
        <v>15</v>
      </c>
      <c r="AK8" s="148" t="s">
        <v>15</v>
      </c>
      <c r="AL8" s="7" t="s">
        <v>15</v>
      </c>
      <c r="AM8" s="7" t="s">
        <v>15</v>
      </c>
      <c r="AN8" s="148" t="s">
        <v>15</v>
      </c>
      <c r="AO8" s="7" t="s">
        <v>15</v>
      </c>
      <c r="AP8" s="7" t="s">
        <v>15</v>
      </c>
      <c r="AQ8" s="148" t="s">
        <v>15</v>
      </c>
      <c r="AR8" s="7" t="s">
        <v>15</v>
      </c>
      <c r="AS8" s="7" t="s">
        <v>15</v>
      </c>
      <c r="AT8" s="148" t="s">
        <v>15</v>
      </c>
      <c r="AU8" s="7" t="s">
        <v>15</v>
      </c>
      <c r="AV8" s="7" t="s">
        <v>15</v>
      </c>
      <c r="AW8" s="148" t="s">
        <v>15</v>
      </c>
      <c r="AX8" s="7" t="s">
        <v>15</v>
      </c>
      <c r="AY8" s="7" t="s">
        <v>15</v>
      </c>
      <c r="AZ8" s="148" t="s">
        <v>15</v>
      </c>
      <c r="BA8" s="7" t="s">
        <v>15</v>
      </c>
      <c r="BB8" s="7" t="s">
        <v>15</v>
      </c>
      <c r="BC8" s="148" t="s">
        <v>15</v>
      </c>
      <c r="BD8" s="7" t="s">
        <v>15</v>
      </c>
      <c r="BE8" s="7" t="s">
        <v>15</v>
      </c>
      <c r="BF8" s="148" t="s">
        <v>15</v>
      </c>
      <c r="BG8" s="7" t="s">
        <v>15</v>
      </c>
      <c r="BH8" s="7" t="s">
        <v>15</v>
      </c>
      <c r="BI8" s="4"/>
      <c r="BJ8" s="4"/>
      <c r="BK8" s="4"/>
      <c r="BL8" s="4"/>
      <c r="BM8" s="4"/>
    </row>
    <row r="9" spans="1:66" ht="14.95" thickBot="1" x14ac:dyDescent="0.3">
      <c r="A9" s="42" t="s">
        <v>1035</v>
      </c>
      <c r="B9" s="77">
        <v>0</v>
      </c>
      <c r="C9" s="279">
        <v>0</v>
      </c>
      <c r="D9" s="228">
        <v>0</v>
      </c>
      <c r="E9" s="5">
        <f t="shared" si="0"/>
        <v>0</v>
      </c>
      <c r="F9" s="261" t="s">
        <v>1035</v>
      </c>
      <c r="G9" s="293">
        <v>0</v>
      </c>
      <c r="H9" s="326">
        <v>11</v>
      </c>
      <c r="I9" s="262">
        <v>3</v>
      </c>
      <c r="J9" s="76">
        <f t="shared" si="1"/>
        <v>14</v>
      </c>
      <c r="K9" s="15" t="s">
        <v>16</v>
      </c>
      <c r="L9" s="40">
        <v>41</v>
      </c>
      <c r="M9" s="40">
        <v>53</v>
      </c>
      <c r="N9" s="41">
        <f t="shared" ref="N9:N10" si="4">SUM(L9/M9)*100</f>
        <v>77.358490566037744</v>
      </c>
      <c r="O9" s="89">
        <v>7</v>
      </c>
      <c r="P9" s="89">
        <v>7</v>
      </c>
      <c r="Q9" s="90">
        <f t="shared" ref="Q9" si="5">SUM(O9/P9)*100</f>
        <v>100</v>
      </c>
      <c r="R9" s="89">
        <v>3</v>
      </c>
      <c r="S9" s="89">
        <v>15</v>
      </c>
      <c r="T9" s="7">
        <v>25</v>
      </c>
      <c r="U9" s="7">
        <v>37</v>
      </c>
      <c r="V9" s="153">
        <v>67.567567567567565</v>
      </c>
      <c r="W9" s="7">
        <v>59</v>
      </c>
      <c r="X9" s="7">
        <v>78</v>
      </c>
      <c r="Y9" s="153">
        <v>75.641025641025635</v>
      </c>
      <c r="Z9" s="93"/>
      <c r="AA9" s="94"/>
      <c r="AB9" s="148">
        <v>15</v>
      </c>
      <c r="AC9" s="7">
        <v>18</v>
      </c>
      <c r="AD9" s="153">
        <v>83.333333333333343</v>
      </c>
      <c r="AE9" s="148">
        <v>18</v>
      </c>
      <c r="AF9" s="7">
        <v>25</v>
      </c>
      <c r="AG9" s="153">
        <f t="shared" ref="AG9:AG10" si="6">SUM(AE9/AF9)*100</f>
        <v>72</v>
      </c>
      <c r="AH9" s="148" t="s">
        <v>15</v>
      </c>
      <c r="AI9" s="7" t="s">
        <v>15</v>
      </c>
      <c r="AJ9" s="7" t="s">
        <v>15</v>
      </c>
      <c r="AK9" s="148" t="s">
        <v>15</v>
      </c>
      <c r="AL9" s="7" t="s">
        <v>15</v>
      </c>
      <c r="AM9" s="7" t="s">
        <v>15</v>
      </c>
      <c r="AN9" s="148" t="s">
        <v>15</v>
      </c>
      <c r="AO9" s="7" t="s">
        <v>15</v>
      </c>
      <c r="AP9" s="7" t="s">
        <v>15</v>
      </c>
      <c r="AQ9" s="148">
        <v>2</v>
      </c>
      <c r="AR9" s="7">
        <v>7</v>
      </c>
      <c r="AS9" s="153">
        <f t="shared" ref="AS9" si="7">SUM(AQ9/AR9)*100</f>
        <v>28.571428571428569</v>
      </c>
      <c r="AT9" s="148">
        <v>27</v>
      </c>
      <c r="AU9" s="7">
        <v>36</v>
      </c>
      <c r="AV9" s="153">
        <f>SUM(AT9/AU9)*100</f>
        <v>75</v>
      </c>
      <c r="AW9" s="148">
        <v>3</v>
      </c>
      <c r="AX9" s="7">
        <v>6</v>
      </c>
      <c r="AY9" s="153">
        <f>SUM(AW9/AX9)*100</f>
        <v>50</v>
      </c>
      <c r="AZ9" s="7">
        <v>44</v>
      </c>
      <c r="BA9" s="7">
        <v>56</v>
      </c>
      <c r="BB9" s="153">
        <f>SUM(AZ9/BA9)*100</f>
        <v>78.571428571428569</v>
      </c>
      <c r="BC9" s="7">
        <v>14</v>
      </c>
      <c r="BD9" s="7">
        <v>22</v>
      </c>
      <c r="BE9" s="153">
        <f>SUM(BC9/BD9)*100</f>
        <v>63.636363636363633</v>
      </c>
      <c r="BF9" s="7">
        <v>1</v>
      </c>
      <c r="BG9" s="7">
        <v>1</v>
      </c>
      <c r="BH9" s="7">
        <v>100</v>
      </c>
    </row>
    <row r="10" spans="1:66" ht="17" customHeight="1" thickBot="1" x14ac:dyDescent="0.3">
      <c r="A10" s="42" t="s">
        <v>887</v>
      </c>
      <c r="B10" s="77">
        <v>3</v>
      </c>
      <c r="C10" s="279">
        <v>1</v>
      </c>
      <c r="D10" s="228">
        <v>1</v>
      </c>
      <c r="E10" s="5">
        <f t="shared" si="0"/>
        <v>5</v>
      </c>
      <c r="F10" s="261" t="s">
        <v>887</v>
      </c>
      <c r="G10" s="293">
        <v>15</v>
      </c>
      <c r="H10" s="326">
        <v>5</v>
      </c>
      <c r="I10" s="262">
        <v>5</v>
      </c>
      <c r="J10" s="76">
        <f t="shared" si="1"/>
        <v>25</v>
      </c>
      <c r="K10" s="91" t="s">
        <v>462</v>
      </c>
      <c r="L10" s="40">
        <v>4</v>
      </c>
      <c r="M10" s="40">
        <v>6</v>
      </c>
      <c r="N10" s="41">
        <f t="shared" si="4"/>
        <v>66.666666666666657</v>
      </c>
      <c r="O10" s="89" t="s">
        <v>15</v>
      </c>
      <c r="P10" s="89" t="s">
        <v>15</v>
      </c>
      <c r="Q10" s="90" t="s">
        <v>15</v>
      </c>
      <c r="R10" s="89">
        <v>3</v>
      </c>
      <c r="S10" s="89">
        <v>3</v>
      </c>
      <c r="T10" s="7">
        <v>3</v>
      </c>
      <c r="U10" s="7">
        <v>4</v>
      </c>
      <c r="V10" s="153">
        <v>75</v>
      </c>
      <c r="W10" s="7">
        <v>2</v>
      </c>
      <c r="X10" s="7">
        <v>8</v>
      </c>
      <c r="Y10" s="153">
        <v>25</v>
      </c>
      <c r="Z10" s="93"/>
      <c r="AA10" s="94"/>
      <c r="AB10" s="148">
        <v>13</v>
      </c>
      <c r="AC10" s="7">
        <v>17</v>
      </c>
      <c r="AD10" s="153">
        <v>76.470588235294116</v>
      </c>
      <c r="AE10" s="148">
        <v>3</v>
      </c>
      <c r="AF10" s="7">
        <v>7</v>
      </c>
      <c r="AG10" s="153">
        <f t="shared" si="6"/>
        <v>42.857142857142854</v>
      </c>
      <c r="AH10" s="148">
        <v>5</v>
      </c>
      <c r="AI10" s="7">
        <v>8</v>
      </c>
      <c r="AJ10" s="153">
        <f>SUM(AH10/AI10)*100</f>
        <v>62.5</v>
      </c>
      <c r="AK10" s="148">
        <v>3</v>
      </c>
      <c r="AL10" s="7">
        <v>5</v>
      </c>
      <c r="AM10" s="7">
        <f t="shared" ref="AM10" si="8">SUM(AK10/AL10)*100</f>
        <v>60</v>
      </c>
      <c r="AN10" s="148" t="s">
        <v>15</v>
      </c>
      <c r="AO10" s="7" t="s">
        <v>15</v>
      </c>
      <c r="AP10" s="7" t="s">
        <v>15</v>
      </c>
      <c r="AQ10" s="148" t="s">
        <v>15</v>
      </c>
      <c r="AR10" s="7" t="s">
        <v>15</v>
      </c>
      <c r="AS10" s="7" t="s">
        <v>15</v>
      </c>
      <c r="AT10" s="148" t="s">
        <v>15</v>
      </c>
      <c r="AU10" s="7" t="s">
        <v>15</v>
      </c>
      <c r="AV10" s="7" t="s">
        <v>15</v>
      </c>
      <c r="AW10" s="148" t="s">
        <v>15</v>
      </c>
      <c r="AX10" s="7" t="s">
        <v>15</v>
      </c>
      <c r="AY10" s="7" t="s">
        <v>15</v>
      </c>
      <c r="AZ10" s="7" t="s">
        <v>15</v>
      </c>
      <c r="BA10" s="7" t="s">
        <v>15</v>
      </c>
      <c r="BB10" s="7" t="s">
        <v>15</v>
      </c>
      <c r="BC10" s="7" t="s">
        <v>15</v>
      </c>
      <c r="BD10" s="7" t="s">
        <v>15</v>
      </c>
      <c r="BE10" s="7" t="s">
        <v>15</v>
      </c>
      <c r="BF10" s="7" t="s">
        <v>15</v>
      </c>
      <c r="BG10" s="7" t="s">
        <v>15</v>
      </c>
      <c r="BH10" s="7" t="s">
        <v>15</v>
      </c>
    </row>
    <row r="11" spans="1:66" ht="14.95" customHeight="1" thickBot="1" x14ac:dyDescent="0.3">
      <c r="A11" s="42" t="s">
        <v>454</v>
      </c>
      <c r="B11" s="77">
        <v>8</v>
      </c>
      <c r="C11" s="279">
        <v>3</v>
      </c>
      <c r="D11" s="228">
        <v>0</v>
      </c>
      <c r="E11" s="5">
        <f t="shared" si="0"/>
        <v>11</v>
      </c>
      <c r="F11" s="261" t="s">
        <v>454</v>
      </c>
      <c r="G11" s="293">
        <v>40</v>
      </c>
      <c r="H11" s="326">
        <v>15</v>
      </c>
      <c r="I11" s="262">
        <v>0</v>
      </c>
      <c r="J11" s="76">
        <f t="shared" si="1"/>
        <v>55</v>
      </c>
      <c r="K11" s="56"/>
      <c r="AQ11" s="4"/>
      <c r="AR11" s="4"/>
      <c r="AS11" s="4"/>
      <c r="AU11" s="4"/>
      <c r="AV11" s="4"/>
    </row>
    <row r="12" spans="1:66" ht="14.95" customHeight="1" thickBot="1" x14ac:dyDescent="0.3">
      <c r="A12" s="42" t="s">
        <v>481</v>
      </c>
      <c r="B12" s="77">
        <v>5</v>
      </c>
      <c r="C12" s="279">
        <v>1</v>
      </c>
      <c r="D12" s="228">
        <v>1</v>
      </c>
      <c r="E12" s="5">
        <f t="shared" ref="E12" si="9">SUM(B12:D12)</f>
        <v>7</v>
      </c>
      <c r="F12" s="261" t="s">
        <v>481</v>
      </c>
      <c r="G12" s="293">
        <v>25</v>
      </c>
      <c r="H12" s="326">
        <v>5</v>
      </c>
      <c r="I12" s="262">
        <v>5</v>
      </c>
      <c r="J12" s="76">
        <f t="shared" ref="J12" si="10">SUM(G12:I12)</f>
        <v>35</v>
      </c>
      <c r="K12" s="465" t="s">
        <v>188</v>
      </c>
      <c r="L12" s="449" t="s">
        <v>14</v>
      </c>
      <c r="M12" s="450"/>
      <c r="N12" s="451"/>
      <c r="O12" s="449" t="s">
        <v>226</v>
      </c>
      <c r="P12" s="450"/>
      <c r="Q12" s="451"/>
      <c r="R12" s="449" t="s">
        <v>875</v>
      </c>
      <c r="S12" s="450"/>
      <c r="T12" s="451"/>
      <c r="U12" s="449" t="s">
        <v>581</v>
      </c>
      <c r="V12" s="450"/>
      <c r="W12" s="451"/>
      <c r="X12" s="160"/>
      <c r="Y12" s="160"/>
      <c r="Z12" s="160"/>
      <c r="AB12" s="449" t="s">
        <v>477</v>
      </c>
      <c r="AC12" s="450"/>
      <c r="AD12" s="451"/>
      <c r="AE12" s="449" t="s">
        <v>391</v>
      </c>
      <c r="AF12" s="450"/>
      <c r="AG12" s="451"/>
      <c r="AH12" s="449" t="s">
        <v>300</v>
      </c>
      <c r="AI12" s="450"/>
      <c r="AJ12" s="451"/>
      <c r="AK12" s="449" t="s">
        <v>219</v>
      </c>
      <c r="AL12" s="450"/>
      <c r="AM12" s="451"/>
      <c r="AN12" s="449" t="s">
        <v>165</v>
      </c>
      <c r="AO12" s="450"/>
      <c r="AP12" s="451"/>
      <c r="AQ12" s="449" t="s">
        <v>78</v>
      </c>
      <c r="AR12" s="450"/>
      <c r="AS12" s="451"/>
      <c r="AT12" s="449" t="s">
        <v>54</v>
      </c>
      <c r="AU12" s="450"/>
      <c r="AV12" s="451"/>
      <c r="AW12" s="449" t="s">
        <v>50</v>
      </c>
      <c r="AX12" s="450"/>
      <c r="AY12" s="451"/>
      <c r="AZ12" s="449" t="s">
        <v>41</v>
      </c>
      <c r="BA12" s="450"/>
      <c r="BB12" s="451"/>
      <c r="BC12" s="62"/>
      <c r="BD12" s="62"/>
      <c r="BJ12" s="4"/>
      <c r="BK12" s="4"/>
      <c r="BL12" s="4"/>
      <c r="BM12" s="4"/>
      <c r="BN12" s="4"/>
    </row>
    <row r="13" spans="1:66" ht="14.95" customHeight="1" thickBot="1" x14ac:dyDescent="0.3">
      <c r="A13" s="42" t="s">
        <v>626</v>
      </c>
      <c r="B13" s="77">
        <v>0</v>
      </c>
      <c r="C13" s="279">
        <v>0</v>
      </c>
      <c r="D13" s="228">
        <v>2</v>
      </c>
      <c r="E13" s="5">
        <f t="shared" si="0"/>
        <v>2</v>
      </c>
      <c r="F13" s="261" t="s">
        <v>626</v>
      </c>
      <c r="G13" s="293">
        <v>0</v>
      </c>
      <c r="H13" s="326">
        <v>0</v>
      </c>
      <c r="I13" s="262">
        <v>10</v>
      </c>
      <c r="J13" s="76">
        <f t="shared" si="1"/>
        <v>10</v>
      </c>
      <c r="K13" s="466"/>
      <c r="L13" s="452"/>
      <c r="M13" s="453"/>
      <c r="N13" s="454"/>
      <c r="O13" s="452"/>
      <c r="P13" s="453"/>
      <c r="Q13" s="454"/>
      <c r="R13" s="452"/>
      <c r="S13" s="453"/>
      <c r="T13" s="454"/>
      <c r="U13" s="452"/>
      <c r="V13" s="453"/>
      <c r="W13" s="454"/>
      <c r="X13" s="160"/>
      <c r="Y13" s="160"/>
      <c r="Z13" s="160"/>
      <c r="AB13" s="452"/>
      <c r="AC13" s="453"/>
      <c r="AD13" s="454"/>
      <c r="AE13" s="452"/>
      <c r="AF13" s="453"/>
      <c r="AG13" s="454"/>
      <c r="AH13" s="452"/>
      <c r="AI13" s="453"/>
      <c r="AJ13" s="454"/>
      <c r="AK13" s="452"/>
      <c r="AL13" s="453"/>
      <c r="AM13" s="454"/>
      <c r="AN13" s="452"/>
      <c r="AO13" s="453"/>
      <c r="AP13" s="454"/>
      <c r="AQ13" s="452"/>
      <c r="AR13" s="453"/>
      <c r="AS13" s="454"/>
      <c r="AT13" s="452"/>
      <c r="AU13" s="453"/>
      <c r="AV13" s="454"/>
      <c r="AW13" s="452"/>
      <c r="AX13" s="453"/>
      <c r="AY13" s="454"/>
      <c r="AZ13" s="452"/>
      <c r="BA13" s="453"/>
      <c r="BB13" s="454"/>
      <c r="BC13" s="62"/>
      <c r="BD13" s="62"/>
      <c r="BJ13" s="4"/>
      <c r="BK13" s="4"/>
      <c r="BL13" s="4"/>
      <c r="BM13" s="4"/>
      <c r="BN13" s="4"/>
    </row>
    <row r="14" spans="1:66" ht="14.95" customHeight="1" thickBot="1" x14ac:dyDescent="0.3">
      <c r="A14" s="42" t="s">
        <v>1051</v>
      </c>
      <c r="B14" s="77">
        <v>0</v>
      </c>
      <c r="C14" s="279">
        <v>0</v>
      </c>
      <c r="D14" s="228">
        <v>1</v>
      </c>
      <c r="E14" s="5">
        <f t="shared" si="0"/>
        <v>1</v>
      </c>
      <c r="F14" s="261" t="s">
        <v>1051</v>
      </c>
      <c r="G14" s="293">
        <v>0</v>
      </c>
      <c r="H14" s="326">
        <v>0</v>
      </c>
      <c r="I14" s="262">
        <v>5</v>
      </c>
      <c r="J14" s="76">
        <f t="shared" si="1"/>
        <v>5</v>
      </c>
      <c r="K14" s="251" t="s">
        <v>21</v>
      </c>
      <c r="L14" s="7" t="s">
        <v>46</v>
      </c>
      <c r="M14" s="7" t="s">
        <v>9</v>
      </c>
      <c r="N14" s="7" t="s">
        <v>10</v>
      </c>
      <c r="O14" s="7" t="s">
        <v>46</v>
      </c>
      <c r="P14" s="7" t="s">
        <v>9</v>
      </c>
      <c r="Q14" s="7" t="s">
        <v>10</v>
      </c>
      <c r="R14" s="7" t="s">
        <v>46</v>
      </c>
      <c r="S14" s="7" t="s">
        <v>9</v>
      </c>
      <c r="T14" s="7" t="s">
        <v>10</v>
      </c>
      <c r="U14" s="7" t="s">
        <v>46</v>
      </c>
      <c r="V14" s="7" t="s">
        <v>9</v>
      </c>
      <c r="W14" s="7" t="s">
        <v>10</v>
      </c>
      <c r="AB14" s="148" t="s">
        <v>46</v>
      </c>
      <c r="AC14" s="7" t="s">
        <v>9</v>
      </c>
      <c r="AD14" s="7" t="s">
        <v>10</v>
      </c>
      <c r="AE14" s="148" t="s">
        <v>46</v>
      </c>
      <c r="AF14" s="7" t="s">
        <v>9</v>
      </c>
      <c r="AG14" s="7" t="s">
        <v>10</v>
      </c>
      <c r="AH14" s="148" t="s">
        <v>46</v>
      </c>
      <c r="AI14" s="7" t="s">
        <v>9</v>
      </c>
      <c r="AJ14" s="7" t="s">
        <v>10</v>
      </c>
      <c r="AK14" s="148" t="s">
        <v>46</v>
      </c>
      <c r="AL14" s="7" t="s">
        <v>9</v>
      </c>
      <c r="AM14" s="7" t="s">
        <v>10</v>
      </c>
      <c r="AN14" s="148" t="s">
        <v>46</v>
      </c>
      <c r="AO14" s="7" t="s">
        <v>9</v>
      </c>
      <c r="AP14" s="7" t="s">
        <v>10</v>
      </c>
      <c r="AQ14" s="148" t="s">
        <v>46</v>
      </c>
      <c r="AR14" s="7" t="s">
        <v>9</v>
      </c>
      <c r="AS14" s="7" t="s">
        <v>10</v>
      </c>
      <c r="AT14" s="148" t="s">
        <v>46</v>
      </c>
      <c r="AU14" s="7" t="s">
        <v>9</v>
      </c>
      <c r="AV14" s="7" t="s">
        <v>10</v>
      </c>
      <c r="AW14" s="148" t="s">
        <v>46</v>
      </c>
      <c r="AX14" s="7" t="s">
        <v>9</v>
      </c>
      <c r="AY14" s="7" t="s">
        <v>10</v>
      </c>
      <c r="AZ14" s="148" t="s">
        <v>46</v>
      </c>
      <c r="BA14" s="7" t="s">
        <v>9</v>
      </c>
      <c r="BB14" s="7" t="s">
        <v>10</v>
      </c>
      <c r="BC14" s="62"/>
      <c r="BD14" s="62"/>
      <c r="BJ14" s="4"/>
      <c r="BK14" s="4"/>
      <c r="BL14" s="4"/>
      <c r="BM14" s="4"/>
      <c r="BN14" s="4"/>
    </row>
    <row r="15" spans="1:66" ht="14.95" customHeight="1" thickBot="1" x14ac:dyDescent="0.3">
      <c r="A15" s="42" t="s">
        <v>482</v>
      </c>
      <c r="B15" s="77">
        <v>1</v>
      </c>
      <c r="C15" s="279">
        <v>0</v>
      </c>
      <c r="D15" s="228">
        <v>0</v>
      </c>
      <c r="E15" s="5">
        <f t="shared" ref="E15" si="11">SUM(B15:D15)</f>
        <v>1</v>
      </c>
      <c r="F15" s="261" t="s">
        <v>482</v>
      </c>
      <c r="G15" s="293">
        <v>5</v>
      </c>
      <c r="H15" s="326">
        <v>0</v>
      </c>
      <c r="I15" s="262">
        <v>0</v>
      </c>
      <c r="J15" s="76">
        <f t="shared" ref="J15" si="12">SUM(G15:I15)</f>
        <v>5</v>
      </c>
      <c r="K15" s="118" t="s">
        <v>866</v>
      </c>
      <c r="L15" s="7" t="s">
        <v>15</v>
      </c>
      <c r="M15" s="7" t="s">
        <v>15</v>
      </c>
      <c r="N15" s="153" t="s">
        <v>15</v>
      </c>
      <c r="O15" s="7">
        <v>1</v>
      </c>
      <c r="P15" s="7">
        <v>3</v>
      </c>
      <c r="Q15" s="153">
        <v>33.333333333333329</v>
      </c>
      <c r="R15" s="7" t="s">
        <v>15</v>
      </c>
      <c r="S15" s="7" t="s">
        <v>15</v>
      </c>
      <c r="T15" s="153" t="s">
        <v>15</v>
      </c>
      <c r="U15" s="7" t="s">
        <v>15</v>
      </c>
      <c r="V15" s="7" t="s">
        <v>15</v>
      </c>
      <c r="W15" s="153" t="s">
        <v>15</v>
      </c>
      <c r="AB15" s="148" t="s">
        <v>15</v>
      </c>
      <c r="AC15" s="7" t="s">
        <v>15</v>
      </c>
      <c r="AD15" s="153" t="s">
        <v>15</v>
      </c>
      <c r="AE15" s="6" t="s">
        <v>15</v>
      </c>
      <c r="AF15" s="7" t="s">
        <v>15</v>
      </c>
      <c r="AG15" s="153" t="s">
        <v>15</v>
      </c>
      <c r="AH15" s="7" t="s">
        <v>15</v>
      </c>
      <c r="AI15" s="7" t="s">
        <v>15</v>
      </c>
      <c r="AJ15" s="153" t="s">
        <v>15</v>
      </c>
      <c r="AK15" s="7" t="s">
        <v>15</v>
      </c>
      <c r="AL15" s="7" t="s">
        <v>15</v>
      </c>
      <c r="AM15" s="153" t="s">
        <v>15</v>
      </c>
      <c r="AN15" s="7" t="s">
        <v>15</v>
      </c>
      <c r="AO15" s="7" t="s">
        <v>15</v>
      </c>
      <c r="AP15" s="153" t="s">
        <v>15</v>
      </c>
      <c r="AQ15" s="7" t="s">
        <v>15</v>
      </c>
      <c r="AR15" s="7" t="s">
        <v>15</v>
      </c>
      <c r="AS15" s="153" t="s">
        <v>15</v>
      </c>
      <c r="AT15" s="7" t="s">
        <v>15</v>
      </c>
      <c r="AU15" s="7" t="s">
        <v>15</v>
      </c>
      <c r="AV15" s="153" t="s">
        <v>15</v>
      </c>
      <c r="AW15" s="7" t="s">
        <v>15</v>
      </c>
      <c r="AX15" s="7" t="s">
        <v>15</v>
      </c>
      <c r="AY15" s="153" t="s">
        <v>15</v>
      </c>
      <c r="AZ15" s="7" t="s">
        <v>15</v>
      </c>
      <c r="BA15" s="7" t="s">
        <v>15</v>
      </c>
      <c r="BB15" s="153" t="s">
        <v>15</v>
      </c>
      <c r="BC15" s="62"/>
      <c r="BD15" s="62"/>
      <c r="BI15" s="4"/>
      <c r="BJ15" s="4"/>
      <c r="BK15" s="4"/>
    </row>
    <row r="16" spans="1:66" ht="14.95" customHeight="1" thickBot="1" x14ac:dyDescent="0.3">
      <c r="A16" s="42" t="s">
        <v>483</v>
      </c>
      <c r="B16" s="77">
        <v>0</v>
      </c>
      <c r="C16" s="279">
        <v>0</v>
      </c>
      <c r="D16" s="228">
        <v>1</v>
      </c>
      <c r="E16" s="5">
        <f t="shared" ref="E16:E17" si="13">SUM(B16:D16)</f>
        <v>1</v>
      </c>
      <c r="F16" s="261" t="s">
        <v>483</v>
      </c>
      <c r="G16" s="293">
        <v>0</v>
      </c>
      <c r="H16" s="326">
        <v>0</v>
      </c>
      <c r="I16" s="262">
        <v>16</v>
      </c>
      <c r="J16" s="76">
        <f t="shared" ref="J16:J17" si="14">SUM(G16:I16)</f>
        <v>16</v>
      </c>
      <c r="K16" s="118" t="s">
        <v>212</v>
      </c>
      <c r="L16" s="7" t="s">
        <v>15</v>
      </c>
      <c r="M16" s="7" t="s">
        <v>15</v>
      </c>
      <c r="N16" s="153" t="s">
        <v>15</v>
      </c>
      <c r="O16" s="7">
        <v>3</v>
      </c>
      <c r="P16" s="7">
        <v>4</v>
      </c>
      <c r="Q16" s="153">
        <v>75</v>
      </c>
      <c r="R16" s="7" t="s">
        <v>15</v>
      </c>
      <c r="S16" s="7" t="s">
        <v>15</v>
      </c>
      <c r="T16" s="153" t="s">
        <v>15</v>
      </c>
      <c r="U16" s="7" t="s">
        <v>15</v>
      </c>
      <c r="V16" s="7" t="s">
        <v>15</v>
      </c>
      <c r="W16" s="153" t="s">
        <v>15</v>
      </c>
      <c r="AB16" s="148" t="s">
        <v>15</v>
      </c>
      <c r="AC16" s="7" t="s">
        <v>15</v>
      </c>
      <c r="AD16" s="153" t="s">
        <v>15</v>
      </c>
      <c r="AE16" s="148" t="s">
        <v>15</v>
      </c>
      <c r="AF16" s="7" t="s">
        <v>15</v>
      </c>
      <c r="AG16" s="153" t="s">
        <v>15</v>
      </c>
      <c r="AH16" s="7" t="s">
        <v>15</v>
      </c>
      <c r="AI16" s="7" t="s">
        <v>15</v>
      </c>
      <c r="AJ16" s="153" t="s">
        <v>15</v>
      </c>
      <c r="AK16" s="7" t="s">
        <v>15</v>
      </c>
      <c r="AL16" s="7" t="s">
        <v>15</v>
      </c>
      <c r="AM16" s="153" t="s">
        <v>15</v>
      </c>
      <c r="AN16" s="7" t="s">
        <v>15</v>
      </c>
      <c r="AO16" s="7" t="s">
        <v>15</v>
      </c>
      <c r="AP16" s="153" t="s">
        <v>15</v>
      </c>
      <c r="AQ16" s="7" t="s">
        <v>15</v>
      </c>
      <c r="AR16" s="7" t="s">
        <v>15</v>
      </c>
      <c r="AS16" s="153" t="s">
        <v>15</v>
      </c>
      <c r="AT16" s="7" t="s">
        <v>15</v>
      </c>
      <c r="AU16" s="7" t="s">
        <v>15</v>
      </c>
      <c r="AV16" s="153" t="s">
        <v>15</v>
      </c>
      <c r="AW16" s="7" t="s">
        <v>15</v>
      </c>
      <c r="AX16" s="7" t="s">
        <v>15</v>
      </c>
      <c r="AY16" s="153" t="s">
        <v>15</v>
      </c>
      <c r="AZ16" s="7" t="s">
        <v>15</v>
      </c>
      <c r="BA16" s="7" t="s">
        <v>15</v>
      </c>
      <c r="BB16" s="153" t="s">
        <v>15</v>
      </c>
      <c r="BC16" s="62"/>
      <c r="BD16" s="62"/>
    </row>
    <row r="17" spans="1:66" ht="14.95" customHeight="1" thickBot="1" x14ac:dyDescent="0.3">
      <c r="A17" s="42" t="s">
        <v>1068</v>
      </c>
      <c r="B17" s="77">
        <v>0</v>
      </c>
      <c r="C17" s="279">
        <v>1</v>
      </c>
      <c r="D17" s="228">
        <v>1</v>
      </c>
      <c r="E17" s="5">
        <f t="shared" si="13"/>
        <v>2</v>
      </c>
      <c r="F17" s="261" t="s">
        <v>1068</v>
      </c>
      <c r="G17" s="293">
        <v>0</v>
      </c>
      <c r="H17" s="326">
        <v>5</v>
      </c>
      <c r="I17" s="262">
        <v>5</v>
      </c>
      <c r="J17" s="76">
        <f t="shared" si="14"/>
        <v>10</v>
      </c>
      <c r="K17" s="15" t="s">
        <v>16</v>
      </c>
      <c r="L17" s="7" t="s">
        <v>15</v>
      </c>
      <c r="M17" s="7" t="s">
        <v>15</v>
      </c>
      <c r="N17" s="153" t="s">
        <v>15</v>
      </c>
      <c r="O17" s="7">
        <v>4</v>
      </c>
      <c r="P17" s="7">
        <v>6</v>
      </c>
      <c r="Q17" s="7">
        <v>67</v>
      </c>
      <c r="R17" s="7">
        <v>17</v>
      </c>
      <c r="S17" s="7">
        <v>21</v>
      </c>
      <c r="T17" s="7">
        <v>80.952380952380949</v>
      </c>
      <c r="U17" s="7">
        <v>2</v>
      </c>
      <c r="V17" s="7">
        <v>2</v>
      </c>
      <c r="W17" s="7">
        <v>100</v>
      </c>
      <c r="AB17" s="148">
        <v>2</v>
      </c>
      <c r="AC17" s="7">
        <v>2</v>
      </c>
      <c r="AD17" s="7">
        <f t="shared" ref="AD17" si="15">SUM(AB17/AC17)*100</f>
        <v>100</v>
      </c>
      <c r="AE17" s="148" t="s">
        <v>15</v>
      </c>
      <c r="AF17" s="7" t="s">
        <v>15</v>
      </c>
      <c r="AG17" s="7" t="s">
        <v>15</v>
      </c>
      <c r="AH17" s="148" t="s">
        <v>15</v>
      </c>
      <c r="AI17" s="7" t="s">
        <v>15</v>
      </c>
      <c r="AJ17" s="7" t="s">
        <v>15</v>
      </c>
      <c r="AK17" s="148" t="s">
        <v>15</v>
      </c>
      <c r="AL17" s="7" t="s">
        <v>15</v>
      </c>
      <c r="AM17" s="7" t="s">
        <v>15</v>
      </c>
      <c r="AN17" s="148" t="s">
        <v>15</v>
      </c>
      <c r="AO17" s="7" t="s">
        <v>15</v>
      </c>
      <c r="AP17" s="7" t="s">
        <v>15</v>
      </c>
      <c r="AQ17" s="148">
        <v>4</v>
      </c>
      <c r="AR17" s="7">
        <v>5</v>
      </c>
      <c r="AS17" s="153">
        <f>SUM(AQ17/AR17)*100</f>
        <v>80</v>
      </c>
      <c r="AT17" s="148">
        <v>5</v>
      </c>
      <c r="AU17" s="7">
        <v>8</v>
      </c>
      <c r="AV17" s="153">
        <f>SUM(AT17/AU17)*100</f>
        <v>62.5</v>
      </c>
      <c r="AW17" s="6" t="s">
        <v>15</v>
      </c>
      <c r="AX17" s="7" t="s">
        <v>15</v>
      </c>
      <c r="AY17" s="7" t="s">
        <v>15</v>
      </c>
      <c r="AZ17" s="148">
        <v>8</v>
      </c>
      <c r="BA17" s="7">
        <v>9</v>
      </c>
      <c r="BB17" s="153">
        <f>SUM(AZ17/BA17)*100</f>
        <v>88.888888888888886</v>
      </c>
      <c r="BC17" s="62"/>
      <c r="BD17" s="62"/>
      <c r="BJ17" s="4"/>
      <c r="BK17" s="4"/>
    </row>
    <row r="18" spans="1:66" ht="14.95" customHeight="1" thickBot="1" x14ac:dyDescent="0.3">
      <c r="A18" s="42" t="s">
        <v>212</v>
      </c>
      <c r="B18" s="77">
        <v>0</v>
      </c>
      <c r="C18" s="279">
        <v>0</v>
      </c>
      <c r="D18" s="228">
        <v>2</v>
      </c>
      <c r="E18" s="5">
        <f t="shared" si="0"/>
        <v>2</v>
      </c>
      <c r="F18" s="261" t="s">
        <v>212</v>
      </c>
      <c r="G18" s="293">
        <v>2</v>
      </c>
      <c r="H18" s="326">
        <v>0</v>
      </c>
      <c r="I18" s="262">
        <v>30</v>
      </c>
      <c r="J18" s="76">
        <f t="shared" si="1"/>
        <v>32</v>
      </c>
      <c r="K18" s="191" t="s">
        <v>462</v>
      </c>
      <c r="L18" s="7" t="s">
        <v>15</v>
      </c>
      <c r="M18" s="7" t="s">
        <v>15</v>
      </c>
      <c r="N18" s="153" t="s">
        <v>15</v>
      </c>
      <c r="O18" s="7">
        <v>1</v>
      </c>
      <c r="P18" s="7">
        <v>1</v>
      </c>
      <c r="Q18" s="7">
        <v>100</v>
      </c>
      <c r="R18" s="7" t="s">
        <v>15</v>
      </c>
      <c r="S18" s="7" t="s">
        <v>15</v>
      </c>
      <c r="T18" s="7" t="s">
        <v>15</v>
      </c>
      <c r="U18" s="7">
        <v>2</v>
      </c>
      <c r="V18" s="7">
        <v>2</v>
      </c>
      <c r="W18" s="7">
        <v>100</v>
      </c>
      <c r="AB18" s="148" t="s">
        <v>15</v>
      </c>
      <c r="AC18" s="7" t="s">
        <v>15</v>
      </c>
      <c r="AD18" s="7" t="s">
        <v>15</v>
      </c>
      <c r="AE18" s="6">
        <v>1</v>
      </c>
      <c r="AF18" s="6">
        <v>1</v>
      </c>
      <c r="AG18" s="157">
        <f t="shared" ref="AG18" si="16">SUM(AE18/AF18)*100</f>
        <v>100</v>
      </c>
      <c r="AH18" s="6">
        <v>1</v>
      </c>
      <c r="AI18" s="6">
        <v>1</v>
      </c>
      <c r="AJ18" s="157">
        <f t="shared" ref="AJ18" si="17">SUM(AH18/AI18)*100</f>
        <v>100</v>
      </c>
      <c r="AK18" s="6" t="s">
        <v>15</v>
      </c>
      <c r="AL18" s="7" t="s">
        <v>15</v>
      </c>
      <c r="AM18" s="7" t="s">
        <v>15</v>
      </c>
      <c r="AN18" s="148" t="s">
        <v>15</v>
      </c>
      <c r="AO18" s="7" t="s">
        <v>15</v>
      </c>
      <c r="AP18" s="7" t="s">
        <v>15</v>
      </c>
      <c r="AQ18" s="148" t="s">
        <v>15</v>
      </c>
      <c r="AR18" s="7" t="s">
        <v>15</v>
      </c>
      <c r="AS18" s="7" t="s">
        <v>15</v>
      </c>
      <c r="AT18" s="148" t="s">
        <v>15</v>
      </c>
      <c r="AU18" s="7" t="s">
        <v>15</v>
      </c>
      <c r="AV18" s="7" t="s">
        <v>15</v>
      </c>
      <c r="AW18" s="6" t="s">
        <v>15</v>
      </c>
      <c r="AX18" s="7" t="s">
        <v>15</v>
      </c>
      <c r="AY18" s="7" t="s">
        <v>15</v>
      </c>
      <c r="AZ18" s="7" t="s">
        <v>15</v>
      </c>
      <c r="BA18" s="7" t="s">
        <v>15</v>
      </c>
      <c r="BB18" s="7" t="s">
        <v>15</v>
      </c>
      <c r="BC18" s="62"/>
      <c r="BD18" s="62"/>
    </row>
    <row r="19" spans="1:66" ht="14.95" customHeight="1" thickBot="1" x14ac:dyDescent="0.3">
      <c r="A19" s="42" t="s">
        <v>883</v>
      </c>
      <c r="B19" s="77">
        <v>0</v>
      </c>
      <c r="C19" s="279">
        <v>1</v>
      </c>
      <c r="D19" s="228">
        <v>0</v>
      </c>
      <c r="E19" s="5">
        <f t="shared" si="0"/>
        <v>1</v>
      </c>
      <c r="F19" s="261" t="s">
        <v>883</v>
      </c>
      <c r="G19" s="293">
        <v>0</v>
      </c>
      <c r="H19" s="326">
        <v>5</v>
      </c>
      <c r="I19" s="262">
        <v>0</v>
      </c>
      <c r="J19" s="76">
        <f t="shared" si="1"/>
        <v>5</v>
      </c>
      <c r="K19" s="57"/>
      <c r="L19" s="58"/>
      <c r="M19" s="58"/>
      <c r="N19" s="59"/>
      <c r="O19" s="161"/>
      <c r="P19" s="161"/>
      <c r="Q19" s="161"/>
      <c r="R19" s="62"/>
      <c r="S19" s="62"/>
      <c r="T19" s="62"/>
      <c r="U19" s="62"/>
      <c r="V19" s="62"/>
      <c r="W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O19" s="4"/>
      <c r="AP19" s="4"/>
      <c r="AQ19" s="4"/>
      <c r="AT19" s="4"/>
      <c r="BC19" s="87"/>
      <c r="BD19" s="4"/>
      <c r="BE19" s="4"/>
    </row>
    <row r="20" spans="1:66" ht="14.95" customHeight="1" thickBot="1" x14ac:dyDescent="0.3">
      <c r="A20" s="42" t="s">
        <v>327</v>
      </c>
      <c r="B20" s="77">
        <v>0</v>
      </c>
      <c r="C20" s="279">
        <v>0</v>
      </c>
      <c r="D20" s="228">
        <v>1</v>
      </c>
      <c r="E20" s="5">
        <f t="shared" si="0"/>
        <v>1</v>
      </c>
      <c r="F20" s="261" t="s">
        <v>327</v>
      </c>
      <c r="G20" s="293">
        <v>0</v>
      </c>
      <c r="H20" s="326">
        <v>0</v>
      </c>
      <c r="I20" s="262">
        <v>5</v>
      </c>
      <c r="J20" s="76">
        <f t="shared" si="1"/>
        <v>5</v>
      </c>
      <c r="K20" s="455" t="s">
        <v>189</v>
      </c>
      <c r="L20" s="498" t="s">
        <v>14</v>
      </c>
      <c r="M20" s="499"/>
      <c r="N20" s="500"/>
      <c r="O20" s="449" t="s">
        <v>226</v>
      </c>
      <c r="P20" s="450"/>
      <c r="Q20" s="451"/>
      <c r="R20" s="449" t="s">
        <v>875</v>
      </c>
      <c r="S20" s="450"/>
      <c r="T20" s="451"/>
      <c r="U20" s="449" t="s">
        <v>581</v>
      </c>
      <c r="V20" s="450"/>
      <c r="W20" s="451"/>
      <c r="AB20" s="449" t="s">
        <v>477</v>
      </c>
      <c r="AC20" s="450"/>
      <c r="AD20" s="451"/>
      <c r="AE20" s="449" t="s">
        <v>391</v>
      </c>
      <c r="AF20" s="450"/>
      <c r="AG20" s="451"/>
      <c r="AH20" s="449" t="s">
        <v>300</v>
      </c>
      <c r="AI20" s="450"/>
      <c r="AJ20" s="451"/>
      <c r="AK20" s="449" t="s">
        <v>220</v>
      </c>
      <c r="AL20" s="450"/>
      <c r="AM20" s="451"/>
      <c r="AN20" s="449" t="s">
        <v>165</v>
      </c>
      <c r="AO20" s="450"/>
      <c r="AP20" s="451"/>
      <c r="AQ20" s="449" t="s">
        <v>78</v>
      </c>
      <c r="AR20" s="450"/>
      <c r="AS20" s="451"/>
      <c r="AT20" s="449" t="s">
        <v>54</v>
      </c>
      <c r="AU20" s="450"/>
      <c r="AV20" s="451"/>
      <c r="AW20" s="449" t="s">
        <v>59</v>
      </c>
      <c r="AX20" s="450"/>
      <c r="AY20" s="451"/>
      <c r="AZ20" s="449" t="s">
        <v>41</v>
      </c>
      <c r="BA20" s="450"/>
      <c r="BB20" s="451"/>
      <c r="BC20" s="62"/>
      <c r="BD20" s="62"/>
      <c r="BJ20" s="4"/>
      <c r="BK20" s="4"/>
    </row>
    <row r="21" spans="1:66" ht="14.95" customHeight="1" thickBot="1" x14ac:dyDescent="0.3">
      <c r="A21" s="42" t="s">
        <v>259</v>
      </c>
      <c r="B21" s="77">
        <v>0</v>
      </c>
      <c r="C21" s="279">
        <v>1</v>
      </c>
      <c r="D21" s="228">
        <v>0</v>
      </c>
      <c r="E21" s="5">
        <f t="shared" si="0"/>
        <v>1</v>
      </c>
      <c r="F21" s="261" t="s">
        <v>259</v>
      </c>
      <c r="G21" s="293">
        <v>0</v>
      </c>
      <c r="H21" s="326">
        <v>5</v>
      </c>
      <c r="I21" s="262">
        <v>0</v>
      </c>
      <c r="J21" s="76">
        <f t="shared" si="1"/>
        <v>5</v>
      </c>
      <c r="K21" s="456"/>
      <c r="L21" s="501"/>
      <c r="M21" s="502"/>
      <c r="N21" s="503"/>
      <c r="O21" s="452"/>
      <c r="P21" s="453"/>
      <c r="Q21" s="454"/>
      <c r="R21" s="452"/>
      <c r="S21" s="453"/>
      <c r="T21" s="454"/>
      <c r="U21" s="452"/>
      <c r="V21" s="453"/>
      <c r="W21" s="454"/>
      <c r="AB21" s="452"/>
      <c r="AC21" s="453"/>
      <c r="AD21" s="454"/>
      <c r="AE21" s="452"/>
      <c r="AF21" s="453"/>
      <c r="AG21" s="454"/>
      <c r="AH21" s="452"/>
      <c r="AI21" s="453"/>
      <c r="AJ21" s="454"/>
      <c r="AK21" s="452"/>
      <c r="AL21" s="453"/>
      <c r="AM21" s="454"/>
      <c r="AN21" s="452"/>
      <c r="AO21" s="453"/>
      <c r="AP21" s="454"/>
      <c r="AQ21" s="452"/>
      <c r="AR21" s="453"/>
      <c r="AS21" s="454"/>
      <c r="AT21" s="452"/>
      <c r="AU21" s="453"/>
      <c r="AV21" s="454"/>
      <c r="AW21" s="452"/>
      <c r="AX21" s="453"/>
      <c r="AY21" s="454"/>
      <c r="AZ21" s="452"/>
      <c r="BA21" s="453"/>
      <c r="BB21" s="454"/>
      <c r="BC21" s="62"/>
      <c r="BD21" s="62"/>
      <c r="BI21" s="4"/>
    </row>
    <row r="22" spans="1:66" ht="14.95" customHeight="1" thickBot="1" x14ac:dyDescent="0.3">
      <c r="A22" s="42" t="s">
        <v>445</v>
      </c>
      <c r="B22" s="77">
        <v>0</v>
      </c>
      <c r="C22" s="279">
        <v>0</v>
      </c>
      <c r="D22" s="228">
        <v>0</v>
      </c>
      <c r="E22" s="5">
        <f t="shared" si="0"/>
        <v>0</v>
      </c>
      <c r="F22" s="261" t="s">
        <v>445</v>
      </c>
      <c r="G22" s="293">
        <v>0</v>
      </c>
      <c r="H22" s="326">
        <v>0</v>
      </c>
      <c r="I22" s="262">
        <v>0</v>
      </c>
      <c r="J22" s="76">
        <f t="shared" si="1"/>
        <v>0</v>
      </c>
      <c r="K22" s="246" t="s">
        <v>21</v>
      </c>
      <c r="L22" s="247" t="s">
        <v>46</v>
      </c>
      <c r="M22" s="247" t="s">
        <v>9</v>
      </c>
      <c r="N22" s="247" t="s">
        <v>10</v>
      </c>
      <c r="O22" s="7" t="s">
        <v>46</v>
      </c>
      <c r="P22" s="7" t="s">
        <v>9</v>
      </c>
      <c r="Q22" s="7" t="s">
        <v>10</v>
      </c>
      <c r="R22" s="7" t="s">
        <v>46</v>
      </c>
      <c r="S22" s="7" t="s">
        <v>9</v>
      </c>
      <c r="T22" s="7" t="s">
        <v>10</v>
      </c>
      <c r="U22" s="148" t="s">
        <v>46</v>
      </c>
      <c r="V22" s="7" t="s">
        <v>9</v>
      </c>
      <c r="W22" s="7" t="s">
        <v>10</v>
      </c>
      <c r="AB22" s="148" t="s">
        <v>46</v>
      </c>
      <c r="AC22" s="7" t="s">
        <v>9</v>
      </c>
      <c r="AD22" s="7" t="s">
        <v>10</v>
      </c>
      <c r="AE22" s="148" t="s">
        <v>46</v>
      </c>
      <c r="AF22" s="7" t="s">
        <v>9</v>
      </c>
      <c r="AG22" s="7" t="s">
        <v>10</v>
      </c>
      <c r="AH22" s="148" t="s">
        <v>46</v>
      </c>
      <c r="AI22" s="7" t="s">
        <v>9</v>
      </c>
      <c r="AJ22" s="7" t="s">
        <v>10</v>
      </c>
      <c r="AK22" s="148" t="s">
        <v>46</v>
      </c>
      <c r="AL22" s="7" t="s">
        <v>9</v>
      </c>
      <c r="AM22" s="7" t="s">
        <v>10</v>
      </c>
      <c r="AN22" s="148" t="s">
        <v>46</v>
      </c>
      <c r="AO22" s="7" t="s">
        <v>9</v>
      </c>
      <c r="AP22" s="7" t="s">
        <v>10</v>
      </c>
      <c r="AQ22" s="148" t="s">
        <v>46</v>
      </c>
      <c r="AR22" s="7" t="s">
        <v>9</v>
      </c>
      <c r="AS22" s="7" t="s">
        <v>10</v>
      </c>
      <c r="AT22" s="148" t="s">
        <v>46</v>
      </c>
      <c r="AU22" s="7" t="s">
        <v>9</v>
      </c>
      <c r="AV22" s="7" t="s">
        <v>10</v>
      </c>
      <c r="AW22" s="148" t="s">
        <v>46</v>
      </c>
      <c r="AX22" s="7" t="s">
        <v>9</v>
      </c>
      <c r="AY22" s="7" t="s">
        <v>10</v>
      </c>
      <c r="AZ22" s="148" t="s">
        <v>46</v>
      </c>
      <c r="BA22" s="7" t="s">
        <v>9</v>
      </c>
      <c r="BB22" s="7" t="s">
        <v>10</v>
      </c>
      <c r="BC22" s="62"/>
      <c r="BD22" s="62"/>
      <c r="BL22" s="4"/>
    </row>
    <row r="23" spans="1:66" ht="14.95" customHeight="1" thickBot="1" x14ac:dyDescent="0.3">
      <c r="A23" s="42" t="s">
        <v>444</v>
      </c>
      <c r="B23" s="77">
        <v>0</v>
      </c>
      <c r="C23" s="279">
        <v>0</v>
      </c>
      <c r="D23" s="228">
        <v>0</v>
      </c>
      <c r="E23" s="5">
        <f t="shared" si="0"/>
        <v>0</v>
      </c>
      <c r="F23" s="261" t="s">
        <v>444</v>
      </c>
      <c r="G23" s="293">
        <v>0</v>
      </c>
      <c r="H23" s="326">
        <v>0</v>
      </c>
      <c r="I23" s="262">
        <v>0</v>
      </c>
      <c r="J23" s="76">
        <f t="shared" si="1"/>
        <v>0</v>
      </c>
      <c r="K23" s="118" t="s">
        <v>1035</v>
      </c>
      <c r="L23" s="40">
        <v>5</v>
      </c>
      <c r="M23" s="40">
        <v>5</v>
      </c>
      <c r="N23" s="41">
        <f t="shared" ref="N23" si="18">SUM(L23/M23)*100</f>
        <v>100</v>
      </c>
      <c r="O23" s="7" t="s">
        <v>15</v>
      </c>
      <c r="P23" s="7" t="s">
        <v>15</v>
      </c>
      <c r="Q23" s="153" t="s">
        <v>15</v>
      </c>
      <c r="R23" s="7" t="s">
        <v>15</v>
      </c>
      <c r="S23" s="7" t="s">
        <v>15</v>
      </c>
      <c r="T23" s="153" t="s">
        <v>15</v>
      </c>
      <c r="U23" s="7" t="s">
        <v>15</v>
      </c>
      <c r="V23" s="7" t="s">
        <v>15</v>
      </c>
      <c r="W23" s="153" t="s">
        <v>15</v>
      </c>
      <c r="AB23" s="148" t="s">
        <v>15</v>
      </c>
      <c r="AC23" s="7" t="s">
        <v>15</v>
      </c>
      <c r="AD23" s="153" t="s">
        <v>15</v>
      </c>
      <c r="AE23" s="6" t="s">
        <v>15</v>
      </c>
      <c r="AF23" s="7" t="s">
        <v>15</v>
      </c>
      <c r="AG23" s="153" t="s">
        <v>15</v>
      </c>
      <c r="AH23" s="7" t="s">
        <v>15</v>
      </c>
      <c r="AI23" s="7" t="s">
        <v>15</v>
      </c>
      <c r="AJ23" s="153" t="s">
        <v>15</v>
      </c>
      <c r="AK23" s="7" t="s">
        <v>15</v>
      </c>
      <c r="AL23" s="7" t="s">
        <v>15</v>
      </c>
      <c r="AM23" s="153" t="s">
        <v>15</v>
      </c>
      <c r="AN23" s="7" t="s">
        <v>15</v>
      </c>
      <c r="AO23" s="7" t="s">
        <v>15</v>
      </c>
      <c r="AP23" s="153" t="s">
        <v>15</v>
      </c>
      <c r="AQ23" s="7" t="s">
        <v>15</v>
      </c>
      <c r="AR23" s="7" t="s">
        <v>15</v>
      </c>
      <c r="AS23" s="153" t="s">
        <v>15</v>
      </c>
      <c r="AT23" s="7" t="s">
        <v>15</v>
      </c>
      <c r="AU23" s="7" t="s">
        <v>15</v>
      </c>
      <c r="AV23" s="153" t="s">
        <v>15</v>
      </c>
      <c r="AW23" s="7" t="s">
        <v>15</v>
      </c>
      <c r="AX23" s="7" t="s">
        <v>15</v>
      </c>
      <c r="AY23" s="153" t="s">
        <v>15</v>
      </c>
      <c r="AZ23" s="7" t="s">
        <v>15</v>
      </c>
      <c r="BA23" s="7" t="s">
        <v>15</v>
      </c>
      <c r="BB23" s="153" t="s">
        <v>15</v>
      </c>
      <c r="BC23" s="62"/>
      <c r="BD23" s="62"/>
      <c r="BJ23" s="4"/>
      <c r="BK23" s="4"/>
      <c r="BM23" s="4"/>
      <c r="BN23" s="4"/>
    </row>
    <row r="24" spans="1:66" ht="14.95" customHeight="1" thickBot="1" x14ac:dyDescent="0.3">
      <c r="A24" s="42" t="s">
        <v>568</v>
      </c>
      <c r="B24" s="77">
        <v>0</v>
      </c>
      <c r="C24" s="279">
        <v>0</v>
      </c>
      <c r="D24" s="228">
        <v>4</v>
      </c>
      <c r="E24" s="5">
        <f t="shared" si="0"/>
        <v>4</v>
      </c>
      <c r="F24" s="261" t="s">
        <v>568</v>
      </c>
      <c r="G24" s="293">
        <v>0</v>
      </c>
      <c r="H24" s="326">
        <v>0</v>
      </c>
      <c r="I24" s="262">
        <v>20</v>
      </c>
      <c r="J24" s="76">
        <f t="shared" si="1"/>
        <v>20</v>
      </c>
      <c r="K24" s="118" t="s">
        <v>866</v>
      </c>
      <c r="L24" s="40" t="s">
        <v>15</v>
      </c>
      <c r="M24" s="40" t="s">
        <v>15</v>
      </c>
      <c r="N24" s="40" t="s">
        <v>15</v>
      </c>
      <c r="O24" s="7" t="s">
        <v>15</v>
      </c>
      <c r="P24" s="7" t="s">
        <v>15</v>
      </c>
      <c r="Q24" s="153" t="s">
        <v>15</v>
      </c>
      <c r="R24" s="7" t="s">
        <v>15</v>
      </c>
      <c r="S24" s="7" t="s">
        <v>15</v>
      </c>
      <c r="T24" s="153" t="s">
        <v>15</v>
      </c>
      <c r="U24" s="7" t="s">
        <v>15</v>
      </c>
      <c r="V24" s="7" t="s">
        <v>15</v>
      </c>
      <c r="W24" s="153" t="s">
        <v>15</v>
      </c>
      <c r="AB24" s="148">
        <v>4</v>
      </c>
      <c r="AC24" s="7">
        <v>5</v>
      </c>
      <c r="AD24" s="153">
        <v>80</v>
      </c>
      <c r="AE24" s="148" t="s">
        <v>15</v>
      </c>
      <c r="AF24" s="7" t="s">
        <v>15</v>
      </c>
      <c r="AG24" s="7" t="s">
        <v>15</v>
      </c>
      <c r="AH24" s="148" t="s">
        <v>15</v>
      </c>
      <c r="AI24" s="7" t="s">
        <v>15</v>
      </c>
      <c r="AJ24" s="7" t="s">
        <v>15</v>
      </c>
      <c r="AK24" s="148" t="s">
        <v>15</v>
      </c>
      <c r="AL24" s="7" t="s">
        <v>15</v>
      </c>
      <c r="AM24" s="7" t="s">
        <v>15</v>
      </c>
      <c r="AN24" s="148" t="s">
        <v>15</v>
      </c>
      <c r="AO24" s="7" t="s">
        <v>15</v>
      </c>
      <c r="AP24" s="7" t="s">
        <v>15</v>
      </c>
      <c r="AQ24" s="148" t="s">
        <v>15</v>
      </c>
      <c r="AR24" s="7" t="s">
        <v>15</v>
      </c>
      <c r="AS24" s="7" t="s">
        <v>15</v>
      </c>
      <c r="AT24" s="148" t="s">
        <v>15</v>
      </c>
      <c r="AU24" s="7" t="s">
        <v>15</v>
      </c>
      <c r="AV24" s="7" t="s">
        <v>15</v>
      </c>
      <c r="AW24" s="148" t="s">
        <v>15</v>
      </c>
      <c r="AX24" s="7" t="s">
        <v>15</v>
      </c>
      <c r="AY24" s="7" t="s">
        <v>15</v>
      </c>
      <c r="AZ24" s="148" t="s">
        <v>15</v>
      </c>
      <c r="BA24" s="7" t="s">
        <v>15</v>
      </c>
      <c r="BB24" s="7" t="s">
        <v>15</v>
      </c>
      <c r="BC24" s="62"/>
      <c r="BD24" s="62"/>
      <c r="BJ24" s="4"/>
      <c r="BK24" s="4"/>
      <c r="BL24" s="4"/>
      <c r="BM24" s="4"/>
    </row>
    <row r="25" spans="1:66" ht="14.95" customHeight="1" thickBot="1" x14ac:dyDescent="0.3">
      <c r="A25" s="42" t="s">
        <v>869</v>
      </c>
      <c r="B25" s="77">
        <v>0</v>
      </c>
      <c r="C25" s="279">
        <v>0</v>
      </c>
      <c r="D25" s="228">
        <v>0</v>
      </c>
      <c r="E25" s="5">
        <f t="shared" si="0"/>
        <v>0</v>
      </c>
      <c r="F25" s="261" t="s">
        <v>869</v>
      </c>
      <c r="G25" s="293">
        <v>0</v>
      </c>
      <c r="H25" s="326">
        <v>0</v>
      </c>
      <c r="I25" s="262">
        <v>0</v>
      </c>
      <c r="J25" s="76">
        <f t="shared" si="1"/>
        <v>0</v>
      </c>
      <c r="K25" s="15" t="s">
        <v>16</v>
      </c>
      <c r="L25" s="40">
        <v>24</v>
      </c>
      <c r="M25" s="40">
        <v>26</v>
      </c>
      <c r="N25" s="41">
        <f t="shared" ref="N25:N26" si="19">SUM(L25/M25)*100</f>
        <v>92.307692307692307</v>
      </c>
      <c r="O25" s="7" t="s">
        <v>15</v>
      </c>
      <c r="P25" s="7" t="s">
        <v>15</v>
      </c>
      <c r="Q25" s="7" t="s">
        <v>15</v>
      </c>
      <c r="R25" s="7" t="s">
        <v>15</v>
      </c>
      <c r="S25" s="7" t="s">
        <v>15</v>
      </c>
      <c r="T25" s="7" t="s">
        <v>15</v>
      </c>
      <c r="U25" s="7" t="s">
        <v>15</v>
      </c>
      <c r="V25" s="7" t="s">
        <v>15</v>
      </c>
      <c r="W25" s="7" t="s">
        <v>15</v>
      </c>
      <c r="AB25" s="148" t="s">
        <v>15</v>
      </c>
      <c r="AC25" s="7" t="s">
        <v>15</v>
      </c>
      <c r="AD25" s="7" t="s">
        <v>15</v>
      </c>
      <c r="AE25" s="148" t="s">
        <v>15</v>
      </c>
      <c r="AF25" s="7" t="s">
        <v>15</v>
      </c>
      <c r="AG25" s="7" t="s">
        <v>15</v>
      </c>
      <c r="AH25" s="148" t="s">
        <v>15</v>
      </c>
      <c r="AI25" s="7" t="s">
        <v>15</v>
      </c>
      <c r="AJ25" s="7" t="s">
        <v>15</v>
      </c>
      <c r="AK25" s="148" t="s">
        <v>15</v>
      </c>
      <c r="AL25" s="7" t="s">
        <v>15</v>
      </c>
      <c r="AM25" s="7" t="s">
        <v>15</v>
      </c>
      <c r="AN25" s="148" t="s">
        <v>15</v>
      </c>
      <c r="AO25" s="148" t="s">
        <v>15</v>
      </c>
      <c r="AP25" s="7" t="s">
        <v>15</v>
      </c>
      <c r="AQ25" s="7" t="s">
        <v>15</v>
      </c>
      <c r="AR25" s="148" t="s">
        <v>15</v>
      </c>
      <c r="AS25" s="148" t="s">
        <v>15</v>
      </c>
      <c r="AT25" s="148" t="s">
        <v>15</v>
      </c>
      <c r="AU25" s="7" t="s">
        <v>15</v>
      </c>
      <c r="AV25" s="7" t="s">
        <v>15</v>
      </c>
      <c r="AW25" s="148">
        <v>20</v>
      </c>
      <c r="AX25" s="7">
        <v>25</v>
      </c>
      <c r="AY25" s="153">
        <f>SUM(AW25/AX25)*100</f>
        <v>80</v>
      </c>
      <c r="AZ25" s="7" t="s">
        <v>15</v>
      </c>
      <c r="BA25" s="7" t="s">
        <v>15</v>
      </c>
      <c r="BB25" s="7" t="s">
        <v>15</v>
      </c>
      <c r="BC25" s="62"/>
      <c r="BD25" s="62"/>
    </row>
    <row r="26" spans="1:66" ht="14.95" customHeight="1" thickBot="1" x14ac:dyDescent="0.3">
      <c r="A26" s="42" t="s">
        <v>871</v>
      </c>
      <c r="B26" s="77">
        <v>0</v>
      </c>
      <c r="C26" s="279">
        <v>1</v>
      </c>
      <c r="D26" s="228">
        <v>1</v>
      </c>
      <c r="E26" s="5">
        <f t="shared" si="0"/>
        <v>2</v>
      </c>
      <c r="F26" s="261" t="s">
        <v>871</v>
      </c>
      <c r="G26" s="293">
        <v>0</v>
      </c>
      <c r="H26" s="326">
        <v>5</v>
      </c>
      <c r="I26" s="262">
        <v>5</v>
      </c>
      <c r="J26" s="76">
        <f t="shared" si="1"/>
        <v>10</v>
      </c>
      <c r="K26" s="191" t="s">
        <v>462</v>
      </c>
      <c r="L26" s="40">
        <v>0</v>
      </c>
      <c r="M26" s="40">
        <v>1</v>
      </c>
      <c r="N26" s="40">
        <f t="shared" si="19"/>
        <v>0</v>
      </c>
      <c r="O26" s="7" t="s">
        <v>15</v>
      </c>
      <c r="P26" s="7" t="s">
        <v>15</v>
      </c>
      <c r="Q26" s="7" t="s">
        <v>15</v>
      </c>
      <c r="R26" s="7" t="s">
        <v>15</v>
      </c>
      <c r="S26" s="7" t="s">
        <v>15</v>
      </c>
      <c r="T26" s="7" t="s">
        <v>15</v>
      </c>
      <c r="U26" s="7" t="s">
        <v>15</v>
      </c>
      <c r="V26" s="7" t="s">
        <v>15</v>
      </c>
      <c r="W26" s="7" t="s">
        <v>15</v>
      </c>
      <c r="AB26" s="148" t="s">
        <v>15</v>
      </c>
      <c r="AC26" s="7" t="s">
        <v>15</v>
      </c>
      <c r="AD26" s="7" t="s">
        <v>15</v>
      </c>
      <c r="AE26" s="148" t="s">
        <v>15</v>
      </c>
      <c r="AF26" s="7" t="s">
        <v>15</v>
      </c>
      <c r="AG26" s="7" t="s">
        <v>15</v>
      </c>
      <c r="AH26" s="148" t="s">
        <v>15</v>
      </c>
      <c r="AI26" s="7" t="s">
        <v>15</v>
      </c>
      <c r="AJ26" s="7" t="s">
        <v>15</v>
      </c>
      <c r="AK26" s="148" t="s">
        <v>15</v>
      </c>
      <c r="AL26" s="7" t="s">
        <v>15</v>
      </c>
      <c r="AM26" s="7" t="s">
        <v>15</v>
      </c>
      <c r="AN26" s="148" t="s">
        <v>15</v>
      </c>
      <c r="AO26" s="148" t="s">
        <v>15</v>
      </c>
      <c r="AP26" s="7" t="s">
        <v>15</v>
      </c>
      <c r="AQ26" s="7" t="s">
        <v>15</v>
      </c>
      <c r="AR26" s="7" t="s">
        <v>15</v>
      </c>
      <c r="AS26" s="7" t="s">
        <v>15</v>
      </c>
      <c r="AT26" s="148" t="s">
        <v>15</v>
      </c>
      <c r="AU26" s="7" t="s">
        <v>15</v>
      </c>
      <c r="AV26" s="7" t="s">
        <v>15</v>
      </c>
      <c r="AW26" s="6" t="s">
        <v>15</v>
      </c>
      <c r="AX26" s="7" t="s">
        <v>15</v>
      </c>
      <c r="AY26" s="7" t="s">
        <v>15</v>
      </c>
      <c r="AZ26" s="7" t="s">
        <v>15</v>
      </c>
      <c r="BA26" s="7" t="s">
        <v>15</v>
      </c>
      <c r="BB26" s="7" t="s">
        <v>15</v>
      </c>
      <c r="BC26" s="62"/>
      <c r="BD26" s="62"/>
    </row>
    <row r="27" spans="1:66" ht="14.95" customHeight="1" thickBot="1" x14ac:dyDescent="0.3">
      <c r="A27" s="42" t="s">
        <v>886</v>
      </c>
      <c r="B27" s="77">
        <v>0</v>
      </c>
      <c r="C27" s="279">
        <v>0</v>
      </c>
      <c r="D27" s="228">
        <v>0</v>
      </c>
      <c r="E27" s="5">
        <f t="shared" si="0"/>
        <v>0</v>
      </c>
      <c r="F27" s="261" t="s">
        <v>886</v>
      </c>
      <c r="G27" s="293">
        <v>0</v>
      </c>
      <c r="H27" s="326">
        <v>0</v>
      </c>
      <c r="I27" s="262">
        <v>0</v>
      </c>
      <c r="J27" s="76">
        <f t="shared" si="1"/>
        <v>0</v>
      </c>
      <c r="K27" s="57"/>
      <c r="L27" s="58"/>
      <c r="M27" s="58"/>
      <c r="N27" s="59"/>
      <c r="O27" s="161"/>
      <c r="P27" s="161"/>
      <c r="Q27" s="161"/>
      <c r="R27" s="62"/>
      <c r="S27" s="62"/>
      <c r="T27" s="62"/>
      <c r="U27" s="62"/>
      <c r="V27" s="62"/>
      <c r="W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O27" s="4"/>
      <c r="AP27" s="4"/>
      <c r="AQ27" s="4"/>
      <c r="AT27" s="4"/>
      <c r="BD27" s="4"/>
      <c r="BE27" s="4"/>
      <c r="BG27" s="4"/>
      <c r="BH27" s="4"/>
    </row>
    <row r="28" spans="1:66" ht="14.95" customHeight="1" thickBot="1" x14ac:dyDescent="0.3">
      <c r="A28" s="42" t="s">
        <v>371</v>
      </c>
      <c r="B28" s="77">
        <v>0</v>
      </c>
      <c r="C28" s="279">
        <v>0</v>
      </c>
      <c r="D28" s="228">
        <v>2</v>
      </c>
      <c r="E28" s="5">
        <f t="shared" si="0"/>
        <v>2</v>
      </c>
      <c r="F28" s="261" t="s">
        <v>371</v>
      </c>
      <c r="G28" s="293">
        <v>0</v>
      </c>
      <c r="H28" s="326">
        <v>0</v>
      </c>
      <c r="I28" s="262">
        <v>10</v>
      </c>
      <c r="J28" s="76">
        <f t="shared" si="1"/>
        <v>10</v>
      </c>
      <c r="K28" s="472" t="s">
        <v>1003</v>
      </c>
      <c r="L28" s="511" t="s">
        <v>14</v>
      </c>
      <c r="M28" s="512"/>
      <c r="N28" s="513"/>
      <c r="O28" s="449" t="s">
        <v>226</v>
      </c>
      <c r="P28" s="450"/>
      <c r="Q28" s="451"/>
      <c r="R28" s="449" t="s">
        <v>875</v>
      </c>
      <c r="S28" s="450"/>
      <c r="T28" s="451"/>
      <c r="U28" s="449" t="s">
        <v>581</v>
      </c>
      <c r="V28" s="450"/>
      <c r="W28" s="451"/>
      <c r="AB28" s="449" t="s">
        <v>477</v>
      </c>
      <c r="AC28" s="450"/>
      <c r="AD28" s="451"/>
      <c r="AE28" s="449" t="s">
        <v>300</v>
      </c>
      <c r="AF28" s="450"/>
      <c r="AG28" s="451"/>
      <c r="AH28" s="449" t="s">
        <v>220</v>
      </c>
      <c r="AI28" s="450"/>
      <c r="AJ28" s="451"/>
      <c r="AK28" s="449" t="s">
        <v>165</v>
      </c>
      <c r="AL28" s="450"/>
      <c r="AM28" s="451"/>
      <c r="AN28" s="449" t="s">
        <v>78</v>
      </c>
      <c r="AO28" s="450"/>
      <c r="AP28" s="451"/>
      <c r="AQ28" s="449" t="s">
        <v>50</v>
      </c>
      <c r="AR28" s="450"/>
      <c r="AS28" s="451"/>
      <c r="AT28" s="449" t="s">
        <v>37</v>
      </c>
      <c r="AU28" s="450"/>
      <c r="AV28" s="451"/>
      <c r="AW28" s="62"/>
      <c r="AX28" s="62"/>
      <c r="AY28" s="62"/>
      <c r="AZ28" s="62"/>
      <c r="BA28" s="62"/>
    </row>
    <row r="29" spans="1:66" ht="14.95" customHeight="1" thickBot="1" x14ac:dyDescent="0.3">
      <c r="A29" s="42" t="s">
        <v>143</v>
      </c>
      <c r="B29" s="77">
        <v>0</v>
      </c>
      <c r="C29" s="279">
        <v>0</v>
      </c>
      <c r="D29" s="228">
        <v>0</v>
      </c>
      <c r="E29" s="5">
        <f t="shared" si="0"/>
        <v>0</v>
      </c>
      <c r="F29" s="261" t="s">
        <v>143</v>
      </c>
      <c r="G29" s="293">
        <v>0</v>
      </c>
      <c r="H29" s="326">
        <v>0</v>
      </c>
      <c r="I29" s="262">
        <v>0</v>
      </c>
      <c r="J29" s="76">
        <f t="shared" si="1"/>
        <v>0</v>
      </c>
      <c r="K29" s="473"/>
      <c r="L29" s="514"/>
      <c r="M29" s="515"/>
      <c r="N29" s="516"/>
      <c r="O29" s="452"/>
      <c r="P29" s="453"/>
      <c r="Q29" s="454"/>
      <c r="R29" s="452"/>
      <c r="S29" s="453"/>
      <c r="T29" s="454"/>
      <c r="U29" s="452"/>
      <c r="V29" s="453"/>
      <c r="W29" s="454"/>
      <c r="AB29" s="452"/>
      <c r="AC29" s="453"/>
      <c r="AD29" s="454"/>
      <c r="AE29" s="452"/>
      <c r="AF29" s="453"/>
      <c r="AG29" s="454"/>
      <c r="AH29" s="452"/>
      <c r="AI29" s="453"/>
      <c r="AJ29" s="454"/>
      <c r="AK29" s="452"/>
      <c r="AL29" s="453"/>
      <c r="AM29" s="454"/>
      <c r="AN29" s="452"/>
      <c r="AO29" s="453"/>
      <c r="AP29" s="454"/>
      <c r="AQ29" s="452"/>
      <c r="AR29" s="453"/>
      <c r="AS29" s="454"/>
      <c r="AT29" s="452"/>
      <c r="AU29" s="453"/>
      <c r="AV29" s="454"/>
      <c r="AW29" s="62"/>
      <c r="AX29" s="62"/>
      <c r="AY29" s="62"/>
      <c r="AZ29" s="62"/>
      <c r="BA29" s="62"/>
    </row>
    <row r="30" spans="1:66" ht="14.95" customHeight="1" thickBot="1" x14ac:dyDescent="0.3">
      <c r="A30" s="42" t="s">
        <v>366</v>
      </c>
      <c r="B30" s="77">
        <v>0</v>
      </c>
      <c r="C30" s="279">
        <v>1</v>
      </c>
      <c r="D30" s="228">
        <v>3</v>
      </c>
      <c r="E30" s="5">
        <f t="shared" si="0"/>
        <v>4</v>
      </c>
      <c r="F30" s="261" t="s">
        <v>366</v>
      </c>
      <c r="G30" s="293">
        <v>0</v>
      </c>
      <c r="H30" s="326">
        <v>5</v>
      </c>
      <c r="I30" s="262">
        <v>15</v>
      </c>
      <c r="J30" s="76">
        <f t="shared" si="1"/>
        <v>20</v>
      </c>
      <c r="K30" s="398" t="s">
        <v>21</v>
      </c>
      <c r="L30" s="163" t="s">
        <v>46</v>
      </c>
      <c r="M30" s="163" t="s">
        <v>9</v>
      </c>
      <c r="N30" s="163" t="s">
        <v>10</v>
      </c>
      <c r="O30" s="7" t="s">
        <v>46</v>
      </c>
      <c r="P30" s="7" t="s">
        <v>9</v>
      </c>
      <c r="Q30" s="7" t="s">
        <v>10</v>
      </c>
      <c r="R30" s="7" t="s">
        <v>46</v>
      </c>
      <c r="S30" s="7" t="s">
        <v>9</v>
      </c>
      <c r="T30" s="7" t="s">
        <v>10</v>
      </c>
      <c r="U30" s="7" t="s">
        <v>46</v>
      </c>
      <c r="V30" s="7" t="s">
        <v>9</v>
      </c>
      <c r="W30" s="7" t="s">
        <v>10</v>
      </c>
      <c r="AB30" s="148" t="s">
        <v>46</v>
      </c>
      <c r="AC30" s="7" t="s">
        <v>9</v>
      </c>
      <c r="AD30" s="7" t="s">
        <v>10</v>
      </c>
      <c r="AE30" s="148" t="s">
        <v>46</v>
      </c>
      <c r="AF30" s="7" t="s">
        <v>9</v>
      </c>
      <c r="AG30" s="7" t="s">
        <v>10</v>
      </c>
      <c r="AH30" s="148" t="s">
        <v>46</v>
      </c>
      <c r="AI30" s="7" t="s">
        <v>9</v>
      </c>
      <c r="AJ30" s="7" t="s">
        <v>10</v>
      </c>
      <c r="AK30" s="148" t="s">
        <v>46</v>
      </c>
      <c r="AL30" s="7" t="s">
        <v>9</v>
      </c>
      <c r="AM30" s="7" t="s">
        <v>10</v>
      </c>
      <c r="AN30" s="148" t="s">
        <v>46</v>
      </c>
      <c r="AO30" s="7" t="s">
        <v>9</v>
      </c>
      <c r="AP30" s="7" t="s">
        <v>10</v>
      </c>
      <c r="AQ30" s="148" t="s">
        <v>46</v>
      </c>
      <c r="AR30" s="7" t="s">
        <v>9</v>
      </c>
      <c r="AS30" s="7" t="s">
        <v>10</v>
      </c>
      <c r="AT30" s="6" t="s">
        <v>46</v>
      </c>
      <c r="AU30" s="7" t="s">
        <v>9</v>
      </c>
      <c r="AV30" s="7" t="s">
        <v>10</v>
      </c>
      <c r="AW30" s="62"/>
      <c r="AX30" s="62"/>
      <c r="AY30" s="62"/>
      <c r="AZ30" s="62"/>
      <c r="BA30" s="62"/>
    </row>
    <row r="31" spans="1:66" ht="14.95" customHeight="1" thickBot="1" x14ac:dyDescent="0.3">
      <c r="A31" s="42" t="s">
        <v>4</v>
      </c>
      <c r="B31" s="77">
        <v>0</v>
      </c>
      <c r="C31" s="279">
        <v>1</v>
      </c>
      <c r="D31" s="228">
        <v>0</v>
      </c>
      <c r="E31" s="5">
        <f t="shared" si="0"/>
        <v>1</v>
      </c>
      <c r="F31" s="261" t="s">
        <v>4</v>
      </c>
      <c r="G31" s="293">
        <v>0</v>
      </c>
      <c r="H31" s="326">
        <v>7</v>
      </c>
      <c r="I31" s="262">
        <v>0</v>
      </c>
      <c r="J31" s="76">
        <f t="shared" si="1"/>
        <v>7</v>
      </c>
      <c r="K31" s="118" t="s">
        <v>424</v>
      </c>
      <c r="L31" s="40" t="s">
        <v>15</v>
      </c>
      <c r="M31" s="40" t="s">
        <v>15</v>
      </c>
      <c r="N31" s="41" t="s">
        <v>15</v>
      </c>
      <c r="O31" s="7" t="s">
        <v>15</v>
      </c>
      <c r="P31" s="7" t="s">
        <v>15</v>
      </c>
      <c r="Q31" s="153" t="s">
        <v>15</v>
      </c>
      <c r="R31" s="7" t="s">
        <v>15</v>
      </c>
      <c r="S31" s="7" t="s">
        <v>15</v>
      </c>
      <c r="T31" s="153" t="s">
        <v>15</v>
      </c>
      <c r="U31" s="7">
        <v>4</v>
      </c>
      <c r="V31" s="7">
        <v>4</v>
      </c>
      <c r="W31" s="153">
        <v>100</v>
      </c>
      <c r="AB31" s="148" t="s">
        <v>15</v>
      </c>
      <c r="AC31" s="7" t="s">
        <v>15</v>
      </c>
      <c r="AD31" s="153" t="s">
        <v>15</v>
      </c>
      <c r="AE31" s="148" t="s">
        <v>15</v>
      </c>
      <c r="AF31" s="7" t="s">
        <v>15</v>
      </c>
      <c r="AG31" s="153" t="s">
        <v>15</v>
      </c>
      <c r="AH31" s="6" t="s">
        <v>15</v>
      </c>
      <c r="AI31" s="7" t="s">
        <v>15</v>
      </c>
      <c r="AJ31" s="153" t="s">
        <v>15</v>
      </c>
      <c r="AK31" s="6" t="s">
        <v>15</v>
      </c>
      <c r="AL31" s="7" t="s">
        <v>15</v>
      </c>
      <c r="AM31" s="153" t="s">
        <v>15</v>
      </c>
      <c r="AN31" s="7" t="s">
        <v>15</v>
      </c>
      <c r="AO31" s="7" t="s">
        <v>15</v>
      </c>
      <c r="AP31" s="153" t="s">
        <v>15</v>
      </c>
      <c r="AQ31" s="7" t="s">
        <v>15</v>
      </c>
      <c r="AR31" s="7" t="s">
        <v>15</v>
      </c>
      <c r="AS31" s="153" t="s">
        <v>15</v>
      </c>
      <c r="AT31" s="7" t="s">
        <v>15</v>
      </c>
      <c r="AU31" s="7" t="s">
        <v>15</v>
      </c>
      <c r="AV31" s="153" t="s">
        <v>15</v>
      </c>
      <c r="AW31" s="62"/>
      <c r="AX31" s="62"/>
      <c r="AY31" s="62"/>
      <c r="AZ31" s="62"/>
      <c r="BA31" s="62"/>
    </row>
    <row r="32" spans="1:66" ht="14.95" customHeight="1" thickBot="1" x14ac:dyDescent="0.3">
      <c r="A32" s="42" t="s">
        <v>1052</v>
      </c>
      <c r="B32" s="77">
        <v>4</v>
      </c>
      <c r="C32" s="279">
        <v>0</v>
      </c>
      <c r="D32" s="228">
        <v>8</v>
      </c>
      <c r="E32" s="5">
        <f t="shared" si="0"/>
        <v>12</v>
      </c>
      <c r="F32" s="261" t="s">
        <v>1052</v>
      </c>
      <c r="G32" s="293">
        <v>20</v>
      </c>
      <c r="H32" s="326">
        <v>0</v>
      </c>
      <c r="I32" s="262">
        <v>40</v>
      </c>
      <c r="J32" s="76">
        <f t="shared" si="1"/>
        <v>60</v>
      </c>
      <c r="K32" s="118" t="s">
        <v>1035</v>
      </c>
      <c r="L32" s="40">
        <v>1</v>
      </c>
      <c r="M32" s="40">
        <v>1</v>
      </c>
      <c r="N32" s="41">
        <f t="shared" ref="N32:N34" si="20">SUM(L32/M32)*100</f>
        <v>100</v>
      </c>
      <c r="O32" s="7" t="s">
        <v>15</v>
      </c>
      <c r="P32" s="7" t="s">
        <v>15</v>
      </c>
      <c r="Q32" s="153" t="s">
        <v>15</v>
      </c>
      <c r="R32" s="7" t="s">
        <v>15</v>
      </c>
      <c r="S32" s="7" t="s">
        <v>15</v>
      </c>
      <c r="T32" s="153" t="s">
        <v>15</v>
      </c>
      <c r="U32" s="7" t="s">
        <v>15</v>
      </c>
      <c r="V32" s="7" t="s">
        <v>15</v>
      </c>
      <c r="W32" s="153" t="s">
        <v>15</v>
      </c>
      <c r="AB32" s="7" t="s">
        <v>15</v>
      </c>
      <c r="AC32" s="7" t="s">
        <v>15</v>
      </c>
      <c r="AD32" s="153" t="s">
        <v>15</v>
      </c>
      <c r="AE32" s="7" t="s">
        <v>15</v>
      </c>
      <c r="AF32" s="7" t="s">
        <v>15</v>
      </c>
      <c r="AG32" s="153" t="s">
        <v>15</v>
      </c>
      <c r="AH32" s="7" t="s">
        <v>15</v>
      </c>
      <c r="AI32" s="7" t="s">
        <v>15</v>
      </c>
      <c r="AJ32" s="153" t="s">
        <v>15</v>
      </c>
      <c r="AK32" s="7" t="s">
        <v>15</v>
      </c>
      <c r="AL32" s="7" t="s">
        <v>15</v>
      </c>
      <c r="AM32" s="153" t="s">
        <v>15</v>
      </c>
      <c r="AN32" s="7" t="s">
        <v>15</v>
      </c>
      <c r="AO32" s="7" t="s">
        <v>15</v>
      </c>
      <c r="AP32" s="153" t="s">
        <v>15</v>
      </c>
      <c r="AQ32" s="7" t="s">
        <v>15</v>
      </c>
      <c r="AR32" s="7" t="s">
        <v>15</v>
      </c>
      <c r="AS32" s="153" t="s">
        <v>15</v>
      </c>
      <c r="AT32" s="7" t="s">
        <v>15</v>
      </c>
      <c r="AU32" s="7" t="s">
        <v>15</v>
      </c>
      <c r="AV32" s="153" t="s">
        <v>15</v>
      </c>
      <c r="AW32" s="62"/>
      <c r="AX32" s="62"/>
      <c r="AY32" s="62"/>
      <c r="AZ32" s="62"/>
      <c r="BA32" s="62"/>
    </row>
    <row r="33" spans="1:53" ht="14.95" customHeight="1" thickBot="1" x14ac:dyDescent="0.3">
      <c r="A33" s="42" t="s">
        <v>632</v>
      </c>
      <c r="B33" s="77">
        <v>0</v>
      </c>
      <c r="C33" s="279">
        <v>1</v>
      </c>
      <c r="D33" s="228">
        <v>2</v>
      </c>
      <c r="E33" s="5">
        <f t="shared" si="0"/>
        <v>3</v>
      </c>
      <c r="F33" s="263" t="s">
        <v>632</v>
      </c>
      <c r="G33" s="293">
        <v>0</v>
      </c>
      <c r="H33" s="326">
        <v>5</v>
      </c>
      <c r="I33" s="262">
        <v>10</v>
      </c>
      <c r="J33" s="76">
        <f t="shared" ref="J33" si="21">SUM(G33:I33)</f>
        <v>15</v>
      </c>
      <c r="K33" s="118" t="s">
        <v>867</v>
      </c>
      <c r="L33" s="40">
        <v>5</v>
      </c>
      <c r="M33" s="40">
        <v>8</v>
      </c>
      <c r="N33" s="41">
        <f t="shared" si="20"/>
        <v>62.5</v>
      </c>
      <c r="O33" s="7">
        <v>6</v>
      </c>
      <c r="P33" s="7">
        <v>9</v>
      </c>
      <c r="Q33" s="153">
        <v>66.666666666666657</v>
      </c>
      <c r="R33" s="7">
        <v>9</v>
      </c>
      <c r="S33" s="7">
        <v>11</v>
      </c>
      <c r="T33" s="153">
        <v>81.818181818181827</v>
      </c>
      <c r="U33" s="7">
        <v>8</v>
      </c>
      <c r="V33" s="7">
        <v>8</v>
      </c>
      <c r="W33" s="153">
        <v>100</v>
      </c>
      <c r="AB33" s="148">
        <v>0</v>
      </c>
      <c r="AC33" s="7">
        <v>3</v>
      </c>
      <c r="AD33" s="153">
        <v>0</v>
      </c>
      <c r="AE33" s="6" t="s">
        <v>15</v>
      </c>
      <c r="AF33" s="7" t="s">
        <v>15</v>
      </c>
      <c r="AG33" s="153" t="s">
        <v>15</v>
      </c>
      <c r="AH33" s="7" t="s">
        <v>15</v>
      </c>
      <c r="AI33" s="7" t="s">
        <v>15</v>
      </c>
      <c r="AJ33" s="153" t="s">
        <v>15</v>
      </c>
      <c r="AK33" s="7" t="s">
        <v>15</v>
      </c>
      <c r="AL33" s="7" t="s">
        <v>15</v>
      </c>
      <c r="AM33" s="153" t="s">
        <v>15</v>
      </c>
      <c r="AN33" s="7" t="s">
        <v>15</v>
      </c>
      <c r="AO33" s="7" t="s">
        <v>15</v>
      </c>
      <c r="AP33" s="153" t="s">
        <v>15</v>
      </c>
      <c r="AQ33" s="7" t="s">
        <v>15</v>
      </c>
      <c r="AR33" s="7" t="s">
        <v>15</v>
      </c>
      <c r="AS33" s="153" t="s">
        <v>15</v>
      </c>
      <c r="AT33" s="7" t="s">
        <v>15</v>
      </c>
      <c r="AU33" s="7" t="s">
        <v>15</v>
      </c>
      <c r="AV33" s="153" t="s">
        <v>15</v>
      </c>
      <c r="AW33" s="62"/>
      <c r="AX33" s="62"/>
      <c r="AY33" s="62"/>
      <c r="AZ33" s="62"/>
      <c r="BA33" s="62"/>
    </row>
    <row r="34" spans="1:53" ht="14.95" customHeight="1" thickBot="1" x14ac:dyDescent="0.3">
      <c r="A34" s="42" t="s">
        <v>628</v>
      </c>
      <c r="B34" s="77">
        <v>0</v>
      </c>
      <c r="C34" s="279">
        <v>0</v>
      </c>
      <c r="D34" s="228">
        <v>1</v>
      </c>
      <c r="E34" s="5">
        <f t="shared" si="0"/>
        <v>1</v>
      </c>
      <c r="F34" s="261" t="s">
        <v>628</v>
      </c>
      <c r="G34" s="293">
        <v>0</v>
      </c>
      <c r="H34" s="326">
        <v>0</v>
      </c>
      <c r="I34" s="262">
        <v>5</v>
      </c>
      <c r="J34" s="76">
        <f t="shared" si="1"/>
        <v>5</v>
      </c>
      <c r="K34" s="15" t="s">
        <v>212</v>
      </c>
      <c r="L34" s="40">
        <v>10</v>
      </c>
      <c r="M34" s="40">
        <v>15</v>
      </c>
      <c r="N34" s="41">
        <f t="shared" si="20"/>
        <v>66.666666666666657</v>
      </c>
      <c r="O34" s="7">
        <v>31</v>
      </c>
      <c r="P34" s="7">
        <v>36</v>
      </c>
      <c r="Q34" s="153">
        <v>86.111111111111114</v>
      </c>
      <c r="R34" s="7" t="s">
        <v>15</v>
      </c>
      <c r="S34" s="7" t="s">
        <v>15</v>
      </c>
      <c r="T34" s="153" t="s">
        <v>15</v>
      </c>
      <c r="U34" s="7" t="s">
        <v>15</v>
      </c>
      <c r="V34" s="7" t="s">
        <v>15</v>
      </c>
      <c r="W34" s="153" t="s">
        <v>15</v>
      </c>
      <c r="AB34" s="148">
        <v>6</v>
      </c>
      <c r="AC34" s="7">
        <v>7</v>
      </c>
      <c r="AD34" s="153">
        <f t="shared" ref="AD34" si="22">SUM(AB34/AC34)*100</f>
        <v>85.714285714285708</v>
      </c>
      <c r="AE34" s="148" t="s">
        <v>15</v>
      </c>
      <c r="AF34" s="7" t="s">
        <v>15</v>
      </c>
      <c r="AG34" s="7" t="s">
        <v>15</v>
      </c>
      <c r="AH34" s="6" t="s">
        <v>15</v>
      </c>
      <c r="AI34" s="7" t="s">
        <v>15</v>
      </c>
      <c r="AJ34" s="7" t="s">
        <v>15</v>
      </c>
      <c r="AK34" s="6" t="s">
        <v>15</v>
      </c>
      <c r="AL34" s="7" t="s">
        <v>15</v>
      </c>
      <c r="AM34" s="7" t="s">
        <v>15</v>
      </c>
      <c r="AN34" s="7" t="s">
        <v>15</v>
      </c>
      <c r="AO34" s="7" t="s">
        <v>15</v>
      </c>
      <c r="AP34" s="7" t="s">
        <v>15</v>
      </c>
      <c r="AQ34" s="6" t="s">
        <v>15</v>
      </c>
      <c r="AR34" s="6" t="s">
        <v>15</v>
      </c>
      <c r="AS34" s="6" t="s">
        <v>15</v>
      </c>
      <c r="AT34" s="6" t="s">
        <v>15</v>
      </c>
      <c r="AU34" s="6" t="s">
        <v>15</v>
      </c>
      <c r="AV34" s="6" t="s">
        <v>15</v>
      </c>
      <c r="AW34" s="62"/>
      <c r="AX34" s="62"/>
      <c r="AY34" s="62"/>
      <c r="AZ34" s="62"/>
      <c r="BA34" s="62"/>
    </row>
    <row r="35" spans="1:53" ht="14.95" customHeight="1" thickBot="1" x14ac:dyDescent="0.3">
      <c r="A35" s="42" t="s">
        <v>520</v>
      </c>
      <c r="B35" s="77">
        <v>0</v>
      </c>
      <c r="C35" s="279">
        <v>0</v>
      </c>
      <c r="D35" s="228">
        <v>2</v>
      </c>
      <c r="E35" s="5">
        <f t="shared" si="0"/>
        <v>2</v>
      </c>
      <c r="F35" s="261" t="s">
        <v>520</v>
      </c>
      <c r="G35" s="293">
        <v>0</v>
      </c>
      <c r="H35" s="326">
        <v>0</v>
      </c>
      <c r="I35" s="262">
        <v>10</v>
      </c>
      <c r="J35" s="76">
        <f t="shared" si="1"/>
        <v>10</v>
      </c>
      <c r="K35" s="118" t="s">
        <v>444</v>
      </c>
      <c r="L35" s="40" t="s">
        <v>15</v>
      </c>
      <c r="M35" s="40" t="s">
        <v>15</v>
      </c>
      <c r="N35" s="41" t="s">
        <v>15</v>
      </c>
      <c r="O35" s="7" t="s">
        <v>15</v>
      </c>
      <c r="P35" s="7" t="s">
        <v>15</v>
      </c>
      <c r="Q35" s="153" t="s">
        <v>15</v>
      </c>
      <c r="R35" s="7">
        <v>0</v>
      </c>
      <c r="S35" s="7">
        <v>1</v>
      </c>
      <c r="T35" s="153">
        <v>0</v>
      </c>
      <c r="U35" s="7">
        <v>21</v>
      </c>
      <c r="V35" s="7">
        <v>23</v>
      </c>
      <c r="W35" s="153">
        <v>91.304347826086953</v>
      </c>
      <c r="AB35" s="148" t="s">
        <v>15</v>
      </c>
      <c r="AC35" s="7" t="s">
        <v>15</v>
      </c>
      <c r="AD35" s="153" t="s">
        <v>15</v>
      </c>
      <c r="AE35" s="148" t="s">
        <v>15</v>
      </c>
      <c r="AF35" s="7" t="s">
        <v>15</v>
      </c>
      <c r="AG35" s="153" t="s">
        <v>15</v>
      </c>
      <c r="AH35" s="6" t="s">
        <v>15</v>
      </c>
      <c r="AI35" s="7" t="s">
        <v>15</v>
      </c>
      <c r="AJ35" s="153" t="s">
        <v>15</v>
      </c>
      <c r="AK35" s="6" t="s">
        <v>15</v>
      </c>
      <c r="AL35" s="7" t="s">
        <v>15</v>
      </c>
      <c r="AM35" s="153" t="s">
        <v>15</v>
      </c>
      <c r="AN35" s="7" t="s">
        <v>15</v>
      </c>
      <c r="AO35" s="7" t="s">
        <v>15</v>
      </c>
      <c r="AP35" s="153" t="s">
        <v>15</v>
      </c>
      <c r="AQ35" s="7" t="s">
        <v>15</v>
      </c>
      <c r="AR35" s="7" t="s">
        <v>15</v>
      </c>
      <c r="AS35" s="153" t="s">
        <v>15</v>
      </c>
      <c r="AT35" s="7" t="s">
        <v>15</v>
      </c>
      <c r="AU35" s="7" t="s">
        <v>15</v>
      </c>
      <c r="AV35" s="153" t="s">
        <v>15</v>
      </c>
      <c r="AW35" s="62"/>
      <c r="AX35" s="62"/>
      <c r="AY35" s="62"/>
      <c r="AZ35" s="62"/>
      <c r="BA35" s="62"/>
    </row>
    <row r="36" spans="1:53" ht="14.95" customHeight="1" thickBot="1" x14ac:dyDescent="0.3">
      <c r="A36" s="42" t="s">
        <v>441</v>
      </c>
      <c r="B36" s="77">
        <v>1</v>
      </c>
      <c r="C36" s="279">
        <v>3</v>
      </c>
      <c r="D36" s="228">
        <v>0</v>
      </c>
      <c r="E36" s="5">
        <f t="shared" si="0"/>
        <v>4</v>
      </c>
      <c r="F36" s="261" t="s">
        <v>441</v>
      </c>
      <c r="G36" s="293">
        <v>5</v>
      </c>
      <c r="H36" s="326">
        <v>15</v>
      </c>
      <c r="I36" s="262">
        <v>0</v>
      </c>
      <c r="J36" s="76">
        <f t="shared" si="1"/>
        <v>20</v>
      </c>
      <c r="K36" s="15" t="s">
        <v>462</v>
      </c>
      <c r="L36" s="40">
        <v>6</v>
      </c>
      <c r="M36" s="40">
        <v>15</v>
      </c>
      <c r="N36" s="41">
        <f t="shared" ref="N36:N37" si="23">SUM(L36/M36)*100</f>
        <v>40</v>
      </c>
      <c r="O36" s="7">
        <v>3</v>
      </c>
      <c r="P36" s="7">
        <v>6</v>
      </c>
      <c r="Q36" s="153">
        <v>50</v>
      </c>
      <c r="R36" s="7">
        <v>5</v>
      </c>
      <c r="S36" s="7">
        <v>6</v>
      </c>
      <c r="T36" s="153">
        <v>83.333333333333343</v>
      </c>
      <c r="U36" s="7" t="s">
        <v>15</v>
      </c>
      <c r="V36" s="7" t="s">
        <v>15</v>
      </c>
      <c r="W36" s="153" t="s">
        <v>15</v>
      </c>
      <c r="AB36" s="148" t="s">
        <v>15</v>
      </c>
      <c r="AC36" s="7" t="s">
        <v>15</v>
      </c>
      <c r="AD36" s="153" t="s">
        <v>15</v>
      </c>
      <c r="AE36" s="148">
        <v>1</v>
      </c>
      <c r="AF36" s="7">
        <v>2</v>
      </c>
      <c r="AG36" s="7">
        <f>(AE36/AF36)*100</f>
        <v>50</v>
      </c>
      <c r="AH36" s="148">
        <v>4</v>
      </c>
      <c r="AI36" s="7">
        <v>6</v>
      </c>
      <c r="AJ36" s="153">
        <f>SUM(AH36/AI36)*100</f>
        <v>66.666666666666657</v>
      </c>
      <c r="AK36" s="148" t="s">
        <v>15</v>
      </c>
      <c r="AL36" s="7" t="s">
        <v>15</v>
      </c>
      <c r="AM36" s="7" t="s">
        <v>15</v>
      </c>
      <c r="AN36" s="148" t="s">
        <v>15</v>
      </c>
      <c r="AO36" s="7" t="s">
        <v>15</v>
      </c>
      <c r="AP36" s="7" t="s">
        <v>15</v>
      </c>
      <c r="AQ36" s="148" t="s">
        <v>15</v>
      </c>
      <c r="AR36" s="7" t="s">
        <v>15</v>
      </c>
      <c r="AS36" s="7" t="s">
        <v>15</v>
      </c>
      <c r="AT36" s="6" t="s">
        <v>15</v>
      </c>
      <c r="AU36" s="7" t="s">
        <v>15</v>
      </c>
      <c r="AV36" s="7" t="s">
        <v>15</v>
      </c>
      <c r="AW36" s="62"/>
      <c r="AX36" s="62"/>
      <c r="AY36" s="62"/>
      <c r="AZ36" s="62"/>
      <c r="BA36" s="62"/>
    </row>
    <row r="37" spans="1:53" ht="14.95" customHeight="1" thickBot="1" x14ac:dyDescent="0.3">
      <c r="A37" s="42" t="s">
        <v>462</v>
      </c>
      <c r="B37" s="77">
        <v>2</v>
      </c>
      <c r="C37" s="279">
        <v>2</v>
      </c>
      <c r="D37" s="228">
        <v>0</v>
      </c>
      <c r="E37" s="5">
        <f t="shared" si="0"/>
        <v>4</v>
      </c>
      <c r="F37" s="261" t="s">
        <v>462</v>
      </c>
      <c r="G37" s="293">
        <v>18</v>
      </c>
      <c r="H37" s="326">
        <v>10</v>
      </c>
      <c r="I37" s="262">
        <v>12</v>
      </c>
      <c r="J37" s="76">
        <f t="shared" si="1"/>
        <v>40</v>
      </c>
      <c r="K37" s="15" t="s">
        <v>16</v>
      </c>
      <c r="L37" s="40">
        <v>9</v>
      </c>
      <c r="M37" s="40">
        <v>11</v>
      </c>
      <c r="N37" s="41">
        <f t="shared" si="23"/>
        <v>81.818181818181827</v>
      </c>
      <c r="O37" s="7" t="s">
        <v>15</v>
      </c>
      <c r="P37" s="7" t="s">
        <v>15</v>
      </c>
      <c r="Q37" s="153" t="s">
        <v>15</v>
      </c>
      <c r="R37" s="7">
        <v>14</v>
      </c>
      <c r="S37" s="7">
        <v>18</v>
      </c>
      <c r="T37" s="153">
        <v>77.777777777777786</v>
      </c>
      <c r="U37" s="7" t="s">
        <v>15</v>
      </c>
      <c r="V37" s="7" t="s">
        <v>15</v>
      </c>
      <c r="W37" s="153" t="s">
        <v>15</v>
      </c>
      <c r="AB37" s="148" t="s">
        <v>15</v>
      </c>
      <c r="AC37" s="7" t="s">
        <v>15</v>
      </c>
      <c r="AD37" s="153" t="s">
        <v>15</v>
      </c>
      <c r="AE37" s="148" t="s">
        <v>15</v>
      </c>
      <c r="AF37" s="7" t="s">
        <v>15</v>
      </c>
      <c r="AG37" s="7" t="s">
        <v>15</v>
      </c>
      <c r="AH37" s="148" t="s">
        <v>15</v>
      </c>
      <c r="AI37" s="7" t="s">
        <v>15</v>
      </c>
      <c r="AJ37" s="7" t="s">
        <v>15</v>
      </c>
      <c r="AK37" s="148" t="s">
        <v>15</v>
      </c>
      <c r="AL37" s="7" t="s">
        <v>15</v>
      </c>
      <c r="AM37" s="7" t="s">
        <v>15</v>
      </c>
      <c r="AN37" s="148" t="s">
        <v>15</v>
      </c>
      <c r="AO37" s="7" t="s">
        <v>15</v>
      </c>
      <c r="AP37" s="7" t="s">
        <v>15</v>
      </c>
      <c r="AQ37" s="148" t="s">
        <v>15</v>
      </c>
      <c r="AR37" s="7" t="s">
        <v>15</v>
      </c>
      <c r="AS37" s="7" t="s">
        <v>15</v>
      </c>
      <c r="AT37" s="6">
        <v>6</v>
      </c>
      <c r="AU37" s="7">
        <v>14</v>
      </c>
      <c r="AV37" s="153">
        <f>SUM(AT37/AU37)*100</f>
        <v>42.857142857142854</v>
      </c>
      <c r="AW37" s="62"/>
      <c r="AX37" s="62"/>
      <c r="AY37" s="62"/>
      <c r="AZ37" s="4"/>
      <c r="BA37" s="4"/>
    </row>
    <row r="38" spans="1:53" ht="14.95" customHeight="1" thickBot="1" x14ac:dyDescent="0.3">
      <c r="A38" s="42" t="s">
        <v>16</v>
      </c>
      <c r="B38" s="77">
        <v>6</v>
      </c>
      <c r="C38" s="279">
        <v>2</v>
      </c>
      <c r="D38" s="228">
        <v>0</v>
      </c>
      <c r="E38" s="5">
        <f t="shared" si="0"/>
        <v>8</v>
      </c>
      <c r="F38" s="261" t="s">
        <v>16</v>
      </c>
      <c r="G38" s="293">
        <v>121</v>
      </c>
      <c r="H38" s="326">
        <v>66</v>
      </c>
      <c r="I38" s="262">
        <v>21</v>
      </c>
      <c r="J38" s="76">
        <f t="shared" si="1"/>
        <v>208</v>
      </c>
      <c r="K38" s="509" t="s">
        <v>1118</v>
      </c>
      <c r="L38" s="510"/>
      <c r="M38" s="510"/>
      <c r="N38" s="510"/>
      <c r="O38" s="510"/>
      <c r="P38" s="510"/>
      <c r="Q38" s="510"/>
      <c r="R38" s="510"/>
      <c r="S38" s="510"/>
      <c r="T38" s="510"/>
      <c r="U38" s="510"/>
      <c r="V38" s="510"/>
      <c r="W38" s="510"/>
      <c r="X38" s="477"/>
      <c r="Y38" s="477"/>
      <c r="AB38" s="509" t="s">
        <v>1117</v>
      </c>
      <c r="AC38" s="510"/>
      <c r="AD38" s="510"/>
      <c r="AE38" s="510"/>
      <c r="AF38" s="510"/>
      <c r="AG38" s="510"/>
      <c r="AH38" s="510"/>
      <c r="AI38" s="510"/>
      <c r="AJ38" s="510"/>
      <c r="AK38" s="510"/>
      <c r="AL38" s="510"/>
      <c r="AM38" s="510"/>
      <c r="AN38" s="510"/>
      <c r="AO38" s="477"/>
      <c r="AP38" s="477"/>
      <c r="AQ38" s="4"/>
      <c r="AR38" s="4"/>
    </row>
    <row r="39" spans="1:53" ht="14.95" customHeight="1" thickBot="1" x14ac:dyDescent="0.3">
      <c r="A39" s="42" t="s">
        <v>885</v>
      </c>
      <c r="B39" s="77">
        <v>0</v>
      </c>
      <c r="C39" s="279">
        <v>2</v>
      </c>
      <c r="D39" s="228">
        <v>0</v>
      </c>
      <c r="E39" s="5">
        <f t="shared" si="0"/>
        <v>2</v>
      </c>
      <c r="F39" s="261" t="s">
        <v>885</v>
      </c>
      <c r="G39" s="293">
        <v>0</v>
      </c>
      <c r="H39" s="326">
        <v>10</v>
      </c>
      <c r="I39" s="262">
        <v>0</v>
      </c>
      <c r="J39" s="76">
        <f t="shared" si="1"/>
        <v>10</v>
      </c>
      <c r="K39" s="474"/>
      <c r="L39" s="517"/>
      <c r="M39" s="517"/>
      <c r="N39" s="517"/>
      <c r="O39" s="517"/>
      <c r="P39" s="517"/>
      <c r="Q39" s="517"/>
      <c r="R39" s="517"/>
      <c r="S39" s="517"/>
      <c r="T39" s="517"/>
      <c r="U39" s="517"/>
      <c r="V39" s="517"/>
      <c r="W39" s="517"/>
      <c r="X39" s="517"/>
      <c r="Y39" s="517"/>
      <c r="Z39" s="517"/>
      <c r="AN39" s="4"/>
      <c r="AO39" s="4"/>
      <c r="AP39" s="4"/>
    </row>
    <row r="40" spans="1:53" ht="14.95" customHeight="1" thickBot="1" x14ac:dyDescent="0.3">
      <c r="A40" s="42" t="s">
        <v>401</v>
      </c>
      <c r="B40" s="77">
        <v>0</v>
      </c>
      <c r="C40" s="279">
        <v>0</v>
      </c>
      <c r="D40" s="228">
        <v>0</v>
      </c>
      <c r="E40" s="5">
        <f t="shared" si="0"/>
        <v>0</v>
      </c>
      <c r="F40" s="261" t="s">
        <v>401</v>
      </c>
      <c r="G40" s="293">
        <v>0</v>
      </c>
      <c r="H40" s="326">
        <v>0</v>
      </c>
      <c r="I40" s="262">
        <v>0</v>
      </c>
      <c r="J40" s="76">
        <f t="shared" si="1"/>
        <v>0</v>
      </c>
      <c r="K40" s="474"/>
      <c r="L40" s="477"/>
      <c r="M40" s="477"/>
      <c r="N40" s="477"/>
      <c r="O40" s="477"/>
      <c r="P40" s="477"/>
      <c r="Q40" s="477"/>
      <c r="R40" s="477"/>
      <c r="S40" s="477"/>
      <c r="T40" s="477"/>
      <c r="U40" s="477"/>
      <c r="V40" s="477"/>
      <c r="W40" s="477"/>
      <c r="X40" s="477"/>
      <c r="Y40" s="477"/>
      <c r="AN40" s="4"/>
      <c r="AO40" s="4"/>
      <c r="AP40" s="4"/>
    </row>
    <row r="41" spans="1:53" ht="14.95" customHeight="1" thickBot="1" x14ac:dyDescent="0.3">
      <c r="A41" s="42" t="s">
        <v>819</v>
      </c>
      <c r="B41" s="77">
        <v>0</v>
      </c>
      <c r="C41" s="279">
        <v>0</v>
      </c>
      <c r="D41" s="228">
        <v>0</v>
      </c>
      <c r="E41" s="5">
        <f t="shared" si="0"/>
        <v>0</v>
      </c>
      <c r="F41" s="261" t="s">
        <v>819</v>
      </c>
      <c r="G41" s="293">
        <v>0</v>
      </c>
      <c r="H41" s="326">
        <v>0</v>
      </c>
      <c r="I41" s="262">
        <v>0</v>
      </c>
      <c r="J41" s="76">
        <f t="shared" si="1"/>
        <v>0</v>
      </c>
      <c r="Z41" t="s">
        <v>21</v>
      </c>
      <c r="AB41" t="s">
        <v>21</v>
      </c>
    </row>
    <row r="42" spans="1:53" ht="14.95" customHeight="1" thickBot="1" x14ac:dyDescent="0.3">
      <c r="A42" s="42" t="s">
        <v>335</v>
      </c>
      <c r="B42" s="77">
        <v>0</v>
      </c>
      <c r="C42" s="279">
        <v>1</v>
      </c>
      <c r="D42" s="228">
        <v>3</v>
      </c>
      <c r="E42" s="5">
        <f t="shared" si="0"/>
        <v>4</v>
      </c>
      <c r="F42" s="261" t="s">
        <v>335</v>
      </c>
      <c r="G42" s="293">
        <v>0</v>
      </c>
      <c r="H42" s="326">
        <v>5</v>
      </c>
      <c r="I42" s="262">
        <v>15</v>
      </c>
      <c r="J42" s="76">
        <f t="shared" si="1"/>
        <v>20</v>
      </c>
    </row>
    <row r="43" spans="1:53" ht="14.95" customHeight="1" thickBot="1" x14ac:dyDescent="0.3">
      <c r="A43" s="42" t="s">
        <v>884</v>
      </c>
      <c r="B43" s="77">
        <v>4</v>
      </c>
      <c r="C43" s="279">
        <v>0</v>
      </c>
      <c r="D43" s="228">
        <v>1</v>
      </c>
      <c r="E43" s="5">
        <f t="shared" si="0"/>
        <v>5</v>
      </c>
      <c r="F43" s="261" t="s">
        <v>884</v>
      </c>
      <c r="G43" s="293">
        <v>20</v>
      </c>
      <c r="H43" s="326">
        <v>0</v>
      </c>
      <c r="I43" s="262">
        <v>5</v>
      </c>
      <c r="J43" s="76">
        <f t="shared" si="1"/>
        <v>25</v>
      </c>
      <c r="AQ43" s="4"/>
      <c r="AR43" s="4"/>
    </row>
    <row r="44" spans="1:53" ht="14.95" customHeight="1" thickBot="1" x14ac:dyDescent="0.3">
      <c r="A44" s="42" t="s">
        <v>484</v>
      </c>
      <c r="B44" s="77">
        <v>3</v>
      </c>
      <c r="C44" s="279">
        <v>1</v>
      </c>
      <c r="D44" s="228">
        <v>1</v>
      </c>
      <c r="E44" s="5">
        <f t="shared" si="0"/>
        <v>5</v>
      </c>
      <c r="F44" s="261" t="s">
        <v>484</v>
      </c>
      <c r="G44" s="293">
        <v>15</v>
      </c>
      <c r="H44" s="326">
        <v>5</v>
      </c>
      <c r="I44" s="262">
        <v>5</v>
      </c>
      <c r="J44" s="76">
        <f t="shared" si="1"/>
        <v>25</v>
      </c>
    </row>
    <row r="45" spans="1:53" ht="14.95" customHeight="1" thickBot="1" x14ac:dyDescent="0.3">
      <c r="A45" s="42" t="s">
        <v>543</v>
      </c>
      <c r="B45" s="77">
        <v>0</v>
      </c>
      <c r="C45" s="279">
        <v>0</v>
      </c>
      <c r="D45" s="228">
        <v>4</v>
      </c>
      <c r="E45" s="5">
        <f t="shared" si="0"/>
        <v>4</v>
      </c>
      <c r="F45" s="261" t="s">
        <v>543</v>
      </c>
      <c r="G45" s="293">
        <v>0</v>
      </c>
      <c r="H45" s="326">
        <v>0</v>
      </c>
      <c r="I45" s="262">
        <v>20</v>
      </c>
      <c r="J45" s="76">
        <f t="shared" si="1"/>
        <v>20</v>
      </c>
      <c r="AN45" s="4"/>
      <c r="AO45" s="4"/>
      <c r="AP45" s="4"/>
    </row>
    <row r="46" spans="1:53" ht="14.95" customHeight="1" thickBot="1" x14ac:dyDescent="0.3">
      <c r="A46" s="42" t="s">
        <v>23</v>
      </c>
      <c r="B46" s="77">
        <v>4</v>
      </c>
      <c r="C46" s="279">
        <v>1</v>
      </c>
      <c r="D46" s="228">
        <v>1</v>
      </c>
      <c r="E46" s="5">
        <f t="shared" si="0"/>
        <v>6</v>
      </c>
      <c r="F46" s="261" t="s">
        <v>23</v>
      </c>
      <c r="G46" s="293">
        <v>20</v>
      </c>
      <c r="H46" s="326">
        <v>5</v>
      </c>
      <c r="I46" s="262">
        <v>5</v>
      </c>
      <c r="J46" s="76">
        <f t="shared" si="1"/>
        <v>30</v>
      </c>
    </row>
    <row r="47" spans="1:53" ht="14.95" customHeight="1" thickBot="1" x14ac:dyDescent="0.3">
      <c r="A47" s="42" t="s">
        <v>169</v>
      </c>
      <c r="B47" s="77">
        <v>0</v>
      </c>
      <c r="C47" s="279">
        <v>0</v>
      </c>
      <c r="D47" s="228">
        <v>0</v>
      </c>
      <c r="E47" s="5">
        <f t="shared" si="0"/>
        <v>0</v>
      </c>
      <c r="F47" s="261" t="s">
        <v>169</v>
      </c>
      <c r="G47" s="293">
        <v>0</v>
      </c>
      <c r="H47" s="326">
        <v>0</v>
      </c>
      <c r="I47" s="262">
        <v>0</v>
      </c>
      <c r="J47" s="76">
        <f t="shared" si="1"/>
        <v>0</v>
      </c>
      <c r="AQ47" s="4"/>
      <c r="AR47" s="4"/>
    </row>
    <row r="48" spans="1:53" ht="14.95" thickBot="1" x14ac:dyDescent="0.3">
      <c r="A48" s="42" t="s">
        <v>28</v>
      </c>
      <c r="B48" s="77">
        <v>2</v>
      </c>
      <c r="C48" s="279">
        <v>0</v>
      </c>
      <c r="D48" s="228">
        <v>0</v>
      </c>
      <c r="E48" s="5">
        <f t="shared" si="0"/>
        <v>2</v>
      </c>
      <c r="F48" s="261" t="s">
        <v>28</v>
      </c>
      <c r="G48" s="293">
        <v>10</v>
      </c>
      <c r="H48" s="326">
        <v>0</v>
      </c>
      <c r="I48" s="262">
        <v>0</v>
      </c>
      <c r="J48" s="76">
        <f t="shared" si="1"/>
        <v>10</v>
      </c>
      <c r="AQ48" s="4"/>
      <c r="AR48" s="4"/>
    </row>
    <row r="49" spans="1:44" ht="14.95" thickBot="1" x14ac:dyDescent="0.3">
      <c r="A49" s="42" t="s">
        <v>1129</v>
      </c>
      <c r="B49" s="77">
        <v>0</v>
      </c>
      <c r="C49" s="279">
        <v>1</v>
      </c>
      <c r="D49" s="228">
        <v>0</v>
      </c>
      <c r="E49" s="5">
        <f t="shared" si="0"/>
        <v>1</v>
      </c>
      <c r="F49" s="261" t="s">
        <v>1129</v>
      </c>
      <c r="G49" s="293">
        <v>0</v>
      </c>
      <c r="H49" s="326">
        <v>5</v>
      </c>
      <c r="I49" s="262">
        <v>0</v>
      </c>
      <c r="J49" s="76">
        <f t="shared" si="1"/>
        <v>5</v>
      </c>
      <c r="AN49" s="4"/>
      <c r="AO49" s="4"/>
      <c r="AP49" s="4"/>
    </row>
    <row r="50" spans="1:44" ht="14.95" thickBot="1" x14ac:dyDescent="0.3">
      <c r="A50" s="42" t="s">
        <v>3</v>
      </c>
      <c r="B50" s="77">
        <f>SUM(B3:B49)</f>
        <v>47</v>
      </c>
      <c r="C50" s="279">
        <f>SUM(C3:C49)</f>
        <v>27</v>
      </c>
      <c r="D50" s="228">
        <f>SUM(D3:D49)</f>
        <v>45</v>
      </c>
      <c r="E50" s="5">
        <f>SUM(E3:E49)</f>
        <v>119</v>
      </c>
      <c r="F50" s="261" t="s">
        <v>3</v>
      </c>
      <c r="G50" s="293">
        <f>SUM(G3:G49)</f>
        <v>336</v>
      </c>
      <c r="H50" s="326">
        <f>SUM(H3:H49)</f>
        <v>204</v>
      </c>
      <c r="I50" s="262">
        <f>SUM(I3:I49)</f>
        <v>292</v>
      </c>
      <c r="J50" s="76">
        <f>SUM(J3:J49)</f>
        <v>832</v>
      </c>
      <c r="AN50" s="4"/>
      <c r="AO50" s="4"/>
      <c r="AP50" s="4"/>
      <c r="AQ50" s="4"/>
      <c r="AR50" s="4"/>
    </row>
    <row r="51" spans="1:44" ht="16.3" x14ac:dyDescent="0.25">
      <c r="A51" s="463"/>
      <c r="B51" s="464"/>
      <c r="C51" s="464"/>
      <c r="D51" s="464"/>
      <c r="E51" s="464"/>
      <c r="F51" s="464"/>
      <c r="G51" s="464"/>
      <c r="H51" s="464"/>
      <c r="I51" s="38"/>
      <c r="J51" s="39"/>
    </row>
    <row r="52" spans="1:44" ht="14.95" thickBot="1" x14ac:dyDescent="0.3">
      <c r="A52" t="s">
        <v>12</v>
      </c>
      <c r="B52" s="132"/>
      <c r="F52" s="71"/>
      <c r="G52" s="133"/>
      <c r="H52" s="71"/>
      <c r="I52" s="71"/>
      <c r="J52" s="71"/>
    </row>
    <row r="53" spans="1:44" ht="14.95" thickBot="1" x14ac:dyDescent="0.3">
      <c r="A53" s="106" t="s">
        <v>0</v>
      </c>
      <c r="B53" s="114" t="s">
        <v>218</v>
      </c>
      <c r="C53" s="278" t="s">
        <v>31</v>
      </c>
      <c r="D53" s="227" t="s">
        <v>326</v>
      </c>
      <c r="E53" s="107" t="s">
        <v>1</v>
      </c>
      <c r="F53" s="259" t="s">
        <v>2</v>
      </c>
      <c r="G53" s="292" t="s">
        <v>218</v>
      </c>
      <c r="H53" s="325" t="s">
        <v>31</v>
      </c>
      <c r="I53" s="260" t="s">
        <v>326</v>
      </c>
      <c r="J53" s="105" t="s">
        <v>1</v>
      </c>
    </row>
    <row r="54" spans="1:44" ht="14.95" thickBot="1" x14ac:dyDescent="0.3">
      <c r="A54" s="42" t="s">
        <v>1052</v>
      </c>
      <c r="B54" s="77">
        <v>4</v>
      </c>
      <c r="C54" s="279">
        <v>0</v>
      </c>
      <c r="D54" s="228">
        <v>8</v>
      </c>
      <c r="E54" s="5">
        <f>SUM(B54:D54)</f>
        <v>12</v>
      </c>
      <c r="F54" s="261" t="s">
        <v>16</v>
      </c>
      <c r="G54" s="293">
        <v>121</v>
      </c>
      <c r="H54" s="326">
        <v>66</v>
      </c>
      <c r="I54" s="262">
        <v>21</v>
      </c>
      <c r="J54" s="76">
        <f>SUM(G54:I54)</f>
        <v>208</v>
      </c>
    </row>
    <row r="55" spans="1:44" ht="14.95" thickBot="1" x14ac:dyDescent="0.3">
      <c r="A55" s="42" t="s">
        <v>454</v>
      </c>
      <c r="B55" s="77">
        <v>8</v>
      </c>
      <c r="C55" s="279">
        <v>3</v>
      </c>
      <c r="D55" s="228">
        <v>0</v>
      </c>
      <c r="E55" s="5">
        <f>SUM(B55:D55)</f>
        <v>11</v>
      </c>
      <c r="F55" s="261" t="s">
        <v>1052</v>
      </c>
      <c r="G55" s="293">
        <v>20</v>
      </c>
      <c r="H55" s="326">
        <v>0</v>
      </c>
      <c r="I55" s="262">
        <v>40</v>
      </c>
      <c r="J55" s="76">
        <f>SUM(G55:I55)</f>
        <v>60</v>
      </c>
    </row>
    <row r="56" spans="1:44" ht="14.95" thickBot="1" x14ac:dyDescent="0.3">
      <c r="A56" s="42" t="s">
        <v>764</v>
      </c>
      <c r="B56" s="77">
        <v>4</v>
      </c>
      <c r="C56" s="279">
        <v>2</v>
      </c>
      <c r="D56" s="228">
        <v>2</v>
      </c>
      <c r="E56" s="5">
        <f>SUM(B56:D56)</f>
        <v>8</v>
      </c>
      <c r="F56" s="261" t="s">
        <v>454</v>
      </c>
      <c r="G56" s="293">
        <v>40</v>
      </c>
      <c r="H56" s="326">
        <v>15</v>
      </c>
      <c r="I56" s="262">
        <v>0</v>
      </c>
      <c r="J56" s="76">
        <f>SUM(G56:I56)</f>
        <v>55</v>
      </c>
    </row>
    <row r="57" spans="1:44" ht="14.95" thickBot="1" x14ac:dyDescent="0.3">
      <c r="A57" s="42" t="s">
        <v>16</v>
      </c>
      <c r="B57" s="77">
        <v>6</v>
      </c>
      <c r="C57" s="279">
        <v>2</v>
      </c>
      <c r="D57" s="228">
        <v>0</v>
      </c>
      <c r="E57" s="5">
        <f>SUM(B57:D57)</f>
        <v>8</v>
      </c>
      <c r="F57" s="261" t="s">
        <v>764</v>
      </c>
      <c r="G57" s="293">
        <v>20</v>
      </c>
      <c r="H57" s="326">
        <v>10</v>
      </c>
      <c r="I57" s="262">
        <v>10</v>
      </c>
      <c r="J57" s="76">
        <f>SUM(G57:I57)</f>
        <v>40</v>
      </c>
    </row>
    <row r="58" spans="1:44" ht="14.95" thickBot="1" x14ac:dyDescent="0.3">
      <c r="A58" s="42" t="s">
        <v>481</v>
      </c>
      <c r="B58" s="77">
        <v>5</v>
      </c>
      <c r="C58" s="279">
        <v>1</v>
      </c>
      <c r="D58" s="228">
        <v>1</v>
      </c>
      <c r="E58" s="5">
        <f>SUM(B58:D58)</f>
        <v>7</v>
      </c>
      <c r="F58" s="261" t="s">
        <v>462</v>
      </c>
      <c r="G58" s="293">
        <v>18</v>
      </c>
      <c r="H58" s="326">
        <v>10</v>
      </c>
      <c r="I58" s="262">
        <v>12</v>
      </c>
      <c r="J58" s="76">
        <f>SUM(G58:I58)</f>
        <v>40</v>
      </c>
    </row>
    <row r="59" spans="1:44" ht="14.95" thickBot="1" x14ac:dyDescent="0.3">
      <c r="A59" s="42" t="s">
        <v>23</v>
      </c>
      <c r="B59" s="77">
        <v>4</v>
      </c>
      <c r="C59" s="279">
        <v>1</v>
      </c>
      <c r="D59" s="228">
        <v>1</v>
      </c>
      <c r="E59" s="5">
        <f>SUM(B59:D59)</f>
        <v>6</v>
      </c>
      <c r="F59" s="261" t="s">
        <v>481</v>
      </c>
      <c r="G59" s="293">
        <v>25</v>
      </c>
      <c r="H59" s="326">
        <v>5</v>
      </c>
      <c r="I59" s="262">
        <v>5</v>
      </c>
      <c r="J59" s="76">
        <f>SUM(G59:I59)</f>
        <v>35</v>
      </c>
    </row>
    <row r="60" spans="1:44" ht="14.95" thickBot="1" x14ac:dyDescent="0.3">
      <c r="A60" s="42" t="s">
        <v>887</v>
      </c>
      <c r="B60" s="77">
        <v>3</v>
      </c>
      <c r="C60" s="279">
        <v>1</v>
      </c>
      <c r="D60" s="228">
        <v>1</v>
      </c>
      <c r="E60" s="5">
        <f>SUM(B60:D60)</f>
        <v>5</v>
      </c>
      <c r="F60" s="261" t="s">
        <v>212</v>
      </c>
      <c r="G60" s="293">
        <v>2</v>
      </c>
      <c r="H60" s="326">
        <v>0</v>
      </c>
      <c r="I60" s="262">
        <v>30</v>
      </c>
      <c r="J60" s="76">
        <f>SUM(G60:I60)</f>
        <v>32</v>
      </c>
    </row>
    <row r="61" spans="1:44" ht="14.95" thickBot="1" x14ac:dyDescent="0.3">
      <c r="A61" s="42" t="s">
        <v>884</v>
      </c>
      <c r="B61" s="77">
        <v>4</v>
      </c>
      <c r="C61" s="279">
        <v>0</v>
      </c>
      <c r="D61" s="228">
        <v>1</v>
      </c>
      <c r="E61" s="5">
        <f>SUM(B61:D61)</f>
        <v>5</v>
      </c>
      <c r="F61" s="261" t="s">
        <v>23</v>
      </c>
      <c r="G61" s="293">
        <v>20</v>
      </c>
      <c r="H61" s="326">
        <v>5</v>
      </c>
      <c r="I61" s="262">
        <v>5</v>
      </c>
      <c r="J61" s="76">
        <f>SUM(G61:I61)</f>
        <v>30</v>
      </c>
    </row>
    <row r="62" spans="1:44" ht="14.95" thickBot="1" x14ac:dyDescent="0.3">
      <c r="A62" s="42" t="s">
        <v>484</v>
      </c>
      <c r="B62" s="77">
        <v>3</v>
      </c>
      <c r="C62" s="279">
        <v>1</v>
      </c>
      <c r="D62" s="228">
        <v>1</v>
      </c>
      <c r="E62" s="5">
        <f>SUM(B62:D62)</f>
        <v>5</v>
      </c>
      <c r="F62" s="261" t="s">
        <v>887</v>
      </c>
      <c r="G62" s="293">
        <v>15</v>
      </c>
      <c r="H62" s="326">
        <v>5</v>
      </c>
      <c r="I62" s="262">
        <v>5</v>
      </c>
      <c r="J62" s="76">
        <f>SUM(G62:I62)</f>
        <v>25</v>
      </c>
    </row>
    <row r="63" spans="1:44" ht="14.95" thickBot="1" x14ac:dyDescent="0.3">
      <c r="A63" s="42" t="s">
        <v>568</v>
      </c>
      <c r="B63" s="77">
        <v>0</v>
      </c>
      <c r="C63" s="279">
        <v>0</v>
      </c>
      <c r="D63" s="228">
        <v>4</v>
      </c>
      <c r="E63" s="5">
        <f>SUM(B63:D63)</f>
        <v>4</v>
      </c>
      <c r="F63" s="261" t="s">
        <v>884</v>
      </c>
      <c r="G63" s="293">
        <v>20</v>
      </c>
      <c r="H63" s="326">
        <v>0</v>
      </c>
      <c r="I63" s="262">
        <v>5</v>
      </c>
      <c r="J63" s="76">
        <f>SUM(G63:I63)</f>
        <v>25</v>
      </c>
    </row>
    <row r="64" spans="1:44" ht="14.95" thickBot="1" x14ac:dyDescent="0.3">
      <c r="A64" s="42" t="s">
        <v>366</v>
      </c>
      <c r="B64" s="77">
        <v>0</v>
      </c>
      <c r="C64" s="279">
        <v>1</v>
      </c>
      <c r="D64" s="228">
        <v>3</v>
      </c>
      <c r="E64" s="5">
        <f>SUM(B64:D64)</f>
        <v>4</v>
      </c>
      <c r="F64" s="261" t="s">
        <v>484</v>
      </c>
      <c r="G64" s="293">
        <v>15</v>
      </c>
      <c r="H64" s="326">
        <v>5</v>
      </c>
      <c r="I64" s="262">
        <v>5</v>
      </c>
      <c r="J64" s="76">
        <f>SUM(G64:I64)</f>
        <v>25</v>
      </c>
    </row>
    <row r="65" spans="1:10" ht="14.95" thickBot="1" x14ac:dyDescent="0.3">
      <c r="A65" s="42" t="s">
        <v>441</v>
      </c>
      <c r="B65" s="77">
        <v>1</v>
      </c>
      <c r="C65" s="279">
        <v>3</v>
      </c>
      <c r="D65" s="228">
        <v>0</v>
      </c>
      <c r="E65" s="5">
        <f>SUM(B65:D65)</f>
        <v>4</v>
      </c>
      <c r="F65" s="261" t="s">
        <v>568</v>
      </c>
      <c r="G65" s="293">
        <v>0</v>
      </c>
      <c r="H65" s="326">
        <v>0</v>
      </c>
      <c r="I65" s="262">
        <v>20</v>
      </c>
      <c r="J65" s="76">
        <f>SUM(G65:I65)</f>
        <v>20</v>
      </c>
    </row>
    <row r="66" spans="1:10" ht="14.95" thickBot="1" x14ac:dyDescent="0.3">
      <c r="A66" s="42" t="s">
        <v>462</v>
      </c>
      <c r="B66" s="77">
        <v>2</v>
      </c>
      <c r="C66" s="279">
        <v>2</v>
      </c>
      <c r="D66" s="228">
        <v>0</v>
      </c>
      <c r="E66" s="5">
        <f>SUM(B66:D66)</f>
        <v>4</v>
      </c>
      <c r="F66" s="261" t="s">
        <v>366</v>
      </c>
      <c r="G66" s="293">
        <v>0</v>
      </c>
      <c r="H66" s="326">
        <v>5</v>
      </c>
      <c r="I66" s="262">
        <v>15</v>
      </c>
      <c r="J66" s="76">
        <f>SUM(G66:I66)</f>
        <v>20</v>
      </c>
    </row>
    <row r="67" spans="1:10" ht="14.95" thickBot="1" x14ac:dyDescent="0.3">
      <c r="A67" s="42" t="s">
        <v>335</v>
      </c>
      <c r="B67" s="77">
        <v>0</v>
      </c>
      <c r="C67" s="279">
        <v>1</v>
      </c>
      <c r="D67" s="228">
        <v>3</v>
      </c>
      <c r="E67" s="5">
        <f>SUM(B67:D67)</f>
        <v>4</v>
      </c>
      <c r="F67" s="261" t="s">
        <v>441</v>
      </c>
      <c r="G67" s="293">
        <v>5</v>
      </c>
      <c r="H67" s="326">
        <v>15</v>
      </c>
      <c r="I67" s="262">
        <v>0</v>
      </c>
      <c r="J67" s="76">
        <f>SUM(G67:I67)</f>
        <v>20</v>
      </c>
    </row>
    <row r="68" spans="1:10" ht="14.95" thickBot="1" x14ac:dyDescent="0.3">
      <c r="A68" s="42" t="s">
        <v>543</v>
      </c>
      <c r="B68" s="77">
        <v>0</v>
      </c>
      <c r="C68" s="279">
        <v>0</v>
      </c>
      <c r="D68" s="228">
        <v>4</v>
      </c>
      <c r="E68" s="5">
        <f>SUM(B68:D68)</f>
        <v>4</v>
      </c>
      <c r="F68" s="261" t="s">
        <v>335</v>
      </c>
      <c r="G68" s="293">
        <v>0</v>
      </c>
      <c r="H68" s="326">
        <v>5</v>
      </c>
      <c r="I68" s="262">
        <v>15</v>
      </c>
      <c r="J68" s="76">
        <f>SUM(G68:I68)</f>
        <v>20</v>
      </c>
    </row>
    <row r="69" spans="1:10" ht="14.95" thickBot="1" x14ac:dyDescent="0.3">
      <c r="A69" s="42" t="s">
        <v>632</v>
      </c>
      <c r="B69" s="77">
        <v>0</v>
      </c>
      <c r="C69" s="279">
        <v>1</v>
      </c>
      <c r="D69" s="228">
        <v>2</v>
      </c>
      <c r="E69" s="5">
        <f>SUM(B69:D69)</f>
        <v>3</v>
      </c>
      <c r="F69" s="261" t="s">
        <v>543</v>
      </c>
      <c r="G69" s="293">
        <v>0</v>
      </c>
      <c r="H69" s="326">
        <v>0</v>
      </c>
      <c r="I69" s="262">
        <v>20</v>
      </c>
      <c r="J69" s="76">
        <f>SUM(G69:I69)</f>
        <v>20</v>
      </c>
    </row>
    <row r="70" spans="1:10" ht="14.95" thickBot="1" x14ac:dyDescent="0.3">
      <c r="A70" s="42" t="s">
        <v>626</v>
      </c>
      <c r="B70" s="77">
        <v>0</v>
      </c>
      <c r="C70" s="279">
        <v>0</v>
      </c>
      <c r="D70" s="228">
        <v>2</v>
      </c>
      <c r="E70" s="5">
        <f>SUM(B70:D70)</f>
        <v>2</v>
      </c>
      <c r="F70" s="261" t="s">
        <v>483</v>
      </c>
      <c r="G70" s="293">
        <v>0</v>
      </c>
      <c r="H70" s="326">
        <v>0</v>
      </c>
      <c r="I70" s="262">
        <v>16</v>
      </c>
      <c r="J70" s="76">
        <f>SUM(G70:I70)</f>
        <v>16</v>
      </c>
    </row>
    <row r="71" spans="1:10" ht="14.95" thickBot="1" x14ac:dyDescent="0.3">
      <c r="A71" s="42" t="s">
        <v>1068</v>
      </c>
      <c r="B71" s="77">
        <v>0</v>
      </c>
      <c r="C71" s="279">
        <v>1</v>
      </c>
      <c r="D71" s="228">
        <v>1</v>
      </c>
      <c r="E71" s="5">
        <f>SUM(B71:D71)</f>
        <v>2</v>
      </c>
      <c r="F71" s="261" t="s">
        <v>632</v>
      </c>
      <c r="G71" s="293">
        <v>0</v>
      </c>
      <c r="H71" s="326">
        <v>5</v>
      </c>
      <c r="I71" s="262">
        <v>10</v>
      </c>
      <c r="J71" s="76">
        <f>SUM(G71:I71)</f>
        <v>15</v>
      </c>
    </row>
    <row r="72" spans="1:10" ht="14.95" thickBot="1" x14ac:dyDescent="0.3">
      <c r="A72" s="42" t="s">
        <v>212</v>
      </c>
      <c r="B72" s="77">
        <v>0</v>
      </c>
      <c r="C72" s="279">
        <v>0</v>
      </c>
      <c r="D72" s="228">
        <v>2</v>
      </c>
      <c r="E72" s="5">
        <f>SUM(B72:D72)</f>
        <v>2</v>
      </c>
      <c r="F72" s="261" t="s">
        <v>1035</v>
      </c>
      <c r="G72" s="293">
        <v>0</v>
      </c>
      <c r="H72" s="326">
        <v>11</v>
      </c>
      <c r="I72" s="262">
        <v>3</v>
      </c>
      <c r="J72" s="76">
        <f>SUM(G72:I72)</f>
        <v>14</v>
      </c>
    </row>
    <row r="73" spans="1:10" ht="14.95" thickBot="1" x14ac:dyDescent="0.3">
      <c r="A73" s="42" t="s">
        <v>871</v>
      </c>
      <c r="B73" s="77">
        <v>0</v>
      </c>
      <c r="C73" s="279">
        <v>1</v>
      </c>
      <c r="D73" s="228">
        <v>1</v>
      </c>
      <c r="E73" s="5">
        <f>SUM(B73:D73)</f>
        <v>2</v>
      </c>
      <c r="F73" s="261" t="s">
        <v>626</v>
      </c>
      <c r="G73" s="293">
        <v>0</v>
      </c>
      <c r="H73" s="326">
        <v>0</v>
      </c>
      <c r="I73" s="262">
        <v>10</v>
      </c>
      <c r="J73" s="76">
        <f>SUM(G73:I73)</f>
        <v>10</v>
      </c>
    </row>
    <row r="74" spans="1:10" ht="14.95" thickBot="1" x14ac:dyDescent="0.3">
      <c r="A74" s="42" t="s">
        <v>371</v>
      </c>
      <c r="B74" s="77">
        <v>0</v>
      </c>
      <c r="C74" s="279">
        <v>0</v>
      </c>
      <c r="D74" s="228">
        <v>2</v>
      </c>
      <c r="E74" s="5">
        <f>SUM(B74:D74)</f>
        <v>2</v>
      </c>
      <c r="F74" s="261" t="s">
        <v>1068</v>
      </c>
      <c r="G74" s="293">
        <v>0</v>
      </c>
      <c r="H74" s="326">
        <v>5</v>
      </c>
      <c r="I74" s="262">
        <v>5</v>
      </c>
      <c r="J74" s="76">
        <f>SUM(G74:I74)</f>
        <v>10</v>
      </c>
    </row>
    <row r="75" spans="1:10" ht="14.95" thickBot="1" x14ac:dyDescent="0.3">
      <c r="A75" s="42" t="s">
        <v>520</v>
      </c>
      <c r="B75" s="77">
        <v>0</v>
      </c>
      <c r="C75" s="279">
        <v>0</v>
      </c>
      <c r="D75" s="228">
        <v>2</v>
      </c>
      <c r="E75" s="5">
        <f>SUM(B75:D75)</f>
        <v>2</v>
      </c>
      <c r="F75" s="261" t="s">
        <v>871</v>
      </c>
      <c r="G75" s="293">
        <v>0</v>
      </c>
      <c r="H75" s="326">
        <v>5</v>
      </c>
      <c r="I75" s="262">
        <v>5</v>
      </c>
      <c r="J75" s="76">
        <f>SUM(G75:I75)</f>
        <v>10</v>
      </c>
    </row>
    <row r="76" spans="1:10" ht="14.95" thickBot="1" x14ac:dyDescent="0.3">
      <c r="A76" s="42" t="s">
        <v>885</v>
      </c>
      <c r="B76" s="77">
        <v>0</v>
      </c>
      <c r="C76" s="279">
        <v>2</v>
      </c>
      <c r="D76" s="228">
        <v>0</v>
      </c>
      <c r="E76" s="5">
        <f>SUM(B76:D76)</f>
        <v>2</v>
      </c>
      <c r="F76" s="261" t="s">
        <v>371</v>
      </c>
      <c r="G76" s="293">
        <v>0</v>
      </c>
      <c r="H76" s="326">
        <v>0</v>
      </c>
      <c r="I76" s="262">
        <v>10</v>
      </c>
      <c r="J76" s="76">
        <f>SUM(G76:I76)</f>
        <v>10</v>
      </c>
    </row>
    <row r="77" spans="1:10" ht="14.95" thickBot="1" x14ac:dyDescent="0.3">
      <c r="A77" s="42" t="s">
        <v>28</v>
      </c>
      <c r="B77" s="77">
        <v>2</v>
      </c>
      <c r="C77" s="279">
        <v>0</v>
      </c>
      <c r="D77" s="228">
        <v>0</v>
      </c>
      <c r="E77" s="5">
        <f>SUM(B77:D77)</f>
        <v>2</v>
      </c>
      <c r="F77" s="261" t="s">
        <v>520</v>
      </c>
      <c r="G77" s="293">
        <v>0</v>
      </c>
      <c r="H77" s="326">
        <v>0</v>
      </c>
      <c r="I77" s="262">
        <v>10</v>
      </c>
      <c r="J77" s="76">
        <f>SUM(G77:I77)</f>
        <v>10</v>
      </c>
    </row>
    <row r="78" spans="1:10" ht="14.95" thickBot="1" x14ac:dyDescent="0.3">
      <c r="A78" s="42" t="s">
        <v>1051</v>
      </c>
      <c r="B78" s="77">
        <v>0</v>
      </c>
      <c r="C78" s="279">
        <v>0</v>
      </c>
      <c r="D78" s="228">
        <v>1</v>
      </c>
      <c r="E78" s="5">
        <f>SUM(B78:D78)</f>
        <v>1</v>
      </c>
      <c r="F78" s="261" t="s">
        <v>885</v>
      </c>
      <c r="G78" s="293">
        <v>0</v>
      </c>
      <c r="H78" s="326">
        <v>10</v>
      </c>
      <c r="I78" s="262">
        <v>0</v>
      </c>
      <c r="J78" s="76">
        <f>SUM(G78:I78)</f>
        <v>10</v>
      </c>
    </row>
    <row r="79" spans="1:10" ht="14.95" thickBot="1" x14ac:dyDescent="0.3">
      <c r="A79" s="42" t="s">
        <v>482</v>
      </c>
      <c r="B79" s="77">
        <v>1</v>
      </c>
      <c r="C79" s="279">
        <v>0</v>
      </c>
      <c r="D79" s="228">
        <v>0</v>
      </c>
      <c r="E79" s="5">
        <f>SUM(B79:D79)</f>
        <v>1</v>
      </c>
      <c r="F79" s="261" t="s">
        <v>28</v>
      </c>
      <c r="G79" s="293">
        <v>10</v>
      </c>
      <c r="H79" s="326">
        <v>0</v>
      </c>
      <c r="I79" s="262">
        <v>0</v>
      </c>
      <c r="J79" s="76">
        <f>SUM(G79:I79)</f>
        <v>10</v>
      </c>
    </row>
    <row r="80" spans="1:10" ht="14.95" thickBot="1" x14ac:dyDescent="0.3">
      <c r="A80" s="42" t="s">
        <v>483</v>
      </c>
      <c r="B80" s="77">
        <v>0</v>
      </c>
      <c r="C80" s="279">
        <v>0</v>
      </c>
      <c r="D80" s="228">
        <v>1</v>
      </c>
      <c r="E80" s="5">
        <f>SUM(B80:D80)</f>
        <v>1</v>
      </c>
      <c r="F80" s="261" t="s">
        <v>4</v>
      </c>
      <c r="G80" s="293">
        <v>0</v>
      </c>
      <c r="H80" s="326">
        <v>7</v>
      </c>
      <c r="I80" s="262">
        <v>0</v>
      </c>
      <c r="J80" s="76">
        <f>SUM(G80:I80)</f>
        <v>7</v>
      </c>
    </row>
    <row r="81" spans="1:10" ht="14.95" thickBot="1" x14ac:dyDescent="0.3">
      <c r="A81" s="42" t="s">
        <v>883</v>
      </c>
      <c r="B81" s="77">
        <v>0</v>
      </c>
      <c r="C81" s="279">
        <v>1</v>
      </c>
      <c r="D81" s="228">
        <v>0</v>
      </c>
      <c r="E81" s="5">
        <f>SUM(B81:D81)</f>
        <v>1</v>
      </c>
      <c r="F81" s="261" t="s">
        <v>1051</v>
      </c>
      <c r="G81" s="293">
        <v>0</v>
      </c>
      <c r="H81" s="326">
        <v>0</v>
      </c>
      <c r="I81" s="262">
        <v>5</v>
      </c>
      <c r="J81" s="76">
        <f>SUM(G81:I81)</f>
        <v>5</v>
      </c>
    </row>
    <row r="82" spans="1:10" ht="14.95" thickBot="1" x14ac:dyDescent="0.3">
      <c r="A82" s="42" t="s">
        <v>327</v>
      </c>
      <c r="B82" s="77">
        <v>0</v>
      </c>
      <c r="C82" s="279">
        <v>0</v>
      </c>
      <c r="D82" s="228">
        <v>1</v>
      </c>
      <c r="E82" s="5">
        <f>SUM(B82:D82)</f>
        <v>1</v>
      </c>
      <c r="F82" s="261" t="s">
        <v>482</v>
      </c>
      <c r="G82" s="293">
        <v>5</v>
      </c>
      <c r="H82" s="326">
        <v>0</v>
      </c>
      <c r="I82" s="262">
        <v>0</v>
      </c>
      <c r="J82" s="76">
        <f>SUM(G82:I82)</f>
        <v>5</v>
      </c>
    </row>
    <row r="83" spans="1:10" ht="14.95" thickBot="1" x14ac:dyDescent="0.3">
      <c r="A83" s="42" t="s">
        <v>259</v>
      </c>
      <c r="B83" s="77">
        <v>0</v>
      </c>
      <c r="C83" s="279">
        <v>1</v>
      </c>
      <c r="D83" s="228">
        <v>0</v>
      </c>
      <c r="E83" s="5">
        <f>SUM(B83:D83)</f>
        <v>1</v>
      </c>
      <c r="F83" s="261" t="s">
        <v>883</v>
      </c>
      <c r="G83" s="293">
        <v>0</v>
      </c>
      <c r="H83" s="326">
        <v>5</v>
      </c>
      <c r="I83" s="262">
        <v>0</v>
      </c>
      <c r="J83" s="76">
        <f>SUM(G83:I83)</f>
        <v>5</v>
      </c>
    </row>
    <row r="84" spans="1:10" ht="14.95" thickBot="1" x14ac:dyDescent="0.3">
      <c r="A84" s="42" t="s">
        <v>4</v>
      </c>
      <c r="B84" s="77">
        <v>0</v>
      </c>
      <c r="C84" s="279">
        <v>1</v>
      </c>
      <c r="D84" s="228">
        <v>0</v>
      </c>
      <c r="E84" s="5">
        <f>SUM(B84:D84)</f>
        <v>1</v>
      </c>
      <c r="F84" s="263" t="s">
        <v>327</v>
      </c>
      <c r="G84" s="293">
        <v>0</v>
      </c>
      <c r="H84" s="326">
        <v>0</v>
      </c>
      <c r="I84" s="262">
        <v>5</v>
      </c>
      <c r="J84" s="76">
        <f>SUM(G84:I84)</f>
        <v>5</v>
      </c>
    </row>
    <row r="85" spans="1:10" ht="14.95" thickBot="1" x14ac:dyDescent="0.3">
      <c r="A85" s="42" t="s">
        <v>628</v>
      </c>
      <c r="B85" s="77">
        <v>0</v>
      </c>
      <c r="C85" s="279">
        <v>0</v>
      </c>
      <c r="D85" s="228">
        <v>1</v>
      </c>
      <c r="E85" s="5">
        <f>SUM(B85:D85)</f>
        <v>1</v>
      </c>
      <c r="F85" s="261" t="s">
        <v>259</v>
      </c>
      <c r="G85" s="293">
        <v>0</v>
      </c>
      <c r="H85" s="326">
        <v>5</v>
      </c>
      <c r="I85" s="262">
        <v>0</v>
      </c>
      <c r="J85" s="76">
        <f>SUM(G85:I85)</f>
        <v>5</v>
      </c>
    </row>
    <row r="86" spans="1:10" ht="14.95" thickBot="1" x14ac:dyDescent="0.3">
      <c r="A86" s="42" t="s">
        <v>1129</v>
      </c>
      <c r="B86" s="77">
        <v>0</v>
      </c>
      <c r="C86" s="279">
        <v>1</v>
      </c>
      <c r="D86" s="228">
        <v>0</v>
      </c>
      <c r="E86" s="5">
        <f>SUM(B86:D86)</f>
        <v>1</v>
      </c>
      <c r="F86" s="261" t="s">
        <v>628</v>
      </c>
      <c r="G86" s="293">
        <v>0</v>
      </c>
      <c r="H86" s="326">
        <v>0</v>
      </c>
      <c r="I86" s="262">
        <v>5</v>
      </c>
      <c r="J86" s="76">
        <f>SUM(G86:I86)</f>
        <v>5</v>
      </c>
    </row>
    <row r="87" spans="1:10" ht="14.95" thickBot="1" x14ac:dyDescent="0.3">
      <c r="A87" s="42" t="s">
        <v>424</v>
      </c>
      <c r="B87" s="77">
        <v>0</v>
      </c>
      <c r="C87" s="279">
        <v>0</v>
      </c>
      <c r="D87" s="228">
        <v>0</v>
      </c>
      <c r="E87" s="5">
        <f>SUM(B87:D87)</f>
        <v>0</v>
      </c>
      <c r="F87" s="261" t="s">
        <v>1129</v>
      </c>
      <c r="G87" s="293">
        <v>0</v>
      </c>
      <c r="H87" s="326">
        <v>5</v>
      </c>
      <c r="I87" s="262">
        <v>0</v>
      </c>
      <c r="J87" s="76">
        <f>SUM(G87:I87)</f>
        <v>5</v>
      </c>
    </row>
    <row r="88" spans="1:10" ht="14.95" thickBot="1" x14ac:dyDescent="0.3">
      <c r="A88" s="42" t="s">
        <v>629</v>
      </c>
      <c r="B88" s="77">
        <v>0</v>
      </c>
      <c r="C88" s="279">
        <v>0</v>
      </c>
      <c r="D88" s="228">
        <v>0</v>
      </c>
      <c r="E88" s="5">
        <f>SUM(B88:D88)</f>
        <v>0</v>
      </c>
      <c r="F88" s="261" t="s">
        <v>424</v>
      </c>
      <c r="G88" s="293">
        <v>0</v>
      </c>
      <c r="H88" s="326">
        <v>0</v>
      </c>
      <c r="I88" s="262">
        <v>0</v>
      </c>
      <c r="J88" s="76">
        <f>SUM(G88:I88)</f>
        <v>0</v>
      </c>
    </row>
    <row r="89" spans="1:10" ht="14.95" thickBot="1" x14ac:dyDescent="0.3">
      <c r="A89" s="42" t="s">
        <v>470</v>
      </c>
      <c r="B89" s="77">
        <v>0</v>
      </c>
      <c r="C89" s="279">
        <v>0</v>
      </c>
      <c r="D89" s="228">
        <v>0</v>
      </c>
      <c r="E89" s="5">
        <f>SUM(B89:D89)</f>
        <v>0</v>
      </c>
      <c r="F89" s="261" t="s">
        <v>629</v>
      </c>
      <c r="G89" s="293">
        <v>0</v>
      </c>
      <c r="H89" s="326">
        <v>0</v>
      </c>
      <c r="I89" s="262">
        <v>0</v>
      </c>
      <c r="J89" s="76">
        <f>SUM(G89:I89)</f>
        <v>0</v>
      </c>
    </row>
    <row r="90" spans="1:10" ht="14.95" thickBot="1" x14ac:dyDescent="0.3">
      <c r="A90" s="42" t="s">
        <v>153</v>
      </c>
      <c r="B90" s="77">
        <v>0</v>
      </c>
      <c r="C90" s="279">
        <v>0</v>
      </c>
      <c r="D90" s="228">
        <v>0</v>
      </c>
      <c r="E90" s="5">
        <f>SUM(B90:D90)</f>
        <v>0</v>
      </c>
      <c r="F90" s="261" t="s">
        <v>470</v>
      </c>
      <c r="G90" s="293">
        <v>0</v>
      </c>
      <c r="H90" s="326">
        <v>0</v>
      </c>
      <c r="I90" s="262">
        <v>0</v>
      </c>
      <c r="J90" s="76">
        <f>SUM(G90:I90)</f>
        <v>0</v>
      </c>
    </row>
    <row r="91" spans="1:10" ht="14.95" thickBot="1" x14ac:dyDescent="0.3">
      <c r="A91" s="42" t="s">
        <v>147</v>
      </c>
      <c r="B91" s="77">
        <v>0</v>
      </c>
      <c r="C91" s="279">
        <v>0</v>
      </c>
      <c r="D91" s="228">
        <v>0</v>
      </c>
      <c r="E91" s="5">
        <f>SUM(B91:D91)</f>
        <v>0</v>
      </c>
      <c r="F91" s="261" t="s">
        <v>153</v>
      </c>
      <c r="G91" s="293">
        <v>0</v>
      </c>
      <c r="H91" s="326">
        <v>0</v>
      </c>
      <c r="I91" s="262">
        <v>0</v>
      </c>
      <c r="J91" s="76">
        <f>SUM(G91:I91)</f>
        <v>0</v>
      </c>
    </row>
    <row r="92" spans="1:10" ht="14.95" thickBot="1" x14ac:dyDescent="0.3">
      <c r="A92" s="42" t="s">
        <v>1035</v>
      </c>
      <c r="B92" s="77">
        <v>0</v>
      </c>
      <c r="C92" s="279">
        <v>0</v>
      </c>
      <c r="D92" s="228">
        <v>0</v>
      </c>
      <c r="E92" s="5">
        <f>SUM(B92:D92)</f>
        <v>0</v>
      </c>
      <c r="F92" s="261" t="s">
        <v>147</v>
      </c>
      <c r="G92" s="293">
        <v>0</v>
      </c>
      <c r="H92" s="326">
        <v>0</v>
      </c>
      <c r="I92" s="262">
        <v>0</v>
      </c>
      <c r="J92" s="76">
        <f>SUM(G92:I92)</f>
        <v>0</v>
      </c>
    </row>
    <row r="93" spans="1:10" ht="14.95" thickBot="1" x14ac:dyDescent="0.3">
      <c r="A93" s="42" t="s">
        <v>445</v>
      </c>
      <c r="B93" s="77">
        <v>0</v>
      </c>
      <c r="C93" s="279">
        <v>0</v>
      </c>
      <c r="D93" s="228">
        <v>0</v>
      </c>
      <c r="E93" s="5">
        <f>SUM(B93:D93)</f>
        <v>0</v>
      </c>
      <c r="F93" s="261" t="s">
        <v>445</v>
      </c>
      <c r="G93" s="293">
        <v>0</v>
      </c>
      <c r="H93" s="326">
        <v>0</v>
      </c>
      <c r="I93" s="262">
        <v>0</v>
      </c>
      <c r="J93" s="76">
        <f>SUM(G93:I93)</f>
        <v>0</v>
      </c>
    </row>
    <row r="94" spans="1:10" ht="14.95" thickBot="1" x14ac:dyDescent="0.3">
      <c r="A94" s="42" t="s">
        <v>444</v>
      </c>
      <c r="B94" s="77">
        <v>0</v>
      </c>
      <c r="C94" s="279">
        <v>0</v>
      </c>
      <c r="D94" s="228">
        <v>0</v>
      </c>
      <c r="E94" s="5">
        <f>SUM(B94:D94)</f>
        <v>0</v>
      </c>
      <c r="F94" s="261" t="s">
        <v>444</v>
      </c>
      <c r="G94" s="293">
        <v>0</v>
      </c>
      <c r="H94" s="326">
        <v>0</v>
      </c>
      <c r="I94" s="262">
        <v>0</v>
      </c>
      <c r="J94" s="76">
        <f>SUM(G94:I94)</f>
        <v>0</v>
      </c>
    </row>
    <row r="95" spans="1:10" ht="14.95" thickBot="1" x14ac:dyDescent="0.3">
      <c r="A95" s="42" t="s">
        <v>869</v>
      </c>
      <c r="B95" s="77">
        <v>0</v>
      </c>
      <c r="C95" s="279">
        <v>0</v>
      </c>
      <c r="D95" s="228">
        <v>0</v>
      </c>
      <c r="E95" s="5">
        <f>SUM(B95:D95)</f>
        <v>0</v>
      </c>
      <c r="F95" s="261" t="s">
        <v>869</v>
      </c>
      <c r="G95" s="293">
        <v>0</v>
      </c>
      <c r="H95" s="326">
        <v>0</v>
      </c>
      <c r="I95" s="262">
        <v>0</v>
      </c>
      <c r="J95" s="76">
        <f>SUM(G95:I95)</f>
        <v>0</v>
      </c>
    </row>
    <row r="96" spans="1:10" ht="14.95" thickBot="1" x14ac:dyDescent="0.3">
      <c r="A96" s="42" t="s">
        <v>886</v>
      </c>
      <c r="B96" s="77">
        <v>0</v>
      </c>
      <c r="C96" s="279">
        <v>0</v>
      </c>
      <c r="D96" s="228">
        <v>0</v>
      </c>
      <c r="E96" s="5">
        <f>SUM(B96:D96)</f>
        <v>0</v>
      </c>
      <c r="F96" s="261" t="s">
        <v>886</v>
      </c>
      <c r="G96" s="293">
        <v>0</v>
      </c>
      <c r="H96" s="326">
        <v>0</v>
      </c>
      <c r="I96" s="262">
        <v>0</v>
      </c>
      <c r="J96" s="76">
        <f>SUM(G96:I96)</f>
        <v>0</v>
      </c>
    </row>
    <row r="97" spans="1:10" ht="14.95" thickBot="1" x14ac:dyDescent="0.3">
      <c r="A97" s="42" t="s">
        <v>143</v>
      </c>
      <c r="B97" s="77">
        <v>0</v>
      </c>
      <c r="C97" s="279">
        <v>0</v>
      </c>
      <c r="D97" s="228">
        <v>0</v>
      </c>
      <c r="E97" s="5">
        <f>SUM(B97:D97)</f>
        <v>0</v>
      </c>
      <c r="F97" s="261" t="s">
        <v>143</v>
      </c>
      <c r="G97" s="293">
        <v>0</v>
      </c>
      <c r="H97" s="326">
        <v>0</v>
      </c>
      <c r="I97" s="262">
        <v>0</v>
      </c>
      <c r="J97" s="76">
        <f>SUM(G97:I97)</f>
        <v>0</v>
      </c>
    </row>
    <row r="98" spans="1:10" ht="14.95" thickBot="1" x14ac:dyDescent="0.3">
      <c r="A98" s="42" t="s">
        <v>401</v>
      </c>
      <c r="B98" s="77">
        <v>0</v>
      </c>
      <c r="C98" s="279">
        <v>0</v>
      </c>
      <c r="D98" s="228">
        <v>0</v>
      </c>
      <c r="E98" s="5">
        <f>SUM(B98:D98)</f>
        <v>0</v>
      </c>
      <c r="F98" s="261" t="s">
        <v>401</v>
      </c>
      <c r="G98" s="293">
        <v>0</v>
      </c>
      <c r="H98" s="326">
        <v>0</v>
      </c>
      <c r="I98" s="262">
        <v>0</v>
      </c>
      <c r="J98" s="76">
        <f>SUM(G98:I98)</f>
        <v>0</v>
      </c>
    </row>
    <row r="99" spans="1:10" ht="14.95" thickBot="1" x14ac:dyDescent="0.3">
      <c r="A99" s="42" t="s">
        <v>819</v>
      </c>
      <c r="B99" s="77">
        <v>0</v>
      </c>
      <c r="C99" s="279">
        <v>0</v>
      </c>
      <c r="D99" s="228">
        <v>0</v>
      </c>
      <c r="E99" s="5">
        <f>SUM(B99:D99)</f>
        <v>0</v>
      </c>
      <c r="F99" s="261" t="s">
        <v>819</v>
      </c>
      <c r="G99" s="293">
        <v>0</v>
      </c>
      <c r="H99" s="326">
        <v>0</v>
      </c>
      <c r="I99" s="262">
        <v>0</v>
      </c>
      <c r="J99" s="76">
        <f>SUM(G99:I99)</f>
        <v>0</v>
      </c>
    </row>
    <row r="100" spans="1:10" ht="14.95" thickBot="1" x14ac:dyDescent="0.3">
      <c r="A100" s="42" t="s">
        <v>169</v>
      </c>
      <c r="B100" s="77">
        <v>0</v>
      </c>
      <c r="C100" s="279">
        <v>0</v>
      </c>
      <c r="D100" s="228">
        <v>0</v>
      </c>
      <c r="E100" s="5">
        <f>SUM(B100:D100)</f>
        <v>0</v>
      </c>
      <c r="F100" s="261" t="s">
        <v>169</v>
      </c>
      <c r="G100" s="293">
        <v>0</v>
      </c>
      <c r="H100" s="326">
        <v>0</v>
      </c>
      <c r="I100" s="262">
        <v>0</v>
      </c>
      <c r="J100" s="76">
        <f>SUM(G100:I100)</f>
        <v>0</v>
      </c>
    </row>
    <row r="101" spans="1:10" ht="16.3" customHeight="1" thickBot="1" x14ac:dyDescent="0.3">
      <c r="A101" s="42" t="s">
        <v>3</v>
      </c>
      <c r="B101" s="77">
        <f>SUM(B54:B100)</f>
        <v>47</v>
      </c>
      <c r="C101" s="279">
        <f>SUM(C54:C100)</f>
        <v>27</v>
      </c>
      <c r="D101" s="228">
        <f>SUM(D54:D100)</f>
        <v>45</v>
      </c>
      <c r="E101" s="5">
        <f>SUM(E54:E100)</f>
        <v>119</v>
      </c>
      <c r="F101" s="261" t="s">
        <v>3</v>
      </c>
      <c r="G101" s="293">
        <f>SUM(G54:G100)</f>
        <v>336</v>
      </c>
      <c r="H101" s="326">
        <f>SUM(H54:H100)</f>
        <v>204</v>
      </c>
      <c r="I101" s="262">
        <f>SUM(I54:I100)</f>
        <v>292</v>
      </c>
      <c r="J101" s="76">
        <f>SUM(J54:J100)</f>
        <v>832</v>
      </c>
    </row>
    <row r="102" spans="1:10" ht="16.3" x14ac:dyDescent="0.3">
      <c r="A102" s="447" t="s">
        <v>34</v>
      </c>
      <c r="B102" s="448"/>
      <c r="C102" s="448"/>
      <c r="D102" s="448"/>
      <c r="E102" s="448"/>
      <c r="F102" s="448"/>
      <c r="G102" s="448"/>
      <c r="H102" s="448"/>
      <c r="I102" s="448"/>
      <c r="J102" s="448"/>
    </row>
  </sheetData>
  <sortState xmlns:xlrd2="http://schemas.microsoft.com/office/spreadsheetml/2017/richdata2" ref="F54:J100">
    <sortCondition descending="1" ref="J54:J100"/>
  </sortState>
  <mergeCells count="63">
    <mergeCell ref="A102:J102"/>
    <mergeCell ref="K1:K2"/>
    <mergeCell ref="L1:N2"/>
    <mergeCell ref="O1:Q2"/>
    <mergeCell ref="K20:K21"/>
    <mergeCell ref="L20:N21"/>
    <mergeCell ref="K12:K13"/>
    <mergeCell ref="AZ12:BB13"/>
    <mergeCell ref="AW12:AY13"/>
    <mergeCell ref="O20:Q21"/>
    <mergeCell ref="AK20:AM21"/>
    <mergeCell ref="R20:T21"/>
    <mergeCell ref="AZ20:BB21"/>
    <mergeCell ref="U20:W21"/>
    <mergeCell ref="AN20:AP21"/>
    <mergeCell ref="AQ20:AS21"/>
    <mergeCell ref="AT20:AV21"/>
    <mergeCell ref="AE12:AG13"/>
    <mergeCell ref="AE20:AG21"/>
    <mergeCell ref="AN12:AP13"/>
    <mergeCell ref="AB12:AD13"/>
    <mergeCell ref="AB20:AD21"/>
    <mergeCell ref="AH12:AJ13"/>
    <mergeCell ref="BF1:BH2"/>
    <mergeCell ref="BC1:BE2"/>
    <mergeCell ref="AZ1:BB2"/>
    <mergeCell ref="AW1:AY2"/>
    <mergeCell ref="AN1:AP2"/>
    <mergeCell ref="AQ1:AS2"/>
    <mergeCell ref="AT1:AV2"/>
    <mergeCell ref="AT28:AV29"/>
    <mergeCell ref="U28:W29"/>
    <mergeCell ref="AW20:AY21"/>
    <mergeCell ref="AT12:AV13"/>
    <mergeCell ref="AQ28:AS29"/>
    <mergeCell ref="AN28:AP29"/>
    <mergeCell ref="AK28:AM29"/>
    <mergeCell ref="AQ12:AS13"/>
    <mergeCell ref="AE28:AG29"/>
    <mergeCell ref="AK12:AM13"/>
    <mergeCell ref="AB28:AD29"/>
    <mergeCell ref="AH20:AJ21"/>
    <mergeCell ref="AH28:AJ29"/>
    <mergeCell ref="T1:V2"/>
    <mergeCell ref="AK1:AM2"/>
    <mergeCell ref="R12:T13"/>
    <mergeCell ref="W1:Y2"/>
    <mergeCell ref="R1:S2"/>
    <mergeCell ref="AE1:AG2"/>
    <mergeCell ref="AB1:AD2"/>
    <mergeCell ref="AH1:AJ2"/>
    <mergeCell ref="AB38:AP38"/>
    <mergeCell ref="L12:N13"/>
    <mergeCell ref="O12:Q13"/>
    <mergeCell ref="A51:H51"/>
    <mergeCell ref="K40:Y40"/>
    <mergeCell ref="U12:W13"/>
    <mergeCell ref="L28:N29"/>
    <mergeCell ref="K39:Z39"/>
    <mergeCell ref="K38:Y38"/>
    <mergeCell ref="R28:T29"/>
    <mergeCell ref="O28:Q29"/>
    <mergeCell ref="K28:K29"/>
  </mergeCells>
  <pageMargins left="0.7" right="0.7" top="0.75" bottom="0.75" header="0.3" footer="0.3"/>
  <pageSetup paperSize="9" orientation="portrait" r:id="rId1"/>
  <ignoredErrors>
    <ignoredError sqref="E1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P112"/>
  <sheetViews>
    <sheetView topLeftCell="A106" zoomScaleNormal="100" workbookViewId="0">
      <selection activeCell="A112" sqref="A112:J112"/>
    </sheetView>
  </sheetViews>
  <sheetFormatPr defaultColWidth="8.875" defaultRowHeight="14.3" x14ac:dyDescent="0.25"/>
  <cols>
    <col min="1" max="1" width="16.375" customWidth="1"/>
    <col min="2" max="4" width="3.75" customWidth="1"/>
    <col min="5" max="5" width="4.75" customWidth="1"/>
    <col min="6" max="6" width="16.375" customWidth="1"/>
    <col min="7" max="10" width="5.25" customWidth="1"/>
    <col min="11" max="11" width="12.75" customWidth="1"/>
    <col min="12" max="17" width="5.375" customWidth="1"/>
    <col min="18" max="18" width="5.875" bestFit="1" customWidth="1"/>
    <col min="19" max="19" width="5.75" customWidth="1"/>
    <col min="20" max="31" width="5.375" customWidth="1"/>
    <col min="32" max="52" width="5.75" customWidth="1"/>
    <col min="53" max="61" width="5.625" customWidth="1"/>
  </cols>
  <sheetData>
    <row r="1" spans="1:68" ht="14.95" customHeight="1" thickBot="1" x14ac:dyDescent="0.3">
      <c r="A1" s="518" t="s">
        <v>878</v>
      </c>
      <c r="B1" s="519"/>
      <c r="C1" s="519"/>
      <c r="D1" s="519"/>
      <c r="E1" s="519"/>
      <c r="F1" s="519"/>
      <c r="G1" s="519"/>
      <c r="H1" s="519"/>
      <c r="I1" s="519"/>
      <c r="J1" s="520"/>
      <c r="K1" s="467" t="s">
        <v>187</v>
      </c>
      <c r="L1" s="457" t="s">
        <v>14</v>
      </c>
      <c r="M1" s="461"/>
      <c r="N1" s="458"/>
      <c r="O1" s="457" t="s">
        <v>40</v>
      </c>
      <c r="P1" s="461"/>
      <c r="Q1" s="458"/>
      <c r="R1" s="457" t="s">
        <v>186</v>
      </c>
      <c r="S1" s="458"/>
      <c r="T1" s="449" t="s">
        <v>226</v>
      </c>
      <c r="U1" s="450"/>
      <c r="V1" s="451"/>
      <c r="W1" s="449" t="s">
        <v>875</v>
      </c>
      <c r="X1" s="450"/>
      <c r="Y1" s="451"/>
      <c r="Z1" s="160"/>
      <c r="AA1" s="298"/>
      <c r="AB1" s="299"/>
      <c r="AC1" s="449" t="s">
        <v>581</v>
      </c>
      <c r="AD1" s="450"/>
      <c r="AE1" s="451"/>
      <c r="AF1" s="449" t="s">
        <v>477</v>
      </c>
      <c r="AG1" s="450"/>
      <c r="AH1" s="451"/>
      <c r="AI1" s="449" t="s">
        <v>391</v>
      </c>
      <c r="AJ1" s="450"/>
      <c r="AK1" s="451"/>
      <c r="AL1" s="449" t="s">
        <v>300</v>
      </c>
      <c r="AM1" s="450"/>
      <c r="AN1" s="451"/>
      <c r="AO1" s="449" t="s">
        <v>219</v>
      </c>
      <c r="AP1" s="450"/>
      <c r="AQ1" s="451"/>
      <c r="AR1" s="449" t="s">
        <v>165</v>
      </c>
      <c r="AS1" s="450"/>
      <c r="AT1" s="451"/>
      <c r="AU1" s="449" t="s">
        <v>78</v>
      </c>
      <c r="AV1" s="450"/>
      <c r="AW1" s="451"/>
      <c r="AX1" s="449" t="s">
        <v>54</v>
      </c>
      <c r="AY1" s="450"/>
      <c r="AZ1" s="451"/>
      <c r="BA1" s="449" t="s">
        <v>50</v>
      </c>
      <c r="BB1" s="450"/>
      <c r="BC1" s="451"/>
      <c r="BD1" s="449" t="s">
        <v>41</v>
      </c>
      <c r="BE1" s="450"/>
      <c r="BF1" s="451"/>
      <c r="BG1" s="449" t="s">
        <v>45</v>
      </c>
      <c r="BH1" s="450"/>
      <c r="BI1" s="451"/>
      <c r="BK1" s="4"/>
      <c r="BL1" s="4"/>
      <c r="BM1" s="4"/>
      <c r="BP1" s="4"/>
    </row>
    <row r="2" spans="1:68" ht="14.95" customHeight="1" thickBot="1" x14ac:dyDescent="0.3">
      <c r="A2" s="111" t="s">
        <v>0</v>
      </c>
      <c r="B2" s="176" t="s">
        <v>218</v>
      </c>
      <c r="C2" s="360" t="s">
        <v>30</v>
      </c>
      <c r="D2" s="232" t="s">
        <v>326</v>
      </c>
      <c r="E2" s="112" t="s">
        <v>1</v>
      </c>
      <c r="F2" s="113" t="s">
        <v>2</v>
      </c>
      <c r="G2" s="174" t="s">
        <v>218</v>
      </c>
      <c r="H2" s="255" t="s">
        <v>30</v>
      </c>
      <c r="I2" s="233" t="s">
        <v>326</v>
      </c>
      <c r="J2" s="105" t="s">
        <v>1</v>
      </c>
      <c r="K2" s="468"/>
      <c r="L2" s="459"/>
      <c r="M2" s="462"/>
      <c r="N2" s="460"/>
      <c r="O2" s="459"/>
      <c r="P2" s="462"/>
      <c r="Q2" s="460"/>
      <c r="R2" s="459"/>
      <c r="S2" s="460"/>
      <c r="T2" s="452"/>
      <c r="U2" s="453"/>
      <c r="V2" s="454"/>
      <c r="W2" s="452"/>
      <c r="X2" s="453"/>
      <c r="Y2" s="454"/>
      <c r="Z2" s="298"/>
      <c r="AA2" s="298"/>
      <c r="AB2" s="299"/>
      <c r="AC2" s="452"/>
      <c r="AD2" s="453"/>
      <c r="AE2" s="454"/>
      <c r="AF2" s="452"/>
      <c r="AG2" s="453"/>
      <c r="AH2" s="454"/>
      <c r="AI2" s="452"/>
      <c r="AJ2" s="453"/>
      <c r="AK2" s="454"/>
      <c r="AL2" s="452"/>
      <c r="AM2" s="453"/>
      <c r="AN2" s="454"/>
      <c r="AO2" s="452"/>
      <c r="AP2" s="453"/>
      <c r="AQ2" s="454"/>
      <c r="AR2" s="452"/>
      <c r="AS2" s="453"/>
      <c r="AT2" s="454"/>
      <c r="AU2" s="452"/>
      <c r="AV2" s="453"/>
      <c r="AW2" s="454"/>
      <c r="AX2" s="452"/>
      <c r="AY2" s="453"/>
      <c r="AZ2" s="454"/>
      <c r="BA2" s="452"/>
      <c r="BB2" s="453"/>
      <c r="BC2" s="454"/>
      <c r="BD2" s="452"/>
      <c r="BE2" s="453"/>
      <c r="BF2" s="454"/>
      <c r="BG2" s="452"/>
      <c r="BH2" s="453"/>
      <c r="BI2" s="454"/>
    </row>
    <row r="3" spans="1:68" ht="14.95" customHeight="1" thickBot="1" x14ac:dyDescent="0.3">
      <c r="A3" s="43" t="s">
        <v>214</v>
      </c>
      <c r="B3" s="177">
        <v>2</v>
      </c>
      <c r="C3" s="361">
        <v>0</v>
      </c>
      <c r="D3" s="234">
        <v>1</v>
      </c>
      <c r="E3" s="60">
        <f t="shared" ref="E3:E54" si="0">SUM(B3:D3)</f>
        <v>3</v>
      </c>
      <c r="F3" s="74" t="s">
        <v>214</v>
      </c>
      <c r="G3" s="175">
        <v>10</v>
      </c>
      <c r="H3" s="256">
        <v>0</v>
      </c>
      <c r="I3" s="235">
        <v>5</v>
      </c>
      <c r="J3" s="76">
        <f t="shared" ref="J3:J55" si="1">SUM(G3:I3)</f>
        <v>15</v>
      </c>
      <c r="K3" s="217" t="s">
        <v>21</v>
      </c>
      <c r="L3" s="3" t="s">
        <v>46</v>
      </c>
      <c r="M3" s="3" t="s">
        <v>9</v>
      </c>
      <c r="N3" s="3" t="s">
        <v>10</v>
      </c>
      <c r="O3" s="162" t="s">
        <v>46</v>
      </c>
      <c r="P3" s="3" t="s">
        <v>9</v>
      </c>
      <c r="Q3" s="3" t="s">
        <v>10</v>
      </c>
      <c r="R3" s="3" t="s">
        <v>187</v>
      </c>
      <c r="S3" s="3" t="s">
        <v>58</v>
      </c>
      <c r="T3" s="148" t="s">
        <v>46</v>
      </c>
      <c r="U3" s="7" t="s">
        <v>9</v>
      </c>
      <c r="V3" s="7" t="s">
        <v>10</v>
      </c>
      <c r="W3" s="148" t="s">
        <v>46</v>
      </c>
      <c r="X3" s="7" t="s">
        <v>9</v>
      </c>
      <c r="Y3" s="7" t="s">
        <v>10</v>
      </c>
      <c r="Z3" s="94"/>
      <c r="AA3" s="94"/>
      <c r="AB3" s="197"/>
      <c r="AC3" s="148" t="s">
        <v>46</v>
      </c>
      <c r="AD3" s="7" t="s">
        <v>9</v>
      </c>
      <c r="AE3" s="7" t="s">
        <v>10</v>
      </c>
      <c r="AF3" s="148" t="s">
        <v>46</v>
      </c>
      <c r="AG3" s="7" t="s">
        <v>9</v>
      </c>
      <c r="AH3" s="7" t="s">
        <v>10</v>
      </c>
      <c r="AI3" s="84" t="s">
        <v>46</v>
      </c>
      <c r="AJ3" s="79" t="s">
        <v>9</v>
      </c>
      <c r="AK3" s="79" t="s">
        <v>10</v>
      </c>
      <c r="AL3" s="148" t="s">
        <v>46</v>
      </c>
      <c r="AM3" s="7" t="s">
        <v>9</v>
      </c>
      <c r="AN3" s="7" t="s">
        <v>10</v>
      </c>
      <c r="AO3" s="148" t="s">
        <v>46</v>
      </c>
      <c r="AP3" s="7" t="s">
        <v>9</v>
      </c>
      <c r="AQ3" s="7" t="s">
        <v>10</v>
      </c>
      <c r="AR3" s="148" t="s">
        <v>46</v>
      </c>
      <c r="AS3" s="7" t="s">
        <v>9</v>
      </c>
      <c r="AT3" s="7" t="s">
        <v>10</v>
      </c>
      <c r="AU3" s="148" t="s">
        <v>46</v>
      </c>
      <c r="AV3" s="7" t="s">
        <v>9</v>
      </c>
      <c r="AW3" s="7" t="s">
        <v>10</v>
      </c>
      <c r="AX3" s="148" t="s">
        <v>46</v>
      </c>
      <c r="AY3" s="7" t="s">
        <v>9</v>
      </c>
      <c r="AZ3" s="7" t="s">
        <v>10</v>
      </c>
      <c r="BA3" s="7" t="s">
        <v>46</v>
      </c>
      <c r="BB3" s="7" t="s">
        <v>9</v>
      </c>
      <c r="BC3" s="7" t="s">
        <v>10</v>
      </c>
      <c r="BD3" s="7" t="s">
        <v>46</v>
      </c>
      <c r="BE3" s="7" t="s">
        <v>9</v>
      </c>
      <c r="BF3" s="7" t="s">
        <v>10</v>
      </c>
      <c r="BG3" s="7" t="s">
        <v>46</v>
      </c>
      <c r="BH3" s="7" t="s">
        <v>9</v>
      </c>
      <c r="BI3" s="7" t="s">
        <v>10</v>
      </c>
    </row>
    <row r="4" spans="1:68" ht="14.95" customHeight="1" thickBot="1" x14ac:dyDescent="0.3">
      <c r="A4" s="43" t="s">
        <v>840</v>
      </c>
      <c r="B4" s="177">
        <v>0</v>
      </c>
      <c r="C4" s="361">
        <v>0</v>
      </c>
      <c r="D4" s="234">
        <v>0</v>
      </c>
      <c r="E4" s="60">
        <f t="shared" si="0"/>
        <v>0</v>
      </c>
      <c r="F4" s="74" t="s">
        <v>840</v>
      </c>
      <c r="G4" s="175">
        <v>0</v>
      </c>
      <c r="H4" s="256">
        <v>0</v>
      </c>
      <c r="I4" s="235">
        <v>0</v>
      </c>
      <c r="J4" s="76">
        <f t="shared" si="1"/>
        <v>0</v>
      </c>
      <c r="K4" s="50" t="s">
        <v>541</v>
      </c>
      <c r="L4" s="14">
        <v>4</v>
      </c>
      <c r="M4" s="14">
        <v>8</v>
      </c>
      <c r="N4" s="147">
        <f t="shared" ref="N4" si="2">SUM(L4/M4)*100</f>
        <v>50</v>
      </c>
      <c r="O4" s="14">
        <v>1</v>
      </c>
      <c r="P4" s="14">
        <v>3</v>
      </c>
      <c r="Q4" s="147">
        <f t="shared" ref="Q4" si="3">SUM(O4/P4)*100</f>
        <v>33.333333333333329</v>
      </c>
      <c r="R4" s="14">
        <v>-1</v>
      </c>
      <c r="S4" s="14">
        <v>-1</v>
      </c>
      <c r="T4" s="7">
        <v>1</v>
      </c>
      <c r="U4" s="7">
        <v>3</v>
      </c>
      <c r="V4" s="153">
        <v>33.333333333333329</v>
      </c>
      <c r="W4" s="7">
        <v>5</v>
      </c>
      <c r="X4" s="7">
        <v>10</v>
      </c>
      <c r="Y4" s="153">
        <v>50</v>
      </c>
      <c r="Z4" s="94"/>
      <c r="AA4" s="94"/>
      <c r="AB4" s="156"/>
      <c r="AC4" s="7">
        <v>4</v>
      </c>
      <c r="AD4" s="7">
        <v>7</v>
      </c>
      <c r="AE4" s="153">
        <v>57.142857142857139</v>
      </c>
      <c r="AF4" s="7">
        <v>1</v>
      </c>
      <c r="AG4" s="7">
        <v>1</v>
      </c>
      <c r="AH4" s="153">
        <f>SUM(AF4/AG4)*100</f>
        <v>100</v>
      </c>
      <c r="AI4" s="7">
        <v>2</v>
      </c>
      <c r="AJ4" s="153">
        <v>2</v>
      </c>
      <c r="AK4" s="79">
        <v>100</v>
      </c>
      <c r="AL4" s="148" t="s">
        <v>15</v>
      </c>
      <c r="AM4" s="7" t="s">
        <v>15</v>
      </c>
      <c r="AN4" s="7" t="s">
        <v>15</v>
      </c>
      <c r="AO4" s="148" t="s">
        <v>15</v>
      </c>
      <c r="AP4" s="7" t="s">
        <v>15</v>
      </c>
      <c r="AQ4" s="7" t="s">
        <v>15</v>
      </c>
      <c r="AR4" s="148" t="s">
        <v>15</v>
      </c>
      <c r="AS4" s="7" t="s">
        <v>15</v>
      </c>
      <c r="AT4" s="7" t="s">
        <v>15</v>
      </c>
      <c r="AU4" s="148" t="s">
        <v>15</v>
      </c>
      <c r="AV4" s="7" t="s">
        <v>15</v>
      </c>
      <c r="AW4" s="7" t="s">
        <v>15</v>
      </c>
      <c r="AX4" s="6" t="s">
        <v>15</v>
      </c>
      <c r="AY4" s="7" t="s">
        <v>15</v>
      </c>
      <c r="AZ4" s="7" t="s">
        <v>15</v>
      </c>
      <c r="BA4" s="7" t="s">
        <v>15</v>
      </c>
      <c r="BB4" s="7" t="s">
        <v>15</v>
      </c>
      <c r="BC4" s="7" t="s">
        <v>15</v>
      </c>
      <c r="BD4" s="7" t="s">
        <v>15</v>
      </c>
      <c r="BE4" s="7" t="s">
        <v>15</v>
      </c>
      <c r="BF4" s="7" t="s">
        <v>15</v>
      </c>
      <c r="BG4" s="7" t="s">
        <v>15</v>
      </c>
      <c r="BH4" s="7" t="s">
        <v>15</v>
      </c>
      <c r="BI4" s="7" t="s">
        <v>15</v>
      </c>
    </row>
    <row r="5" spans="1:68" ht="14.95" customHeight="1" thickBot="1" x14ac:dyDescent="0.3">
      <c r="A5" s="43" t="s">
        <v>258</v>
      </c>
      <c r="B5" s="177">
        <v>2</v>
      </c>
      <c r="C5" s="361">
        <v>3</v>
      </c>
      <c r="D5" s="234">
        <v>1</v>
      </c>
      <c r="E5" s="60">
        <f t="shared" si="0"/>
        <v>6</v>
      </c>
      <c r="F5" s="74" t="s">
        <v>258</v>
      </c>
      <c r="G5" s="175">
        <v>18</v>
      </c>
      <c r="H5" s="256">
        <v>15</v>
      </c>
      <c r="I5" s="235">
        <v>17</v>
      </c>
      <c r="J5" s="76">
        <f t="shared" si="1"/>
        <v>50</v>
      </c>
      <c r="K5" s="50" t="s">
        <v>168</v>
      </c>
      <c r="L5" s="14">
        <v>3</v>
      </c>
      <c r="M5" s="14">
        <v>4</v>
      </c>
      <c r="N5" s="147">
        <f t="shared" ref="N5" si="4">SUM(L5/M5)*100</f>
        <v>75</v>
      </c>
      <c r="O5" s="14" t="s">
        <v>15</v>
      </c>
      <c r="P5" s="14" t="s">
        <v>15</v>
      </c>
      <c r="Q5" s="147" t="s">
        <v>15</v>
      </c>
      <c r="R5" s="14">
        <v>-1</v>
      </c>
      <c r="S5" s="14">
        <v>4</v>
      </c>
      <c r="T5" s="148">
        <v>15</v>
      </c>
      <c r="U5" s="7">
        <v>18</v>
      </c>
      <c r="V5" s="153">
        <v>83.333333333333343</v>
      </c>
      <c r="W5" s="148">
        <v>20</v>
      </c>
      <c r="X5" s="7">
        <v>29</v>
      </c>
      <c r="Y5" s="153">
        <v>68.965517241379317</v>
      </c>
      <c r="Z5" s="94"/>
      <c r="AA5" s="94"/>
      <c r="AB5" s="197"/>
      <c r="AC5" s="148">
        <v>2</v>
      </c>
      <c r="AD5" s="7">
        <v>2</v>
      </c>
      <c r="AE5" s="153">
        <v>100</v>
      </c>
      <c r="AF5" s="148">
        <v>3</v>
      </c>
      <c r="AG5" s="7">
        <v>5</v>
      </c>
      <c r="AH5" s="153">
        <f t="shared" ref="AH5" si="5">(AF5/AG5)*100</f>
        <v>60</v>
      </c>
      <c r="AI5" s="84">
        <v>16</v>
      </c>
      <c r="AJ5" s="79">
        <v>17</v>
      </c>
      <c r="AK5" s="171">
        <f t="shared" ref="AK5" si="6">(AI5/AJ5)*100</f>
        <v>94.117647058823522</v>
      </c>
      <c r="AL5" s="148" t="s">
        <v>15</v>
      </c>
      <c r="AM5" s="7" t="s">
        <v>15</v>
      </c>
      <c r="AN5" s="7" t="s">
        <v>15</v>
      </c>
      <c r="AO5" s="148" t="s">
        <v>15</v>
      </c>
      <c r="AP5" s="7" t="s">
        <v>15</v>
      </c>
      <c r="AQ5" s="7" t="s">
        <v>15</v>
      </c>
      <c r="AR5" s="148" t="s">
        <v>15</v>
      </c>
      <c r="AS5" s="7" t="s">
        <v>15</v>
      </c>
      <c r="AT5" s="7" t="s">
        <v>15</v>
      </c>
      <c r="AU5" s="148" t="s">
        <v>15</v>
      </c>
      <c r="AV5" s="7" t="s">
        <v>15</v>
      </c>
      <c r="AW5" s="7" t="s">
        <v>15</v>
      </c>
      <c r="AX5" s="6" t="s">
        <v>15</v>
      </c>
      <c r="AY5" s="7" t="s">
        <v>15</v>
      </c>
      <c r="AZ5" s="7" t="s">
        <v>15</v>
      </c>
      <c r="BA5" s="7" t="s">
        <v>15</v>
      </c>
      <c r="BB5" s="7" t="s">
        <v>15</v>
      </c>
      <c r="BC5" s="7" t="s">
        <v>15</v>
      </c>
      <c r="BD5" s="7" t="s">
        <v>15</v>
      </c>
      <c r="BE5" s="7" t="s">
        <v>15</v>
      </c>
      <c r="BF5" s="7" t="s">
        <v>15</v>
      </c>
      <c r="BG5" s="7" t="s">
        <v>15</v>
      </c>
      <c r="BH5" s="7" t="s">
        <v>15</v>
      </c>
      <c r="BI5" s="7" t="s">
        <v>15</v>
      </c>
    </row>
    <row r="6" spans="1:68" ht="14.95" customHeight="1" thickBot="1" x14ac:dyDescent="0.3">
      <c r="A6" s="43" t="s">
        <v>368</v>
      </c>
      <c r="B6" s="177">
        <v>1</v>
      </c>
      <c r="C6" s="361">
        <v>0</v>
      </c>
      <c r="D6" s="234">
        <v>0</v>
      </c>
      <c r="E6" s="60">
        <f t="shared" si="0"/>
        <v>1</v>
      </c>
      <c r="F6" s="73" t="s">
        <v>368</v>
      </c>
      <c r="G6" s="175">
        <v>5</v>
      </c>
      <c r="H6" s="256">
        <v>0</v>
      </c>
      <c r="I6" s="235">
        <v>0</v>
      </c>
      <c r="J6" s="76">
        <f t="shared" si="1"/>
        <v>5</v>
      </c>
      <c r="K6" s="50" t="s">
        <v>1005</v>
      </c>
      <c r="L6" s="14">
        <v>23</v>
      </c>
      <c r="M6" s="14">
        <v>31</v>
      </c>
      <c r="N6" s="147">
        <f t="shared" ref="N6" si="7">SUM(L6/M6)*100</f>
        <v>74.193548387096769</v>
      </c>
      <c r="O6" s="14" t="s">
        <v>15</v>
      </c>
      <c r="P6" s="14" t="s">
        <v>15</v>
      </c>
      <c r="Q6" s="147" t="s">
        <v>15</v>
      </c>
      <c r="R6" s="14">
        <v>2</v>
      </c>
      <c r="S6" s="14">
        <v>-1</v>
      </c>
      <c r="T6" s="148">
        <v>34</v>
      </c>
      <c r="U6" s="7">
        <v>44</v>
      </c>
      <c r="V6" s="153">
        <v>77.272727272727266</v>
      </c>
      <c r="W6" s="148">
        <v>27</v>
      </c>
      <c r="X6" s="7">
        <v>31</v>
      </c>
      <c r="Y6" s="153">
        <v>87.096774193548384</v>
      </c>
      <c r="Z6" s="94"/>
      <c r="AA6" s="94"/>
      <c r="AB6" s="197"/>
      <c r="AC6" s="148">
        <v>38</v>
      </c>
      <c r="AD6" s="7">
        <v>44</v>
      </c>
      <c r="AE6" s="153">
        <v>86.36363636363636</v>
      </c>
      <c r="AF6" s="148">
        <v>52</v>
      </c>
      <c r="AG6" s="7">
        <v>61</v>
      </c>
      <c r="AH6" s="153">
        <v>85.245901639344254</v>
      </c>
      <c r="AI6" s="84">
        <v>35</v>
      </c>
      <c r="AJ6" s="79">
        <v>40</v>
      </c>
      <c r="AK6" s="171">
        <v>87.5</v>
      </c>
      <c r="AL6" s="148">
        <v>37</v>
      </c>
      <c r="AM6" s="7">
        <v>43</v>
      </c>
      <c r="AN6" s="7">
        <v>86</v>
      </c>
      <c r="AO6" s="148">
        <v>46</v>
      </c>
      <c r="AP6" s="7">
        <v>63</v>
      </c>
      <c r="AQ6" s="7">
        <v>73</v>
      </c>
      <c r="AR6" s="148">
        <v>51</v>
      </c>
      <c r="AS6" s="7">
        <v>72</v>
      </c>
      <c r="AT6" s="7">
        <v>71</v>
      </c>
      <c r="AU6" s="148" t="s">
        <v>15</v>
      </c>
      <c r="AV6" s="7" t="s">
        <v>15</v>
      </c>
      <c r="AW6" s="7" t="s">
        <v>15</v>
      </c>
      <c r="AX6" s="6" t="s">
        <v>15</v>
      </c>
      <c r="AY6" s="7" t="s">
        <v>15</v>
      </c>
      <c r="AZ6" s="7" t="s">
        <v>15</v>
      </c>
      <c r="BA6" s="7" t="s">
        <v>15</v>
      </c>
      <c r="BB6" s="7" t="s">
        <v>15</v>
      </c>
      <c r="BC6" s="7" t="s">
        <v>15</v>
      </c>
      <c r="BD6" s="7" t="s">
        <v>15</v>
      </c>
      <c r="BE6" s="7" t="s">
        <v>15</v>
      </c>
      <c r="BF6" s="7" t="s">
        <v>15</v>
      </c>
      <c r="BG6" s="7" t="s">
        <v>15</v>
      </c>
      <c r="BH6" s="7" t="s">
        <v>15</v>
      </c>
      <c r="BI6" s="7" t="s">
        <v>15</v>
      </c>
    </row>
    <row r="7" spans="1:68" ht="14.95" customHeight="1" thickBot="1" x14ac:dyDescent="0.3">
      <c r="A7" s="43" t="s">
        <v>916</v>
      </c>
      <c r="B7" s="177">
        <v>1</v>
      </c>
      <c r="C7" s="361">
        <v>0</v>
      </c>
      <c r="D7" s="234">
        <v>1</v>
      </c>
      <c r="E7" s="60">
        <f t="shared" si="0"/>
        <v>2</v>
      </c>
      <c r="F7" s="73" t="s">
        <v>916</v>
      </c>
      <c r="G7" s="175">
        <v>5</v>
      </c>
      <c r="H7" s="256">
        <v>0</v>
      </c>
      <c r="I7" s="235">
        <v>5</v>
      </c>
      <c r="J7" s="76">
        <f t="shared" si="1"/>
        <v>10</v>
      </c>
      <c r="K7" s="50" t="s">
        <v>572</v>
      </c>
      <c r="L7" s="14" t="s">
        <v>15</v>
      </c>
      <c r="M7" s="14" t="s">
        <v>15</v>
      </c>
      <c r="N7" s="147" t="s">
        <v>15</v>
      </c>
      <c r="O7" s="14" t="s">
        <v>15</v>
      </c>
      <c r="P7" s="14" t="s">
        <v>15</v>
      </c>
      <c r="Q7" s="147" t="s">
        <v>15</v>
      </c>
      <c r="R7" s="14">
        <v>-2</v>
      </c>
      <c r="S7" s="14">
        <v>-3</v>
      </c>
      <c r="T7" s="148">
        <v>0</v>
      </c>
      <c r="U7" s="7">
        <v>2</v>
      </c>
      <c r="V7" s="153">
        <v>0</v>
      </c>
      <c r="W7" s="148">
        <v>5</v>
      </c>
      <c r="X7" s="7">
        <v>6</v>
      </c>
      <c r="Y7" s="153">
        <v>83.333333333333343</v>
      </c>
      <c r="Z7" s="94"/>
      <c r="AA7" s="94"/>
      <c r="AB7" s="197"/>
      <c r="AC7" s="148">
        <v>3</v>
      </c>
      <c r="AD7" s="7">
        <v>4</v>
      </c>
      <c r="AE7" s="153">
        <v>75</v>
      </c>
      <c r="AF7" s="84" t="s">
        <v>15</v>
      </c>
      <c r="AG7" s="79" t="s">
        <v>15</v>
      </c>
      <c r="AH7" s="171" t="s">
        <v>15</v>
      </c>
      <c r="AI7" s="84" t="s">
        <v>15</v>
      </c>
      <c r="AJ7" s="79" t="s">
        <v>15</v>
      </c>
      <c r="AK7" s="171" t="s">
        <v>15</v>
      </c>
      <c r="AL7" s="84" t="s">
        <v>15</v>
      </c>
      <c r="AM7" s="79" t="s">
        <v>15</v>
      </c>
      <c r="AN7" s="171" t="s">
        <v>15</v>
      </c>
      <c r="AO7" s="84" t="s">
        <v>15</v>
      </c>
      <c r="AP7" s="79" t="s">
        <v>15</v>
      </c>
      <c r="AQ7" s="171" t="s">
        <v>15</v>
      </c>
      <c r="AR7" s="84" t="s">
        <v>15</v>
      </c>
      <c r="AS7" s="79" t="s">
        <v>15</v>
      </c>
      <c r="AT7" s="171" t="s">
        <v>15</v>
      </c>
      <c r="AU7" s="84" t="s">
        <v>15</v>
      </c>
      <c r="AV7" s="79" t="s">
        <v>15</v>
      </c>
      <c r="AW7" s="171" t="s">
        <v>15</v>
      </c>
      <c r="AX7" s="84" t="s">
        <v>15</v>
      </c>
      <c r="AY7" s="79" t="s">
        <v>15</v>
      </c>
      <c r="AZ7" s="171" t="s">
        <v>15</v>
      </c>
      <c r="BA7" s="84" t="s">
        <v>15</v>
      </c>
      <c r="BB7" s="79" t="s">
        <v>15</v>
      </c>
      <c r="BC7" s="171" t="s">
        <v>15</v>
      </c>
      <c r="BD7" s="84" t="s">
        <v>15</v>
      </c>
      <c r="BE7" s="79" t="s">
        <v>15</v>
      </c>
      <c r="BF7" s="171" t="s">
        <v>15</v>
      </c>
      <c r="BG7" s="84" t="s">
        <v>15</v>
      </c>
      <c r="BH7" s="79" t="s">
        <v>15</v>
      </c>
      <c r="BI7" s="171" t="s">
        <v>15</v>
      </c>
    </row>
    <row r="8" spans="1:68" ht="14.95" customHeight="1" thickBot="1" x14ac:dyDescent="0.3">
      <c r="A8" s="43" t="s">
        <v>168</v>
      </c>
      <c r="B8" s="177">
        <v>0</v>
      </c>
      <c r="C8" s="361">
        <v>0</v>
      </c>
      <c r="D8" s="234">
        <v>0</v>
      </c>
      <c r="E8" s="60">
        <f t="shared" si="0"/>
        <v>0</v>
      </c>
      <c r="F8" s="73" t="s">
        <v>168</v>
      </c>
      <c r="G8" s="175">
        <v>6</v>
      </c>
      <c r="H8" s="256">
        <v>21</v>
      </c>
      <c r="I8" s="235">
        <v>37</v>
      </c>
      <c r="J8" s="76">
        <f t="shared" si="1"/>
        <v>64</v>
      </c>
      <c r="K8" s="50" t="s">
        <v>24</v>
      </c>
      <c r="L8" s="14" t="s">
        <v>15</v>
      </c>
      <c r="M8" s="14" t="s">
        <v>15</v>
      </c>
      <c r="N8" s="147" t="s">
        <v>15</v>
      </c>
      <c r="O8" s="14" t="s">
        <v>15</v>
      </c>
      <c r="P8" s="14" t="s">
        <v>15</v>
      </c>
      <c r="Q8" s="147" t="s">
        <v>15</v>
      </c>
      <c r="R8" s="60">
        <v>2</v>
      </c>
      <c r="S8" s="60">
        <v>-1</v>
      </c>
      <c r="T8" s="148" t="s">
        <v>15</v>
      </c>
      <c r="U8" s="7" t="s">
        <v>15</v>
      </c>
      <c r="V8" s="153" t="s">
        <v>15</v>
      </c>
      <c r="W8" s="148" t="s">
        <v>15</v>
      </c>
      <c r="X8" s="7" t="s">
        <v>15</v>
      </c>
      <c r="Y8" s="153" t="s">
        <v>15</v>
      </c>
      <c r="Z8" s="94"/>
      <c r="AA8" s="94"/>
      <c r="AB8" s="197"/>
      <c r="AC8" s="148" t="s">
        <v>15</v>
      </c>
      <c r="AD8" s="7" t="s">
        <v>15</v>
      </c>
      <c r="AE8" s="153" t="s">
        <v>15</v>
      </c>
      <c r="AF8" s="148" t="s">
        <v>15</v>
      </c>
      <c r="AG8" s="7" t="s">
        <v>15</v>
      </c>
      <c r="AH8" s="153" t="s">
        <v>15</v>
      </c>
      <c r="AI8" s="84">
        <v>2</v>
      </c>
      <c r="AJ8" s="79">
        <v>2</v>
      </c>
      <c r="AK8" s="171">
        <f t="shared" ref="AK8" si="8">(AI8/AJ8)*100</f>
        <v>100</v>
      </c>
      <c r="AL8" s="148" t="s">
        <v>15</v>
      </c>
      <c r="AM8" s="7" t="s">
        <v>15</v>
      </c>
      <c r="AN8" s="7" t="s">
        <v>15</v>
      </c>
      <c r="AO8" s="148" t="s">
        <v>15</v>
      </c>
      <c r="AP8" s="7" t="s">
        <v>15</v>
      </c>
      <c r="AQ8" s="7" t="s">
        <v>15</v>
      </c>
      <c r="AR8" s="148" t="s">
        <v>15</v>
      </c>
      <c r="AS8" s="7" t="s">
        <v>15</v>
      </c>
      <c r="AT8" s="7" t="s">
        <v>15</v>
      </c>
      <c r="AU8" s="148" t="s">
        <v>15</v>
      </c>
      <c r="AV8" s="7" t="s">
        <v>15</v>
      </c>
      <c r="AW8" s="7" t="s">
        <v>15</v>
      </c>
      <c r="AX8" s="6" t="s">
        <v>15</v>
      </c>
      <c r="AY8" s="7" t="s">
        <v>15</v>
      </c>
      <c r="AZ8" s="7" t="s">
        <v>15</v>
      </c>
      <c r="BA8" s="7" t="s">
        <v>15</v>
      </c>
      <c r="BB8" s="7" t="s">
        <v>15</v>
      </c>
      <c r="BC8" s="7" t="s">
        <v>15</v>
      </c>
      <c r="BD8" s="7" t="s">
        <v>15</v>
      </c>
      <c r="BE8" s="7" t="s">
        <v>15</v>
      </c>
      <c r="BF8" s="7" t="s">
        <v>15</v>
      </c>
      <c r="BG8" s="7" t="s">
        <v>15</v>
      </c>
      <c r="BH8" s="7" t="s">
        <v>15</v>
      </c>
      <c r="BI8" s="7" t="s">
        <v>15</v>
      </c>
    </row>
    <row r="9" spans="1:68" ht="14.95" customHeight="1" thickBot="1" x14ac:dyDescent="0.3">
      <c r="A9" s="43" t="s">
        <v>917</v>
      </c>
      <c r="B9" s="177">
        <v>0</v>
      </c>
      <c r="C9" s="361">
        <v>0</v>
      </c>
      <c r="D9" s="234">
        <v>0</v>
      </c>
      <c r="E9" s="60">
        <f t="shared" si="0"/>
        <v>0</v>
      </c>
      <c r="F9" s="74" t="s">
        <v>917</v>
      </c>
      <c r="G9" s="175">
        <v>0</v>
      </c>
      <c r="H9" s="256">
        <v>0</v>
      </c>
      <c r="I9" s="235">
        <v>0</v>
      </c>
      <c r="J9" s="76">
        <f t="shared" si="1"/>
        <v>0</v>
      </c>
      <c r="K9" s="50" t="s">
        <v>863</v>
      </c>
      <c r="L9" s="14" t="s">
        <v>15</v>
      </c>
      <c r="M9" s="14" t="s">
        <v>15</v>
      </c>
      <c r="N9" s="147" t="s">
        <v>15</v>
      </c>
      <c r="O9" s="14" t="s">
        <v>15</v>
      </c>
      <c r="P9" s="14" t="s">
        <v>15</v>
      </c>
      <c r="Q9" s="147" t="s">
        <v>15</v>
      </c>
      <c r="R9" s="60">
        <v>-1</v>
      </c>
      <c r="S9" s="60">
        <v>-1</v>
      </c>
      <c r="T9" s="148">
        <v>3</v>
      </c>
      <c r="U9" s="7">
        <v>5</v>
      </c>
      <c r="V9" s="153">
        <v>60</v>
      </c>
      <c r="W9" s="148" t="s">
        <v>15</v>
      </c>
      <c r="X9" s="7" t="s">
        <v>15</v>
      </c>
      <c r="Y9" s="153" t="s">
        <v>15</v>
      </c>
      <c r="Z9" s="94"/>
      <c r="AA9" s="94"/>
      <c r="AB9" s="197"/>
      <c r="AC9" s="148" t="s">
        <v>15</v>
      </c>
      <c r="AD9" s="7" t="s">
        <v>15</v>
      </c>
      <c r="AE9" s="153" t="s">
        <v>15</v>
      </c>
      <c r="AF9" s="148">
        <v>3</v>
      </c>
      <c r="AG9" s="7">
        <v>4</v>
      </c>
      <c r="AH9" s="153">
        <v>75</v>
      </c>
      <c r="AI9" s="148" t="s">
        <v>15</v>
      </c>
      <c r="AJ9" s="7" t="s">
        <v>15</v>
      </c>
      <c r="AK9" s="7" t="s">
        <v>15</v>
      </c>
      <c r="AL9" s="148" t="s">
        <v>15</v>
      </c>
      <c r="AM9" s="7" t="s">
        <v>15</v>
      </c>
      <c r="AN9" s="7" t="s">
        <v>15</v>
      </c>
      <c r="AO9" s="148" t="s">
        <v>15</v>
      </c>
      <c r="AP9" s="7" t="s">
        <v>15</v>
      </c>
      <c r="AQ9" s="7" t="s">
        <v>15</v>
      </c>
      <c r="AR9" s="148" t="s">
        <v>15</v>
      </c>
      <c r="AS9" s="7" t="s">
        <v>15</v>
      </c>
      <c r="AT9" s="7" t="s">
        <v>15</v>
      </c>
      <c r="AU9" s="148" t="s">
        <v>15</v>
      </c>
      <c r="AV9" s="7" t="s">
        <v>15</v>
      </c>
      <c r="AW9" s="7" t="s">
        <v>15</v>
      </c>
      <c r="AX9" s="6" t="s">
        <v>15</v>
      </c>
      <c r="AY9" s="7" t="s">
        <v>15</v>
      </c>
      <c r="AZ9" s="7" t="s">
        <v>15</v>
      </c>
      <c r="BA9" s="7" t="s">
        <v>15</v>
      </c>
      <c r="BB9" s="7" t="s">
        <v>15</v>
      </c>
      <c r="BC9" s="7" t="s">
        <v>15</v>
      </c>
      <c r="BD9" s="7" t="s">
        <v>15</v>
      </c>
      <c r="BE9" s="7" t="s">
        <v>15</v>
      </c>
      <c r="BF9" s="7" t="s">
        <v>15</v>
      </c>
      <c r="BG9" s="7" t="s">
        <v>15</v>
      </c>
      <c r="BH9" s="7" t="s">
        <v>15</v>
      </c>
      <c r="BI9" s="7" t="s">
        <v>15</v>
      </c>
    </row>
    <row r="10" spans="1:68" ht="14.95" customHeight="1" thickBot="1" x14ac:dyDescent="0.3">
      <c r="A10" s="43" t="s">
        <v>920</v>
      </c>
      <c r="B10" s="177">
        <v>0</v>
      </c>
      <c r="C10" s="361">
        <v>0</v>
      </c>
      <c r="D10" s="234">
        <v>0</v>
      </c>
      <c r="E10" s="60">
        <f t="shared" si="0"/>
        <v>0</v>
      </c>
      <c r="F10" s="74" t="s">
        <v>920</v>
      </c>
      <c r="G10" s="175">
        <v>0</v>
      </c>
      <c r="H10" s="256">
        <v>0</v>
      </c>
      <c r="I10" s="235">
        <v>0</v>
      </c>
      <c r="J10" s="76">
        <f t="shared" si="1"/>
        <v>0</v>
      </c>
      <c r="K10" s="47"/>
      <c r="L10" s="56"/>
    </row>
    <row r="11" spans="1:68" ht="14.95" customHeight="1" thickBot="1" x14ac:dyDescent="0.3">
      <c r="A11" s="43" t="s">
        <v>363</v>
      </c>
      <c r="B11" s="177">
        <v>1</v>
      </c>
      <c r="C11" s="361">
        <v>0</v>
      </c>
      <c r="D11" s="234">
        <v>1</v>
      </c>
      <c r="E11" s="60">
        <f t="shared" si="0"/>
        <v>2</v>
      </c>
      <c r="F11" s="74" t="s">
        <v>363</v>
      </c>
      <c r="G11" s="175">
        <v>5</v>
      </c>
      <c r="H11" s="256">
        <v>0</v>
      </c>
      <c r="I11" s="235">
        <v>5</v>
      </c>
      <c r="J11" s="76">
        <f t="shared" si="1"/>
        <v>10</v>
      </c>
      <c r="K11" s="465" t="s">
        <v>188</v>
      </c>
      <c r="L11" s="498" t="s">
        <v>14</v>
      </c>
      <c r="M11" s="499"/>
      <c r="N11" s="500"/>
      <c r="O11" s="478" t="s">
        <v>226</v>
      </c>
      <c r="P11" s="479"/>
      <c r="Q11" s="480"/>
      <c r="R11" s="449" t="s">
        <v>875</v>
      </c>
      <c r="S11" s="450"/>
      <c r="T11" s="451"/>
      <c r="U11" s="449" t="s">
        <v>581</v>
      </c>
      <c r="V11" s="450"/>
      <c r="W11" s="451"/>
      <c r="X11" s="160"/>
      <c r="Y11" s="160"/>
      <c r="Z11" s="160"/>
      <c r="AC11" s="478" t="s">
        <v>477</v>
      </c>
      <c r="AD11" s="479"/>
      <c r="AE11" s="480"/>
      <c r="AF11" s="478" t="s">
        <v>391</v>
      </c>
      <c r="AG11" s="479"/>
      <c r="AH11" s="480"/>
      <c r="AI11" s="449" t="s">
        <v>300</v>
      </c>
      <c r="AJ11" s="450"/>
      <c r="AK11" s="451"/>
      <c r="AL11" s="449" t="s">
        <v>219</v>
      </c>
      <c r="AM11" s="450"/>
      <c r="AN11" s="451"/>
      <c r="AO11" s="449" t="s">
        <v>165</v>
      </c>
      <c r="AP11" s="450"/>
      <c r="AQ11" s="451"/>
      <c r="AR11" s="449" t="s">
        <v>78</v>
      </c>
      <c r="AS11" s="450"/>
      <c r="AT11" s="451"/>
      <c r="AU11" s="449" t="s">
        <v>54</v>
      </c>
      <c r="AV11" s="450"/>
      <c r="AW11" s="451"/>
      <c r="AX11" s="449" t="s">
        <v>50</v>
      </c>
      <c r="AY11" s="450"/>
      <c r="AZ11" s="451"/>
      <c r="BA11" s="449" t="s">
        <v>37</v>
      </c>
      <c r="BB11" s="450"/>
      <c r="BC11" s="451"/>
    </row>
    <row r="12" spans="1:68" ht="14.95" customHeight="1" thickBot="1" x14ac:dyDescent="0.3">
      <c r="A12" s="43" t="s">
        <v>1127</v>
      </c>
      <c r="B12" s="177">
        <v>1</v>
      </c>
      <c r="C12" s="361">
        <v>0</v>
      </c>
      <c r="D12" s="234">
        <v>0</v>
      </c>
      <c r="E12" s="60">
        <f t="shared" si="0"/>
        <v>1</v>
      </c>
      <c r="F12" s="74" t="s">
        <v>1127</v>
      </c>
      <c r="G12" s="175">
        <v>5</v>
      </c>
      <c r="H12" s="256">
        <v>0</v>
      </c>
      <c r="I12" s="235">
        <v>0</v>
      </c>
      <c r="J12" s="76">
        <f t="shared" si="1"/>
        <v>5</v>
      </c>
      <c r="K12" s="466"/>
      <c r="L12" s="501"/>
      <c r="M12" s="502"/>
      <c r="N12" s="503"/>
      <c r="O12" s="481"/>
      <c r="P12" s="482"/>
      <c r="Q12" s="483"/>
      <c r="R12" s="452"/>
      <c r="S12" s="453"/>
      <c r="T12" s="454"/>
      <c r="U12" s="452"/>
      <c r="V12" s="453"/>
      <c r="W12" s="454"/>
      <c r="X12" s="160"/>
      <c r="Y12" s="160"/>
      <c r="Z12" s="160"/>
      <c r="AC12" s="481"/>
      <c r="AD12" s="482"/>
      <c r="AE12" s="483"/>
      <c r="AF12" s="481"/>
      <c r="AG12" s="482"/>
      <c r="AH12" s="483"/>
      <c r="AI12" s="452"/>
      <c r="AJ12" s="453"/>
      <c r="AK12" s="454"/>
      <c r="AL12" s="452"/>
      <c r="AM12" s="453"/>
      <c r="AN12" s="454"/>
      <c r="AO12" s="452"/>
      <c r="AP12" s="453"/>
      <c r="AQ12" s="454"/>
      <c r="AR12" s="452"/>
      <c r="AS12" s="453"/>
      <c r="AT12" s="454"/>
      <c r="AU12" s="452"/>
      <c r="AV12" s="453"/>
      <c r="AW12" s="454"/>
      <c r="AX12" s="452"/>
      <c r="AY12" s="453"/>
      <c r="AZ12" s="454"/>
      <c r="BA12" s="452"/>
      <c r="BB12" s="453"/>
      <c r="BC12" s="454"/>
    </row>
    <row r="13" spans="1:68" ht="14.95" customHeight="1" thickBot="1" x14ac:dyDescent="0.3">
      <c r="A13" s="43" t="s">
        <v>918</v>
      </c>
      <c r="B13" s="177">
        <v>0</v>
      </c>
      <c r="C13" s="361">
        <v>0</v>
      </c>
      <c r="D13" s="234">
        <v>0</v>
      </c>
      <c r="E13" s="60">
        <f t="shared" si="0"/>
        <v>0</v>
      </c>
      <c r="F13" s="74" t="s">
        <v>918</v>
      </c>
      <c r="G13" s="175">
        <v>0</v>
      </c>
      <c r="H13" s="256">
        <v>0</v>
      </c>
      <c r="I13" s="235">
        <v>0</v>
      </c>
      <c r="J13" s="76">
        <f t="shared" si="1"/>
        <v>0</v>
      </c>
      <c r="K13" s="251" t="s">
        <v>21</v>
      </c>
      <c r="L13" s="247" t="s">
        <v>46</v>
      </c>
      <c r="M13" s="247" t="s">
        <v>9</v>
      </c>
      <c r="N13" s="247" t="s">
        <v>10</v>
      </c>
      <c r="O13" s="79" t="s">
        <v>46</v>
      </c>
      <c r="P13" s="79" t="s">
        <v>9</v>
      </c>
      <c r="Q13" s="79" t="s">
        <v>10</v>
      </c>
      <c r="R13" s="79" t="s">
        <v>46</v>
      </c>
      <c r="S13" s="79" t="s">
        <v>9</v>
      </c>
      <c r="T13" s="79" t="s">
        <v>10</v>
      </c>
      <c r="U13" s="79" t="s">
        <v>46</v>
      </c>
      <c r="V13" s="79" t="s">
        <v>9</v>
      </c>
      <c r="W13" s="79" t="s">
        <v>10</v>
      </c>
      <c r="AC13" s="84" t="s">
        <v>46</v>
      </c>
      <c r="AD13" s="79" t="s">
        <v>9</v>
      </c>
      <c r="AE13" s="79" t="s">
        <v>10</v>
      </c>
      <c r="AF13" s="84" t="s">
        <v>46</v>
      </c>
      <c r="AG13" s="79" t="s">
        <v>9</v>
      </c>
      <c r="AH13" s="79" t="s">
        <v>10</v>
      </c>
      <c r="AI13" s="148" t="s">
        <v>46</v>
      </c>
      <c r="AJ13" s="7" t="s">
        <v>9</v>
      </c>
      <c r="AK13" s="7" t="s">
        <v>10</v>
      </c>
      <c r="AL13" s="148" t="s">
        <v>46</v>
      </c>
      <c r="AM13" s="7" t="s">
        <v>9</v>
      </c>
      <c r="AN13" s="7" t="s">
        <v>10</v>
      </c>
      <c r="AO13" s="148" t="s">
        <v>46</v>
      </c>
      <c r="AP13" s="7" t="s">
        <v>9</v>
      </c>
      <c r="AQ13" s="7" t="s">
        <v>10</v>
      </c>
      <c r="AR13" s="148" t="s">
        <v>46</v>
      </c>
      <c r="AS13" s="7" t="s">
        <v>9</v>
      </c>
      <c r="AT13" s="7" t="s">
        <v>10</v>
      </c>
      <c r="AU13" s="148" t="s">
        <v>46</v>
      </c>
      <c r="AV13" s="7" t="s">
        <v>9</v>
      </c>
      <c r="AW13" s="7" t="s">
        <v>10</v>
      </c>
      <c r="AX13" s="148" t="s">
        <v>46</v>
      </c>
      <c r="AY13" s="7" t="s">
        <v>9</v>
      </c>
      <c r="AZ13" s="7" t="s">
        <v>10</v>
      </c>
      <c r="BA13" s="148" t="s">
        <v>11</v>
      </c>
      <c r="BB13" s="7" t="s">
        <v>9</v>
      </c>
      <c r="BC13" s="7" t="s">
        <v>10</v>
      </c>
    </row>
    <row r="14" spans="1:68" ht="14.95" customHeight="1" thickBot="1" x14ac:dyDescent="0.3">
      <c r="A14" s="43" t="s">
        <v>215</v>
      </c>
      <c r="B14" s="177">
        <v>0</v>
      </c>
      <c r="C14" s="361">
        <v>0</v>
      </c>
      <c r="D14" s="234">
        <v>0</v>
      </c>
      <c r="E14" s="60">
        <f t="shared" si="0"/>
        <v>0</v>
      </c>
      <c r="F14" s="74" t="s">
        <v>215</v>
      </c>
      <c r="G14" s="175">
        <v>48</v>
      </c>
      <c r="H14" s="256">
        <v>14</v>
      </c>
      <c r="I14" s="235">
        <v>6</v>
      </c>
      <c r="J14" s="76">
        <f t="shared" si="1"/>
        <v>68</v>
      </c>
      <c r="K14" s="50" t="s">
        <v>541</v>
      </c>
      <c r="L14" s="60" t="s">
        <v>15</v>
      </c>
      <c r="M14" s="60" t="s">
        <v>15</v>
      </c>
      <c r="N14" s="25" t="s">
        <v>15</v>
      </c>
      <c r="O14" s="7" t="s">
        <v>15</v>
      </c>
      <c r="P14" s="7" t="s">
        <v>15</v>
      </c>
      <c r="Q14" s="153" t="s">
        <v>15</v>
      </c>
      <c r="R14" s="148" t="s">
        <v>15</v>
      </c>
      <c r="S14" s="7" t="s">
        <v>15</v>
      </c>
      <c r="T14" s="153" t="s">
        <v>15</v>
      </c>
      <c r="U14" s="7">
        <v>10</v>
      </c>
      <c r="V14" s="7">
        <v>10</v>
      </c>
      <c r="W14" s="153">
        <v>100</v>
      </c>
      <c r="AC14" s="148">
        <v>1</v>
      </c>
      <c r="AD14" s="7">
        <v>1</v>
      </c>
      <c r="AE14" s="153">
        <f>SUM(AC14/AD14)*100</f>
        <v>100</v>
      </c>
      <c r="AF14" s="148">
        <v>1</v>
      </c>
      <c r="AG14" s="7">
        <v>1</v>
      </c>
      <c r="AH14" s="153">
        <f>SUM(AF14/AG14)*100</f>
        <v>100</v>
      </c>
      <c r="AI14" s="148" t="s">
        <v>15</v>
      </c>
      <c r="AJ14" s="7" t="s">
        <v>15</v>
      </c>
      <c r="AK14" s="153" t="s">
        <v>15</v>
      </c>
      <c r="AL14" s="148" t="s">
        <v>15</v>
      </c>
      <c r="AM14" s="7" t="s">
        <v>15</v>
      </c>
      <c r="AN14" s="153" t="s">
        <v>15</v>
      </c>
      <c r="AO14" s="148" t="s">
        <v>15</v>
      </c>
      <c r="AP14" s="7" t="s">
        <v>15</v>
      </c>
      <c r="AQ14" s="153" t="s">
        <v>15</v>
      </c>
      <c r="AR14" s="148" t="s">
        <v>15</v>
      </c>
      <c r="AS14" s="7" t="s">
        <v>15</v>
      </c>
      <c r="AT14" s="153" t="s">
        <v>15</v>
      </c>
      <c r="AU14" s="148" t="s">
        <v>15</v>
      </c>
      <c r="AV14" s="7" t="s">
        <v>15</v>
      </c>
      <c r="AW14" s="153" t="s">
        <v>15</v>
      </c>
      <c r="AX14" s="148" t="s">
        <v>15</v>
      </c>
      <c r="AY14" s="7" t="s">
        <v>15</v>
      </c>
      <c r="AZ14" s="153" t="s">
        <v>15</v>
      </c>
      <c r="BA14" s="148" t="s">
        <v>15</v>
      </c>
      <c r="BB14" s="7" t="s">
        <v>15</v>
      </c>
      <c r="BC14" s="153" t="s">
        <v>15</v>
      </c>
    </row>
    <row r="15" spans="1:68" ht="14.95" customHeight="1" thickBot="1" x14ac:dyDescent="0.3">
      <c r="A15" s="43" t="s">
        <v>826</v>
      </c>
      <c r="B15" s="177">
        <v>0</v>
      </c>
      <c r="C15" s="361">
        <v>0</v>
      </c>
      <c r="D15" s="234">
        <v>0</v>
      </c>
      <c r="E15" s="60">
        <f t="shared" si="0"/>
        <v>0</v>
      </c>
      <c r="F15" s="74" t="s">
        <v>826</v>
      </c>
      <c r="G15" s="175">
        <v>0</v>
      </c>
      <c r="H15" s="256">
        <v>0</v>
      </c>
      <c r="I15" s="235">
        <v>0</v>
      </c>
      <c r="J15" s="76">
        <f t="shared" si="1"/>
        <v>0</v>
      </c>
      <c r="K15" s="50" t="s">
        <v>168</v>
      </c>
      <c r="L15" s="60">
        <v>8</v>
      </c>
      <c r="M15" s="60">
        <v>9</v>
      </c>
      <c r="N15" s="25">
        <f t="shared" ref="N15" si="9">SUM(L15/M15)*100</f>
        <v>88.888888888888886</v>
      </c>
      <c r="O15" s="7" t="s">
        <v>15</v>
      </c>
      <c r="P15" s="7" t="s">
        <v>15</v>
      </c>
      <c r="Q15" s="153" t="s">
        <v>15</v>
      </c>
      <c r="R15" s="148" t="s">
        <v>15</v>
      </c>
      <c r="S15" s="7" t="s">
        <v>15</v>
      </c>
      <c r="T15" s="153" t="s">
        <v>15</v>
      </c>
      <c r="U15" s="79">
        <v>4</v>
      </c>
      <c r="V15" s="79">
        <v>6</v>
      </c>
      <c r="W15" s="171">
        <v>66.666666666666657</v>
      </c>
      <c r="AC15" s="84" t="s">
        <v>15</v>
      </c>
      <c r="AD15" s="79" t="s">
        <v>15</v>
      </c>
      <c r="AE15" s="171" t="s">
        <v>15</v>
      </c>
      <c r="AF15" s="84">
        <v>6</v>
      </c>
      <c r="AG15" s="79">
        <v>6</v>
      </c>
      <c r="AH15" s="171">
        <f t="shared" ref="AH15" si="10">(AF15/AG15)*100</f>
        <v>100</v>
      </c>
      <c r="AI15" s="148" t="s">
        <v>15</v>
      </c>
      <c r="AJ15" s="7" t="s">
        <v>15</v>
      </c>
      <c r="AK15" s="153" t="s">
        <v>15</v>
      </c>
      <c r="AL15" s="148">
        <v>3</v>
      </c>
      <c r="AM15" s="7">
        <v>5</v>
      </c>
      <c r="AN15" s="153">
        <f>SUM(AL15/AM15)*100</f>
        <v>60</v>
      </c>
      <c r="AO15" s="148" t="s">
        <v>15</v>
      </c>
      <c r="AP15" s="7" t="s">
        <v>15</v>
      </c>
      <c r="AQ15" s="7" t="s">
        <v>15</v>
      </c>
      <c r="AR15" s="148" t="s">
        <v>15</v>
      </c>
      <c r="AS15" s="7" t="s">
        <v>15</v>
      </c>
      <c r="AT15" s="7" t="s">
        <v>15</v>
      </c>
      <c r="AU15" s="148" t="s">
        <v>15</v>
      </c>
      <c r="AV15" s="7" t="s">
        <v>15</v>
      </c>
      <c r="AW15" s="7" t="s">
        <v>15</v>
      </c>
      <c r="AX15" s="148" t="s">
        <v>15</v>
      </c>
      <c r="AY15" s="7" t="s">
        <v>15</v>
      </c>
      <c r="AZ15" s="7" t="s">
        <v>15</v>
      </c>
      <c r="BA15" s="148">
        <v>6</v>
      </c>
      <c r="BB15" s="7">
        <v>9</v>
      </c>
      <c r="BC15" s="153">
        <f>SUM(BA15/BB15)*100</f>
        <v>66.666666666666657</v>
      </c>
    </row>
    <row r="16" spans="1:68" ht="14.95" customHeight="1" thickBot="1" x14ac:dyDescent="0.3">
      <c r="A16" s="43" t="s">
        <v>911</v>
      </c>
      <c r="B16" s="177">
        <v>0</v>
      </c>
      <c r="C16" s="361">
        <v>0</v>
      </c>
      <c r="D16" s="234">
        <v>1</v>
      </c>
      <c r="E16" s="60">
        <f t="shared" si="0"/>
        <v>1</v>
      </c>
      <c r="F16" s="74" t="s">
        <v>911</v>
      </c>
      <c r="G16" s="175">
        <v>0</v>
      </c>
      <c r="H16" s="256">
        <v>0</v>
      </c>
      <c r="I16" s="235">
        <v>5</v>
      </c>
      <c r="J16" s="76">
        <f t="shared" si="1"/>
        <v>5</v>
      </c>
      <c r="K16" s="50" t="s">
        <v>1005</v>
      </c>
      <c r="L16" s="60">
        <v>6</v>
      </c>
      <c r="M16" s="60">
        <v>6</v>
      </c>
      <c r="N16" s="25">
        <f t="shared" ref="N16" si="11">SUM(L16/M16)*100</f>
        <v>100</v>
      </c>
      <c r="O16" s="7">
        <v>4</v>
      </c>
      <c r="P16" s="7">
        <v>6</v>
      </c>
      <c r="Q16" s="153">
        <v>66.666666666666657</v>
      </c>
      <c r="R16" s="148">
        <v>16</v>
      </c>
      <c r="S16" s="7">
        <v>21</v>
      </c>
      <c r="T16" s="153">
        <v>76.19047619047619</v>
      </c>
      <c r="U16" s="148">
        <v>32</v>
      </c>
      <c r="V16" s="7">
        <v>37</v>
      </c>
      <c r="W16" s="153">
        <v>86.486486486486484</v>
      </c>
      <c r="AC16" s="84">
        <v>21</v>
      </c>
      <c r="AD16" s="79">
        <v>24</v>
      </c>
      <c r="AE16" s="171">
        <v>87.5</v>
      </c>
      <c r="AF16" s="84">
        <v>19</v>
      </c>
      <c r="AG16" s="79">
        <v>24</v>
      </c>
      <c r="AH16" s="171">
        <v>79.166666666666657</v>
      </c>
      <c r="AI16" s="97">
        <v>16</v>
      </c>
      <c r="AJ16" s="79">
        <v>20</v>
      </c>
      <c r="AK16" s="171">
        <v>80</v>
      </c>
      <c r="AL16" s="97">
        <v>16</v>
      </c>
      <c r="AM16" s="79">
        <v>21</v>
      </c>
      <c r="AN16" s="171">
        <v>76.19047619047619</v>
      </c>
      <c r="AO16" s="79">
        <v>8</v>
      </c>
      <c r="AP16" s="79">
        <v>13</v>
      </c>
      <c r="AQ16" s="171">
        <v>61.53846153846154</v>
      </c>
      <c r="AR16" s="79">
        <v>8</v>
      </c>
      <c r="AS16" s="79">
        <v>12</v>
      </c>
      <c r="AT16" s="171">
        <v>66.666666666666657</v>
      </c>
      <c r="AU16" s="79" t="s">
        <v>15</v>
      </c>
      <c r="AV16" s="79" t="s">
        <v>15</v>
      </c>
      <c r="AW16" s="171" t="s">
        <v>15</v>
      </c>
      <c r="AX16" s="79" t="s">
        <v>15</v>
      </c>
      <c r="AY16" s="79" t="s">
        <v>15</v>
      </c>
      <c r="AZ16" s="171" t="s">
        <v>15</v>
      </c>
      <c r="BA16" s="79" t="s">
        <v>15</v>
      </c>
      <c r="BB16" s="79" t="s">
        <v>15</v>
      </c>
      <c r="BC16" s="171" t="s">
        <v>15</v>
      </c>
    </row>
    <row r="17" spans="1:55" ht="14.95" customHeight="1" thickBot="1" x14ac:dyDescent="0.3">
      <c r="A17" s="43" t="s">
        <v>25</v>
      </c>
      <c r="B17" s="177">
        <v>2</v>
      </c>
      <c r="C17" s="361">
        <v>0</v>
      </c>
      <c r="D17" s="234">
        <v>0</v>
      </c>
      <c r="E17" s="60">
        <f t="shared" si="0"/>
        <v>2</v>
      </c>
      <c r="F17" s="74" t="s">
        <v>25</v>
      </c>
      <c r="G17" s="175">
        <v>10</v>
      </c>
      <c r="H17" s="256">
        <v>0</v>
      </c>
      <c r="I17" s="235">
        <v>0</v>
      </c>
      <c r="J17" s="76">
        <f t="shared" si="1"/>
        <v>10</v>
      </c>
      <c r="K17" s="50" t="s">
        <v>24</v>
      </c>
      <c r="L17" s="60" t="s">
        <v>15</v>
      </c>
      <c r="M17" s="60" t="s">
        <v>15</v>
      </c>
      <c r="N17" s="25" t="s">
        <v>15</v>
      </c>
      <c r="O17" s="7" t="s">
        <v>15</v>
      </c>
      <c r="P17" s="7" t="s">
        <v>15</v>
      </c>
      <c r="Q17" s="153" t="s">
        <v>15</v>
      </c>
      <c r="R17" s="79" t="s">
        <v>15</v>
      </c>
      <c r="S17" s="79" t="s">
        <v>15</v>
      </c>
      <c r="T17" s="171" t="s">
        <v>15</v>
      </c>
      <c r="U17" s="79" t="s">
        <v>15</v>
      </c>
      <c r="V17" s="79" t="s">
        <v>15</v>
      </c>
      <c r="W17" s="171" t="s">
        <v>15</v>
      </c>
      <c r="AC17" s="84" t="s">
        <v>15</v>
      </c>
      <c r="AD17" s="79" t="s">
        <v>15</v>
      </c>
      <c r="AE17" s="171" t="s">
        <v>15</v>
      </c>
      <c r="AF17" s="84">
        <v>0</v>
      </c>
      <c r="AG17" s="79">
        <v>1</v>
      </c>
      <c r="AH17" s="171">
        <f t="shared" ref="AH17" si="12">(AF17/AG17)*100</f>
        <v>0</v>
      </c>
      <c r="AI17" s="148" t="s">
        <v>15</v>
      </c>
      <c r="AJ17" s="7" t="s">
        <v>15</v>
      </c>
      <c r="AK17" s="7" t="s">
        <v>15</v>
      </c>
      <c r="AL17" s="148" t="s">
        <v>15</v>
      </c>
      <c r="AM17" s="7" t="s">
        <v>15</v>
      </c>
      <c r="AN17" s="7" t="s">
        <v>15</v>
      </c>
      <c r="AO17" s="148" t="s">
        <v>15</v>
      </c>
      <c r="AP17" s="7" t="s">
        <v>15</v>
      </c>
      <c r="AQ17" s="7" t="s">
        <v>15</v>
      </c>
      <c r="AR17" s="148" t="s">
        <v>15</v>
      </c>
      <c r="AS17" s="7" t="s">
        <v>15</v>
      </c>
      <c r="AT17" s="7" t="s">
        <v>15</v>
      </c>
      <c r="AU17" s="148" t="s">
        <v>15</v>
      </c>
      <c r="AV17" s="7" t="s">
        <v>15</v>
      </c>
      <c r="AW17" s="7" t="s">
        <v>15</v>
      </c>
      <c r="AX17" s="148" t="s">
        <v>15</v>
      </c>
      <c r="AY17" s="7" t="s">
        <v>15</v>
      </c>
      <c r="AZ17" s="7" t="s">
        <v>15</v>
      </c>
      <c r="BA17" s="7" t="s">
        <v>15</v>
      </c>
      <c r="BB17" s="7" t="s">
        <v>15</v>
      </c>
      <c r="BC17" s="7" t="s">
        <v>15</v>
      </c>
    </row>
    <row r="18" spans="1:55" ht="14.95" customHeight="1" thickBot="1" x14ac:dyDescent="0.3">
      <c r="A18" s="43" t="s">
        <v>332</v>
      </c>
      <c r="B18" s="177">
        <v>3</v>
      </c>
      <c r="C18" s="361">
        <v>1</v>
      </c>
      <c r="D18" s="234">
        <v>0</v>
      </c>
      <c r="E18" s="60">
        <f t="shared" si="0"/>
        <v>4</v>
      </c>
      <c r="F18" s="74" t="s">
        <v>332</v>
      </c>
      <c r="G18" s="175">
        <v>15</v>
      </c>
      <c r="H18" s="256">
        <v>5</v>
      </c>
      <c r="I18" s="235">
        <v>0</v>
      </c>
      <c r="J18" s="76">
        <f t="shared" si="1"/>
        <v>20</v>
      </c>
      <c r="K18" s="50" t="s">
        <v>863</v>
      </c>
      <c r="L18" s="60" t="s">
        <v>15</v>
      </c>
      <c r="M18" s="60" t="s">
        <v>15</v>
      </c>
      <c r="N18" s="25" t="s">
        <v>15</v>
      </c>
      <c r="O18" s="7" t="s">
        <v>15</v>
      </c>
      <c r="P18" s="7" t="s">
        <v>15</v>
      </c>
      <c r="Q18" s="153" t="s">
        <v>15</v>
      </c>
      <c r="R18" s="79" t="s">
        <v>15</v>
      </c>
      <c r="S18" s="79" t="s">
        <v>15</v>
      </c>
      <c r="T18" s="171" t="s">
        <v>15</v>
      </c>
      <c r="U18" s="79" t="s">
        <v>15</v>
      </c>
      <c r="V18" s="79" t="s">
        <v>15</v>
      </c>
      <c r="W18" s="171" t="s">
        <v>15</v>
      </c>
      <c r="AC18" s="84">
        <v>1</v>
      </c>
      <c r="AD18" s="79">
        <v>3</v>
      </c>
      <c r="AE18" s="171">
        <v>33</v>
      </c>
      <c r="AF18" s="148" t="s">
        <v>15</v>
      </c>
      <c r="AG18" s="7" t="s">
        <v>15</v>
      </c>
      <c r="AH18" s="7" t="s">
        <v>15</v>
      </c>
      <c r="AI18" s="148" t="s">
        <v>15</v>
      </c>
      <c r="AJ18" s="7" t="s">
        <v>15</v>
      </c>
      <c r="AK18" s="7" t="s">
        <v>15</v>
      </c>
      <c r="AL18" s="148" t="s">
        <v>15</v>
      </c>
      <c r="AM18" s="7" t="s">
        <v>15</v>
      </c>
      <c r="AN18" s="7" t="s">
        <v>15</v>
      </c>
      <c r="AO18" s="148" t="s">
        <v>15</v>
      </c>
      <c r="AP18" s="7" t="s">
        <v>15</v>
      </c>
      <c r="AQ18" s="7" t="s">
        <v>15</v>
      </c>
      <c r="AR18" s="148" t="s">
        <v>15</v>
      </c>
      <c r="AS18" s="7" t="s">
        <v>15</v>
      </c>
      <c r="AT18" s="7" t="s">
        <v>15</v>
      </c>
      <c r="AU18" s="148" t="s">
        <v>15</v>
      </c>
      <c r="AV18" s="7" t="s">
        <v>15</v>
      </c>
      <c r="AW18" s="7" t="s">
        <v>15</v>
      </c>
      <c r="AX18" s="148" t="s">
        <v>15</v>
      </c>
      <c r="AY18" s="7" t="s">
        <v>15</v>
      </c>
      <c r="AZ18" s="7" t="s">
        <v>15</v>
      </c>
      <c r="BA18" s="7" t="s">
        <v>15</v>
      </c>
      <c r="BB18" s="7" t="s">
        <v>15</v>
      </c>
      <c r="BC18" s="7" t="s">
        <v>15</v>
      </c>
    </row>
    <row r="19" spans="1:55" ht="14.95" customHeight="1" thickBot="1" x14ac:dyDescent="0.3">
      <c r="A19" s="43" t="s">
        <v>856</v>
      </c>
      <c r="B19" s="177">
        <v>0</v>
      </c>
      <c r="C19" s="361">
        <v>0</v>
      </c>
      <c r="D19" s="234">
        <v>1</v>
      </c>
      <c r="E19" s="60">
        <f t="shared" si="0"/>
        <v>1</v>
      </c>
      <c r="F19" s="74" t="s">
        <v>856</v>
      </c>
      <c r="G19" s="175">
        <v>0</v>
      </c>
      <c r="H19" s="256">
        <v>0</v>
      </c>
      <c r="I19" s="235">
        <v>5</v>
      </c>
      <c r="J19" s="76">
        <f t="shared" si="1"/>
        <v>5</v>
      </c>
    </row>
    <row r="20" spans="1:55" ht="14.95" customHeight="1" thickBot="1" x14ac:dyDescent="0.3">
      <c r="A20" s="43" t="s">
        <v>910</v>
      </c>
      <c r="B20" s="177">
        <v>0</v>
      </c>
      <c r="C20" s="361">
        <v>0</v>
      </c>
      <c r="D20" s="234">
        <v>1</v>
      </c>
      <c r="E20" s="60">
        <f t="shared" si="0"/>
        <v>1</v>
      </c>
      <c r="F20" s="74" t="s">
        <v>910</v>
      </c>
      <c r="G20" s="175">
        <v>0</v>
      </c>
      <c r="H20" s="256">
        <v>0</v>
      </c>
      <c r="I20" s="235">
        <v>5</v>
      </c>
      <c r="J20" s="76">
        <f t="shared" si="1"/>
        <v>5</v>
      </c>
      <c r="K20" s="455" t="s">
        <v>189</v>
      </c>
      <c r="L20" s="478" t="s">
        <v>14</v>
      </c>
      <c r="M20" s="479"/>
      <c r="N20" s="480"/>
      <c r="O20" s="449" t="s">
        <v>226</v>
      </c>
      <c r="P20" s="450"/>
      <c r="Q20" s="451"/>
      <c r="R20" s="478" t="s">
        <v>875</v>
      </c>
      <c r="S20" s="479"/>
      <c r="T20" s="480"/>
      <c r="U20" s="478" t="s">
        <v>581</v>
      </c>
      <c r="V20" s="479"/>
      <c r="W20" s="480"/>
      <c r="AC20" s="478" t="s">
        <v>477</v>
      </c>
      <c r="AD20" s="479"/>
      <c r="AE20" s="480"/>
      <c r="AF20" s="478" t="s">
        <v>391</v>
      </c>
      <c r="AG20" s="479"/>
      <c r="AH20" s="480"/>
      <c r="AI20" s="449" t="s">
        <v>300</v>
      </c>
      <c r="AJ20" s="450"/>
      <c r="AK20" s="451"/>
      <c r="AL20" s="449" t="s">
        <v>219</v>
      </c>
      <c r="AM20" s="450"/>
      <c r="AN20" s="451"/>
      <c r="AO20" s="449" t="s">
        <v>165</v>
      </c>
      <c r="AP20" s="450"/>
      <c r="AQ20" s="451"/>
      <c r="AR20" s="449" t="s">
        <v>78</v>
      </c>
      <c r="AS20" s="450"/>
      <c r="AT20" s="451"/>
      <c r="AU20" s="449" t="s">
        <v>54</v>
      </c>
      <c r="AV20" s="450"/>
      <c r="AW20" s="451"/>
      <c r="AX20" s="449" t="s">
        <v>50</v>
      </c>
      <c r="AY20" s="450"/>
      <c r="AZ20" s="451"/>
      <c r="BA20" s="449" t="s">
        <v>37</v>
      </c>
      <c r="BB20" s="450"/>
      <c r="BC20" s="451"/>
    </row>
    <row r="21" spans="1:55" ht="14.95" customHeight="1" thickBot="1" x14ac:dyDescent="0.3">
      <c r="A21" s="43" t="s">
        <v>879</v>
      </c>
      <c r="B21" s="177">
        <v>1</v>
      </c>
      <c r="C21" s="361">
        <v>0</v>
      </c>
      <c r="D21" s="234">
        <v>1</v>
      </c>
      <c r="E21" s="60">
        <f t="shared" si="0"/>
        <v>2</v>
      </c>
      <c r="F21" s="74" t="s">
        <v>879</v>
      </c>
      <c r="G21" s="175">
        <v>5</v>
      </c>
      <c r="H21" s="256">
        <v>0</v>
      </c>
      <c r="I21" s="235">
        <v>5</v>
      </c>
      <c r="J21" s="76">
        <f t="shared" si="1"/>
        <v>10</v>
      </c>
      <c r="K21" s="456"/>
      <c r="L21" s="481"/>
      <c r="M21" s="482"/>
      <c r="N21" s="483"/>
      <c r="O21" s="452"/>
      <c r="P21" s="453"/>
      <c r="Q21" s="454"/>
      <c r="R21" s="481"/>
      <c r="S21" s="482"/>
      <c r="T21" s="483"/>
      <c r="U21" s="481"/>
      <c r="V21" s="482"/>
      <c r="W21" s="483"/>
      <c r="AC21" s="481"/>
      <c r="AD21" s="482"/>
      <c r="AE21" s="483"/>
      <c r="AF21" s="481"/>
      <c r="AG21" s="482"/>
      <c r="AH21" s="483"/>
      <c r="AI21" s="452"/>
      <c r="AJ21" s="453"/>
      <c r="AK21" s="454"/>
      <c r="AL21" s="452"/>
      <c r="AM21" s="453"/>
      <c r="AN21" s="454"/>
      <c r="AO21" s="452"/>
      <c r="AP21" s="453"/>
      <c r="AQ21" s="454"/>
      <c r="AR21" s="452"/>
      <c r="AS21" s="453"/>
      <c r="AT21" s="454"/>
      <c r="AU21" s="452"/>
      <c r="AV21" s="453"/>
      <c r="AW21" s="454"/>
      <c r="AX21" s="452"/>
      <c r="AY21" s="453"/>
      <c r="AZ21" s="454"/>
      <c r="BA21" s="452"/>
      <c r="BB21" s="453"/>
      <c r="BC21" s="454"/>
    </row>
    <row r="22" spans="1:55" ht="14.95" customHeight="1" thickBot="1" x14ac:dyDescent="0.3">
      <c r="A22" s="43" t="s">
        <v>637</v>
      </c>
      <c r="B22" s="177">
        <v>0</v>
      </c>
      <c r="C22" s="361">
        <v>0</v>
      </c>
      <c r="D22" s="234">
        <v>1</v>
      </c>
      <c r="E22" s="60">
        <f t="shared" si="0"/>
        <v>1</v>
      </c>
      <c r="F22" s="74" t="s">
        <v>637</v>
      </c>
      <c r="G22" s="175">
        <v>0</v>
      </c>
      <c r="H22" s="256">
        <v>0</v>
      </c>
      <c r="I22" s="235">
        <v>5</v>
      </c>
      <c r="J22" s="76">
        <f t="shared" si="1"/>
        <v>5</v>
      </c>
      <c r="K22" s="284" t="s">
        <v>21</v>
      </c>
      <c r="L22" s="79" t="s">
        <v>46</v>
      </c>
      <c r="M22" s="79" t="s">
        <v>9</v>
      </c>
      <c r="N22" s="79" t="s">
        <v>10</v>
      </c>
      <c r="O22" s="7" t="s">
        <v>46</v>
      </c>
      <c r="P22" s="7" t="s">
        <v>9</v>
      </c>
      <c r="Q22" s="7" t="s">
        <v>10</v>
      </c>
      <c r="R22" s="79" t="s">
        <v>46</v>
      </c>
      <c r="S22" s="79" t="s">
        <v>9</v>
      </c>
      <c r="T22" s="79" t="s">
        <v>10</v>
      </c>
      <c r="U22" s="79" t="s">
        <v>46</v>
      </c>
      <c r="V22" s="79" t="s">
        <v>9</v>
      </c>
      <c r="W22" s="79" t="s">
        <v>10</v>
      </c>
      <c r="AC22" s="84" t="s">
        <v>46</v>
      </c>
      <c r="AD22" s="79" t="s">
        <v>9</v>
      </c>
      <c r="AE22" s="79" t="s">
        <v>10</v>
      </c>
      <c r="AF22" s="84" t="s">
        <v>46</v>
      </c>
      <c r="AG22" s="79" t="s">
        <v>9</v>
      </c>
      <c r="AH22" s="79" t="s">
        <v>10</v>
      </c>
      <c r="AI22" s="148" t="s">
        <v>46</v>
      </c>
      <c r="AJ22" s="7" t="s">
        <v>9</v>
      </c>
      <c r="AK22" s="7" t="s">
        <v>10</v>
      </c>
      <c r="AL22" s="148" t="s">
        <v>46</v>
      </c>
      <c r="AM22" s="7" t="s">
        <v>9</v>
      </c>
      <c r="AN22" s="7" t="s">
        <v>10</v>
      </c>
      <c r="AO22" s="148" t="s">
        <v>46</v>
      </c>
      <c r="AP22" s="7" t="s">
        <v>9</v>
      </c>
      <c r="AQ22" s="7" t="s">
        <v>10</v>
      </c>
      <c r="AR22" s="148" t="s">
        <v>46</v>
      </c>
      <c r="AS22" s="7" t="s">
        <v>9</v>
      </c>
      <c r="AT22" s="7" t="s">
        <v>10</v>
      </c>
      <c r="AU22" s="148" t="s">
        <v>46</v>
      </c>
      <c r="AV22" s="7" t="s">
        <v>9</v>
      </c>
      <c r="AW22" s="7" t="s">
        <v>10</v>
      </c>
      <c r="AX22" s="148" t="s">
        <v>46</v>
      </c>
      <c r="AY22" s="7" t="s">
        <v>9</v>
      </c>
      <c r="AZ22" s="7" t="s">
        <v>10</v>
      </c>
      <c r="BA22" s="148" t="s">
        <v>11</v>
      </c>
      <c r="BB22" s="7" t="s">
        <v>9</v>
      </c>
      <c r="BC22" s="7" t="s">
        <v>10</v>
      </c>
    </row>
    <row r="23" spans="1:55" ht="14.95" customHeight="1" thickBot="1" x14ac:dyDescent="0.3">
      <c r="A23" s="43" t="s">
        <v>570</v>
      </c>
      <c r="B23" s="177">
        <v>0</v>
      </c>
      <c r="C23" s="361">
        <v>0</v>
      </c>
      <c r="D23" s="234">
        <v>0</v>
      </c>
      <c r="E23" s="60">
        <f t="shared" si="0"/>
        <v>0</v>
      </c>
      <c r="F23" s="74" t="s">
        <v>570</v>
      </c>
      <c r="G23" s="175">
        <v>0</v>
      </c>
      <c r="H23" s="256">
        <v>0</v>
      </c>
      <c r="I23" s="235">
        <v>0</v>
      </c>
      <c r="J23" s="76">
        <f t="shared" si="1"/>
        <v>0</v>
      </c>
      <c r="K23" s="50" t="s">
        <v>541</v>
      </c>
      <c r="L23" s="148" t="s">
        <v>15</v>
      </c>
      <c r="M23" s="7" t="s">
        <v>15</v>
      </c>
      <c r="N23" s="7" t="s">
        <v>15</v>
      </c>
      <c r="O23" s="148">
        <v>1</v>
      </c>
      <c r="P23" s="7">
        <v>1</v>
      </c>
      <c r="Q23" s="7">
        <v>100</v>
      </c>
      <c r="R23" s="148" t="s">
        <v>15</v>
      </c>
      <c r="S23" s="7" t="s">
        <v>15</v>
      </c>
      <c r="T23" s="7" t="s">
        <v>15</v>
      </c>
      <c r="U23" s="148" t="s">
        <v>15</v>
      </c>
      <c r="V23" s="7" t="s">
        <v>15</v>
      </c>
      <c r="W23" s="7" t="s">
        <v>15</v>
      </c>
      <c r="AC23" s="148" t="s">
        <v>15</v>
      </c>
      <c r="AD23" s="7" t="s">
        <v>15</v>
      </c>
      <c r="AE23" s="7" t="s">
        <v>15</v>
      </c>
      <c r="AF23" s="148" t="s">
        <v>15</v>
      </c>
      <c r="AG23" s="7" t="s">
        <v>15</v>
      </c>
      <c r="AH23" s="7" t="s">
        <v>15</v>
      </c>
      <c r="AI23" s="148" t="s">
        <v>15</v>
      </c>
      <c r="AJ23" s="7" t="s">
        <v>15</v>
      </c>
      <c r="AK23" s="153" t="s">
        <v>15</v>
      </c>
      <c r="AL23" s="148" t="s">
        <v>15</v>
      </c>
      <c r="AM23" s="7" t="s">
        <v>15</v>
      </c>
      <c r="AN23" s="153" t="s">
        <v>15</v>
      </c>
      <c r="AO23" s="148" t="s">
        <v>15</v>
      </c>
      <c r="AP23" s="7" t="s">
        <v>15</v>
      </c>
      <c r="AQ23" s="153" t="s">
        <v>15</v>
      </c>
      <c r="AR23" s="148" t="s">
        <v>15</v>
      </c>
      <c r="AS23" s="7" t="s">
        <v>15</v>
      </c>
      <c r="AT23" s="153" t="s">
        <v>15</v>
      </c>
      <c r="AU23" s="148" t="s">
        <v>15</v>
      </c>
      <c r="AV23" s="7" t="s">
        <v>15</v>
      </c>
      <c r="AW23" s="153" t="s">
        <v>15</v>
      </c>
      <c r="AX23" s="148" t="s">
        <v>15</v>
      </c>
      <c r="AY23" s="7" t="s">
        <v>15</v>
      </c>
      <c r="AZ23" s="153" t="s">
        <v>15</v>
      </c>
      <c r="BA23" s="148" t="s">
        <v>15</v>
      </c>
      <c r="BB23" s="7" t="s">
        <v>15</v>
      </c>
      <c r="BC23" s="153" t="s">
        <v>15</v>
      </c>
    </row>
    <row r="24" spans="1:55" ht="14.95" customHeight="1" thickBot="1" x14ac:dyDescent="0.3">
      <c r="A24" s="43" t="s">
        <v>861</v>
      </c>
      <c r="B24" s="177">
        <v>2</v>
      </c>
      <c r="C24" s="361">
        <v>0</v>
      </c>
      <c r="D24" s="234">
        <v>0</v>
      </c>
      <c r="E24" s="60">
        <f t="shared" si="0"/>
        <v>2</v>
      </c>
      <c r="F24" s="74" t="s">
        <v>861</v>
      </c>
      <c r="G24" s="175">
        <v>10</v>
      </c>
      <c r="H24" s="256">
        <v>0</v>
      </c>
      <c r="I24" s="235">
        <v>0</v>
      </c>
      <c r="J24" s="76">
        <f t="shared" si="1"/>
        <v>10</v>
      </c>
      <c r="K24" s="50" t="s">
        <v>168</v>
      </c>
      <c r="L24" s="148" t="s">
        <v>15</v>
      </c>
      <c r="M24" s="7" t="s">
        <v>15</v>
      </c>
      <c r="N24" s="7" t="s">
        <v>15</v>
      </c>
      <c r="O24" s="7">
        <v>4</v>
      </c>
      <c r="P24" s="7">
        <v>4</v>
      </c>
      <c r="Q24" s="153">
        <v>100</v>
      </c>
      <c r="R24" s="7">
        <v>5</v>
      </c>
      <c r="S24" s="7">
        <v>5</v>
      </c>
      <c r="T24" s="153">
        <v>100</v>
      </c>
      <c r="U24" s="7" t="s">
        <v>15</v>
      </c>
      <c r="V24" s="7" t="s">
        <v>15</v>
      </c>
      <c r="W24" s="153" t="s">
        <v>15</v>
      </c>
      <c r="AC24" s="148">
        <v>1</v>
      </c>
      <c r="AD24" s="7">
        <v>2</v>
      </c>
      <c r="AE24" s="153">
        <f t="shared" ref="AE24" si="13">(AC24/AD24)*100</f>
        <v>50</v>
      </c>
      <c r="AF24" s="84" t="s">
        <v>15</v>
      </c>
      <c r="AG24" s="79" t="s">
        <v>15</v>
      </c>
      <c r="AH24" s="171" t="s">
        <v>15</v>
      </c>
      <c r="AI24" s="148" t="s">
        <v>15</v>
      </c>
      <c r="AJ24" s="7" t="s">
        <v>15</v>
      </c>
      <c r="AK24" s="153" t="s">
        <v>15</v>
      </c>
      <c r="AL24" s="148" t="s">
        <v>15</v>
      </c>
      <c r="AM24" s="7" t="s">
        <v>15</v>
      </c>
      <c r="AN24" s="153" t="s">
        <v>15</v>
      </c>
      <c r="AO24" s="148">
        <v>21</v>
      </c>
      <c r="AP24" s="7">
        <v>25</v>
      </c>
      <c r="AQ24" s="153">
        <f>SUM(AO24/AP24)*100</f>
        <v>84</v>
      </c>
      <c r="AR24" s="148">
        <v>11</v>
      </c>
      <c r="AS24" s="7">
        <v>13</v>
      </c>
      <c r="AT24" s="153">
        <f>SUM(AR24/AS24)*100</f>
        <v>84.615384615384613</v>
      </c>
      <c r="AU24" s="148">
        <v>11</v>
      </c>
      <c r="AV24" s="7">
        <v>18</v>
      </c>
      <c r="AW24" s="153">
        <f>SUM(AU24/AV24)*100</f>
        <v>61.111111111111114</v>
      </c>
      <c r="AX24" s="148">
        <v>13</v>
      </c>
      <c r="AY24" s="7">
        <v>18</v>
      </c>
      <c r="AZ24" s="153">
        <f>SUM(AX24/AY24)*100</f>
        <v>72.222222222222214</v>
      </c>
      <c r="BA24" s="7" t="s">
        <v>15</v>
      </c>
      <c r="BB24" s="7" t="s">
        <v>15</v>
      </c>
      <c r="BC24" s="7" t="s">
        <v>15</v>
      </c>
    </row>
    <row r="25" spans="1:55" ht="14.95" customHeight="1" thickBot="1" x14ac:dyDescent="0.3">
      <c r="A25" s="43" t="s">
        <v>231</v>
      </c>
      <c r="B25" s="177">
        <v>0</v>
      </c>
      <c r="C25" s="361">
        <v>0</v>
      </c>
      <c r="D25" s="234">
        <v>0</v>
      </c>
      <c r="E25" s="60">
        <f t="shared" si="0"/>
        <v>0</v>
      </c>
      <c r="F25" s="74" t="s">
        <v>231</v>
      </c>
      <c r="G25" s="175">
        <v>0</v>
      </c>
      <c r="H25" s="256">
        <v>0</v>
      </c>
      <c r="I25" s="235">
        <v>0</v>
      </c>
      <c r="J25" s="76">
        <f t="shared" si="1"/>
        <v>0</v>
      </c>
      <c r="K25" s="50" t="s">
        <v>215</v>
      </c>
      <c r="L25" s="148" t="s">
        <v>15</v>
      </c>
      <c r="M25" s="7" t="s">
        <v>15</v>
      </c>
      <c r="N25" s="7" t="s">
        <v>15</v>
      </c>
      <c r="O25" s="148" t="s">
        <v>15</v>
      </c>
      <c r="P25" s="7" t="s">
        <v>15</v>
      </c>
      <c r="Q25" s="7" t="s">
        <v>15</v>
      </c>
      <c r="R25" s="148" t="s">
        <v>15</v>
      </c>
      <c r="S25" s="7" t="s">
        <v>15</v>
      </c>
      <c r="T25" s="7" t="s">
        <v>15</v>
      </c>
      <c r="U25" s="7" t="s">
        <v>15</v>
      </c>
      <c r="V25" s="7" t="s">
        <v>15</v>
      </c>
      <c r="W25" s="153" t="s">
        <v>15</v>
      </c>
      <c r="AC25" s="148" t="s">
        <v>15</v>
      </c>
      <c r="AD25" s="7" t="s">
        <v>15</v>
      </c>
      <c r="AE25" s="153" t="s">
        <v>15</v>
      </c>
      <c r="AF25" s="148" t="s">
        <v>15</v>
      </c>
      <c r="AG25" s="7" t="s">
        <v>15</v>
      </c>
      <c r="AH25" s="153" t="s">
        <v>15</v>
      </c>
      <c r="AI25" s="6" t="s">
        <v>15</v>
      </c>
      <c r="AJ25" s="7" t="s">
        <v>15</v>
      </c>
      <c r="AK25" s="153" t="s">
        <v>15</v>
      </c>
      <c r="AL25" s="7" t="s">
        <v>15</v>
      </c>
      <c r="AM25" s="7" t="s">
        <v>15</v>
      </c>
      <c r="AN25" s="153" t="s">
        <v>15</v>
      </c>
      <c r="AO25" s="7" t="s">
        <v>15</v>
      </c>
      <c r="AP25" s="7" t="s">
        <v>15</v>
      </c>
      <c r="AQ25" s="153" t="s">
        <v>15</v>
      </c>
      <c r="AR25" s="7" t="s">
        <v>15</v>
      </c>
      <c r="AS25" s="7" t="s">
        <v>15</v>
      </c>
      <c r="AT25" s="153" t="s">
        <v>15</v>
      </c>
      <c r="AU25" s="7" t="s">
        <v>15</v>
      </c>
      <c r="AV25" s="7" t="s">
        <v>15</v>
      </c>
      <c r="AW25" s="153" t="s">
        <v>15</v>
      </c>
      <c r="AX25" s="7" t="s">
        <v>15</v>
      </c>
      <c r="AY25" s="7" t="s">
        <v>15</v>
      </c>
      <c r="AZ25" s="153" t="s">
        <v>15</v>
      </c>
      <c r="BA25" s="7" t="s">
        <v>15</v>
      </c>
      <c r="BB25" s="7" t="s">
        <v>15</v>
      </c>
      <c r="BC25" s="153" t="s">
        <v>15</v>
      </c>
    </row>
    <row r="26" spans="1:55" ht="14.95" customHeight="1" thickBot="1" x14ac:dyDescent="0.3">
      <c r="A26" s="43" t="s">
        <v>1033</v>
      </c>
      <c r="B26" s="177">
        <v>0</v>
      </c>
      <c r="C26" s="361">
        <v>0</v>
      </c>
      <c r="D26" s="234">
        <v>1</v>
      </c>
      <c r="E26" s="60">
        <f t="shared" si="0"/>
        <v>1</v>
      </c>
      <c r="F26" s="74" t="s">
        <v>1033</v>
      </c>
      <c r="G26" s="175">
        <v>0</v>
      </c>
      <c r="H26" s="256">
        <v>0</v>
      </c>
      <c r="I26" s="235">
        <v>5</v>
      </c>
      <c r="J26" s="76">
        <f t="shared" si="1"/>
        <v>5</v>
      </c>
      <c r="K26" s="50" t="s">
        <v>572</v>
      </c>
      <c r="L26" s="148" t="s">
        <v>15</v>
      </c>
      <c r="M26" s="7" t="s">
        <v>15</v>
      </c>
      <c r="N26" s="7" t="s">
        <v>15</v>
      </c>
      <c r="O26" s="7" t="s">
        <v>15</v>
      </c>
      <c r="P26" s="7" t="s">
        <v>15</v>
      </c>
      <c r="Q26" s="153" t="s">
        <v>15</v>
      </c>
      <c r="R26" s="7">
        <v>2</v>
      </c>
      <c r="S26" s="7">
        <v>2</v>
      </c>
      <c r="T26" s="153">
        <v>100</v>
      </c>
      <c r="U26" s="7" t="s">
        <v>15</v>
      </c>
      <c r="V26" s="7" t="s">
        <v>15</v>
      </c>
      <c r="W26" s="153" t="s">
        <v>15</v>
      </c>
      <c r="AC26" s="148" t="s">
        <v>15</v>
      </c>
      <c r="AD26" s="7" t="s">
        <v>15</v>
      </c>
      <c r="AE26" s="153" t="s">
        <v>15</v>
      </c>
      <c r="AF26" s="148" t="s">
        <v>15</v>
      </c>
      <c r="AG26" s="7" t="s">
        <v>15</v>
      </c>
      <c r="AH26" s="153" t="s">
        <v>15</v>
      </c>
      <c r="AI26" s="6" t="s">
        <v>15</v>
      </c>
      <c r="AJ26" s="7" t="s">
        <v>15</v>
      </c>
      <c r="AK26" s="153" t="s">
        <v>15</v>
      </c>
      <c r="AL26" s="7" t="s">
        <v>15</v>
      </c>
      <c r="AM26" s="7" t="s">
        <v>15</v>
      </c>
      <c r="AN26" s="153" t="s">
        <v>15</v>
      </c>
      <c r="AO26" s="7" t="s">
        <v>15</v>
      </c>
      <c r="AP26" s="7" t="s">
        <v>15</v>
      </c>
      <c r="AQ26" s="153" t="s">
        <v>15</v>
      </c>
      <c r="AR26" s="7" t="s">
        <v>15</v>
      </c>
      <c r="AS26" s="7" t="s">
        <v>15</v>
      </c>
      <c r="AT26" s="153" t="s">
        <v>15</v>
      </c>
      <c r="AU26" s="7" t="s">
        <v>15</v>
      </c>
      <c r="AV26" s="7" t="s">
        <v>15</v>
      </c>
      <c r="AW26" s="153" t="s">
        <v>15</v>
      </c>
      <c r="AX26" s="7" t="s">
        <v>15</v>
      </c>
      <c r="AY26" s="7" t="s">
        <v>15</v>
      </c>
      <c r="AZ26" s="153" t="s">
        <v>15</v>
      </c>
      <c r="BA26" s="7" t="s">
        <v>15</v>
      </c>
      <c r="BB26" s="7" t="s">
        <v>15</v>
      </c>
      <c r="BC26" s="153" t="s">
        <v>15</v>
      </c>
    </row>
    <row r="27" spans="1:55" ht="14.95" customHeight="1" thickBot="1" x14ac:dyDescent="0.3">
      <c r="A27" s="43" t="s">
        <v>634</v>
      </c>
      <c r="B27" s="177">
        <v>0</v>
      </c>
      <c r="C27" s="361">
        <v>0</v>
      </c>
      <c r="D27" s="234">
        <v>0</v>
      </c>
      <c r="E27" s="60">
        <f t="shared" si="0"/>
        <v>0</v>
      </c>
      <c r="F27" s="74" t="s">
        <v>634</v>
      </c>
      <c r="G27" s="175">
        <v>0</v>
      </c>
      <c r="H27" s="256">
        <v>0</v>
      </c>
      <c r="I27" s="235">
        <v>0</v>
      </c>
      <c r="J27" s="76">
        <f t="shared" si="1"/>
        <v>0</v>
      </c>
      <c r="K27" s="50" t="s">
        <v>643</v>
      </c>
      <c r="L27" s="148" t="s">
        <v>15</v>
      </c>
      <c r="M27" s="7" t="s">
        <v>15</v>
      </c>
      <c r="N27" s="7" t="s">
        <v>15</v>
      </c>
      <c r="O27" s="7">
        <v>1</v>
      </c>
      <c r="P27" s="7">
        <v>2</v>
      </c>
      <c r="Q27" s="153">
        <v>50</v>
      </c>
      <c r="R27" s="7" t="s">
        <v>15</v>
      </c>
      <c r="S27" s="7" t="s">
        <v>15</v>
      </c>
      <c r="T27" s="153" t="s">
        <v>15</v>
      </c>
      <c r="U27" s="7" t="s">
        <v>15</v>
      </c>
      <c r="V27" s="7" t="s">
        <v>15</v>
      </c>
      <c r="W27" s="153" t="s">
        <v>15</v>
      </c>
      <c r="AC27" s="148" t="s">
        <v>15</v>
      </c>
      <c r="AD27" s="7" t="s">
        <v>15</v>
      </c>
      <c r="AE27" s="153" t="s">
        <v>15</v>
      </c>
      <c r="AF27" s="84" t="s">
        <v>15</v>
      </c>
      <c r="AG27" s="79" t="s">
        <v>15</v>
      </c>
      <c r="AH27" s="171" t="s">
        <v>15</v>
      </c>
      <c r="AI27" s="148" t="s">
        <v>15</v>
      </c>
      <c r="AJ27" s="7" t="s">
        <v>15</v>
      </c>
      <c r="AK27" s="153" t="s">
        <v>15</v>
      </c>
      <c r="AL27" s="148" t="s">
        <v>15</v>
      </c>
      <c r="AM27" s="7" t="s">
        <v>15</v>
      </c>
      <c r="AN27" s="153" t="s">
        <v>15</v>
      </c>
      <c r="AO27" s="6" t="s">
        <v>15</v>
      </c>
      <c r="AP27" s="7" t="s">
        <v>15</v>
      </c>
      <c r="AQ27" s="7" t="s">
        <v>15</v>
      </c>
      <c r="AR27" s="6" t="s">
        <v>15</v>
      </c>
      <c r="AS27" s="7" t="s">
        <v>15</v>
      </c>
      <c r="AT27" s="7" t="s">
        <v>15</v>
      </c>
      <c r="AU27" s="7" t="s">
        <v>15</v>
      </c>
      <c r="AV27" s="7" t="s">
        <v>15</v>
      </c>
      <c r="AW27" s="7" t="s">
        <v>15</v>
      </c>
      <c r="AX27" s="7" t="s">
        <v>15</v>
      </c>
      <c r="AY27" s="7" t="s">
        <v>15</v>
      </c>
      <c r="AZ27" s="7" t="s">
        <v>15</v>
      </c>
      <c r="BA27" s="7" t="s">
        <v>15</v>
      </c>
      <c r="BB27" s="7" t="s">
        <v>15</v>
      </c>
      <c r="BC27" s="7" t="s">
        <v>15</v>
      </c>
    </row>
    <row r="28" spans="1:55" ht="14.95" customHeight="1" thickBot="1" x14ac:dyDescent="0.3">
      <c r="A28" s="43" t="s">
        <v>1110</v>
      </c>
      <c r="B28" s="177">
        <v>0</v>
      </c>
      <c r="C28" s="361">
        <v>0</v>
      </c>
      <c r="D28" s="234">
        <v>1</v>
      </c>
      <c r="E28" s="60">
        <f t="shared" si="0"/>
        <v>1</v>
      </c>
      <c r="F28" s="74" t="s">
        <v>1110</v>
      </c>
      <c r="G28" s="175">
        <v>0</v>
      </c>
      <c r="H28" s="256">
        <v>0</v>
      </c>
      <c r="I28" s="235">
        <v>5</v>
      </c>
      <c r="J28" s="76">
        <f t="shared" si="1"/>
        <v>5</v>
      </c>
      <c r="AC28" t="s">
        <v>21</v>
      </c>
    </row>
    <row r="29" spans="1:55" ht="14.95" customHeight="1" thickBot="1" x14ac:dyDescent="0.3">
      <c r="A29" s="43" t="s">
        <v>486</v>
      </c>
      <c r="B29" s="177">
        <v>1</v>
      </c>
      <c r="C29" s="361">
        <v>1</v>
      </c>
      <c r="D29" s="234">
        <v>2</v>
      </c>
      <c r="E29" s="60">
        <f t="shared" si="0"/>
        <v>4</v>
      </c>
      <c r="F29" s="74" t="s">
        <v>486</v>
      </c>
      <c r="G29" s="175">
        <v>5</v>
      </c>
      <c r="H29" s="256">
        <v>5</v>
      </c>
      <c r="I29" s="235">
        <v>10</v>
      </c>
      <c r="J29" s="76">
        <f t="shared" si="1"/>
        <v>20</v>
      </c>
      <c r="K29" s="472" t="s">
        <v>1003</v>
      </c>
      <c r="L29" s="457" t="s">
        <v>14</v>
      </c>
      <c r="M29" s="461"/>
      <c r="N29" s="458"/>
      <c r="O29" s="449" t="s">
        <v>226</v>
      </c>
      <c r="P29" s="450"/>
      <c r="Q29" s="451"/>
      <c r="R29" s="478" t="s">
        <v>875</v>
      </c>
      <c r="S29" s="479"/>
      <c r="T29" s="480"/>
      <c r="U29" s="478" t="s">
        <v>581</v>
      </c>
      <c r="V29" s="479"/>
      <c r="W29" s="480"/>
      <c r="AC29" s="449" t="s">
        <v>477</v>
      </c>
      <c r="AD29" s="450"/>
      <c r="AE29" s="451"/>
      <c r="AF29" s="449" t="s">
        <v>300</v>
      </c>
      <c r="AG29" s="450"/>
      <c r="AH29" s="451"/>
      <c r="AI29" s="449" t="s">
        <v>219</v>
      </c>
      <c r="AJ29" s="450"/>
      <c r="AK29" s="451"/>
      <c r="AL29" s="449" t="s">
        <v>165</v>
      </c>
      <c r="AM29" s="450"/>
      <c r="AN29" s="451"/>
      <c r="AO29" s="449" t="s">
        <v>78</v>
      </c>
      <c r="AP29" s="450"/>
      <c r="AQ29" s="451"/>
      <c r="AR29" s="449" t="s">
        <v>50</v>
      </c>
      <c r="AS29" s="450"/>
      <c r="AT29" s="451"/>
      <c r="AU29" s="449" t="s">
        <v>37</v>
      </c>
      <c r="AV29" s="450"/>
      <c r="AW29" s="451"/>
    </row>
    <row r="30" spans="1:55" ht="14.95" customHeight="1" thickBot="1" x14ac:dyDescent="0.3">
      <c r="A30" s="43" t="s">
        <v>229</v>
      </c>
      <c r="B30" s="177">
        <v>0</v>
      </c>
      <c r="C30" s="361">
        <v>0</v>
      </c>
      <c r="D30" s="234">
        <v>1</v>
      </c>
      <c r="E30" s="60">
        <f t="shared" si="0"/>
        <v>1</v>
      </c>
      <c r="F30" s="74" t="s">
        <v>229</v>
      </c>
      <c r="G30" s="175">
        <v>0</v>
      </c>
      <c r="H30" s="256">
        <v>0</v>
      </c>
      <c r="I30" s="235">
        <v>5</v>
      </c>
      <c r="J30" s="76">
        <f t="shared" si="1"/>
        <v>5</v>
      </c>
      <c r="K30" s="473"/>
      <c r="L30" s="459"/>
      <c r="M30" s="462"/>
      <c r="N30" s="460"/>
      <c r="O30" s="452"/>
      <c r="P30" s="453"/>
      <c r="Q30" s="454"/>
      <c r="R30" s="481"/>
      <c r="S30" s="482"/>
      <c r="T30" s="483"/>
      <c r="U30" s="481"/>
      <c r="V30" s="482"/>
      <c r="W30" s="483"/>
      <c r="AC30" s="452"/>
      <c r="AD30" s="453"/>
      <c r="AE30" s="454"/>
      <c r="AF30" s="452"/>
      <c r="AG30" s="453"/>
      <c r="AH30" s="454"/>
      <c r="AI30" s="452"/>
      <c r="AJ30" s="453"/>
      <c r="AK30" s="454"/>
      <c r="AL30" s="452"/>
      <c r="AM30" s="453"/>
      <c r="AN30" s="454"/>
      <c r="AO30" s="452"/>
      <c r="AP30" s="453"/>
      <c r="AQ30" s="454"/>
      <c r="AR30" s="452"/>
      <c r="AS30" s="453"/>
      <c r="AT30" s="454"/>
      <c r="AU30" s="452"/>
      <c r="AV30" s="453"/>
      <c r="AW30" s="454"/>
    </row>
    <row r="31" spans="1:55" ht="14.95" customHeight="1" thickBot="1" x14ac:dyDescent="0.3">
      <c r="A31" s="43" t="s">
        <v>259</v>
      </c>
      <c r="B31" s="177">
        <v>0</v>
      </c>
      <c r="C31" s="361">
        <v>0</v>
      </c>
      <c r="D31" s="234">
        <v>2</v>
      </c>
      <c r="E31" s="60">
        <f t="shared" si="0"/>
        <v>2</v>
      </c>
      <c r="F31" s="74" t="s">
        <v>259</v>
      </c>
      <c r="G31" s="175">
        <v>0</v>
      </c>
      <c r="H31" s="256">
        <v>0</v>
      </c>
      <c r="I31" s="235">
        <v>10</v>
      </c>
      <c r="J31" s="76">
        <f t="shared" si="1"/>
        <v>10</v>
      </c>
      <c r="K31" s="359" t="s">
        <v>21</v>
      </c>
      <c r="L31" s="158" t="s">
        <v>46</v>
      </c>
      <c r="M31" s="3" t="s">
        <v>9</v>
      </c>
      <c r="N31" s="3" t="s">
        <v>10</v>
      </c>
      <c r="O31" s="148" t="s">
        <v>46</v>
      </c>
      <c r="P31" s="7" t="s">
        <v>9</v>
      </c>
      <c r="Q31" s="7" t="s">
        <v>10</v>
      </c>
      <c r="R31" s="148" t="s">
        <v>46</v>
      </c>
      <c r="S31" s="7" t="s">
        <v>9</v>
      </c>
      <c r="T31" s="7" t="s">
        <v>10</v>
      </c>
      <c r="U31" s="148" t="s">
        <v>46</v>
      </c>
      <c r="V31" s="7" t="s">
        <v>9</v>
      </c>
      <c r="W31" s="7" t="s">
        <v>10</v>
      </c>
      <c r="AC31" s="148" t="s">
        <v>46</v>
      </c>
      <c r="AD31" s="7" t="s">
        <v>9</v>
      </c>
      <c r="AE31" s="7" t="s">
        <v>10</v>
      </c>
      <c r="AF31" s="148" t="s">
        <v>46</v>
      </c>
      <c r="AG31" s="7" t="s">
        <v>9</v>
      </c>
      <c r="AH31" s="7" t="s">
        <v>10</v>
      </c>
      <c r="AI31" s="148" t="s">
        <v>46</v>
      </c>
      <c r="AJ31" s="7" t="s">
        <v>9</v>
      </c>
      <c r="AK31" s="7" t="s">
        <v>10</v>
      </c>
      <c r="AL31" s="6" t="s">
        <v>46</v>
      </c>
      <c r="AM31" s="7" t="s">
        <v>9</v>
      </c>
      <c r="AN31" s="7" t="s">
        <v>10</v>
      </c>
      <c r="AO31" s="148" t="s">
        <v>46</v>
      </c>
      <c r="AP31" s="7" t="s">
        <v>9</v>
      </c>
      <c r="AQ31" s="7" t="s">
        <v>10</v>
      </c>
      <c r="AR31" s="148" t="s">
        <v>46</v>
      </c>
      <c r="AS31" s="7" t="s">
        <v>9</v>
      </c>
      <c r="AT31" s="7" t="s">
        <v>10</v>
      </c>
      <c r="AU31" s="148" t="s">
        <v>46</v>
      </c>
      <c r="AV31" s="7" t="s">
        <v>9</v>
      </c>
      <c r="AW31" s="7" t="s">
        <v>10</v>
      </c>
    </row>
    <row r="32" spans="1:55" ht="14.95" customHeight="1" thickBot="1" x14ac:dyDescent="0.3">
      <c r="A32" s="43" t="s">
        <v>359</v>
      </c>
      <c r="B32" s="177">
        <v>2</v>
      </c>
      <c r="C32" s="361">
        <v>0</v>
      </c>
      <c r="D32" s="234">
        <v>0</v>
      </c>
      <c r="E32" s="60">
        <f t="shared" si="0"/>
        <v>2</v>
      </c>
      <c r="F32" s="74" t="s">
        <v>359</v>
      </c>
      <c r="G32" s="175">
        <v>10</v>
      </c>
      <c r="H32" s="256">
        <v>0</v>
      </c>
      <c r="I32" s="235">
        <v>0</v>
      </c>
      <c r="J32" s="76">
        <f t="shared" si="1"/>
        <v>10</v>
      </c>
      <c r="K32" s="50" t="s">
        <v>541</v>
      </c>
      <c r="L32" s="60">
        <v>6</v>
      </c>
      <c r="M32" s="60">
        <v>8</v>
      </c>
      <c r="N32" s="25">
        <f t="shared" ref="N32" si="14">SUM(L32/M32)*100</f>
        <v>75</v>
      </c>
      <c r="O32" s="7">
        <v>5</v>
      </c>
      <c r="P32" s="7">
        <v>6</v>
      </c>
      <c r="Q32" s="153">
        <v>83.333333333333343</v>
      </c>
      <c r="R32" s="7">
        <v>7</v>
      </c>
      <c r="S32" s="7">
        <v>13</v>
      </c>
      <c r="T32" s="153">
        <v>53.846153846153847</v>
      </c>
      <c r="U32" s="7">
        <v>5</v>
      </c>
      <c r="V32" s="7">
        <v>7</v>
      </c>
      <c r="W32" s="153">
        <v>71.428571428571431</v>
      </c>
      <c r="AC32" s="148">
        <v>1</v>
      </c>
      <c r="AD32" s="7">
        <v>1</v>
      </c>
      <c r="AE32" s="153">
        <f>SUM(AC32/AD32)*100</f>
        <v>100</v>
      </c>
      <c r="AF32" s="148" t="s">
        <v>15</v>
      </c>
      <c r="AG32" s="7" t="s">
        <v>15</v>
      </c>
      <c r="AH32" s="7" t="s">
        <v>15</v>
      </c>
      <c r="AI32" s="148"/>
      <c r="AJ32" s="7"/>
      <c r="AK32" s="7"/>
      <c r="AL32" s="6"/>
      <c r="AM32" s="7"/>
      <c r="AN32" s="7"/>
      <c r="AO32" s="148"/>
      <c r="AP32" s="7"/>
      <c r="AQ32" s="7"/>
      <c r="AR32" s="148"/>
      <c r="AS32" s="7"/>
      <c r="AT32" s="7"/>
      <c r="AU32" s="148"/>
      <c r="AV32" s="7"/>
      <c r="AW32" s="7"/>
    </row>
    <row r="33" spans="1:49" ht="14.95" customHeight="1" thickBot="1" x14ac:dyDescent="0.3">
      <c r="A33" s="43" t="s">
        <v>6</v>
      </c>
      <c r="B33" s="177">
        <v>5</v>
      </c>
      <c r="C33" s="361">
        <v>0</v>
      </c>
      <c r="D33" s="234">
        <v>0</v>
      </c>
      <c r="E33" s="60">
        <f t="shared" si="0"/>
        <v>5</v>
      </c>
      <c r="F33" s="74" t="s">
        <v>6</v>
      </c>
      <c r="G33" s="175">
        <v>25</v>
      </c>
      <c r="H33" s="256">
        <v>0</v>
      </c>
      <c r="I33" s="235">
        <v>0</v>
      </c>
      <c r="J33" s="76">
        <f t="shared" si="1"/>
        <v>25</v>
      </c>
      <c r="K33" s="98" t="s">
        <v>168</v>
      </c>
      <c r="L33" s="222">
        <v>16</v>
      </c>
      <c r="M33" s="60">
        <v>22</v>
      </c>
      <c r="N33" s="25">
        <f t="shared" ref="N33" si="15">SUM(L33/M33)*100</f>
        <v>72.727272727272734</v>
      </c>
      <c r="O33" s="148">
        <v>4</v>
      </c>
      <c r="P33" s="7">
        <v>6</v>
      </c>
      <c r="Q33" s="153">
        <v>66.666666666666657</v>
      </c>
      <c r="R33" s="148">
        <v>19</v>
      </c>
      <c r="S33" s="7">
        <v>31</v>
      </c>
      <c r="T33" s="153">
        <v>61.29032258064516</v>
      </c>
      <c r="U33" s="148">
        <v>19</v>
      </c>
      <c r="V33" s="7">
        <v>23</v>
      </c>
      <c r="W33" s="153">
        <v>82.608695652173907</v>
      </c>
      <c r="AC33" s="148">
        <v>13</v>
      </c>
      <c r="AD33" s="7">
        <v>15</v>
      </c>
      <c r="AE33" s="153">
        <f t="shared" ref="AE33" si="16">(AC33/AD33)*100</f>
        <v>86.666666666666671</v>
      </c>
      <c r="AF33" s="148">
        <v>1</v>
      </c>
      <c r="AG33" s="7">
        <v>1</v>
      </c>
      <c r="AH33" s="153">
        <f>(AF33/AG33)*100</f>
        <v>100</v>
      </c>
      <c r="AI33" s="84" t="s">
        <v>15</v>
      </c>
      <c r="AJ33" s="79" t="s">
        <v>15</v>
      </c>
      <c r="AK33" s="171" t="s">
        <v>15</v>
      </c>
      <c r="AL33" s="84" t="s">
        <v>15</v>
      </c>
      <c r="AM33" s="79" t="s">
        <v>15</v>
      </c>
      <c r="AN33" s="171" t="s">
        <v>15</v>
      </c>
      <c r="AO33" s="84" t="s">
        <v>15</v>
      </c>
      <c r="AP33" s="79" t="s">
        <v>15</v>
      </c>
      <c r="AQ33" s="171" t="s">
        <v>15</v>
      </c>
      <c r="AR33" s="84" t="s">
        <v>15</v>
      </c>
      <c r="AS33" s="79" t="s">
        <v>15</v>
      </c>
      <c r="AT33" s="171" t="s">
        <v>15</v>
      </c>
      <c r="AU33" s="6" t="s">
        <v>15</v>
      </c>
      <c r="AV33" s="7" t="s">
        <v>15</v>
      </c>
      <c r="AW33" s="7" t="s">
        <v>15</v>
      </c>
    </row>
    <row r="34" spans="1:49" ht="14.95" customHeight="1" thickBot="1" x14ac:dyDescent="0.3">
      <c r="A34" s="43" t="s">
        <v>1065</v>
      </c>
      <c r="B34" s="177">
        <v>1</v>
      </c>
      <c r="C34" s="361">
        <v>0</v>
      </c>
      <c r="D34" s="234">
        <v>0</v>
      </c>
      <c r="E34" s="60">
        <f t="shared" si="0"/>
        <v>1</v>
      </c>
      <c r="F34" s="74" t="s">
        <v>1065</v>
      </c>
      <c r="G34" s="175">
        <v>5</v>
      </c>
      <c r="H34" s="256">
        <v>0</v>
      </c>
      <c r="I34" s="235">
        <v>0</v>
      </c>
      <c r="J34" s="76">
        <f t="shared" si="1"/>
        <v>5</v>
      </c>
      <c r="K34" s="98" t="s">
        <v>215</v>
      </c>
      <c r="L34" s="222">
        <v>3</v>
      </c>
      <c r="M34" s="60">
        <v>5</v>
      </c>
      <c r="N34" s="25">
        <f t="shared" ref="N34:N35" si="17">SUM(L34/M34)*100</f>
        <v>60</v>
      </c>
      <c r="O34" s="148" t="s">
        <v>15</v>
      </c>
      <c r="P34" s="7" t="s">
        <v>15</v>
      </c>
      <c r="Q34" s="153" t="s">
        <v>15</v>
      </c>
      <c r="R34" s="148" t="s">
        <v>15</v>
      </c>
      <c r="S34" s="7" t="s">
        <v>15</v>
      </c>
      <c r="T34" s="153" t="s">
        <v>15</v>
      </c>
      <c r="U34" s="148" t="s">
        <v>15</v>
      </c>
      <c r="V34" s="7" t="s">
        <v>15</v>
      </c>
      <c r="W34" s="153" t="s">
        <v>15</v>
      </c>
      <c r="AC34" s="148" t="s">
        <v>15</v>
      </c>
      <c r="AD34" s="7" t="s">
        <v>15</v>
      </c>
      <c r="AE34" s="153" t="s">
        <v>15</v>
      </c>
      <c r="AF34" s="148" t="s">
        <v>15</v>
      </c>
      <c r="AG34" s="7" t="s">
        <v>15</v>
      </c>
      <c r="AH34" s="153" t="s">
        <v>15</v>
      </c>
      <c r="AI34" s="148">
        <v>1</v>
      </c>
      <c r="AJ34" s="7">
        <v>1</v>
      </c>
      <c r="AK34" s="153">
        <f>SUM(AI34/AJ34)*100</f>
        <v>100</v>
      </c>
      <c r="AL34" s="6" t="s">
        <v>15</v>
      </c>
      <c r="AM34" s="7" t="s">
        <v>15</v>
      </c>
      <c r="AN34" s="7" t="s">
        <v>15</v>
      </c>
      <c r="AO34" s="148" t="s">
        <v>15</v>
      </c>
      <c r="AP34" s="7" t="s">
        <v>15</v>
      </c>
      <c r="AQ34" s="7" t="s">
        <v>15</v>
      </c>
      <c r="AR34" s="148" t="s">
        <v>15</v>
      </c>
      <c r="AS34" s="7" t="s">
        <v>15</v>
      </c>
      <c r="AT34" s="7" t="s">
        <v>15</v>
      </c>
      <c r="AU34" s="148" t="s">
        <v>15</v>
      </c>
      <c r="AV34" s="7" t="s">
        <v>15</v>
      </c>
      <c r="AW34" s="7" t="s">
        <v>15</v>
      </c>
    </row>
    <row r="35" spans="1:49" ht="14.95" customHeight="1" thickBot="1" x14ac:dyDescent="0.3">
      <c r="A35" s="43" t="s">
        <v>794</v>
      </c>
      <c r="B35" s="177">
        <v>0</v>
      </c>
      <c r="C35" s="361">
        <v>0</v>
      </c>
      <c r="D35" s="234">
        <v>3</v>
      </c>
      <c r="E35" s="60">
        <f t="shared" si="0"/>
        <v>3</v>
      </c>
      <c r="F35" s="74" t="s">
        <v>794</v>
      </c>
      <c r="G35" s="175">
        <v>0</v>
      </c>
      <c r="H35" s="256">
        <v>0</v>
      </c>
      <c r="I35" s="235">
        <v>15</v>
      </c>
      <c r="J35" s="76">
        <f t="shared" si="1"/>
        <v>15</v>
      </c>
      <c r="K35" s="98" t="s">
        <v>570</v>
      </c>
      <c r="L35" s="60">
        <v>0</v>
      </c>
      <c r="M35" s="60">
        <v>1</v>
      </c>
      <c r="N35" s="25">
        <f t="shared" si="17"/>
        <v>0</v>
      </c>
      <c r="O35" s="148" t="s">
        <v>15</v>
      </c>
      <c r="P35" s="7" t="s">
        <v>15</v>
      </c>
      <c r="Q35" s="153" t="s">
        <v>15</v>
      </c>
      <c r="R35" s="148" t="s">
        <v>15</v>
      </c>
      <c r="S35" s="7" t="s">
        <v>15</v>
      </c>
      <c r="T35" s="153" t="s">
        <v>15</v>
      </c>
      <c r="U35" s="148" t="s">
        <v>15</v>
      </c>
      <c r="V35" s="7" t="s">
        <v>15</v>
      </c>
      <c r="W35" s="153" t="s">
        <v>15</v>
      </c>
      <c r="AC35" s="148" t="s">
        <v>15</v>
      </c>
      <c r="AD35" s="7" t="s">
        <v>15</v>
      </c>
      <c r="AE35" s="153" t="s">
        <v>15</v>
      </c>
      <c r="AF35" s="148" t="s">
        <v>15</v>
      </c>
      <c r="AG35" s="7" t="s">
        <v>15</v>
      </c>
      <c r="AH35" s="153" t="s">
        <v>15</v>
      </c>
      <c r="AI35" s="148" t="s">
        <v>15</v>
      </c>
      <c r="AJ35" s="7" t="s">
        <v>15</v>
      </c>
      <c r="AK35" s="153" t="s">
        <v>15</v>
      </c>
      <c r="AL35" s="148" t="s">
        <v>15</v>
      </c>
      <c r="AM35" s="7" t="s">
        <v>15</v>
      </c>
      <c r="AN35" s="153" t="s">
        <v>15</v>
      </c>
      <c r="AO35" s="148" t="s">
        <v>15</v>
      </c>
      <c r="AP35" s="7" t="s">
        <v>15</v>
      </c>
      <c r="AQ35" s="153" t="s">
        <v>15</v>
      </c>
      <c r="AR35" s="148" t="s">
        <v>15</v>
      </c>
      <c r="AS35" s="7" t="s">
        <v>15</v>
      </c>
      <c r="AT35" s="153" t="s">
        <v>15</v>
      </c>
      <c r="AU35" s="148" t="s">
        <v>15</v>
      </c>
      <c r="AV35" s="7" t="s">
        <v>15</v>
      </c>
      <c r="AW35" s="153" t="s">
        <v>15</v>
      </c>
    </row>
    <row r="36" spans="1:49" ht="14.95" customHeight="1" thickBot="1" x14ac:dyDescent="0.3">
      <c r="A36" s="43" t="s">
        <v>909</v>
      </c>
      <c r="B36" s="177">
        <v>1</v>
      </c>
      <c r="C36" s="361">
        <v>0</v>
      </c>
      <c r="D36" s="234">
        <v>2</v>
      </c>
      <c r="E36" s="60">
        <f t="shared" si="0"/>
        <v>3</v>
      </c>
      <c r="F36" s="74" t="s">
        <v>909</v>
      </c>
      <c r="G36" s="175">
        <v>5</v>
      </c>
      <c r="H36" s="256">
        <v>0</v>
      </c>
      <c r="I36" s="235">
        <v>10</v>
      </c>
      <c r="J36" s="76">
        <f t="shared" si="1"/>
        <v>15</v>
      </c>
      <c r="K36" s="50" t="s">
        <v>643</v>
      </c>
      <c r="L36" s="14" t="s">
        <v>15</v>
      </c>
      <c r="M36" s="355" t="s">
        <v>15</v>
      </c>
      <c r="N36" s="356" t="s">
        <v>15</v>
      </c>
      <c r="O36" s="148">
        <v>9</v>
      </c>
      <c r="P36" s="7">
        <v>13</v>
      </c>
      <c r="Q36" s="153">
        <v>69.230769230769226</v>
      </c>
      <c r="R36" s="148" t="s">
        <v>15</v>
      </c>
      <c r="S36" s="7" t="s">
        <v>15</v>
      </c>
      <c r="T36" s="153" t="s">
        <v>15</v>
      </c>
      <c r="U36" s="148" t="s">
        <v>15</v>
      </c>
      <c r="V36" s="7" t="s">
        <v>15</v>
      </c>
      <c r="W36" s="153" t="s">
        <v>15</v>
      </c>
      <c r="AC36" s="148" t="s">
        <v>15</v>
      </c>
      <c r="AD36" s="7" t="s">
        <v>15</v>
      </c>
      <c r="AE36" s="153" t="s">
        <v>15</v>
      </c>
      <c r="AF36" s="148" t="s">
        <v>15</v>
      </c>
      <c r="AG36" s="7" t="s">
        <v>15</v>
      </c>
      <c r="AH36" s="153" t="s">
        <v>15</v>
      </c>
      <c r="AI36" s="148" t="s">
        <v>15</v>
      </c>
      <c r="AJ36" s="7" t="s">
        <v>15</v>
      </c>
      <c r="AK36" s="153" t="s">
        <v>15</v>
      </c>
      <c r="AL36" s="148" t="s">
        <v>15</v>
      </c>
      <c r="AM36" s="7" t="s">
        <v>15</v>
      </c>
      <c r="AN36" s="153" t="s">
        <v>15</v>
      </c>
      <c r="AO36" s="148" t="s">
        <v>15</v>
      </c>
      <c r="AP36" s="7" t="s">
        <v>15</v>
      </c>
      <c r="AQ36" s="153" t="s">
        <v>15</v>
      </c>
      <c r="AR36" s="148" t="s">
        <v>15</v>
      </c>
      <c r="AS36" s="7" t="s">
        <v>15</v>
      </c>
      <c r="AT36" s="153" t="s">
        <v>15</v>
      </c>
      <c r="AU36" s="148" t="s">
        <v>15</v>
      </c>
      <c r="AV36" s="7" t="s">
        <v>15</v>
      </c>
      <c r="AW36" s="153" t="s">
        <v>15</v>
      </c>
    </row>
    <row r="37" spans="1:49" ht="14.95" customHeight="1" thickBot="1" x14ac:dyDescent="0.3">
      <c r="A37" s="43" t="s">
        <v>919</v>
      </c>
      <c r="B37" s="177">
        <v>0</v>
      </c>
      <c r="C37" s="361">
        <v>0</v>
      </c>
      <c r="D37" s="234">
        <v>0</v>
      </c>
      <c r="E37" s="60">
        <f t="shared" si="0"/>
        <v>0</v>
      </c>
      <c r="F37" s="74" t="s">
        <v>919</v>
      </c>
      <c r="G37" s="175">
        <v>0</v>
      </c>
      <c r="H37" s="256">
        <v>0</v>
      </c>
      <c r="I37" s="235">
        <v>0</v>
      </c>
      <c r="J37" s="76">
        <f t="shared" si="1"/>
        <v>0</v>
      </c>
      <c r="K37" s="509"/>
      <c r="L37" s="484"/>
      <c r="M37" s="484"/>
      <c r="N37" s="484"/>
      <c r="O37" s="484"/>
      <c r="P37" s="484"/>
      <c r="Q37" s="484"/>
      <c r="R37" s="484"/>
      <c r="S37" s="484"/>
      <c r="T37" s="484"/>
      <c r="U37" s="484"/>
      <c r="V37" s="484"/>
      <c r="W37" s="484"/>
    </row>
    <row r="38" spans="1:49" ht="14.95" customHeight="1" thickBot="1" x14ac:dyDescent="0.3">
      <c r="A38" s="43" t="s">
        <v>559</v>
      </c>
      <c r="B38" s="177">
        <v>0</v>
      </c>
      <c r="C38" s="361">
        <v>0</v>
      </c>
      <c r="D38" s="234">
        <v>1</v>
      </c>
      <c r="E38" s="60">
        <f t="shared" si="0"/>
        <v>1</v>
      </c>
      <c r="F38" s="74" t="s">
        <v>559</v>
      </c>
      <c r="G38" s="175">
        <v>0</v>
      </c>
      <c r="H38" s="256">
        <v>0</v>
      </c>
      <c r="I38" s="235">
        <v>5</v>
      </c>
      <c r="J38" s="76">
        <f t="shared" si="1"/>
        <v>5</v>
      </c>
      <c r="K38" s="474" t="s">
        <v>987</v>
      </c>
      <c r="L38" s="517"/>
      <c r="M38" s="517"/>
      <c r="N38" s="517"/>
      <c r="O38" s="517"/>
      <c r="P38" s="517"/>
      <c r="Q38" s="517"/>
      <c r="R38" s="517"/>
      <c r="S38" s="517"/>
      <c r="T38" s="517"/>
      <c r="U38" s="517"/>
      <c r="V38" s="517"/>
      <c r="W38" s="517"/>
    </row>
    <row r="39" spans="1:49" ht="14.95" customHeight="1" thickBot="1" x14ac:dyDescent="0.3">
      <c r="A39" s="43" t="s">
        <v>913</v>
      </c>
      <c r="B39" s="177">
        <v>1</v>
      </c>
      <c r="C39" s="361">
        <v>0</v>
      </c>
      <c r="D39" s="234">
        <v>0</v>
      </c>
      <c r="E39" s="60">
        <f t="shared" si="0"/>
        <v>1</v>
      </c>
      <c r="F39" s="74" t="s">
        <v>913</v>
      </c>
      <c r="G39" s="175">
        <v>5</v>
      </c>
      <c r="H39" s="256">
        <v>0</v>
      </c>
      <c r="I39" s="235">
        <v>0</v>
      </c>
      <c r="J39" s="76">
        <f t="shared" si="1"/>
        <v>5</v>
      </c>
      <c r="K39" s="474" t="s">
        <v>984</v>
      </c>
      <c r="L39" s="477"/>
      <c r="M39" s="477"/>
      <c r="N39" s="477"/>
      <c r="O39" s="477"/>
      <c r="P39" s="477"/>
      <c r="Q39" s="477"/>
      <c r="R39" s="477"/>
      <c r="S39" s="477"/>
      <c r="T39" s="477"/>
      <c r="U39" s="477"/>
      <c r="V39" s="477"/>
      <c r="W39" s="477"/>
    </row>
    <row r="40" spans="1:49" ht="14.95" customHeight="1" thickBot="1" x14ac:dyDescent="0.3">
      <c r="A40" s="43" t="s">
        <v>48</v>
      </c>
      <c r="B40" s="177">
        <v>1</v>
      </c>
      <c r="C40" s="361">
        <v>0</v>
      </c>
      <c r="D40" s="234">
        <v>1</v>
      </c>
      <c r="E40" s="60">
        <f t="shared" si="0"/>
        <v>2</v>
      </c>
      <c r="F40" s="74" t="s">
        <v>48</v>
      </c>
      <c r="G40" s="175">
        <v>5</v>
      </c>
      <c r="H40" s="256">
        <v>0</v>
      </c>
      <c r="I40" s="235">
        <v>5</v>
      </c>
      <c r="J40" s="76">
        <f t="shared" si="1"/>
        <v>10</v>
      </c>
      <c r="K40" t="s">
        <v>1108</v>
      </c>
    </row>
    <row r="41" spans="1:49" ht="14.95" customHeight="1" thickBot="1" x14ac:dyDescent="0.3">
      <c r="A41" s="43" t="s">
        <v>915</v>
      </c>
      <c r="B41" s="177">
        <v>0</v>
      </c>
      <c r="C41" s="361">
        <v>0</v>
      </c>
      <c r="D41" s="234">
        <v>0</v>
      </c>
      <c r="E41" s="60">
        <f t="shared" si="0"/>
        <v>0</v>
      </c>
      <c r="F41" s="74" t="s">
        <v>915</v>
      </c>
      <c r="G41" s="175">
        <v>0</v>
      </c>
      <c r="H41" s="256">
        <v>0</v>
      </c>
      <c r="I41" s="235">
        <v>0</v>
      </c>
      <c r="J41" s="76">
        <f t="shared" si="1"/>
        <v>0</v>
      </c>
    </row>
    <row r="42" spans="1:49" ht="14.95" customHeight="1" thickBot="1" x14ac:dyDescent="0.3">
      <c r="A42" s="43" t="s">
        <v>641</v>
      </c>
      <c r="B42" s="177">
        <v>0</v>
      </c>
      <c r="C42" s="361">
        <v>0</v>
      </c>
      <c r="D42" s="234">
        <v>0</v>
      </c>
      <c r="E42" s="60">
        <f t="shared" si="0"/>
        <v>0</v>
      </c>
      <c r="F42" s="74" t="s">
        <v>641</v>
      </c>
      <c r="G42" s="175">
        <v>0</v>
      </c>
      <c r="H42" s="256">
        <v>0</v>
      </c>
      <c r="I42" s="235">
        <v>0</v>
      </c>
      <c r="J42" s="76">
        <f t="shared" si="1"/>
        <v>0</v>
      </c>
    </row>
    <row r="43" spans="1:49" ht="14.95" customHeight="1" thickBot="1" x14ac:dyDescent="0.3">
      <c r="A43" s="43" t="s">
        <v>24</v>
      </c>
      <c r="B43" s="177">
        <v>0</v>
      </c>
      <c r="C43" s="361">
        <v>0</v>
      </c>
      <c r="D43" s="234">
        <v>0</v>
      </c>
      <c r="E43" s="60">
        <f t="shared" si="0"/>
        <v>0</v>
      </c>
      <c r="F43" s="74" t="s">
        <v>24</v>
      </c>
      <c r="G43" s="175">
        <v>0</v>
      </c>
      <c r="H43" s="256">
        <v>0</v>
      </c>
      <c r="I43" s="235">
        <v>0</v>
      </c>
      <c r="J43" s="76">
        <f t="shared" si="1"/>
        <v>0</v>
      </c>
    </row>
    <row r="44" spans="1:49" ht="14.95" customHeight="1" thickBot="1" x14ac:dyDescent="0.3">
      <c r="A44" s="43" t="s">
        <v>4</v>
      </c>
      <c r="B44" s="177">
        <v>0</v>
      </c>
      <c r="C44" s="361">
        <v>0</v>
      </c>
      <c r="D44" s="234">
        <v>0</v>
      </c>
      <c r="E44" s="60">
        <f t="shared" si="0"/>
        <v>0</v>
      </c>
      <c r="F44" s="74" t="s">
        <v>4</v>
      </c>
      <c r="G44" s="175">
        <v>0</v>
      </c>
      <c r="H44" s="256">
        <v>0</v>
      </c>
      <c r="I44" s="235">
        <v>0</v>
      </c>
      <c r="J44" s="76">
        <f t="shared" si="1"/>
        <v>0</v>
      </c>
    </row>
    <row r="45" spans="1:49" ht="14.95" thickBot="1" x14ac:dyDescent="0.3">
      <c r="A45" s="43" t="s">
        <v>62</v>
      </c>
      <c r="B45" s="177">
        <v>1</v>
      </c>
      <c r="C45" s="361">
        <v>0</v>
      </c>
      <c r="D45" s="234">
        <v>0</v>
      </c>
      <c r="E45" s="60">
        <f t="shared" si="0"/>
        <v>1</v>
      </c>
      <c r="F45" s="74" t="s">
        <v>62</v>
      </c>
      <c r="G45" s="175">
        <v>5</v>
      </c>
      <c r="H45" s="256">
        <v>0</v>
      </c>
      <c r="I45" s="235">
        <v>0</v>
      </c>
      <c r="J45" s="76">
        <f t="shared" si="1"/>
        <v>5</v>
      </c>
    </row>
    <row r="46" spans="1:49" ht="14.95" thickBot="1" x14ac:dyDescent="0.3">
      <c r="A46" s="43" t="s">
        <v>914</v>
      </c>
      <c r="B46" s="177">
        <v>3</v>
      </c>
      <c r="C46" s="361">
        <v>0</v>
      </c>
      <c r="D46" s="234">
        <v>3</v>
      </c>
      <c r="E46" s="60">
        <f t="shared" si="0"/>
        <v>6</v>
      </c>
      <c r="F46" s="74" t="s">
        <v>914</v>
      </c>
      <c r="G46" s="175">
        <v>15</v>
      </c>
      <c r="H46" s="256">
        <v>0</v>
      </c>
      <c r="I46" s="235">
        <v>15</v>
      </c>
      <c r="J46" s="76">
        <f t="shared" si="1"/>
        <v>30</v>
      </c>
    </row>
    <row r="47" spans="1:49" ht="14.95" customHeight="1" thickBot="1" x14ac:dyDescent="0.3">
      <c r="A47" s="43" t="s">
        <v>510</v>
      </c>
      <c r="B47" s="177">
        <v>0</v>
      </c>
      <c r="C47" s="361">
        <v>0</v>
      </c>
      <c r="D47" s="234">
        <v>0</v>
      </c>
      <c r="E47" s="60">
        <f t="shared" si="0"/>
        <v>0</v>
      </c>
      <c r="F47" s="74" t="s">
        <v>510</v>
      </c>
      <c r="G47" s="175">
        <v>0</v>
      </c>
      <c r="H47" s="256">
        <v>0</v>
      </c>
      <c r="I47" s="235">
        <v>0</v>
      </c>
      <c r="J47" s="76">
        <f t="shared" si="1"/>
        <v>0</v>
      </c>
    </row>
    <row r="48" spans="1:49" ht="14.95" customHeight="1" thickBot="1" x14ac:dyDescent="0.3">
      <c r="A48" s="43" t="s">
        <v>56</v>
      </c>
      <c r="B48" s="177">
        <v>0</v>
      </c>
      <c r="C48" s="361">
        <v>0</v>
      </c>
      <c r="D48" s="234">
        <v>0</v>
      </c>
      <c r="E48" s="60">
        <f t="shared" si="0"/>
        <v>0</v>
      </c>
      <c r="F48" s="74" t="s">
        <v>56</v>
      </c>
      <c r="G48" s="175">
        <v>0</v>
      </c>
      <c r="H48" s="256">
        <v>0</v>
      </c>
      <c r="I48" s="235">
        <v>0</v>
      </c>
      <c r="J48" s="76">
        <f t="shared" si="1"/>
        <v>0</v>
      </c>
    </row>
    <row r="49" spans="1:10" ht="14.95" customHeight="1" thickBot="1" x14ac:dyDescent="0.3">
      <c r="A49" s="43" t="s">
        <v>210</v>
      </c>
      <c r="B49" s="177">
        <v>0</v>
      </c>
      <c r="C49" s="361">
        <v>0</v>
      </c>
      <c r="D49" s="234">
        <v>0</v>
      </c>
      <c r="E49" s="60">
        <f t="shared" si="0"/>
        <v>0</v>
      </c>
      <c r="F49" s="74" t="s">
        <v>210</v>
      </c>
      <c r="G49" s="175">
        <v>0</v>
      </c>
      <c r="H49" s="256">
        <v>0</v>
      </c>
      <c r="I49" s="235">
        <v>0</v>
      </c>
      <c r="J49" s="76">
        <f t="shared" si="1"/>
        <v>0</v>
      </c>
    </row>
    <row r="50" spans="1:10" ht="14.95" customHeight="1" thickBot="1" x14ac:dyDescent="0.3">
      <c r="A50" s="43" t="s">
        <v>337</v>
      </c>
      <c r="B50" s="177">
        <v>2</v>
      </c>
      <c r="C50" s="361">
        <v>1</v>
      </c>
      <c r="D50" s="234">
        <v>0</v>
      </c>
      <c r="E50" s="60">
        <f t="shared" si="0"/>
        <v>3</v>
      </c>
      <c r="F50" s="74" t="s">
        <v>337</v>
      </c>
      <c r="G50" s="175">
        <v>10</v>
      </c>
      <c r="H50" s="256">
        <v>5</v>
      </c>
      <c r="I50" s="235">
        <v>0</v>
      </c>
      <c r="J50" s="76">
        <f t="shared" si="1"/>
        <v>15</v>
      </c>
    </row>
    <row r="51" spans="1:10" ht="14.95" thickBot="1" x14ac:dyDescent="0.3">
      <c r="A51" s="43" t="s">
        <v>49</v>
      </c>
      <c r="B51" s="177">
        <v>3</v>
      </c>
      <c r="C51" s="361">
        <v>0</v>
      </c>
      <c r="D51" s="234">
        <v>1</v>
      </c>
      <c r="E51" s="60">
        <f t="shared" si="0"/>
        <v>4</v>
      </c>
      <c r="F51" s="74" t="s">
        <v>49</v>
      </c>
      <c r="G51" s="175">
        <v>15</v>
      </c>
      <c r="H51" s="256">
        <v>0</v>
      </c>
      <c r="I51" s="235">
        <v>5</v>
      </c>
      <c r="J51" s="76">
        <f t="shared" si="1"/>
        <v>20</v>
      </c>
    </row>
    <row r="52" spans="1:10" ht="14.95" thickBot="1" x14ac:dyDescent="0.3">
      <c r="A52" s="43" t="s">
        <v>488</v>
      </c>
      <c r="B52" s="177">
        <v>0</v>
      </c>
      <c r="C52" s="361">
        <v>1</v>
      </c>
      <c r="D52" s="234">
        <v>2</v>
      </c>
      <c r="E52" s="60">
        <f t="shared" si="0"/>
        <v>3</v>
      </c>
      <c r="F52" s="74" t="s">
        <v>488</v>
      </c>
      <c r="G52" s="175">
        <v>0</v>
      </c>
      <c r="H52" s="256">
        <v>5</v>
      </c>
      <c r="I52" s="235">
        <v>10</v>
      </c>
      <c r="J52" s="76">
        <f t="shared" si="1"/>
        <v>15</v>
      </c>
    </row>
    <row r="53" spans="1:10" ht="14.95" thickBot="1" x14ac:dyDescent="0.3">
      <c r="A53" s="43" t="s">
        <v>921</v>
      </c>
      <c r="B53" s="177">
        <v>2</v>
      </c>
      <c r="C53" s="361">
        <v>0</v>
      </c>
      <c r="D53" s="234">
        <v>0</v>
      </c>
      <c r="E53" s="60">
        <f t="shared" si="0"/>
        <v>2</v>
      </c>
      <c r="F53" s="74" t="s">
        <v>921</v>
      </c>
      <c r="G53" s="175">
        <v>10</v>
      </c>
      <c r="H53" s="256">
        <v>0</v>
      </c>
      <c r="I53" s="235">
        <v>0</v>
      </c>
      <c r="J53" s="76">
        <f t="shared" si="1"/>
        <v>10</v>
      </c>
    </row>
    <row r="54" spans="1:10" ht="14.95" thickBot="1" x14ac:dyDescent="0.3">
      <c r="A54" s="43" t="s">
        <v>5</v>
      </c>
      <c r="B54" s="177">
        <v>0</v>
      </c>
      <c r="C54" s="361">
        <v>1</v>
      </c>
      <c r="D54" s="234">
        <v>0</v>
      </c>
      <c r="E54" s="60">
        <f t="shared" si="0"/>
        <v>1</v>
      </c>
      <c r="F54" s="74" t="s">
        <v>5</v>
      </c>
      <c r="G54" s="175">
        <v>0</v>
      </c>
      <c r="H54" s="256">
        <v>5</v>
      </c>
      <c r="I54" s="235">
        <v>0</v>
      </c>
      <c r="J54" s="76">
        <f t="shared" si="1"/>
        <v>5</v>
      </c>
    </row>
    <row r="55" spans="1:10" ht="14.95" thickBot="1" x14ac:dyDescent="0.3">
      <c r="A55" s="43" t="s">
        <v>3</v>
      </c>
      <c r="B55" s="177">
        <f>SUM(B3:B54)</f>
        <v>39</v>
      </c>
      <c r="C55" s="361">
        <f>SUM(C3:C54)</f>
        <v>8</v>
      </c>
      <c r="D55" s="234">
        <f>SUM(D3:D54)</f>
        <v>29</v>
      </c>
      <c r="E55" s="60">
        <f t="shared" ref="E55" si="18">SUM(B55:D55)</f>
        <v>76</v>
      </c>
      <c r="F55" s="74" t="s">
        <v>3</v>
      </c>
      <c r="G55" s="175">
        <f>SUM(G3:G54)</f>
        <v>257</v>
      </c>
      <c r="H55" s="256">
        <f>SUM(H3:H54)</f>
        <v>75</v>
      </c>
      <c r="I55" s="235">
        <f>SUM(I3:I54)</f>
        <v>200</v>
      </c>
      <c r="J55" s="76">
        <f t="shared" si="1"/>
        <v>532</v>
      </c>
    </row>
    <row r="56" spans="1:10" x14ac:dyDescent="0.25">
      <c r="A56" s="463"/>
      <c r="B56" s="464"/>
      <c r="C56" s="464"/>
      <c r="D56" s="464"/>
      <c r="E56" s="464"/>
      <c r="F56" s="464"/>
      <c r="G56" s="464"/>
      <c r="H56" s="464"/>
      <c r="I56" s="33"/>
      <c r="J56" s="33"/>
    </row>
    <row r="57" spans="1:10" ht="14.95" thickBot="1" x14ac:dyDescent="0.3">
      <c r="A57" t="s">
        <v>12</v>
      </c>
      <c r="B57" s="132"/>
      <c r="C57" s="72"/>
      <c r="D57" s="72"/>
      <c r="E57" s="46"/>
      <c r="F57" s="33"/>
      <c r="G57" s="133"/>
      <c r="H57" s="33"/>
      <c r="I57" s="300"/>
      <c r="J57" s="300"/>
    </row>
    <row r="58" spans="1:10" ht="14.95" thickBot="1" x14ac:dyDescent="0.3">
      <c r="A58" s="111" t="s">
        <v>0</v>
      </c>
      <c r="B58" s="176" t="s">
        <v>218</v>
      </c>
      <c r="C58" s="360" t="s">
        <v>30</v>
      </c>
      <c r="D58" s="232" t="s">
        <v>326</v>
      </c>
      <c r="E58" s="112" t="s">
        <v>1</v>
      </c>
      <c r="F58" s="113" t="s">
        <v>2</v>
      </c>
      <c r="G58" s="174" t="s">
        <v>218</v>
      </c>
      <c r="H58" s="255" t="s">
        <v>30</v>
      </c>
      <c r="I58" s="233" t="s">
        <v>326</v>
      </c>
      <c r="J58" s="105" t="s">
        <v>1</v>
      </c>
    </row>
    <row r="59" spans="1:10" ht="14.95" thickBot="1" x14ac:dyDescent="0.3">
      <c r="A59" s="43" t="s">
        <v>258</v>
      </c>
      <c r="B59" s="177">
        <v>2</v>
      </c>
      <c r="C59" s="361">
        <v>3</v>
      </c>
      <c r="D59" s="234">
        <v>1</v>
      </c>
      <c r="E59" s="60">
        <f t="shared" ref="E59:E90" si="19">SUM(B59:D59)</f>
        <v>6</v>
      </c>
      <c r="F59" s="74" t="s">
        <v>215</v>
      </c>
      <c r="G59" s="175">
        <v>48</v>
      </c>
      <c r="H59" s="256">
        <v>14</v>
      </c>
      <c r="I59" s="235">
        <v>6</v>
      </c>
      <c r="J59" s="76">
        <f t="shared" ref="J59:J90" si="20">SUM(G59:I59)</f>
        <v>68</v>
      </c>
    </row>
    <row r="60" spans="1:10" ht="14.95" thickBot="1" x14ac:dyDescent="0.3">
      <c r="A60" s="43" t="s">
        <v>914</v>
      </c>
      <c r="B60" s="177">
        <v>3</v>
      </c>
      <c r="C60" s="361">
        <v>0</v>
      </c>
      <c r="D60" s="234">
        <v>3</v>
      </c>
      <c r="E60" s="60">
        <f t="shared" si="19"/>
        <v>6</v>
      </c>
      <c r="F60" s="74" t="s">
        <v>168</v>
      </c>
      <c r="G60" s="175">
        <v>6</v>
      </c>
      <c r="H60" s="256">
        <v>21</v>
      </c>
      <c r="I60" s="235">
        <v>37</v>
      </c>
      <c r="J60" s="76">
        <f t="shared" si="20"/>
        <v>64</v>
      </c>
    </row>
    <row r="61" spans="1:10" ht="14.95" thickBot="1" x14ac:dyDescent="0.3">
      <c r="A61" s="43" t="s">
        <v>6</v>
      </c>
      <c r="B61" s="177">
        <v>5</v>
      </c>
      <c r="C61" s="361">
        <v>0</v>
      </c>
      <c r="D61" s="234">
        <v>0</v>
      </c>
      <c r="E61" s="60">
        <f t="shared" si="19"/>
        <v>5</v>
      </c>
      <c r="F61" s="74" t="s">
        <v>258</v>
      </c>
      <c r="G61" s="175">
        <v>18</v>
      </c>
      <c r="H61" s="256">
        <v>15</v>
      </c>
      <c r="I61" s="235">
        <v>17</v>
      </c>
      <c r="J61" s="76">
        <f t="shared" si="20"/>
        <v>50</v>
      </c>
    </row>
    <row r="62" spans="1:10" ht="14.95" thickBot="1" x14ac:dyDescent="0.3">
      <c r="A62" s="43" t="s">
        <v>332</v>
      </c>
      <c r="B62" s="177">
        <v>3</v>
      </c>
      <c r="C62" s="361">
        <v>1</v>
      </c>
      <c r="D62" s="234">
        <v>0</v>
      </c>
      <c r="E62" s="60">
        <f t="shared" si="19"/>
        <v>4</v>
      </c>
      <c r="F62" s="73" t="s">
        <v>914</v>
      </c>
      <c r="G62" s="175">
        <v>15</v>
      </c>
      <c r="H62" s="256">
        <v>0</v>
      </c>
      <c r="I62" s="235">
        <v>15</v>
      </c>
      <c r="J62" s="76">
        <f t="shared" si="20"/>
        <v>30</v>
      </c>
    </row>
    <row r="63" spans="1:10" ht="14.95" thickBot="1" x14ac:dyDescent="0.3">
      <c r="A63" s="43" t="s">
        <v>486</v>
      </c>
      <c r="B63" s="177">
        <v>1</v>
      </c>
      <c r="C63" s="361">
        <v>1</v>
      </c>
      <c r="D63" s="234">
        <v>2</v>
      </c>
      <c r="E63" s="60">
        <f t="shared" si="19"/>
        <v>4</v>
      </c>
      <c r="F63" s="73" t="s">
        <v>6</v>
      </c>
      <c r="G63" s="175">
        <v>25</v>
      </c>
      <c r="H63" s="256">
        <v>0</v>
      </c>
      <c r="I63" s="235">
        <v>0</v>
      </c>
      <c r="J63" s="76">
        <f t="shared" si="20"/>
        <v>25</v>
      </c>
    </row>
    <row r="64" spans="1:10" ht="14.95" thickBot="1" x14ac:dyDescent="0.3">
      <c r="A64" s="43" t="s">
        <v>49</v>
      </c>
      <c r="B64" s="177">
        <v>3</v>
      </c>
      <c r="C64" s="361">
        <v>0</v>
      </c>
      <c r="D64" s="234">
        <v>1</v>
      </c>
      <c r="E64" s="60">
        <f t="shared" si="19"/>
        <v>4</v>
      </c>
      <c r="F64" s="73" t="s">
        <v>332</v>
      </c>
      <c r="G64" s="175">
        <v>15</v>
      </c>
      <c r="H64" s="256">
        <v>5</v>
      </c>
      <c r="I64" s="235">
        <v>0</v>
      </c>
      <c r="J64" s="76">
        <f t="shared" si="20"/>
        <v>20</v>
      </c>
    </row>
    <row r="65" spans="1:10" ht="14.95" thickBot="1" x14ac:dyDescent="0.3">
      <c r="A65" s="43" t="s">
        <v>214</v>
      </c>
      <c r="B65" s="177">
        <v>2</v>
      </c>
      <c r="C65" s="361">
        <v>0</v>
      </c>
      <c r="D65" s="234">
        <v>1</v>
      </c>
      <c r="E65" s="60">
        <f t="shared" si="19"/>
        <v>3</v>
      </c>
      <c r="F65" s="74" t="s">
        <v>486</v>
      </c>
      <c r="G65" s="175">
        <v>5</v>
      </c>
      <c r="H65" s="256">
        <v>5</v>
      </c>
      <c r="I65" s="235">
        <v>10</v>
      </c>
      <c r="J65" s="76">
        <f t="shared" si="20"/>
        <v>20</v>
      </c>
    </row>
    <row r="66" spans="1:10" ht="14.95" thickBot="1" x14ac:dyDescent="0.3">
      <c r="A66" s="43" t="s">
        <v>794</v>
      </c>
      <c r="B66" s="177">
        <v>0</v>
      </c>
      <c r="C66" s="361">
        <v>0</v>
      </c>
      <c r="D66" s="234">
        <v>3</v>
      </c>
      <c r="E66" s="60">
        <f t="shared" si="19"/>
        <v>3</v>
      </c>
      <c r="F66" s="74" t="s">
        <v>49</v>
      </c>
      <c r="G66" s="175">
        <v>15</v>
      </c>
      <c r="H66" s="256">
        <v>0</v>
      </c>
      <c r="I66" s="235">
        <v>5</v>
      </c>
      <c r="J66" s="76">
        <f t="shared" si="20"/>
        <v>20</v>
      </c>
    </row>
    <row r="67" spans="1:10" ht="14.95" thickBot="1" x14ac:dyDescent="0.3">
      <c r="A67" s="43" t="s">
        <v>909</v>
      </c>
      <c r="B67" s="177">
        <v>1</v>
      </c>
      <c r="C67" s="361">
        <v>0</v>
      </c>
      <c r="D67" s="234">
        <v>2</v>
      </c>
      <c r="E67" s="60">
        <f t="shared" si="19"/>
        <v>3</v>
      </c>
      <c r="F67" s="74" t="s">
        <v>214</v>
      </c>
      <c r="G67" s="175">
        <v>10</v>
      </c>
      <c r="H67" s="256">
        <v>0</v>
      </c>
      <c r="I67" s="235">
        <v>5</v>
      </c>
      <c r="J67" s="76">
        <f t="shared" si="20"/>
        <v>15</v>
      </c>
    </row>
    <row r="68" spans="1:10" ht="14.95" thickBot="1" x14ac:dyDescent="0.3">
      <c r="A68" s="43" t="s">
        <v>337</v>
      </c>
      <c r="B68" s="177">
        <v>2</v>
      </c>
      <c r="C68" s="361">
        <v>1</v>
      </c>
      <c r="D68" s="234">
        <v>0</v>
      </c>
      <c r="E68" s="60">
        <f t="shared" si="19"/>
        <v>3</v>
      </c>
      <c r="F68" s="74" t="s">
        <v>794</v>
      </c>
      <c r="G68" s="175">
        <v>0</v>
      </c>
      <c r="H68" s="256">
        <v>0</v>
      </c>
      <c r="I68" s="235">
        <v>15</v>
      </c>
      <c r="J68" s="76">
        <f t="shared" si="20"/>
        <v>15</v>
      </c>
    </row>
    <row r="69" spans="1:10" ht="14.95" thickBot="1" x14ac:dyDescent="0.3">
      <c r="A69" s="43" t="s">
        <v>488</v>
      </c>
      <c r="B69" s="177">
        <v>0</v>
      </c>
      <c r="C69" s="361">
        <v>1</v>
      </c>
      <c r="D69" s="234">
        <v>2</v>
      </c>
      <c r="E69" s="60">
        <f t="shared" si="19"/>
        <v>3</v>
      </c>
      <c r="F69" s="74" t="s">
        <v>909</v>
      </c>
      <c r="G69" s="175">
        <v>5</v>
      </c>
      <c r="H69" s="256">
        <v>0</v>
      </c>
      <c r="I69" s="235">
        <v>10</v>
      </c>
      <c r="J69" s="76">
        <f t="shared" si="20"/>
        <v>15</v>
      </c>
    </row>
    <row r="70" spans="1:10" ht="14.95" thickBot="1" x14ac:dyDescent="0.3">
      <c r="A70" s="43" t="s">
        <v>916</v>
      </c>
      <c r="B70" s="177">
        <v>1</v>
      </c>
      <c r="C70" s="361">
        <v>0</v>
      </c>
      <c r="D70" s="234">
        <v>1</v>
      </c>
      <c r="E70" s="60">
        <f t="shared" si="19"/>
        <v>2</v>
      </c>
      <c r="F70" s="74" t="s">
        <v>337</v>
      </c>
      <c r="G70" s="175">
        <v>10</v>
      </c>
      <c r="H70" s="256">
        <v>5</v>
      </c>
      <c r="I70" s="235">
        <v>0</v>
      </c>
      <c r="J70" s="76">
        <f t="shared" si="20"/>
        <v>15</v>
      </c>
    </row>
    <row r="71" spans="1:10" ht="14.95" thickBot="1" x14ac:dyDescent="0.3">
      <c r="A71" s="43" t="s">
        <v>363</v>
      </c>
      <c r="B71" s="177">
        <v>1</v>
      </c>
      <c r="C71" s="361">
        <v>0</v>
      </c>
      <c r="D71" s="234">
        <v>1</v>
      </c>
      <c r="E71" s="60">
        <f t="shared" si="19"/>
        <v>2</v>
      </c>
      <c r="F71" s="74" t="s">
        <v>488</v>
      </c>
      <c r="G71" s="175">
        <v>0</v>
      </c>
      <c r="H71" s="256">
        <v>5</v>
      </c>
      <c r="I71" s="235">
        <v>10</v>
      </c>
      <c r="J71" s="76">
        <f t="shared" si="20"/>
        <v>15</v>
      </c>
    </row>
    <row r="72" spans="1:10" ht="14.95" thickBot="1" x14ac:dyDescent="0.3">
      <c r="A72" s="43" t="s">
        <v>25</v>
      </c>
      <c r="B72" s="177">
        <v>2</v>
      </c>
      <c r="C72" s="361">
        <v>0</v>
      </c>
      <c r="D72" s="234">
        <v>0</v>
      </c>
      <c r="E72" s="60">
        <f t="shared" si="19"/>
        <v>2</v>
      </c>
      <c r="F72" s="74" t="s">
        <v>916</v>
      </c>
      <c r="G72" s="175">
        <v>5</v>
      </c>
      <c r="H72" s="256">
        <v>0</v>
      </c>
      <c r="I72" s="235">
        <v>5</v>
      </c>
      <c r="J72" s="76">
        <f t="shared" si="20"/>
        <v>10</v>
      </c>
    </row>
    <row r="73" spans="1:10" ht="14.95" thickBot="1" x14ac:dyDescent="0.3">
      <c r="A73" s="43" t="s">
        <v>879</v>
      </c>
      <c r="B73" s="177">
        <v>1</v>
      </c>
      <c r="C73" s="361">
        <v>0</v>
      </c>
      <c r="D73" s="234">
        <v>1</v>
      </c>
      <c r="E73" s="60">
        <f t="shared" si="19"/>
        <v>2</v>
      </c>
      <c r="F73" s="74" t="s">
        <v>363</v>
      </c>
      <c r="G73" s="175">
        <v>5</v>
      </c>
      <c r="H73" s="256">
        <v>0</v>
      </c>
      <c r="I73" s="235">
        <v>5</v>
      </c>
      <c r="J73" s="76">
        <f t="shared" si="20"/>
        <v>10</v>
      </c>
    </row>
    <row r="74" spans="1:10" ht="14.95" thickBot="1" x14ac:dyDescent="0.3">
      <c r="A74" s="43" t="s">
        <v>861</v>
      </c>
      <c r="B74" s="177">
        <v>2</v>
      </c>
      <c r="C74" s="361">
        <v>0</v>
      </c>
      <c r="D74" s="234">
        <v>0</v>
      </c>
      <c r="E74" s="60">
        <f t="shared" si="19"/>
        <v>2</v>
      </c>
      <c r="F74" s="74" t="s">
        <v>25</v>
      </c>
      <c r="G74" s="175">
        <v>10</v>
      </c>
      <c r="H74" s="256">
        <v>0</v>
      </c>
      <c r="I74" s="235">
        <v>0</v>
      </c>
      <c r="J74" s="76">
        <f t="shared" si="20"/>
        <v>10</v>
      </c>
    </row>
    <row r="75" spans="1:10" ht="14.95" thickBot="1" x14ac:dyDescent="0.3">
      <c r="A75" s="43" t="s">
        <v>259</v>
      </c>
      <c r="B75" s="177">
        <v>0</v>
      </c>
      <c r="C75" s="361">
        <v>0</v>
      </c>
      <c r="D75" s="234">
        <v>2</v>
      </c>
      <c r="E75" s="60">
        <f t="shared" si="19"/>
        <v>2</v>
      </c>
      <c r="F75" s="74" t="s">
        <v>879</v>
      </c>
      <c r="G75" s="175">
        <v>5</v>
      </c>
      <c r="H75" s="256">
        <v>0</v>
      </c>
      <c r="I75" s="235">
        <v>5</v>
      </c>
      <c r="J75" s="76">
        <f t="shared" si="20"/>
        <v>10</v>
      </c>
    </row>
    <row r="76" spans="1:10" ht="14.95" thickBot="1" x14ac:dyDescent="0.3">
      <c r="A76" s="43" t="s">
        <v>359</v>
      </c>
      <c r="B76" s="177">
        <v>2</v>
      </c>
      <c r="C76" s="361">
        <v>0</v>
      </c>
      <c r="D76" s="234">
        <v>0</v>
      </c>
      <c r="E76" s="60">
        <f t="shared" si="19"/>
        <v>2</v>
      </c>
      <c r="F76" s="74" t="s">
        <v>861</v>
      </c>
      <c r="G76" s="175">
        <v>10</v>
      </c>
      <c r="H76" s="256">
        <v>0</v>
      </c>
      <c r="I76" s="235">
        <v>0</v>
      </c>
      <c r="J76" s="76">
        <f t="shared" si="20"/>
        <v>10</v>
      </c>
    </row>
    <row r="77" spans="1:10" ht="14.95" thickBot="1" x14ac:dyDescent="0.3">
      <c r="A77" s="43" t="s">
        <v>48</v>
      </c>
      <c r="B77" s="177">
        <v>1</v>
      </c>
      <c r="C77" s="361">
        <v>0</v>
      </c>
      <c r="D77" s="234">
        <v>1</v>
      </c>
      <c r="E77" s="60">
        <f t="shared" si="19"/>
        <v>2</v>
      </c>
      <c r="F77" s="74" t="s">
        <v>259</v>
      </c>
      <c r="G77" s="175">
        <v>0</v>
      </c>
      <c r="H77" s="256">
        <v>0</v>
      </c>
      <c r="I77" s="235">
        <v>10</v>
      </c>
      <c r="J77" s="76">
        <f t="shared" si="20"/>
        <v>10</v>
      </c>
    </row>
    <row r="78" spans="1:10" ht="14.95" thickBot="1" x14ac:dyDescent="0.3">
      <c r="A78" s="43" t="s">
        <v>921</v>
      </c>
      <c r="B78" s="177">
        <v>2</v>
      </c>
      <c r="C78" s="361">
        <v>0</v>
      </c>
      <c r="D78" s="234">
        <v>0</v>
      </c>
      <c r="E78" s="60">
        <f t="shared" si="19"/>
        <v>2</v>
      </c>
      <c r="F78" s="74" t="s">
        <v>359</v>
      </c>
      <c r="G78" s="175">
        <v>10</v>
      </c>
      <c r="H78" s="256">
        <v>0</v>
      </c>
      <c r="I78" s="235">
        <v>0</v>
      </c>
      <c r="J78" s="76">
        <f t="shared" si="20"/>
        <v>10</v>
      </c>
    </row>
    <row r="79" spans="1:10" ht="14.95" thickBot="1" x14ac:dyDescent="0.3">
      <c r="A79" s="43" t="s">
        <v>368</v>
      </c>
      <c r="B79" s="177">
        <v>1</v>
      </c>
      <c r="C79" s="361">
        <v>0</v>
      </c>
      <c r="D79" s="234">
        <v>0</v>
      </c>
      <c r="E79" s="60">
        <f t="shared" si="19"/>
        <v>1</v>
      </c>
      <c r="F79" s="74" t="s">
        <v>48</v>
      </c>
      <c r="G79" s="175">
        <v>5</v>
      </c>
      <c r="H79" s="256">
        <v>0</v>
      </c>
      <c r="I79" s="235">
        <v>5</v>
      </c>
      <c r="J79" s="76">
        <f t="shared" si="20"/>
        <v>10</v>
      </c>
    </row>
    <row r="80" spans="1:10" ht="14.95" thickBot="1" x14ac:dyDescent="0.3">
      <c r="A80" s="43" t="s">
        <v>1127</v>
      </c>
      <c r="B80" s="177">
        <v>1</v>
      </c>
      <c r="C80" s="361">
        <v>0</v>
      </c>
      <c r="D80" s="234">
        <v>0</v>
      </c>
      <c r="E80" s="60">
        <f t="shared" si="19"/>
        <v>1</v>
      </c>
      <c r="F80" s="74" t="s">
        <v>921</v>
      </c>
      <c r="G80" s="175">
        <v>10</v>
      </c>
      <c r="H80" s="256">
        <v>0</v>
      </c>
      <c r="I80" s="235">
        <v>0</v>
      </c>
      <c r="J80" s="76">
        <f t="shared" si="20"/>
        <v>10</v>
      </c>
    </row>
    <row r="81" spans="1:10" ht="14.95" thickBot="1" x14ac:dyDescent="0.3">
      <c r="A81" s="43" t="s">
        <v>911</v>
      </c>
      <c r="B81" s="177">
        <v>0</v>
      </c>
      <c r="C81" s="361">
        <v>0</v>
      </c>
      <c r="D81" s="234">
        <v>1</v>
      </c>
      <c r="E81" s="60">
        <f t="shared" si="19"/>
        <v>1</v>
      </c>
      <c r="F81" s="74" t="s">
        <v>368</v>
      </c>
      <c r="G81" s="175">
        <v>5</v>
      </c>
      <c r="H81" s="256">
        <v>0</v>
      </c>
      <c r="I81" s="235">
        <v>0</v>
      </c>
      <c r="J81" s="76">
        <f t="shared" si="20"/>
        <v>5</v>
      </c>
    </row>
    <row r="82" spans="1:10" ht="14.95" thickBot="1" x14ac:dyDescent="0.3">
      <c r="A82" s="43" t="s">
        <v>856</v>
      </c>
      <c r="B82" s="177">
        <v>0</v>
      </c>
      <c r="C82" s="361">
        <v>0</v>
      </c>
      <c r="D82" s="234">
        <v>1</v>
      </c>
      <c r="E82" s="60">
        <f t="shared" si="19"/>
        <v>1</v>
      </c>
      <c r="F82" s="74" t="s">
        <v>1127</v>
      </c>
      <c r="G82" s="175">
        <v>5</v>
      </c>
      <c r="H82" s="256">
        <v>0</v>
      </c>
      <c r="I82" s="235">
        <v>0</v>
      </c>
      <c r="J82" s="76">
        <f t="shared" si="20"/>
        <v>5</v>
      </c>
    </row>
    <row r="83" spans="1:10" ht="14.95" thickBot="1" x14ac:dyDescent="0.3">
      <c r="A83" s="43" t="s">
        <v>910</v>
      </c>
      <c r="B83" s="177">
        <v>0</v>
      </c>
      <c r="C83" s="361">
        <v>0</v>
      </c>
      <c r="D83" s="234">
        <v>1</v>
      </c>
      <c r="E83" s="60">
        <f t="shared" si="19"/>
        <v>1</v>
      </c>
      <c r="F83" s="74" t="s">
        <v>911</v>
      </c>
      <c r="G83" s="175">
        <v>0</v>
      </c>
      <c r="H83" s="256">
        <v>0</v>
      </c>
      <c r="I83" s="235">
        <v>5</v>
      </c>
      <c r="J83" s="76">
        <f t="shared" si="20"/>
        <v>5</v>
      </c>
    </row>
    <row r="84" spans="1:10" ht="14.95" thickBot="1" x14ac:dyDescent="0.3">
      <c r="A84" s="43" t="s">
        <v>637</v>
      </c>
      <c r="B84" s="177">
        <v>0</v>
      </c>
      <c r="C84" s="361">
        <v>0</v>
      </c>
      <c r="D84" s="234">
        <v>1</v>
      </c>
      <c r="E84" s="60">
        <f t="shared" si="19"/>
        <v>1</v>
      </c>
      <c r="F84" s="74" t="s">
        <v>856</v>
      </c>
      <c r="G84" s="175">
        <v>0</v>
      </c>
      <c r="H84" s="256">
        <v>0</v>
      </c>
      <c r="I84" s="235">
        <v>5</v>
      </c>
      <c r="J84" s="76">
        <f t="shared" si="20"/>
        <v>5</v>
      </c>
    </row>
    <row r="85" spans="1:10" ht="14.95" thickBot="1" x14ac:dyDescent="0.3">
      <c r="A85" s="43" t="s">
        <v>1033</v>
      </c>
      <c r="B85" s="177">
        <v>0</v>
      </c>
      <c r="C85" s="361">
        <v>0</v>
      </c>
      <c r="D85" s="234">
        <v>1</v>
      </c>
      <c r="E85" s="60">
        <f t="shared" si="19"/>
        <v>1</v>
      </c>
      <c r="F85" s="74" t="s">
        <v>910</v>
      </c>
      <c r="G85" s="175">
        <v>0</v>
      </c>
      <c r="H85" s="256">
        <v>0</v>
      </c>
      <c r="I85" s="235">
        <v>5</v>
      </c>
      <c r="J85" s="76">
        <f t="shared" si="20"/>
        <v>5</v>
      </c>
    </row>
    <row r="86" spans="1:10" ht="14.95" thickBot="1" x14ac:dyDescent="0.3">
      <c r="A86" s="43" t="s">
        <v>1110</v>
      </c>
      <c r="B86" s="177">
        <v>0</v>
      </c>
      <c r="C86" s="361">
        <v>0</v>
      </c>
      <c r="D86" s="234">
        <v>1</v>
      </c>
      <c r="E86" s="60">
        <f t="shared" si="19"/>
        <v>1</v>
      </c>
      <c r="F86" s="74" t="s">
        <v>637</v>
      </c>
      <c r="G86" s="175">
        <v>0</v>
      </c>
      <c r="H86" s="256">
        <v>0</v>
      </c>
      <c r="I86" s="235">
        <v>5</v>
      </c>
      <c r="J86" s="76">
        <f t="shared" si="20"/>
        <v>5</v>
      </c>
    </row>
    <row r="87" spans="1:10" ht="14.95" thickBot="1" x14ac:dyDescent="0.3">
      <c r="A87" s="43" t="s">
        <v>229</v>
      </c>
      <c r="B87" s="177">
        <v>0</v>
      </c>
      <c r="C87" s="361">
        <v>0</v>
      </c>
      <c r="D87" s="234">
        <v>1</v>
      </c>
      <c r="E87" s="60">
        <f t="shared" si="19"/>
        <v>1</v>
      </c>
      <c r="F87" s="74" t="s">
        <v>1033</v>
      </c>
      <c r="G87" s="175">
        <v>0</v>
      </c>
      <c r="H87" s="256">
        <v>0</v>
      </c>
      <c r="I87" s="235">
        <v>5</v>
      </c>
      <c r="J87" s="76">
        <f t="shared" si="20"/>
        <v>5</v>
      </c>
    </row>
    <row r="88" spans="1:10" ht="14.95" thickBot="1" x14ac:dyDescent="0.3">
      <c r="A88" s="43" t="s">
        <v>1065</v>
      </c>
      <c r="B88" s="177">
        <v>1</v>
      </c>
      <c r="C88" s="361">
        <v>0</v>
      </c>
      <c r="D88" s="234">
        <v>0</v>
      </c>
      <c r="E88" s="60">
        <f t="shared" si="19"/>
        <v>1</v>
      </c>
      <c r="F88" s="74" t="s">
        <v>1110</v>
      </c>
      <c r="G88" s="175">
        <v>0</v>
      </c>
      <c r="H88" s="256">
        <v>0</v>
      </c>
      <c r="I88" s="235">
        <v>5</v>
      </c>
      <c r="J88" s="76">
        <f t="shared" si="20"/>
        <v>5</v>
      </c>
    </row>
    <row r="89" spans="1:10" ht="14.95" thickBot="1" x14ac:dyDescent="0.3">
      <c r="A89" s="43" t="s">
        <v>559</v>
      </c>
      <c r="B89" s="177">
        <v>0</v>
      </c>
      <c r="C89" s="361">
        <v>0</v>
      </c>
      <c r="D89" s="234">
        <v>1</v>
      </c>
      <c r="E89" s="60">
        <f t="shared" si="19"/>
        <v>1</v>
      </c>
      <c r="F89" s="74" t="s">
        <v>229</v>
      </c>
      <c r="G89" s="175">
        <v>0</v>
      </c>
      <c r="H89" s="256">
        <v>0</v>
      </c>
      <c r="I89" s="235">
        <v>5</v>
      </c>
      <c r="J89" s="76">
        <f t="shared" si="20"/>
        <v>5</v>
      </c>
    </row>
    <row r="90" spans="1:10" ht="14.95" thickBot="1" x14ac:dyDescent="0.3">
      <c r="A90" s="43" t="s">
        <v>913</v>
      </c>
      <c r="B90" s="177">
        <v>1</v>
      </c>
      <c r="C90" s="361">
        <v>0</v>
      </c>
      <c r="D90" s="234">
        <v>0</v>
      </c>
      <c r="E90" s="60">
        <f t="shared" si="19"/>
        <v>1</v>
      </c>
      <c r="F90" s="74" t="s">
        <v>1065</v>
      </c>
      <c r="G90" s="175">
        <v>5</v>
      </c>
      <c r="H90" s="256">
        <v>0</v>
      </c>
      <c r="I90" s="235">
        <v>0</v>
      </c>
      <c r="J90" s="76">
        <f t="shared" si="20"/>
        <v>5</v>
      </c>
    </row>
    <row r="91" spans="1:10" ht="14.95" thickBot="1" x14ac:dyDescent="0.3">
      <c r="A91" s="43" t="s">
        <v>62</v>
      </c>
      <c r="B91" s="177">
        <v>1</v>
      </c>
      <c r="C91" s="361">
        <v>0</v>
      </c>
      <c r="D91" s="234">
        <v>0</v>
      </c>
      <c r="E91" s="60">
        <f t="shared" ref="E91:E122" si="21">SUM(B91:D91)</f>
        <v>1</v>
      </c>
      <c r="F91" s="74" t="s">
        <v>559</v>
      </c>
      <c r="G91" s="175">
        <v>0</v>
      </c>
      <c r="H91" s="256">
        <v>0</v>
      </c>
      <c r="I91" s="235">
        <v>5</v>
      </c>
      <c r="J91" s="76">
        <f t="shared" ref="J91:J122" si="22">SUM(G91:I91)</f>
        <v>5</v>
      </c>
    </row>
    <row r="92" spans="1:10" ht="14.95" thickBot="1" x14ac:dyDescent="0.3">
      <c r="A92" s="43" t="s">
        <v>5</v>
      </c>
      <c r="B92" s="177">
        <v>0</v>
      </c>
      <c r="C92" s="361">
        <v>1</v>
      </c>
      <c r="D92" s="234">
        <v>0</v>
      </c>
      <c r="E92" s="60">
        <f t="shared" si="21"/>
        <v>1</v>
      </c>
      <c r="F92" s="74" t="s">
        <v>913</v>
      </c>
      <c r="G92" s="175">
        <v>5</v>
      </c>
      <c r="H92" s="256">
        <v>0</v>
      </c>
      <c r="I92" s="235">
        <v>0</v>
      </c>
      <c r="J92" s="76">
        <f t="shared" si="22"/>
        <v>5</v>
      </c>
    </row>
    <row r="93" spans="1:10" ht="14.95" thickBot="1" x14ac:dyDescent="0.3">
      <c r="A93" s="43" t="s">
        <v>840</v>
      </c>
      <c r="B93" s="177">
        <v>0</v>
      </c>
      <c r="C93" s="361">
        <v>0</v>
      </c>
      <c r="D93" s="234">
        <v>0</v>
      </c>
      <c r="E93" s="60">
        <f t="shared" si="21"/>
        <v>0</v>
      </c>
      <c r="F93" s="74" t="s">
        <v>62</v>
      </c>
      <c r="G93" s="175">
        <v>5</v>
      </c>
      <c r="H93" s="256">
        <v>0</v>
      </c>
      <c r="I93" s="235">
        <v>0</v>
      </c>
      <c r="J93" s="76">
        <f t="shared" si="22"/>
        <v>5</v>
      </c>
    </row>
    <row r="94" spans="1:10" ht="14.95" thickBot="1" x14ac:dyDescent="0.3">
      <c r="A94" s="43" t="s">
        <v>168</v>
      </c>
      <c r="B94" s="177">
        <v>0</v>
      </c>
      <c r="C94" s="361">
        <v>0</v>
      </c>
      <c r="D94" s="234">
        <v>0</v>
      </c>
      <c r="E94" s="60">
        <f t="shared" si="21"/>
        <v>0</v>
      </c>
      <c r="F94" s="74" t="s">
        <v>5</v>
      </c>
      <c r="G94" s="175">
        <v>0</v>
      </c>
      <c r="H94" s="256">
        <v>5</v>
      </c>
      <c r="I94" s="235">
        <v>0</v>
      </c>
      <c r="J94" s="76">
        <f t="shared" si="22"/>
        <v>5</v>
      </c>
    </row>
    <row r="95" spans="1:10" ht="14.95" thickBot="1" x14ac:dyDescent="0.3">
      <c r="A95" s="43" t="s">
        <v>917</v>
      </c>
      <c r="B95" s="177">
        <v>0</v>
      </c>
      <c r="C95" s="361">
        <v>0</v>
      </c>
      <c r="D95" s="234">
        <v>0</v>
      </c>
      <c r="E95" s="60">
        <f t="shared" si="21"/>
        <v>0</v>
      </c>
      <c r="F95" s="74" t="s">
        <v>840</v>
      </c>
      <c r="G95" s="175">
        <v>0</v>
      </c>
      <c r="H95" s="256">
        <v>0</v>
      </c>
      <c r="I95" s="235">
        <v>0</v>
      </c>
      <c r="J95" s="76">
        <f t="shared" si="22"/>
        <v>0</v>
      </c>
    </row>
    <row r="96" spans="1:10" ht="14.95" thickBot="1" x14ac:dyDescent="0.3">
      <c r="A96" s="43" t="s">
        <v>920</v>
      </c>
      <c r="B96" s="177">
        <v>0</v>
      </c>
      <c r="C96" s="361">
        <v>0</v>
      </c>
      <c r="D96" s="234">
        <v>0</v>
      </c>
      <c r="E96" s="60">
        <f t="shared" si="21"/>
        <v>0</v>
      </c>
      <c r="F96" s="74" t="s">
        <v>917</v>
      </c>
      <c r="G96" s="175">
        <v>0</v>
      </c>
      <c r="H96" s="256">
        <v>0</v>
      </c>
      <c r="I96" s="235">
        <v>0</v>
      </c>
      <c r="J96" s="76">
        <f t="shared" si="22"/>
        <v>0</v>
      </c>
    </row>
    <row r="97" spans="1:10" ht="14.95" thickBot="1" x14ac:dyDescent="0.3">
      <c r="A97" s="43" t="s">
        <v>918</v>
      </c>
      <c r="B97" s="177">
        <v>0</v>
      </c>
      <c r="C97" s="361">
        <v>0</v>
      </c>
      <c r="D97" s="234">
        <v>0</v>
      </c>
      <c r="E97" s="60">
        <f t="shared" si="21"/>
        <v>0</v>
      </c>
      <c r="F97" s="74" t="s">
        <v>920</v>
      </c>
      <c r="G97" s="175">
        <v>0</v>
      </c>
      <c r="H97" s="256">
        <v>0</v>
      </c>
      <c r="I97" s="235">
        <v>0</v>
      </c>
      <c r="J97" s="76">
        <f t="shared" si="22"/>
        <v>0</v>
      </c>
    </row>
    <row r="98" spans="1:10" ht="14.95" thickBot="1" x14ac:dyDescent="0.3">
      <c r="A98" s="43" t="s">
        <v>215</v>
      </c>
      <c r="B98" s="177">
        <v>0</v>
      </c>
      <c r="C98" s="361">
        <v>0</v>
      </c>
      <c r="D98" s="234">
        <v>0</v>
      </c>
      <c r="E98" s="60">
        <f t="shared" si="21"/>
        <v>0</v>
      </c>
      <c r="F98" s="74" t="s">
        <v>918</v>
      </c>
      <c r="G98" s="175">
        <v>0</v>
      </c>
      <c r="H98" s="256">
        <v>0</v>
      </c>
      <c r="I98" s="235">
        <v>0</v>
      </c>
      <c r="J98" s="76">
        <f t="shared" si="22"/>
        <v>0</v>
      </c>
    </row>
    <row r="99" spans="1:10" ht="14.95" thickBot="1" x14ac:dyDescent="0.3">
      <c r="A99" s="43" t="s">
        <v>826</v>
      </c>
      <c r="B99" s="177">
        <v>0</v>
      </c>
      <c r="C99" s="361">
        <v>0</v>
      </c>
      <c r="D99" s="234">
        <v>0</v>
      </c>
      <c r="E99" s="60">
        <f t="shared" si="21"/>
        <v>0</v>
      </c>
      <c r="F99" s="74" t="s">
        <v>826</v>
      </c>
      <c r="G99" s="175">
        <v>0</v>
      </c>
      <c r="H99" s="256">
        <v>0</v>
      </c>
      <c r="I99" s="235">
        <v>0</v>
      </c>
      <c r="J99" s="76">
        <f t="shared" si="22"/>
        <v>0</v>
      </c>
    </row>
    <row r="100" spans="1:10" ht="14.95" thickBot="1" x14ac:dyDescent="0.3">
      <c r="A100" s="43" t="s">
        <v>570</v>
      </c>
      <c r="B100" s="177">
        <v>0</v>
      </c>
      <c r="C100" s="361">
        <v>0</v>
      </c>
      <c r="D100" s="234">
        <v>0</v>
      </c>
      <c r="E100" s="60">
        <f t="shared" si="21"/>
        <v>0</v>
      </c>
      <c r="F100" s="74" t="s">
        <v>570</v>
      </c>
      <c r="G100" s="175">
        <v>0</v>
      </c>
      <c r="H100" s="256">
        <v>0</v>
      </c>
      <c r="I100" s="235">
        <v>0</v>
      </c>
      <c r="J100" s="76">
        <f t="shared" si="22"/>
        <v>0</v>
      </c>
    </row>
    <row r="101" spans="1:10" ht="14.95" thickBot="1" x14ac:dyDescent="0.3">
      <c r="A101" s="43" t="s">
        <v>231</v>
      </c>
      <c r="B101" s="177">
        <v>0</v>
      </c>
      <c r="C101" s="361">
        <v>0</v>
      </c>
      <c r="D101" s="234">
        <v>0</v>
      </c>
      <c r="E101" s="60">
        <f t="shared" si="21"/>
        <v>0</v>
      </c>
      <c r="F101" s="74" t="s">
        <v>231</v>
      </c>
      <c r="G101" s="175">
        <v>0</v>
      </c>
      <c r="H101" s="256">
        <v>0</v>
      </c>
      <c r="I101" s="235">
        <v>0</v>
      </c>
      <c r="J101" s="76">
        <f t="shared" si="22"/>
        <v>0</v>
      </c>
    </row>
    <row r="102" spans="1:10" ht="14.95" thickBot="1" x14ac:dyDescent="0.3">
      <c r="A102" s="43" t="s">
        <v>634</v>
      </c>
      <c r="B102" s="177">
        <v>0</v>
      </c>
      <c r="C102" s="361">
        <v>0</v>
      </c>
      <c r="D102" s="234">
        <v>0</v>
      </c>
      <c r="E102" s="60">
        <f t="shared" si="21"/>
        <v>0</v>
      </c>
      <c r="F102" s="74" t="s">
        <v>634</v>
      </c>
      <c r="G102" s="175">
        <v>0</v>
      </c>
      <c r="H102" s="256">
        <v>0</v>
      </c>
      <c r="I102" s="235">
        <v>0</v>
      </c>
      <c r="J102" s="76">
        <f t="shared" si="22"/>
        <v>0</v>
      </c>
    </row>
    <row r="103" spans="1:10" ht="14.95" thickBot="1" x14ac:dyDescent="0.3">
      <c r="A103" s="43" t="s">
        <v>919</v>
      </c>
      <c r="B103" s="177">
        <v>0</v>
      </c>
      <c r="C103" s="361">
        <v>0</v>
      </c>
      <c r="D103" s="234">
        <v>0</v>
      </c>
      <c r="E103" s="60">
        <f t="shared" si="21"/>
        <v>0</v>
      </c>
      <c r="F103" s="74" t="s">
        <v>919</v>
      </c>
      <c r="G103" s="175">
        <v>0</v>
      </c>
      <c r="H103" s="256">
        <v>0</v>
      </c>
      <c r="I103" s="235">
        <v>0</v>
      </c>
      <c r="J103" s="76">
        <f t="shared" si="22"/>
        <v>0</v>
      </c>
    </row>
    <row r="104" spans="1:10" ht="14.95" thickBot="1" x14ac:dyDescent="0.3">
      <c r="A104" s="43" t="s">
        <v>915</v>
      </c>
      <c r="B104" s="177">
        <v>0</v>
      </c>
      <c r="C104" s="361">
        <v>0</v>
      </c>
      <c r="D104" s="234">
        <v>0</v>
      </c>
      <c r="E104" s="60">
        <f t="shared" si="21"/>
        <v>0</v>
      </c>
      <c r="F104" s="74" t="s">
        <v>915</v>
      </c>
      <c r="G104" s="175">
        <v>0</v>
      </c>
      <c r="H104" s="256">
        <v>0</v>
      </c>
      <c r="I104" s="235">
        <v>0</v>
      </c>
      <c r="J104" s="76">
        <f t="shared" si="22"/>
        <v>0</v>
      </c>
    </row>
    <row r="105" spans="1:10" ht="14.95" thickBot="1" x14ac:dyDescent="0.3">
      <c r="A105" s="43" t="s">
        <v>641</v>
      </c>
      <c r="B105" s="177">
        <v>0</v>
      </c>
      <c r="C105" s="361">
        <v>0</v>
      </c>
      <c r="D105" s="234">
        <v>0</v>
      </c>
      <c r="E105" s="60">
        <f t="shared" si="21"/>
        <v>0</v>
      </c>
      <c r="F105" s="74" t="s">
        <v>641</v>
      </c>
      <c r="G105" s="175">
        <v>0</v>
      </c>
      <c r="H105" s="256">
        <v>0</v>
      </c>
      <c r="I105" s="235">
        <v>0</v>
      </c>
      <c r="J105" s="76">
        <f t="shared" si="22"/>
        <v>0</v>
      </c>
    </row>
    <row r="106" spans="1:10" ht="14.95" thickBot="1" x14ac:dyDescent="0.3">
      <c r="A106" s="43" t="s">
        <v>24</v>
      </c>
      <c r="B106" s="177">
        <v>0</v>
      </c>
      <c r="C106" s="361">
        <v>0</v>
      </c>
      <c r="D106" s="234">
        <v>0</v>
      </c>
      <c r="E106" s="60">
        <f t="shared" si="21"/>
        <v>0</v>
      </c>
      <c r="F106" s="74" t="s">
        <v>24</v>
      </c>
      <c r="G106" s="175">
        <v>0</v>
      </c>
      <c r="H106" s="256">
        <v>0</v>
      </c>
      <c r="I106" s="235">
        <v>0</v>
      </c>
      <c r="J106" s="76">
        <f t="shared" si="22"/>
        <v>0</v>
      </c>
    </row>
    <row r="107" spans="1:10" ht="14.95" thickBot="1" x14ac:dyDescent="0.3">
      <c r="A107" s="43" t="s">
        <v>4</v>
      </c>
      <c r="B107" s="177">
        <v>0</v>
      </c>
      <c r="C107" s="361">
        <v>0</v>
      </c>
      <c r="D107" s="234">
        <v>0</v>
      </c>
      <c r="E107" s="60">
        <f t="shared" si="21"/>
        <v>0</v>
      </c>
      <c r="F107" s="74" t="s">
        <v>4</v>
      </c>
      <c r="G107" s="175">
        <v>0</v>
      </c>
      <c r="H107" s="256">
        <v>0</v>
      </c>
      <c r="I107" s="235">
        <v>0</v>
      </c>
      <c r="J107" s="76">
        <f t="shared" si="22"/>
        <v>0</v>
      </c>
    </row>
    <row r="108" spans="1:10" ht="14.95" thickBot="1" x14ac:dyDescent="0.3">
      <c r="A108" s="43" t="s">
        <v>510</v>
      </c>
      <c r="B108" s="177">
        <v>0</v>
      </c>
      <c r="C108" s="361">
        <v>0</v>
      </c>
      <c r="D108" s="234">
        <v>0</v>
      </c>
      <c r="E108" s="60">
        <f t="shared" si="21"/>
        <v>0</v>
      </c>
      <c r="F108" s="74" t="s">
        <v>510</v>
      </c>
      <c r="G108" s="175">
        <v>0</v>
      </c>
      <c r="H108" s="256">
        <v>0</v>
      </c>
      <c r="I108" s="235">
        <v>0</v>
      </c>
      <c r="J108" s="76">
        <f t="shared" si="22"/>
        <v>0</v>
      </c>
    </row>
    <row r="109" spans="1:10" ht="16.3" customHeight="1" thickBot="1" x14ac:dyDescent="0.3">
      <c r="A109" s="43" t="s">
        <v>56</v>
      </c>
      <c r="B109" s="177">
        <v>0</v>
      </c>
      <c r="C109" s="361">
        <v>0</v>
      </c>
      <c r="D109" s="234">
        <v>0</v>
      </c>
      <c r="E109" s="60">
        <f t="shared" si="21"/>
        <v>0</v>
      </c>
      <c r="F109" s="74" t="s">
        <v>56</v>
      </c>
      <c r="G109" s="175">
        <v>0</v>
      </c>
      <c r="H109" s="256">
        <v>0</v>
      </c>
      <c r="I109" s="235">
        <v>0</v>
      </c>
      <c r="J109" s="76">
        <f t="shared" si="22"/>
        <v>0</v>
      </c>
    </row>
    <row r="110" spans="1:10" ht="14.95" thickBot="1" x14ac:dyDescent="0.3">
      <c r="A110" s="43" t="s">
        <v>210</v>
      </c>
      <c r="B110" s="177">
        <v>0</v>
      </c>
      <c r="C110" s="361">
        <v>0</v>
      </c>
      <c r="D110" s="234">
        <v>0</v>
      </c>
      <c r="E110" s="60">
        <f t="shared" si="21"/>
        <v>0</v>
      </c>
      <c r="F110" s="74" t="s">
        <v>210</v>
      </c>
      <c r="G110" s="175">
        <v>0</v>
      </c>
      <c r="H110" s="256">
        <v>0</v>
      </c>
      <c r="I110" s="235">
        <v>0</v>
      </c>
      <c r="J110" s="76">
        <f t="shared" si="22"/>
        <v>0</v>
      </c>
    </row>
    <row r="111" spans="1:10" ht="16.3" customHeight="1" thickBot="1" x14ac:dyDescent="0.3">
      <c r="A111" s="43" t="s">
        <v>3</v>
      </c>
      <c r="B111" s="177">
        <f>SUM(B59:B110)</f>
        <v>39</v>
      </c>
      <c r="C111" s="361">
        <f>SUM(C59:C110)</f>
        <v>8</v>
      </c>
      <c r="D111" s="234">
        <f>SUM(D59:D110)</f>
        <v>29</v>
      </c>
      <c r="E111" s="60">
        <f t="shared" ref="E111" si="23">SUM(B111:D111)</f>
        <v>76</v>
      </c>
      <c r="F111" s="74" t="s">
        <v>3</v>
      </c>
      <c r="G111" s="175">
        <f>SUM(G59:G110)</f>
        <v>257</v>
      </c>
      <c r="H111" s="256">
        <f>SUM(H59:H110)</f>
        <v>75</v>
      </c>
      <c r="I111" s="235">
        <f>SUM(I59:I110)</f>
        <v>200</v>
      </c>
      <c r="J111" s="76">
        <f t="shared" ref="J111" si="24">SUM(G111:I111)</f>
        <v>532</v>
      </c>
    </row>
    <row r="112" spans="1:10" ht="16.3" x14ac:dyDescent="0.3">
      <c r="A112" s="447" t="s">
        <v>34</v>
      </c>
      <c r="B112" s="448"/>
      <c r="C112" s="448"/>
      <c r="D112" s="448"/>
      <c r="E112" s="448"/>
      <c r="F112" s="448"/>
      <c r="G112" s="448"/>
      <c r="H112" s="448"/>
      <c r="I112" s="448"/>
      <c r="J112" s="448"/>
    </row>
  </sheetData>
  <sortState xmlns:xlrd2="http://schemas.microsoft.com/office/spreadsheetml/2017/richdata2" ref="F59:J110">
    <sortCondition descending="1" ref="J59:J110"/>
  </sortState>
  <mergeCells count="63">
    <mergeCell ref="BA20:BC21"/>
    <mergeCell ref="BA1:BC2"/>
    <mergeCell ref="AX1:AZ2"/>
    <mergeCell ref="AX11:AZ12"/>
    <mergeCell ref="K39:W39"/>
    <mergeCell ref="AI29:AK30"/>
    <mergeCell ref="AU29:AW30"/>
    <mergeCell ref="AX20:AZ21"/>
    <mergeCell ref="AO29:AQ30"/>
    <mergeCell ref="AL29:AN30"/>
    <mergeCell ref="AR20:AT21"/>
    <mergeCell ref="AU20:AW21"/>
    <mergeCell ref="AR29:AT30"/>
    <mergeCell ref="AL20:AN21"/>
    <mergeCell ref="AI1:AK2"/>
    <mergeCell ref="BG1:BI2"/>
    <mergeCell ref="BA11:BC12"/>
    <mergeCell ref="AR1:AT2"/>
    <mergeCell ref="AR11:AT12"/>
    <mergeCell ref="AO1:AQ2"/>
    <mergeCell ref="AU1:AW2"/>
    <mergeCell ref="BD1:BF2"/>
    <mergeCell ref="AU11:AW12"/>
    <mergeCell ref="AO20:AQ21"/>
    <mergeCell ref="AI11:AK12"/>
    <mergeCell ref="AI20:AK21"/>
    <mergeCell ref="R20:T21"/>
    <mergeCell ref="AL11:AN12"/>
    <mergeCell ref="AO11:AQ12"/>
    <mergeCell ref="AF11:AH12"/>
    <mergeCell ref="AF20:AH21"/>
    <mergeCell ref="AC11:AE12"/>
    <mergeCell ref="AC20:AE21"/>
    <mergeCell ref="AL1:AN2"/>
    <mergeCell ref="K38:W38"/>
    <mergeCell ref="R1:S2"/>
    <mergeCell ref="R11:T12"/>
    <mergeCell ref="O29:Q30"/>
    <mergeCell ref="T1:V2"/>
    <mergeCell ref="O20:Q21"/>
    <mergeCell ref="U20:W21"/>
    <mergeCell ref="W1:Y2"/>
    <mergeCell ref="U29:W30"/>
    <mergeCell ref="U11:W12"/>
    <mergeCell ref="AF1:AH2"/>
    <mergeCell ref="AF29:AH30"/>
    <mergeCell ref="AC1:AE2"/>
    <mergeCell ref="AC29:AE30"/>
    <mergeCell ref="A1:J1"/>
    <mergeCell ref="K11:K12"/>
    <mergeCell ref="K1:K2"/>
    <mergeCell ref="L1:N2"/>
    <mergeCell ref="K37:W37"/>
    <mergeCell ref="L11:N12"/>
    <mergeCell ref="O1:Q2"/>
    <mergeCell ref="O11:Q12"/>
    <mergeCell ref="A112:J112"/>
    <mergeCell ref="A56:H56"/>
    <mergeCell ref="K20:K21"/>
    <mergeCell ref="L20:N21"/>
    <mergeCell ref="R29:T30"/>
    <mergeCell ref="K29:K30"/>
    <mergeCell ref="L29:N3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L116"/>
  <sheetViews>
    <sheetView workbookViewId="0">
      <selection activeCell="P22" sqref="P22"/>
    </sheetView>
  </sheetViews>
  <sheetFormatPr defaultColWidth="8.875" defaultRowHeight="14.3" x14ac:dyDescent="0.25"/>
  <cols>
    <col min="1" max="1" width="16.375" customWidth="1"/>
    <col min="2" max="2" width="3.75" customWidth="1"/>
    <col min="3" max="4" width="4.125" customWidth="1"/>
    <col min="5" max="5" width="4.75" customWidth="1"/>
    <col min="6" max="6" width="16.375" customWidth="1"/>
    <col min="7" max="10" width="5.25" customWidth="1"/>
    <col min="11" max="11" width="15.75" customWidth="1"/>
    <col min="12" max="17" width="5.375" customWidth="1"/>
    <col min="18" max="48" width="5.75" customWidth="1"/>
    <col min="49" max="57" width="5.625" customWidth="1"/>
  </cols>
  <sheetData>
    <row r="1" spans="1:64" ht="14.95" customHeight="1" thickBot="1" x14ac:dyDescent="0.3">
      <c r="A1" s="525" t="s">
        <v>876</v>
      </c>
      <c r="B1" s="526"/>
      <c r="C1" s="526"/>
      <c r="D1" s="526"/>
      <c r="E1" s="526"/>
      <c r="F1" s="526"/>
      <c r="G1" s="526"/>
      <c r="H1" s="526"/>
      <c r="I1" s="526"/>
      <c r="J1" s="527"/>
      <c r="K1" s="467" t="s">
        <v>187</v>
      </c>
      <c r="L1" s="457" t="s">
        <v>14</v>
      </c>
      <c r="M1" s="461"/>
      <c r="N1" s="458"/>
      <c r="O1" s="457" t="s">
        <v>40</v>
      </c>
      <c r="P1" s="461"/>
      <c r="Q1" s="458"/>
      <c r="R1" s="457" t="s">
        <v>186</v>
      </c>
      <c r="S1" s="458"/>
      <c r="T1" s="449" t="s">
        <v>226</v>
      </c>
      <c r="U1" s="450"/>
      <c r="V1" s="451"/>
      <c r="W1" s="449" t="s">
        <v>875</v>
      </c>
      <c r="X1" s="450"/>
      <c r="Y1" s="451"/>
      <c r="Z1" s="195"/>
      <c r="AA1" s="94"/>
      <c r="AB1" s="449" t="s">
        <v>581</v>
      </c>
      <c r="AC1" s="450"/>
      <c r="AD1" s="451"/>
      <c r="AE1" s="449" t="s">
        <v>477</v>
      </c>
      <c r="AF1" s="450"/>
      <c r="AG1" s="451"/>
      <c r="AH1" s="449" t="s">
        <v>391</v>
      </c>
      <c r="AI1" s="450"/>
      <c r="AJ1" s="451"/>
      <c r="AK1" s="449" t="s">
        <v>300</v>
      </c>
      <c r="AL1" s="450"/>
      <c r="AM1" s="451"/>
      <c r="AN1" s="449" t="s">
        <v>219</v>
      </c>
      <c r="AO1" s="450"/>
      <c r="AP1" s="451"/>
      <c r="AQ1" s="449" t="s">
        <v>165</v>
      </c>
      <c r="AR1" s="450"/>
      <c r="AS1" s="451"/>
      <c r="AT1" s="449" t="s">
        <v>78</v>
      </c>
      <c r="AU1" s="450"/>
      <c r="AV1" s="451"/>
      <c r="AW1" s="449" t="s">
        <v>54</v>
      </c>
      <c r="AX1" s="450"/>
      <c r="AY1" s="451"/>
      <c r="AZ1" s="449" t="s">
        <v>50</v>
      </c>
      <c r="BA1" s="450"/>
      <c r="BB1" s="451"/>
      <c r="BC1" s="449" t="s">
        <v>41</v>
      </c>
      <c r="BD1" s="450"/>
      <c r="BE1" s="451"/>
      <c r="BG1" s="4"/>
      <c r="BH1" s="4"/>
      <c r="BI1" s="4"/>
      <c r="BL1" s="4"/>
    </row>
    <row r="2" spans="1:64" ht="14.95" customHeight="1" thickBot="1" x14ac:dyDescent="0.3">
      <c r="A2" s="186" t="s">
        <v>0</v>
      </c>
      <c r="B2" s="184" t="s">
        <v>218</v>
      </c>
      <c r="C2" s="266" t="s">
        <v>30</v>
      </c>
      <c r="D2" s="219" t="s">
        <v>326</v>
      </c>
      <c r="E2" s="188" t="s">
        <v>1</v>
      </c>
      <c r="F2" s="272" t="s">
        <v>2</v>
      </c>
      <c r="G2" s="276" t="s">
        <v>218</v>
      </c>
      <c r="H2" s="268" t="s">
        <v>30</v>
      </c>
      <c r="I2" s="269" t="s">
        <v>326</v>
      </c>
      <c r="J2" s="274" t="s">
        <v>1</v>
      </c>
      <c r="K2" s="468"/>
      <c r="L2" s="459"/>
      <c r="M2" s="462"/>
      <c r="N2" s="460"/>
      <c r="O2" s="459"/>
      <c r="P2" s="462"/>
      <c r="Q2" s="460"/>
      <c r="R2" s="459"/>
      <c r="S2" s="460"/>
      <c r="T2" s="452"/>
      <c r="U2" s="453"/>
      <c r="V2" s="454"/>
      <c r="W2" s="452"/>
      <c r="X2" s="453"/>
      <c r="Y2" s="454"/>
      <c r="Z2" s="93"/>
      <c r="AA2" s="94"/>
      <c r="AB2" s="452"/>
      <c r="AC2" s="453"/>
      <c r="AD2" s="454"/>
      <c r="AE2" s="452"/>
      <c r="AF2" s="453"/>
      <c r="AG2" s="454"/>
      <c r="AH2" s="452"/>
      <c r="AI2" s="453"/>
      <c r="AJ2" s="454"/>
      <c r="AK2" s="452"/>
      <c r="AL2" s="453"/>
      <c r="AM2" s="454"/>
      <c r="AN2" s="452"/>
      <c r="AO2" s="453"/>
      <c r="AP2" s="454"/>
      <c r="AQ2" s="452"/>
      <c r="AR2" s="453"/>
      <c r="AS2" s="454"/>
      <c r="AT2" s="452"/>
      <c r="AU2" s="453"/>
      <c r="AV2" s="454"/>
      <c r="AW2" s="452"/>
      <c r="AX2" s="453"/>
      <c r="AY2" s="454"/>
      <c r="AZ2" s="452"/>
      <c r="BA2" s="453"/>
      <c r="BB2" s="454"/>
      <c r="BC2" s="452"/>
      <c r="BD2" s="453"/>
      <c r="BE2" s="454"/>
    </row>
    <row r="3" spans="1:64" ht="14.95" customHeight="1" thickBot="1" x14ac:dyDescent="0.3">
      <c r="A3" s="187" t="s">
        <v>449</v>
      </c>
      <c r="B3" s="185">
        <v>0</v>
      </c>
      <c r="C3" s="267">
        <v>0</v>
      </c>
      <c r="D3" s="220">
        <v>1</v>
      </c>
      <c r="E3" s="189">
        <f t="shared" ref="E3:E8" si="0">SUM(B3:D3)</f>
        <v>1</v>
      </c>
      <c r="F3" s="273" t="s">
        <v>449</v>
      </c>
      <c r="G3" s="277">
        <v>0</v>
      </c>
      <c r="H3" s="270">
        <v>0</v>
      </c>
      <c r="I3" s="271">
        <v>5</v>
      </c>
      <c r="J3" s="275">
        <f t="shared" ref="J3:J8" si="1">SUM(G3:I3)</f>
        <v>5</v>
      </c>
      <c r="K3" s="218" t="s">
        <v>21</v>
      </c>
      <c r="L3" s="3" t="s">
        <v>46</v>
      </c>
      <c r="M3" s="3" t="s">
        <v>9</v>
      </c>
      <c r="N3" s="3" t="s">
        <v>10</v>
      </c>
      <c r="O3" s="3" t="s">
        <v>46</v>
      </c>
      <c r="P3" s="3" t="s">
        <v>9</v>
      </c>
      <c r="Q3" s="3" t="s">
        <v>10</v>
      </c>
      <c r="R3" s="3" t="s">
        <v>187</v>
      </c>
      <c r="S3" s="3" t="s">
        <v>58</v>
      </c>
      <c r="T3" s="7" t="s">
        <v>46</v>
      </c>
      <c r="U3" s="7" t="s">
        <v>9</v>
      </c>
      <c r="V3" s="7" t="s">
        <v>10</v>
      </c>
      <c r="W3" s="7" t="s">
        <v>46</v>
      </c>
      <c r="X3" s="7" t="s">
        <v>9</v>
      </c>
      <c r="Y3" s="7" t="s">
        <v>10</v>
      </c>
      <c r="Z3" s="93"/>
      <c r="AA3" s="94"/>
      <c r="AB3" s="148" t="s">
        <v>46</v>
      </c>
      <c r="AC3" s="7" t="s">
        <v>9</v>
      </c>
      <c r="AD3" s="7" t="s">
        <v>10</v>
      </c>
      <c r="AE3" s="148" t="s">
        <v>46</v>
      </c>
      <c r="AF3" s="7" t="s">
        <v>9</v>
      </c>
      <c r="AG3" s="7" t="s">
        <v>10</v>
      </c>
      <c r="AH3" s="148" t="s">
        <v>46</v>
      </c>
      <c r="AI3" s="7" t="s">
        <v>9</v>
      </c>
      <c r="AJ3" s="7" t="s">
        <v>10</v>
      </c>
      <c r="AK3" s="148" t="s">
        <v>46</v>
      </c>
      <c r="AL3" s="7" t="s">
        <v>9</v>
      </c>
      <c r="AM3" s="7" t="s">
        <v>10</v>
      </c>
      <c r="AN3" s="148" t="s">
        <v>46</v>
      </c>
      <c r="AO3" s="7" t="s">
        <v>9</v>
      </c>
      <c r="AP3" s="7" t="s">
        <v>10</v>
      </c>
      <c r="AQ3" s="148" t="s">
        <v>46</v>
      </c>
      <c r="AR3" s="7" t="s">
        <v>9</v>
      </c>
      <c r="AS3" s="7" t="s">
        <v>10</v>
      </c>
      <c r="AT3" s="148" t="s">
        <v>46</v>
      </c>
      <c r="AU3" s="7" t="s">
        <v>9</v>
      </c>
      <c r="AV3" s="7" t="s">
        <v>10</v>
      </c>
      <c r="AW3" s="148" t="s">
        <v>46</v>
      </c>
      <c r="AX3" s="7" t="s">
        <v>9</v>
      </c>
      <c r="AY3" s="7" t="s">
        <v>10</v>
      </c>
      <c r="AZ3" s="7" t="s">
        <v>46</v>
      </c>
      <c r="BA3" s="7" t="s">
        <v>9</v>
      </c>
      <c r="BB3" s="7" t="s">
        <v>10</v>
      </c>
      <c r="BC3" s="7" t="s">
        <v>46</v>
      </c>
      <c r="BD3" s="7" t="s">
        <v>9</v>
      </c>
      <c r="BE3" s="7" t="s">
        <v>10</v>
      </c>
    </row>
    <row r="4" spans="1:64" ht="14.95" customHeight="1" thickBot="1" x14ac:dyDescent="0.3">
      <c r="A4" s="187" t="s">
        <v>472</v>
      </c>
      <c r="B4" s="185">
        <v>0</v>
      </c>
      <c r="C4" s="267">
        <v>1</v>
      </c>
      <c r="D4" s="220">
        <v>0</v>
      </c>
      <c r="E4" s="189">
        <f t="shared" si="0"/>
        <v>1</v>
      </c>
      <c r="F4" s="273" t="s">
        <v>472</v>
      </c>
      <c r="G4" s="277">
        <v>0</v>
      </c>
      <c r="H4" s="270">
        <v>5</v>
      </c>
      <c r="I4" s="271">
        <v>0</v>
      </c>
      <c r="J4" s="275">
        <f t="shared" si="1"/>
        <v>5</v>
      </c>
      <c r="K4" s="187" t="s">
        <v>357</v>
      </c>
      <c r="L4" s="189" t="s">
        <v>15</v>
      </c>
      <c r="M4" s="189" t="s">
        <v>15</v>
      </c>
      <c r="N4" s="190" t="s">
        <v>15</v>
      </c>
      <c r="O4" s="189" t="s">
        <v>15</v>
      </c>
      <c r="P4" s="189" t="s">
        <v>15</v>
      </c>
      <c r="Q4" s="190" t="s">
        <v>15</v>
      </c>
      <c r="R4" s="189" t="s">
        <v>18</v>
      </c>
      <c r="S4" s="189">
        <v>-1</v>
      </c>
      <c r="T4" s="7" t="s">
        <v>15</v>
      </c>
      <c r="U4" s="7" t="s">
        <v>15</v>
      </c>
      <c r="V4" s="153" t="s">
        <v>15</v>
      </c>
      <c r="W4" s="7" t="s">
        <v>15</v>
      </c>
      <c r="X4" s="7" t="s">
        <v>15</v>
      </c>
      <c r="Y4" s="153" t="s">
        <v>15</v>
      </c>
      <c r="Z4" s="93"/>
      <c r="AA4" s="94"/>
      <c r="AB4" s="148" t="s">
        <v>15</v>
      </c>
      <c r="AC4" s="7" t="s">
        <v>15</v>
      </c>
      <c r="AD4" s="153" t="s">
        <v>15</v>
      </c>
      <c r="AE4" s="7" t="s">
        <v>15</v>
      </c>
      <c r="AF4" s="7" t="s">
        <v>15</v>
      </c>
      <c r="AG4" s="153" t="s">
        <v>15</v>
      </c>
      <c r="AH4" s="148" t="s">
        <v>15</v>
      </c>
      <c r="AI4" s="7" t="s">
        <v>15</v>
      </c>
      <c r="AJ4" s="7" t="s">
        <v>15</v>
      </c>
      <c r="AK4" s="148" t="s">
        <v>15</v>
      </c>
      <c r="AL4" s="7" t="s">
        <v>15</v>
      </c>
      <c r="AM4" s="7" t="s">
        <v>15</v>
      </c>
      <c r="AN4" s="148" t="s">
        <v>15</v>
      </c>
      <c r="AO4" s="7" t="s">
        <v>15</v>
      </c>
      <c r="AP4" s="7" t="s">
        <v>15</v>
      </c>
      <c r="AQ4" s="148" t="s">
        <v>15</v>
      </c>
      <c r="AR4" s="7" t="s">
        <v>15</v>
      </c>
      <c r="AS4" s="7" t="s">
        <v>15</v>
      </c>
      <c r="AT4" s="148" t="s">
        <v>15</v>
      </c>
      <c r="AU4" s="7" t="s">
        <v>15</v>
      </c>
      <c r="AV4" s="7" t="s">
        <v>15</v>
      </c>
      <c r="AW4" s="148" t="s">
        <v>15</v>
      </c>
      <c r="AX4" s="7" t="s">
        <v>15</v>
      </c>
      <c r="AY4" s="7" t="s">
        <v>15</v>
      </c>
      <c r="AZ4" s="7" t="s">
        <v>15</v>
      </c>
      <c r="BA4" s="7" t="s">
        <v>15</v>
      </c>
      <c r="BB4" s="7" t="s">
        <v>15</v>
      </c>
      <c r="BC4" s="7" t="s">
        <v>15</v>
      </c>
      <c r="BD4" s="7" t="s">
        <v>15</v>
      </c>
      <c r="BE4" s="7" t="s">
        <v>15</v>
      </c>
    </row>
    <row r="5" spans="1:64" ht="14.95" customHeight="1" thickBot="1" x14ac:dyDescent="0.3">
      <c r="A5" s="187" t="s">
        <v>357</v>
      </c>
      <c r="B5" s="185">
        <v>0</v>
      </c>
      <c r="C5" s="267">
        <v>1</v>
      </c>
      <c r="D5" s="220">
        <v>0</v>
      </c>
      <c r="E5" s="189">
        <f t="shared" si="0"/>
        <v>1</v>
      </c>
      <c r="F5" s="273" t="s">
        <v>357</v>
      </c>
      <c r="G5" s="277">
        <v>0</v>
      </c>
      <c r="H5" s="270">
        <v>5</v>
      </c>
      <c r="I5" s="271">
        <v>0</v>
      </c>
      <c r="J5" s="275">
        <f t="shared" si="1"/>
        <v>5</v>
      </c>
      <c r="K5" s="187" t="s">
        <v>1086</v>
      </c>
      <c r="L5" s="189" t="s">
        <v>15</v>
      </c>
      <c r="M5" s="189" t="s">
        <v>15</v>
      </c>
      <c r="N5" s="190" t="s">
        <v>15</v>
      </c>
      <c r="O5" s="189" t="s">
        <v>15</v>
      </c>
      <c r="P5" s="189" t="s">
        <v>15</v>
      </c>
      <c r="Q5" s="190" t="s">
        <v>15</v>
      </c>
      <c r="R5" s="189" t="s">
        <v>18</v>
      </c>
      <c r="S5" s="189">
        <v>-2</v>
      </c>
      <c r="T5" s="7"/>
      <c r="U5" s="7"/>
      <c r="V5" s="153"/>
      <c r="W5" s="7"/>
      <c r="X5" s="7"/>
      <c r="Y5" s="153"/>
      <c r="Z5" s="93"/>
      <c r="AA5" s="94"/>
      <c r="AB5" s="148"/>
      <c r="AC5" s="7"/>
      <c r="AD5" s="153"/>
      <c r="AE5" s="7"/>
      <c r="AF5" s="7"/>
      <c r="AG5" s="153"/>
      <c r="AH5" s="148"/>
      <c r="AI5" s="7"/>
      <c r="AJ5" s="7"/>
      <c r="AK5" s="148"/>
      <c r="AL5" s="7"/>
      <c r="AM5" s="7"/>
      <c r="AN5" s="148"/>
      <c r="AO5" s="7"/>
      <c r="AP5" s="7"/>
      <c r="AQ5" s="148"/>
      <c r="AR5" s="7"/>
      <c r="AS5" s="7"/>
      <c r="AT5" s="148"/>
      <c r="AU5" s="7"/>
      <c r="AV5" s="7"/>
      <c r="AW5" s="148"/>
      <c r="AX5" s="7"/>
      <c r="AY5" s="7"/>
      <c r="AZ5" s="7"/>
      <c r="BA5" s="7"/>
      <c r="BB5" s="7"/>
      <c r="BC5" s="7"/>
      <c r="BD5" s="7"/>
      <c r="BE5" s="7"/>
    </row>
    <row r="6" spans="1:64" ht="14.95" customHeight="1" thickBot="1" x14ac:dyDescent="0.3">
      <c r="A6" s="187" t="s">
        <v>1086</v>
      </c>
      <c r="B6" s="185">
        <v>0</v>
      </c>
      <c r="C6" s="267">
        <v>0</v>
      </c>
      <c r="D6" s="220">
        <v>3</v>
      </c>
      <c r="E6" s="189">
        <f t="shared" si="0"/>
        <v>3</v>
      </c>
      <c r="F6" s="273" t="s">
        <v>1086</v>
      </c>
      <c r="G6" s="277">
        <v>0</v>
      </c>
      <c r="H6" s="270">
        <v>0</v>
      </c>
      <c r="I6" s="271">
        <v>15</v>
      </c>
      <c r="J6" s="275">
        <f t="shared" si="1"/>
        <v>15</v>
      </c>
      <c r="K6" s="187" t="s">
        <v>345</v>
      </c>
      <c r="L6" s="189">
        <v>3</v>
      </c>
      <c r="M6" s="189">
        <v>3</v>
      </c>
      <c r="N6" s="190">
        <f t="shared" ref="N6" si="2">SUM(L6/M6)*100</f>
        <v>100</v>
      </c>
      <c r="O6" s="189" t="s">
        <v>15</v>
      </c>
      <c r="P6" s="189" t="s">
        <v>15</v>
      </c>
      <c r="Q6" s="190" t="s">
        <v>15</v>
      </c>
      <c r="R6" s="189">
        <v>5</v>
      </c>
      <c r="S6" s="189">
        <v>3</v>
      </c>
      <c r="T6" s="7">
        <v>9</v>
      </c>
      <c r="U6" s="7">
        <v>10</v>
      </c>
      <c r="V6" s="7">
        <v>90</v>
      </c>
      <c r="W6" s="7" t="s">
        <v>15</v>
      </c>
      <c r="X6" s="7" t="s">
        <v>15</v>
      </c>
      <c r="Y6" s="7" t="s">
        <v>15</v>
      </c>
      <c r="Z6" s="93"/>
      <c r="AA6" s="94"/>
      <c r="AB6" s="148" t="s">
        <v>15</v>
      </c>
      <c r="AC6" s="7" t="s">
        <v>15</v>
      </c>
      <c r="AD6" s="7" t="s">
        <v>15</v>
      </c>
      <c r="AE6" s="7" t="s">
        <v>15</v>
      </c>
      <c r="AF6" s="7" t="s">
        <v>15</v>
      </c>
      <c r="AG6" s="7" t="s">
        <v>15</v>
      </c>
      <c r="AH6" s="148" t="s">
        <v>15</v>
      </c>
      <c r="AI6" s="7" t="s">
        <v>15</v>
      </c>
      <c r="AJ6" s="7" t="s">
        <v>15</v>
      </c>
      <c r="AK6" s="148" t="s">
        <v>15</v>
      </c>
      <c r="AL6" s="7" t="s">
        <v>15</v>
      </c>
      <c r="AM6" s="7" t="s">
        <v>15</v>
      </c>
      <c r="AN6" s="148" t="s">
        <v>15</v>
      </c>
      <c r="AO6" s="7" t="s">
        <v>15</v>
      </c>
      <c r="AP6" s="7" t="s">
        <v>15</v>
      </c>
      <c r="AQ6" s="148" t="s">
        <v>15</v>
      </c>
      <c r="AR6" s="7" t="s">
        <v>15</v>
      </c>
      <c r="AS6" s="7" t="s">
        <v>15</v>
      </c>
      <c r="AT6" s="148" t="s">
        <v>15</v>
      </c>
      <c r="AU6" s="7" t="s">
        <v>15</v>
      </c>
      <c r="AV6" s="7" t="s">
        <v>15</v>
      </c>
      <c r="AW6" s="148" t="s">
        <v>15</v>
      </c>
      <c r="AX6" s="7" t="s">
        <v>15</v>
      </c>
      <c r="AY6" s="7" t="s">
        <v>15</v>
      </c>
      <c r="AZ6" s="7" t="s">
        <v>15</v>
      </c>
      <c r="BA6" s="7" t="s">
        <v>15</v>
      </c>
      <c r="BB6" s="7" t="s">
        <v>15</v>
      </c>
      <c r="BC6" s="7" t="s">
        <v>15</v>
      </c>
      <c r="BD6" s="7" t="s">
        <v>15</v>
      </c>
      <c r="BE6" s="7" t="s">
        <v>15</v>
      </c>
    </row>
    <row r="7" spans="1:64" ht="14.95" customHeight="1" thickBot="1" x14ac:dyDescent="0.3">
      <c r="A7" s="187" t="s">
        <v>345</v>
      </c>
      <c r="B7" s="185">
        <v>0</v>
      </c>
      <c r="C7" s="267">
        <v>1</v>
      </c>
      <c r="D7" s="220">
        <v>1</v>
      </c>
      <c r="E7" s="189">
        <f t="shared" si="0"/>
        <v>2</v>
      </c>
      <c r="F7" s="273" t="s">
        <v>345</v>
      </c>
      <c r="G7" s="277">
        <v>8</v>
      </c>
      <c r="H7" s="270">
        <v>7</v>
      </c>
      <c r="I7" s="271">
        <v>21</v>
      </c>
      <c r="J7" s="275">
        <f t="shared" si="1"/>
        <v>36</v>
      </c>
      <c r="K7" s="186" t="s">
        <v>564</v>
      </c>
      <c r="L7" s="189">
        <v>8</v>
      </c>
      <c r="M7" s="189">
        <v>11</v>
      </c>
      <c r="N7" s="190">
        <f t="shared" ref="N7" si="3">SUM(L7/M7)*100</f>
        <v>72.727272727272734</v>
      </c>
      <c r="O7" s="189" t="s">
        <v>15</v>
      </c>
      <c r="P7" s="189" t="s">
        <v>15</v>
      </c>
      <c r="Q7" s="190" t="s">
        <v>15</v>
      </c>
      <c r="R7" s="327">
        <v>1</v>
      </c>
      <c r="S7" s="327">
        <v>1</v>
      </c>
      <c r="T7" s="6">
        <v>8</v>
      </c>
      <c r="U7" s="333">
        <v>14</v>
      </c>
      <c r="V7" s="157">
        <v>57.142857142857139</v>
      </c>
      <c r="W7" s="6">
        <v>20</v>
      </c>
      <c r="X7" s="333">
        <v>24</v>
      </c>
      <c r="Y7" s="157">
        <v>83.333333333333343</v>
      </c>
      <c r="Z7" s="94"/>
      <c r="AA7" s="94"/>
      <c r="AB7" s="6">
        <v>42</v>
      </c>
      <c r="AC7" s="152">
        <v>52</v>
      </c>
      <c r="AD7" s="157">
        <v>80.769230769230774</v>
      </c>
      <c r="AE7" s="6">
        <v>25</v>
      </c>
      <c r="AF7" s="6">
        <v>30</v>
      </c>
      <c r="AG7" s="157">
        <v>83.333333333333343</v>
      </c>
      <c r="AH7" s="148">
        <v>50</v>
      </c>
      <c r="AI7" s="7">
        <v>65</v>
      </c>
      <c r="AJ7" s="153">
        <v>76.923076923076934</v>
      </c>
      <c r="AK7" s="148">
        <v>26</v>
      </c>
      <c r="AL7" s="7">
        <v>37</v>
      </c>
      <c r="AM7" s="7">
        <v>70</v>
      </c>
      <c r="AN7" s="148">
        <v>20</v>
      </c>
      <c r="AO7" s="7">
        <v>31</v>
      </c>
      <c r="AP7" s="7">
        <v>65</v>
      </c>
      <c r="AQ7" s="148">
        <v>48</v>
      </c>
      <c r="AR7" s="7">
        <v>57</v>
      </c>
      <c r="AS7" s="7">
        <v>84</v>
      </c>
      <c r="AT7" s="148" t="s">
        <v>15</v>
      </c>
      <c r="AU7" s="7" t="s">
        <v>15</v>
      </c>
      <c r="AV7" s="7" t="s">
        <v>15</v>
      </c>
      <c r="AW7" s="148">
        <v>6</v>
      </c>
      <c r="AX7" s="7">
        <v>8</v>
      </c>
      <c r="AY7" s="7">
        <v>75</v>
      </c>
      <c r="AZ7" s="7" t="s">
        <v>15</v>
      </c>
      <c r="BA7" s="7" t="s">
        <v>15</v>
      </c>
      <c r="BB7" s="7" t="s">
        <v>15</v>
      </c>
      <c r="BC7" s="7" t="s">
        <v>15</v>
      </c>
      <c r="BD7" s="7" t="s">
        <v>15</v>
      </c>
      <c r="BE7" s="7" t="s">
        <v>15</v>
      </c>
    </row>
    <row r="8" spans="1:64" ht="14.95" customHeight="1" thickBot="1" x14ac:dyDescent="0.3">
      <c r="A8" s="187" t="s">
        <v>408</v>
      </c>
      <c r="B8" s="185">
        <v>0</v>
      </c>
      <c r="C8" s="267">
        <v>0</v>
      </c>
      <c r="D8" s="220">
        <v>2</v>
      </c>
      <c r="E8" s="189">
        <f t="shared" si="0"/>
        <v>2</v>
      </c>
      <c r="F8" s="273" t="s">
        <v>408</v>
      </c>
      <c r="G8" s="277">
        <v>0</v>
      </c>
      <c r="H8" s="270">
        <v>0</v>
      </c>
      <c r="I8" s="271">
        <v>10</v>
      </c>
      <c r="J8" s="275">
        <f t="shared" si="1"/>
        <v>10</v>
      </c>
      <c r="K8" s="186" t="s">
        <v>890</v>
      </c>
      <c r="L8" s="189" t="s">
        <v>15</v>
      </c>
      <c r="M8" s="189" t="s">
        <v>15</v>
      </c>
      <c r="N8" s="190" t="s">
        <v>15</v>
      </c>
      <c r="O8" s="189" t="s">
        <v>15</v>
      </c>
      <c r="P8" s="189" t="s">
        <v>15</v>
      </c>
      <c r="Q8" s="190" t="s">
        <v>15</v>
      </c>
      <c r="R8" s="327" t="s">
        <v>18</v>
      </c>
      <c r="S8" s="327">
        <v>1</v>
      </c>
      <c r="T8" s="6"/>
      <c r="U8" s="333"/>
      <c r="V8" s="157"/>
      <c r="W8" s="6"/>
      <c r="X8" s="333"/>
      <c r="Y8" s="157"/>
      <c r="Z8" s="94"/>
      <c r="AA8" s="94"/>
      <c r="AB8" s="6"/>
      <c r="AC8" s="152"/>
      <c r="AD8" s="157"/>
      <c r="AE8" s="6"/>
      <c r="AF8" s="6"/>
      <c r="AG8" s="157"/>
      <c r="AH8" s="148"/>
      <c r="AI8" s="7"/>
      <c r="AJ8" s="153"/>
      <c r="AK8" s="148"/>
      <c r="AL8" s="7"/>
      <c r="AM8" s="7"/>
      <c r="AN8" s="148"/>
      <c r="AO8" s="7"/>
      <c r="AP8" s="7"/>
      <c r="AQ8" s="148"/>
      <c r="AR8" s="7"/>
      <c r="AS8" s="7"/>
      <c r="AT8" s="148"/>
      <c r="AU8" s="7"/>
      <c r="AV8" s="7"/>
      <c r="AW8" s="148"/>
      <c r="AX8" s="7"/>
      <c r="AY8" s="7"/>
      <c r="AZ8" s="7"/>
      <c r="BA8" s="7"/>
      <c r="BB8" s="7"/>
      <c r="BC8" s="7"/>
      <c r="BD8" s="7"/>
      <c r="BE8" s="7"/>
    </row>
    <row r="9" spans="1:64" ht="14.95" customHeight="1" thickBot="1" x14ac:dyDescent="0.3">
      <c r="A9" s="187" t="s">
        <v>487</v>
      </c>
      <c r="B9" s="185">
        <v>0</v>
      </c>
      <c r="C9" s="267">
        <v>0</v>
      </c>
      <c r="D9" s="220">
        <v>1</v>
      </c>
      <c r="E9" s="189">
        <f t="shared" ref="E9" si="4">SUM(B9:D9)</f>
        <v>1</v>
      </c>
      <c r="F9" s="273" t="s">
        <v>487</v>
      </c>
      <c r="G9" s="277">
        <v>0</v>
      </c>
      <c r="H9" s="270">
        <v>0</v>
      </c>
      <c r="I9" s="271">
        <v>5</v>
      </c>
      <c r="J9" s="275">
        <f t="shared" ref="J9" si="5">SUM(G9:I9)</f>
        <v>5</v>
      </c>
      <c r="K9" s="186" t="s">
        <v>409</v>
      </c>
      <c r="L9" s="189" t="s">
        <v>15</v>
      </c>
      <c r="M9" s="189" t="s">
        <v>15</v>
      </c>
      <c r="N9" s="190" t="s">
        <v>15</v>
      </c>
      <c r="O9" s="189" t="s">
        <v>15</v>
      </c>
      <c r="P9" s="189" t="s">
        <v>15</v>
      </c>
      <c r="Q9" s="190" t="s">
        <v>15</v>
      </c>
      <c r="R9" s="327" t="s">
        <v>18</v>
      </c>
      <c r="S9" s="327">
        <v>5</v>
      </c>
      <c r="T9" s="6" t="s">
        <v>15</v>
      </c>
      <c r="U9" s="6" t="s">
        <v>15</v>
      </c>
      <c r="V9" s="157" t="s">
        <v>15</v>
      </c>
      <c r="W9" s="6" t="s">
        <v>15</v>
      </c>
      <c r="X9" s="6" t="s">
        <v>15</v>
      </c>
      <c r="Y9" s="157" t="s">
        <v>15</v>
      </c>
      <c r="Z9" s="94"/>
      <c r="AA9" s="94"/>
      <c r="AB9" s="6" t="s">
        <v>15</v>
      </c>
      <c r="AC9" s="6" t="s">
        <v>15</v>
      </c>
      <c r="AD9" s="157" t="s">
        <v>15</v>
      </c>
      <c r="AE9" s="6" t="s">
        <v>15</v>
      </c>
      <c r="AF9" s="6" t="s">
        <v>15</v>
      </c>
      <c r="AG9" s="157" t="s">
        <v>15</v>
      </c>
      <c r="AH9" s="148" t="s">
        <v>15</v>
      </c>
      <c r="AI9" s="7" t="s">
        <v>15</v>
      </c>
      <c r="AJ9" s="7" t="s">
        <v>15</v>
      </c>
      <c r="AK9" s="148" t="s">
        <v>15</v>
      </c>
      <c r="AL9" s="7" t="s">
        <v>15</v>
      </c>
      <c r="AM9" s="7" t="s">
        <v>15</v>
      </c>
      <c r="AN9" s="148" t="s">
        <v>15</v>
      </c>
      <c r="AO9" s="7" t="s">
        <v>15</v>
      </c>
      <c r="AP9" s="7" t="s">
        <v>15</v>
      </c>
      <c r="AQ9" s="148" t="s">
        <v>15</v>
      </c>
      <c r="AR9" s="7" t="s">
        <v>15</v>
      </c>
      <c r="AS9" s="7" t="s">
        <v>15</v>
      </c>
      <c r="AT9" s="148" t="s">
        <v>15</v>
      </c>
      <c r="AU9" s="7" t="s">
        <v>15</v>
      </c>
      <c r="AV9" s="7" t="s">
        <v>15</v>
      </c>
      <c r="AW9" s="148" t="s">
        <v>15</v>
      </c>
      <c r="AX9" s="7" t="s">
        <v>15</v>
      </c>
      <c r="AY9" s="7" t="s">
        <v>15</v>
      </c>
      <c r="AZ9" s="7" t="s">
        <v>15</v>
      </c>
      <c r="BA9" s="7" t="s">
        <v>15</v>
      </c>
      <c r="BB9" s="7" t="s">
        <v>15</v>
      </c>
      <c r="BC9" s="7" t="s">
        <v>15</v>
      </c>
      <c r="BD9" s="7" t="s">
        <v>15</v>
      </c>
      <c r="BE9" s="7" t="s">
        <v>15</v>
      </c>
    </row>
    <row r="10" spans="1:64" ht="14.95" customHeight="1" thickBot="1" x14ac:dyDescent="0.3">
      <c r="A10" s="187" t="s">
        <v>380</v>
      </c>
      <c r="B10" s="185">
        <v>0</v>
      </c>
      <c r="C10" s="267">
        <v>1</v>
      </c>
      <c r="D10" s="220">
        <v>0</v>
      </c>
      <c r="E10" s="189">
        <f t="shared" ref="E10:E57" si="6">SUM(B10:D10)</f>
        <v>1</v>
      </c>
      <c r="F10" s="273" t="s">
        <v>380</v>
      </c>
      <c r="G10" s="277">
        <v>0</v>
      </c>
      <c r="H10" s="270">
        <v>5</v>
      </c>
      <c r="I10" s="271">
        <v>0</v>
      </c>
      <c r="J10" s="275">
        <f t="shared" ref="J10:J57" si="7">SUM(G10:I10)</f>
        <v>5</v>
      </c>
      <c r="K10" s="187" t="s">
        <v>22</v>
      </c>
      <c r="L10" s="189">
        <v>23</v>
      </c>
      <c r="M10" s="189">
        <v>27</v>
      </c>
      <c r="N10" s="190">
        <f t="shared" ref="N10" si="8">SUM(L10/M10)*100</f>
        <v>85.18518518518519</v>
      </c>
      <c r="O10" s="189">
        <v>1</v>
      </c>
      <c r="P10" s="189">
        <v>3</v>
      </c>
      <c r="Q10" s="190">
        <f t="shared" ref="Q10" si="9">SUM(O10/P10)*100</f>
        <v>33.333333333333329</v>
      </c>
      <c r="R10" s="189">
        <v>-1</v>
      </c>
      <c r="S10" s="189">
        <v>-1</v>
      </c>
      <c r="T10" s="7">
        <v>43</v>
      </c>
      <c r="U10" s="7">
        <v>47</v>
      </c>
      <c r="V10" s="153">
        <v>91.489361702127653</v>
      </c>
      <c r="W10" s="7">
        <v>34</v>
      </c>
      <c r="X10" s="7">
        <v>52</v>
      </c>
      <c r="Y10" s="153">
        <v>65.384615384615387</v>
      </c>
      <c r="Z10" s="93"/>
      <c r="AA10" s="94"/>
      <c r="AB10" s="148">
        <v>38</v>
      </c>
      <c r="AC10" s="7">
        <v>45</v>
      </c>
      <c r="AD10" s="153">
        <v>84.444444444444443</v>
      </c>
      <c r="AE10" s="7">
        <v>40</v>
      </c>
      <c r="AF10" s="7">
        <v>55</v>
      </c>
      <c r="AG10" s="153">
        <f t="shared" ref="AG10" si="10">SUM(AE10/AF10)*100</f>
        <v>72.727272727272734</v>
      </c>
      <c r="AH10" s="148">
        <v>104</v>
      </c>
      <c r="AI10" s="7">
        <v>127</v>
      </c>
      <c r="AJ10" s="153">
        <f t="shared" ref="AJ10" si="11">SUM(AH10/AI10)*100</f>
        <v>81.889763779527556</v>
      </c>
      <c r="AK10" s="148">
        <v>65</v>
      </c>
      <c r="AL10" s="7">
        <v>81</v>
      </c>
      <c r="AM10" s="153">
        <f t="shared" ref="AM10" si="12">SUM(AK10/AL10)*100</f>
        <v>80.246913580246911</v>
      </c>
      <c r="AN10" s="148">
        <v>62</v>
      </c>
      <c r="AO10" s="7">
        <v>78</v>
      </c>
      <c r="AP10" s="153">
        <f t="shared" ref="AP10" si="13">SUM(AN10/AO10)*100</f>
        <v>79.487179487179489</v>
      </c>
      <c r="AQ10" s="148">
        <v>63</v>
      </c>
      <c r="AR10" s="7">
        <v>84</v>
      </c>
      <c r="AS10" s="153">
        <f t="shared" ref="AS10" si="14">SUM(AQ10/AR10)*100</f>
        <v>75</v>
      </c>
      <c r="AT10" s="148" t="s">
        <v>15</v>
      </c>
      <c r="AU10" s="7" t="s">
        <v>15</v>
      </c>
      <c r="AV10" s="7" t="s">
        <v>15</v>
      </c>
      <c r="AW10" s="148" t="s">
        <v>15</v>
      </c>
      <c r="AX10" s="7" t="s">
        <v>15</v>
      </c>
      <c r="AY10" s="7" t="s">
        <v>15</v>
      </c>
      <c r="AZ10" s="7" t="s">
        <v>15</v>
      </c>
      <c r="BA10" s="7" t="s">
        <v>15</v>
      </c>
      <c r="BB10" s="7" t="s">
        <v>15</v>
      </c>
      <c r="BC10" s="7" t="s">
        <v>15</v>
      </c>
      <c r="BD10" s="7" t="s">
        <v>15</v>
      </c>
      <c r="BE10" s="7" t="s">
        <v>15</v>
      </c>
      <c r="BI10" s="85"/>
    </row>
    <row r="11" spans="1:64" ht="14.95" customHeight="1" thickBot="1" x14ac:dyDescent="0.3">
      <c r="A11" s="187" t="s">
        <v>529</v>
      </c>
      <c r="B11" s="185">
        <v>0</v>
      </c>
      <c r="C11" s="267">
        <v>0</v>
      </c>
      <c r="D11" s="220">
        <v>0</v>
      </c>
      <c r="E11" s="189">
        <f t="shared" si="6"/>
        <v>0</v>
      </c>
      <c r="F11" s="273" t="s">
        <v>529</v>
      </c>
      <c r="G11" s="277">
        <v>0</v>
      </c>
      <c r="H11" s="270">
        <v>0</v>
      </c>
      <c r="I11" s="271">
        <v>0</v>
      </c>
      <c r="J11" s="275">
        <f t="shared" si="7"/>
        <v>0</v>
      </c>
      <c r="K11" s="294"/>
      <c r="AB11" s="85"/>
      <c r="AE11" s="85"/>
      <c r="AF11" s="85"/>
      <c r="AG11" s="85"/>
      <c r="AH11" s="85"/>
      <c r="AN11" s="85"/>
      <c r="AT11" s="145"/>
      <c r="BC11" s="45"/>
    </row>
    <row r="12" spans="1:64" ht="14.95" customHeight="1" thickBot="1" x14ac:dyDescent="0.3">
      <c r="A12" s="187" t="s">
        <v>386</v>
      </c>
      <c r="B12" s="185">
        <v>2</v>
      </c>
      <c r="C12" s="267">
        <v>1</v>
      </c>
      <c r="D12" s="220">
        <v>2</v>
      </c>
      <c r="E12" s="189">
        <f t="shared" si="6"/>
        <v>5</v>
      </c>
      <c r="F12" s="273" t="s">
        <v>386</v>
      </c>
      <c r="G12" s="277">
        <v>10</v>
      </c>
      <c r="H12" s="270">
        <v>5</v>
      </c>
      <c r="I12" s="271">
        <v>10</v>
      </c>
      <c r="J12" s="275">
        <f t="shared" si="7"/>
        <v>25</v>
      </c>
      <c r="K12" s="530" t="s">
        <v>188</v>
      </c>
      <c r="L12" s="532" t="s">
        <v>14</v>
      </c>
      <c r="M12" s="533"/>
      <c r="N12" s="534"/>
      <c r="O12" s="449" t="s">
        <v>226</v>
      </c>
      <c r="P12" s="450"/>
      <c r="Q12" s="451"/>
      <c r="R12" s="449" t="s">
        <v>875</v>
      </c>
      <c r="S12" s="450"/>
      <c r="T12" s="451"/>
      <c r="U12" s="449" t="s">
        <v>581</v>
      </c>
      <c r="V12" s="450"/>
      <c r="W12" s="451"/>
      <c r="X12" s="160" t="s">
        <v>21</v>
      </c>
      <c r="AB12" s="449" t="s">
        <v>477</v>
      </c>
      <c r="AC12" s="450"/>
      <c r="AD12" s="451"/>
      <c r="AE12" s="449" t="s">
        <v>391</v>
      </c>
      <c r="AF12" s="450"/>
      <c r="AG12" s="451"/>
      <c r="AH12" s="449" t="s">
        <v>300</v>
      </c>
      <c r="AI12" s="450"/>
      <c r="AJ12" s="451"/>
      <c r="AK12" s="449" t="s">
        <v>219</v>
      </c>
      <c r="AL12" s="450"/>
      <c r="AM12" s="451"/>
      <c r="AN12" s="449" t="s">
        <v>165</v>
      </c>
      <c r="AO12" s="450"/>
      <c r="AP12" s="451"/>
      <c r="AQ12" s="449" t="s">
        <v>78</v>
      </c>
      <c r="AR12" s="450"/>
      <c r="AS12" s="451"/>
      <c r="AT12" s="449" t="s">
        <v>54</v>
      </c>
      <c r="AU12" s="450"/>
      <c r="AV12" s="451"/>
      <c r="AW12" s="449" t="s">
        <v>59</v>
      </c>
      <c r="AX12" s="450"/>
      <c r="AY12" s="451"/>
      <c r="AZ12" s="449" t="s">
        <v>41</v>
      </c>
      <c r="BA12" s="450"/>
      <c r="BB12" s="451"/>
      <c r="BC12" s="145"/>
    </row>
    <row r="13" spans="1:64" ht="14.95" customHeight="1" thickBot="1" x14ac:dyDescent="0.3">
      <c r="A13" s="187" t="s">
        <v>577</v>
      </c>
      <c r="B13" s="185">
        <v>1</v>
      </c>
      <c r="C13" s="267">
        <v>2</v>
      </c>
      <c r="D13" s="220">
        <v>1</v>
      </c>
      <c r="E13" s="189">
        <f t="shared" si="6"/>
        <v>4</v>
      </c>
      <c r="F13" s="273" t="s">
        <v>577</v>
      </c>
      <c r="G13" s="277">
        <v>5</v>
      </c>
      <c r="H13" s="270">
        <v>10</v>
      </c>
      <c r="I13" s="271">
        <v>5</v>
      </c>
      <c r="J13" s="275">
        <f t="shared" si="7"/>
        <v>20</v>
      </c>
      <c r="K13" s="531"/>
      <c r="L13" s="535"/>
      <c r="M13" s="536"/>
      <c r="N13" s="537"/>
      <c r="O13" s="452"/>
      <c r="P13" s="453"/>
      <c r="Q13" s="454"/>
      <c r="R13" s="452"/>
      <c r="S13" s="453"/>
      <c r="T13" s="454"/>
      <c r="U13" s="452"/>
      <c r="V13" s="453"/>
      <c r="W13" s="454"/>
      <c r="AB13" s="452"/>
      <c r="AC13" s="453"/>
      <c r="AD13" s="454"/>
      <c r="AE13" s="452"/>
      <c r="AF13" s="453"/>
      <c r="AG13" s="454"/>
      <c r="AH13" s="452"/>
      <c r="AI13" s="453"/>
      <c r="AJ13" s="454"/>
      <c r="AK13" s="452"/>
      <c r="AL13" s="453"/>
      <c r="AM13" s="454"/>
      <c r="AN13" s="452"/>
      <c r="AO13" s="453"/>
      <c r="AP13" s="454"/>
      <c r="AQ13" s="452"/>
      <c r="AR13" s="453"/>
      <c r="AS13" s="454"/>
      <c r="AT13" s="452"/>
      <c r="AU13" s="453"/>
      <c r="AV13" s="454"/>
      <c r="AW13" s="452"/>
      <c r="AX13" s="453"/>
      <c r="AY13" s="454"/>
      <c r="AZ13" s="452"/>
      <c r="BA13" s="453"/>
      <c r="BB13" s="454"/>
    </row>
    <row r="14" spans="1:64" ht="14.95" customHeight="1" thickBot="1" x14ac:dyDescent="0.3">
      <c r="A14" s="187" t="s">
        <v>163</v>
      </c>
      <c r="B14" s="185">
        <v>0</v>
      </c>
      <c r="C14" s="267">
        <v>3</v>
      </c>
      <c r="D14" s="220">
        <v>0</v>
      </c>
      <c r="E14" s="189">
        <f t="shared" si="6"/>
        <v>3</v>
      </c>
      <c r="F14" s="273" t="s">
        <v>163</v>
      </c>
      <c r="G14" s="277">
        <v>0</v>
      </c>
      <c r="H14" s="270">
        <v>15</v>
      </c>
      <c r="I14" s="271">
        <v>0</v>
      </c>
      <c r="J14" s="275">
        <f t="shared" si="7"/>
        <v>15</v>
      </c>
      <c r="K14" s="251" t="s">
        <v>21</v>
      </c>
      <c r="L14" s="1" t="s">
        <v>46</v>
      </c>
      <c r="M14" s="1" t="s">
        <v>9</v>
      </c>
      <c r="N14" s="1" t="s">
        <v>10</v>
      </c>
      <c r="O14" s="7" t="s">
        <v>46</v>
      </c>
      <c r="P14" s="7" t="s">
        <v>9</v>
      </c>
      <c r="Q14" s="7" t="s">
        <v>10</v>
      </c>
      <c r="R14" s="7" t="s">
        <v>46</v>
      </c>
      <c r="S14" s="7" t="s">
        <v>9</v>
      </c>
      <c r="T14" s="7" t="s">
        <v>10</v>
      </c>
      <c r="U14" s="7" t="s">
        <v>46</v>
      </c>
      <c r="V14" s="7" t="s">
        <v>9</v>
      </c>
      <c r="W14" s="7" t="s">
        <v>10</v>
      </c>
      <c r="AB14" s="148" t="s">
        <v>46</v>
      </c>
      <c r="AC14" s="7" t="s">
        <v>9</v>
      </c>
      <c r="AD14" s="7" t="s">
        <v>10</v>
      </c>
      <c r="AE14" s="148" t="s">
        <v>46</v>
      </c>
      <c r="AF14" s="7" t="s">
        <v>9</v>
      </c>
      <c r="AG14" s="7" t="s">
        <v>10</v>
      </c>
      <c r="AH14" s="148" t="s">
        <v>46</v>
      </c>
      <c r="AI14" s="7" t="s">
        <v>9</v>
      </c>
      <c r="AJ14" s="7" t="s">
        <v>10</v>
      </c>
      <c r="AK14" s="148" t="s">
        <v>46</v>
      </c>
      <c r="AL14" s="7" t="s">
        <v>9</v>
      </c>
      <c r="AM14" s="7" t="s">
        <v>10</v>
      </c>
      <c r="AN14" s="148" t="s">
        <v>46</v>
      </c>
      <c r="AO14" s="7" t="s">
        <v>9</v>
      </c>
      <c r="AP14" s="7" t="s">
        <v>10</v>
      </c>
      <c r="AQ14" s="148" t="s">
        <v>46</v>
      </c>
      <c r="AR14" s="7" t="s">
        <v>9</v>
      </c>
      <c r="AS14" s="7" t="s">
        <v>10</v>
      </c>
      <c r="AT14" s="148" t="s">
        <v>46</v>
      </c>
      <c r="AU14" s="7" t="s">
        <v>9</v>
      </c>
      <c r="AV14" s="7" t="s">
        <v>10</v>
      </c>
      <c r="AW14" s="148" t="s">
        <v>46</v>
      </c>
      <c r="AX14" s="7" t="s">
        <v>9</v>
      </c>
      <c r="AY14" s="7" t="s">
        <v>10</v>
      </c>
      <c r="AZ14" s="148" t="s">
        <v>46</v>
      </c>
      <c r="BA14" s="7" t="s">
        <v>9</v>
      </c>
      <c r="BB14" s="7" t="s">
        <v>10</v>
      </c>
      <c r="BC14" s="145"/>
    </row>
    <row r="15" spans="1:64" ht="14.95" customHeight="1" thickBot="1" x14ac:dyDescent="0.3">
      <c r="A15" s="187" t="s">
        <v>952</v>
      </c>
      <c r="B15" s="185">
        <v>0</v>
      </c>
      <c r="C15" s="267">
        <v>1</v>
      </c>
      <c r="D15" s="220">
        <v>0</v>
      </c>
      <c r="E15" s="189">
        <f t="shared" si="6"/>
        <v>1</v>
      </c>
      <c r="F15" s="273" t="s">
        <v>952</v>
      </c>
      <c r="G15" s="277">
        <v>0</v>
      </c>
      <c r="H15" s="270">
        <v>5</v>
      </c>
      <c r="I15" s="271">
        <v>0</v>
      </c>
      <c r="J15" s="275">
        <f t="shared" si="7"/>
        <v>5</v>
      </c>
      <c r="K15" s="187" t="s">
        <v>345</v>
      </c>
      <c r="L15" s="189">
        <v>1</v>
      </c>
      <c r="M15" s="189">
        <v>1</v>
      </c>
      <c r="N15" s="190">
        <f t="shared" ref="N15:N17" si="15">SUM(L15/M15)*100</f>
        <v>100</v>
      </c>
      <c r="O15" s="6" t="s">
        <v>15</v>
      </c>
      <c r="P15" s="7" t="s">
        <v>15</v>
      </c>
      <c r="Q15" s="153" t="s">
        <v>15</v>
      </c>
      <c r="R15" s="6" t="s">
        <v>15</v>
      </c>
      <c r="S15" s="7" t="s">
        <v>15</v>
      </c>
      <c r="T15" s="153" t="s">
        <v>15</v>
      </c>
      <c r="U15" s="6" t="s">
        <v>15</v>
      </c>
      <c r="V15" s="7" t="s">
        <v>15</v>
      </c>
      <c r="W15" s="153" t="s">
        <v>15</v>
      </c>
      <c r="AB15" s="6" t="s">
        <v>15</v>
      </c>
      <c r="AC15" s="7" t="s">
        <v>15</v>
      </c>
      <c r="AD15" s="153" t="s">
        <v>15</v>
      </c>
      <c r="AE15" s="148" t="s">
        <v>15</v>
      </c>
      <c r="AF15" s="7" t="s">
        <v>15</v>
      </c>
      <c r="AG15" s="153" t="s">
        <v>15</v>
      </c>
      <c r="AH15" s="6" t="s">
        <v>15</v>
      </c>
      <c r="AI15" s="7" t="s">
        <v>15</v>
      </c>
      <c r="AJ15" s="153" t="s">
        <v>15</v>
      </c>
      <c r="AK15" s="7" t="s">
        <v>15</v>
      </c>
      <c r="AL15" s="7" t="s">
        <v>15</v>
      </c>
      <c r="AM15" s="153" t="s">
        <v>15</v>
      </c>
      <c r="AN15" s="7" t="s">
        <v>15</v>
      </c>
      <c r="AO15" s="7" t="s">
        <v>15</v>
      </c>
      <c r="AP15" s="153" t="s">
        <v>15</v>
      </c>
      <c r="AQ15" s="7" t="s">
        <v>15</v>
      </c>
      <c r="AR15" s="7" t="s">
        <v>15</v>
      </c>
      <c r="AS15" s="153" t="s">
        <v>15</v>
      </c>
      <c r="AT15" s="7" t="s">
        <v>15</v>
      </c>
      <c r="AU15" s="7" t="s">
        <v>15</v>
      </c>
      <c r="AV15" s="153" t="s">
        <v>15</v>
      </c>
      <c r="AW15" s="7" t="s">
        <v>15</v>
      </c>
      <c r="AX15" s="7" t="s">
        <v>15</v>
      </c>
      <c r="AY15" s="153" t="s">
        <v>15</v>
      </c>
      <c r="AZ15" s="7" t="s">
        <v>15</v>
      </c>
      <c r="BA15" s="7" t="s">
        <v>15</v>
      </c>
      <c r="BB15" s="153" t="s">
        <v>15</v>
      </c>
      <c r="BC15" s="145"/>
    </row>
    <row r="16" spans="1:64" ht="14.95" customHeight="1" thickBot="1" x14ac:dyDescent="0.3">
      <c r="A16" s="187" t="s">
        <v>96</v>
      </c>
      <c r="B16" s="185">
        <v>4</v>
      </c>
      <c r="C16" s="267">
        <v>3</v>
      </c>
      <c r="D16" s="220">
        <v>0</v>
      </c>
      <c r="E16" s="189">
        <f t="shared" si="6"/>
        <v>7</v>
      </c>
      <c r="F16" s="273" t="s">
        <v>96</v>
      </c>
      <c r="G16" s="277">
        <v>20</v>
      </c>
      <c r="H16" s="270">
        <v>15</v>
      </c>
      <c r="I16" s="271">
        <v>0</v>
      </c>
      <c r="J16" s="275">
        <f t="shared" si="7"/>
        <v>35</v>
      </c>
      <c r="K16" s="187" t="s">
        <v>564</v>
      </c>
      <c r="L16" s="189">
        <v>2</v>
      </c>
      <c r="M16" s="189">
        <v>2</v>
      </c>
      <c r="N16" s="190">
        <f t="shared" si="15"/>
        <v>100</v>
      </c>
      <c r="O16" s="6">
        <v>2</v>
      </c>
      <c r="P16" s="7">
        <v>2</v>
      </c>
      <c r="Q16" s="153">
        <v>100</v>
      </c>
      <c r="R16" s="6">
        <v>0</v>
      </c>
      <c r="S16" s="7">
        <v>1</v>
      </c>
      <c r="T16" s="153">
        <v>0</v>
      </c>
      <c r="U16" s="6" t="s">
        <v>15</v>
      </c>
      <c r="V16" s="7" t="s">
        <v>15</v>
      </c>
      <c r="W16" s="153" t="s">
        <v>15</v>
      </c>
      <c r="AB16" s="148">
        <v>4</v>
      </c>
      <c r="AC16" s="7">
        <v>6</v>
      </c>
      <c r="AD16" s="153">
        <v>66.666666666666657</v>
      </c>
      <c r="AE16" s="148" t="s">
        <v>15</v>
      </c>
      <c r="AF16" s="7" t="s">
        <v>15</v>
      </c>
      <c r="AG16" s="153" t="s">
        <v>15</v>
      </c>
      <c r="AH16" s="6" t="s">
        <v>15</v>
      </c>
      <c r="AI16" s="7" t="s">
        <v>15</v>
      </c>
      <c r="AJ16" s="153" t="s">
        <v>15</v>
      </c>
      <c r="AK16" s="148">
        <v>2</v>
      </c>
      <c r="AL16" s="7">
        <v>3</v>
      </c>
      <c r="AM16" s="153">
        <v>66.666666666666657</v>
      </c>
      <c r="AN16" s="7" t="s">
        <v>15</v>
      </c>
      <c r="AO16" s="7" t="s">
        <v>15</v>
      </c>
      <c r="AP16" s="153" t="s">
        <v>15</v>
      </c>
      <c r="AQ16" s="7" t="s">
        <v>15</v>
      </c>
      <c r="AR16" s="7" t="s">
        <v>15</v>
      </c>
      <c r="AS16" s="153" t="s">
        <v>15</v>
      </c>
      <c r="AT16" s="7" t="s">
        <v>15</v>
      </c>
      <c r="AU16" s="7" t="s">
        <v>15</v>
      </c>
      <c r="AV16" s="153" t="s">
        <v>15</v>
      </c>
      <c r="AW16" s="7" t="s">
        <v>15</v>
      </c>
      <c r="AX16" s="7" t="s">
        <v>15</v>
      </c>
      <c r="AY16" s="153" t="s">
        <v>15</v>
      </c>
      <c r="AZ16" s="7" t="s">
        <v>15</v>
      </c>
      <c r="BA16" s="7" t="s">
        <v>15</v>
      </c>
      <c r="BB16" s="153" t="s">
        <v>15</v>
      </c>
      <c r="BC16" s="145"/>
    </row>
    <row r="17" spans="1:54" ht="14.95" customHeight="1" thickBot="1" x14ac:dyDescent="0.3">
      <c r="A17" s="187" t="s">
        <v>652</v>
      </c>
      <c r="B17" s="185">
        <v>0</v>
      </c>
      <c r="C17" s="267">
        <v>0</v>
      </c>
      <c r="D17" s="220">
        <v>2</v>
      </c>
      <c r="E17" s="189">
        <f t="shared" si="6"/>
        <v>2</v>
      </c>
      <c r="F17" s="273" t="s">
        <v>652</v>
      </c>
      <c r="G17" s="277">
        <v>0</v>
      </c>
      <c r="H17" s="270">
        <v>0</v>
      </c>
      <c r="I17" s="271">
        <v>10</v>
      </c>
      <c r="J17" s="275">
        <f t="shared" si="7"/>
        <v>10</v>
      </c>
      <c r="K17" s="187" t="s">
        <v>22</v>
      </c>
      <c r="L17" s="189">
        <v>23</v>
      </c>
      <c r="M17" s="189">
        <v>27</v>
      </c>
      <c r="N17" s="190">
        <f t="shared" si="15"/>
        <v>85.18518518518519</v>
      </c>
      <c r="O17" s="7">
        <v>12</v>
      </c>
      <c r="P17" s="7">
        <v>16</v>
      </c>
      <c r="Q17" s="153">
        <v>75</v>
      </c>
      <c r="R17" s="7">
        <v>31</v>
      </c>
      <c r="S17" s="7">
        <v>35</v>
      </c>
      <c r="T17" s="153">
        <v>88.571428571428569</v>
      </c>
      <c r="U17" s="7">
        <v>13</v>
      </c>
      <c r="V17" s="7">
        <v>16</v>
      </c>
      <c r="W17" s="153">
        <v>81.25</v>
      </c>
      <c r="AB17" s="148">
        <v>23</v>
      </c>
      <c r="AC17" s="7">
        <v>28</v>
      </c>
      <c r="AD17" s="153">
        <f t="shared" ref="AD17" si="16">SUM(AB17/AC17)*100</f>
        <v>82.142857142857139</v>
      </c>
      <c r="AE17" s="148">
        <v>2</v>
      </c>
      <c r="AF17" s="7">
        <v>5</v>
      </c>
      <c r="AG17" s="153">
        <f t="shared" ref="AG17" si="17">SUM(AE17/AF17)*100</f>
        <v>40</v>
      </c>
      <c r="AH17" s="148">
        <v>11</v>
      </c>
      <c r="AI17" s="7">
        <v>12</v>
      </c>
      <c r="AJ17" s="153">
        <f t="shared" ref="AJ17" si="18">SUM(AH17/AI17)*100</f>
        <v>91.666666666666657</v>
      </c>
      <c r="AK17" s="148" t="s">
        <v>15</v>
      </c>
      <c r="AL17" s="7" t="s">
        <v>15</v>
      </c>
      <c r="AM17" s="7" t="s">
        <v>15</v>
      </c>
      <c r="AN17" s="148">
        <v>13</v>
      </c>
      <c r="AO17" s="7">
        <v>16</v>
      </c>
      <c r="AP17" s="153">
        <f t="shared" ref="AP17" si="19">SUM(AN17/AO17)*100</f>
        <v>81.25</v>
      </c>
      <c r="AQ17" s="148" t="s">
        <v>15</v>
      </c>
      <c r="AR17" s="7" t="s">
        <v>15</v>
      </c>
      <c r="AS17" s="7" t="s">
        <v>15</v>
      </c>
      <c r="AT17" s="148" t="s">
        <v>15</v>
      </c>
      <c r="AU17" s="7" t="s">
        <v>15</v>
      </c>
      <c r="AV17" s="7" t="s">
        <v>15</v>
      </c>
      <c r="AW17" s="148" t="s">
        <v>15</v>
      </c>
      <c r="AX17" s="7" t="s">
        <v>15</v>
      </c>
      <c r="AY17" s="7" t="s">
        <v>15</v>
      </c>
      <c r="AZ17" s="148" t="s">
        <v>15</v>
      </c>
      <c r="BA17" s="7" t="s">
        <v>15</v>
      </c>
      <c r="BB17" s="7" t="s">
        <v>15</v>
      </c>
    </row>
    <row r="18" spans="1:54" ht="14.95" customHeight="1" thickBot="1" x14ac:dyDescent="0.3">
      <c r="A18" s="187" t="s">
        <v>232</v>
      </c>
      <c r="B18" s="185">
        <v>0</v>
      </c>
      <c r="C18" s="267">
        <v>0</v>
      </c>
      <c r="D18" s="220">
        <v>1</v>
      </c>
      <c r="E18" s="189">
        <f t="shared" si="6"/>
        <v>1</v>
      </c>
      <c r="F18" s="273" t="s">
        <v>232</v>
      </c>
      <c r="G18" s="277">
        <v>0</v>
      </c>
      <c r="H18" s="270">
        <v>0</v>
      </c>
      <c r="I18" s="271">
        <v>5</v>
      </c>
      <c r="J18" s="275">
        <f t="shared" si="7"/>
        <v>5</v>
      </c>
      <c r="AQ18" s="145"/>
    </row>
    <row r="19" spans="1:54" ht="14.95" customHeight="1" thickBot="1" x14ac:dyDescent="0.3">
      <c r="A19" s="187" t="s">
        <v>508</v>
      </c>
      <c r="B19" s="185">
        <v>0</v>
      </c>
      <c r="C19" s="267">
        <v>1</v>
      </c>
      <c r="D19" s="220">
        <v>0</v>
      </c>
      <c r="E19" s="189">
        <f t="shared" si="6"/>
        <v>1</v>
      </c>
      <c r="F19" s="273" t="s">
        <v>508</v>
      </c>
      <c r="G19" s="277">
        <v>20</v>
      </c>
      <c r="H19" s="270">
        <v>9</v>
      </c>
      <c r="I19" s="271">
        <v>2</v>
      </c>
      <c r="J19" s="275">
        <f t="shared" si="7"/>
        <v>31</v>
      </c>
      <c r="K19" s="528" t="s">
        <v>189</v>
      </c>
      <c r="L19" s="449" t="s">
        <v>14</v>
      </c>
      <c r="M19" s="450"/>
      <c r="N19" s="451"/>
      <c r="O19" s="449" t="s">
        <v>226</v>
      </c>
      <c r="P19" s="450"/>
      <c r="Q19" s="451"/>
      <c r="R19" s="449" t="s">
        <v>875</v>
      </c>
      <c r="S19" s="450"/>
      <c r="T19" s="451"/>
      <c r="U19" s="449" t="s">
        <v>581</v>
      </c>
      <c r="V19" s="450"/>
      <c r="W19" s="451"/>
      <c r="AB19" s="449" t="s">
        <v>477</v>
      </c>
      <c r="AC19" s="450"/>
      <c r="AD19" s="451"/>
      <c r="AE19" s="449" t="s">
        <v>391</v>
      </c>
      <c r="AF19" s="450"/>
      <c r="AG19" s="451"/>
      <c r="AH19" s="449" t="s">
        <v>300</v>
      </c>
      <c r="AI19" s="450"/>
      <c r="AJ19" s="451"/>
      <c r="AK19" s="449" t="s">
        <v>220</v>
      </c>
      <c r="AL19" s="450"/>
      <c r="AM19" s="451"/>
      <c r="AN19" s="449" t="s">
        <v>165</v>
      </c>
      <c r="AO19" s="450"/>
      <c r="AP19" s="451"/>
      <c r="AQ19" s="449" t="s">
        <v>78</v>
      </c>
      <c r="AR19" s="450"/>
      <c r="AS19" s="451"/>
      <c r="AT19" s="449" t="s">
        <v>54</v>
      </c>
      <c r="AU19" s="450"/>
      <c r="AV19" s="451"/>
      <c r="AW19" s="449" t="s">
        <v>59</v>
      </c>
      <c r="AX19" s="450"/>
      <c r="AY19" s="451"/>
      <c r="AZ19" s="449" t="s">
        <v>41</v>
      </c>
      <c r="BA19" s="450"/>
      <c r="BB19" s="451"/>
    </row>
    <row r="20" spans="1:54" ht="14.95" customHeight="1" thickBot="1" x14ac:dyDescent="0.3">
      <c r="A20" s="187" t="s">
        <v>265</v>
      </c>
      <c r="B20" s="185">
        <v>4</v>
      </c>
      <c r="C20" s="267">
        <v>0</v>
      </c>
      <c r="D20" s="220">
        <v>0</v>
      </c>
      <c r="E20" s="189">
        <f t="shared" si="6"/>
        <v>4</v>
      </c>
      <c r="F20" s="273" t="s">
        <v>265</v>
      </c>
      <c r="G20" s="277">
        <v>20</v>
      </c>
      <c r="H20" s="270">
        <v>0</v>
      </c>
      <c r="I20" s="271">
        <v>0</v>
      </c>
      <c r="J20" s="275">
        <f t="shared" si="7"/>
        <v>20</v>
      </c>
      <c r="K20" s="529"/>
      <c r="L20" s="452"/>
      <c r="M20" s="453"/>
      <c r="N20" s="454"/>
      <c r="O20" s="452"/>
      <c r="P20" s="453"/>
      <c r="Q20" s="454"/>
      <c r="R20" s="452"/>
      <c r="S20" s="453"/>
      <c r="T20" s="454"/>
      <c r="U20" s="452"/>
      <c r="V20" s="453"/>
      <c r="W20" s="454"/>
      <c r="AB20" s="452"/>
      <c r="AC20" s="453"/>
      <c r="AD20" s="454"/>
      <c r="AE20" s="452"/>
      <c r="AF20" s="453"/>
      <c r="AG20" s="454"/>
      <c r="AH20" s="452"/>
      <c r="AI20" s="453"/>
      <c r="AJ20" s="454"/>
      <c r="AK20" s="452"/>
      <c r="AL20" s="453"/>
      <c r="AM20" s="454"/>
      <c r="AN20" s="452"/>
      <c r="AO20" s="453"/>
      <c r="AP20" s="454"/>
      <c r="AQ20" s="452"/>
      <c r="AR20" s="453"/>
      <c r="AS20" s="454"/>
      <c r="AT20" s="452"/>
      <c r="AU20" s="453"/>
      <c r="AV20" s="454"/>
      <c r="AW20" s="452"/>
      <c r="AX20" s="453"/>
      <c r="AY20" s="454"/>
      <c r="AZ20" s="452"/>
      <c r="BA20" s="453"/>
      <c r="BB20" s="454"/>
    </row>
    <row r="21" spans="1:54" ht="14.95" customHeight="1" thickBot="1" x14ac:dyDescent="0.3">
      <c r="A21" s="187" t="s">
        <v>397</v>
      </c>
      <c r="B21" s="185">
        <v>0</v>
      </c>
      <c r="C21" s="267">
        <v>0</v>
      </c>
      <c r="D21" s="220">
        <v>0</v>
      </c>
      <c r="E21" s="189">
        <f t="shared" si="6"/>
        <v>0</v>
      </c>
      <c r="F21" s="273" t="s">
        <v>397</v>
      </c>
      <c r="G21" s="277">
        <v>0</v>
      </c>
      <c r="H21" s="270">
        <v>0</v>
      </c>
      <c r="I21" s="271">
        <v>0</v>
      </c>
      <c r="J21" s="275">
        <f t="shared" si="7"/>
        <v>0</v>
      </c>
      <c r="K21" s="246" t="s">
        <v>21</v>
      </c>
      <c r="L21" s="7" t="s">
        <v>46</v>
      </c>
      <c r="M21" s="7" t="s">
        <v>9</v>
      </c>
      <c r="N21" s="7" t="s">
        <v>10</v>
      </c>
      <c r="O21" s="7" t="s">
        <v>46</v>
      </c>
      <c r="P21" s="7" t="s">
        <v>9</v>
      </c>
      <c r="Q21" s="7" t="s">
        <v>10</v>
      </c>
      <c r="R21" s="7" t="s">
        <v>46</v>
      </c>
      <c r="S21" s="7" t="s">
        <v>9</v>
      </c>
      <c r="T21" s="7" t="s">
        <v>10</v>
      </c>
      <c r="U21" s="7" t="s">
        <v>46</v>
      </c>
      <c r="V21" s="7" t="s">
        <v>9</v>
      </c>
      <c r="W21" s="7" t="s">
        <v>10</v>
      </c>
      <c r="AB21" s="148" t="s">
        <v>46</v>
      </c>
      <c r="AC21" s="7" t="s">
        <v>9</v>
      </c>
      <c r="AD21" s="7" t="s">
        <v>10</v>
      </c>
      <c r="AE21" s="148" t="s">
        <v>46</v>
      </c>
      <c r="AF21" s="7" t="s">
        <v>9</v>
      </c>
      <c r="AG21" s="7" t="s">
        <v>10</v>
      </c>
      <c r="AH21" s="148" t="s">
        <v>46</v>
      </c>
      <c r="AI21" s="7" t="s">
        <v>9</v>
      </c>
      <c r="AJ21" s="7" t="s">
        <v>10</v>
      </c>
      <c r="AK21" s="148" t="s">
        <v>46</v>
      </c>
      <c r="AL21" s="7" t="s">
        <v>9</v>
      </c>
      <c r="AM21" s="7" t="s">
        <v>10</v>
      </c>
      <c r="AN21" s="148" t="s">
        <v>46</v>
      </c>
      <c r="AO21" s="7" t="s">
        <v>9</v>
      </c>
      <c r="AP21" s="7" t="s">
        <v>10</v>
      </c>
      <c r="AQ21" s="148" t="s">
        <v>46</v>
      </c>
      <c r="AR21" s="7" t="s">
        <v>9</v>
      </c>
      <c r="AS21" s="7" t="s">
        <v>10</v>
      </c>
      <c r="AT21" s="148" t="s">
        <v>46</v>
      </c>
      <c r="AU21" s="7" t="s">
        <v>9</v>
      </c>
      <c r="AV21" s="7" t="s">
        <v>10</v>
      </c>
      <c r="AW21" s="148" t="s">
        <v>46</v>
      </c>
      <c r="AX21" s="7" t="s">
        <v>9</v>
      </c>
      <c r="AY21" s="7" t="s">
        <v>10</v>
      </c>
      <c r="AZ21" s="148" t="s">
        <v>46</v>
      </c>
      <c r="BA21" s="7" t="s">
        <v>9</v>
      </c>
      <c r="BB21" s="7" t="s">
        <v>10</v>
      </c>
    </row>
    <row r="22" spans="1:54" ht="14.95" customHeight="1" thickBot="1" x14ac:dyDescent="0.3">
      <c r="A22" s="187" t="s">
        <v>950</v>
      </c>
      <c r="B22" s="185">
        <v>0</v>
      </c>
      <c r="C22" s="267">
        <v>0</v>
      </c>
      <c r="D22" s="220">
        <v>0</v>
      </c>
      <c r="E22" s="189">
        <f t="shared" si="6"/>
        <v>0</v>
      </c>
      <c r="F22" s="273" t="s">
        <v>950</v>
      </c>
      <c r="G22" s="277">
        <v>0</v>
      </c>
      <c r="H22" s="270">
        <v>0</v>
      </c>
      <c r="I22" s="271">
        <v>0</v>
      </c>
      <c r="J22" s="275">
        <f t="shared" si="7"/>
        <v>0</v>
      </c>
      <c r="K22" s="187" t="s">
        <v>564</v>
      </c>
      <c r="L22" s="7" t="s">
        <v>15</v>
      </c>
      <c r="M22" s="7" t="s">
        <v>15</v>
      </c>
      <c r="N22" s="153" t="s">
        <v>15</v>
      </c>
      <c r="O22" s="7" t="s">
        <v>15</v>
      </c>
      <c r="P22" s="7" t="s">
        <v>15</v>
      </c>
      <c r="Q22" s="153" t="s">
        <v>15</v>
      </c>
      <c r="R22" s="7" t="s">
        <v>15</v>
      </c>
      <c r="S22" s="7" t="s">
        <v>15</v>
      </c>
      <c r="T22" s="153" t="s">
        <v>15</v>
      </c>
      <c r="U22" s="7">
        <v>7</v>
      </c>
      <c r="V22" s="7">
        <v>12</v>
      </c>
      <c r="W22" s="7">
        <v>58</v>
      </c>
      <c r="AB22" s="148" t="s">
        <v>15</v>
      </c>
      <c r="AC22" s="7" t="s">
        <v>15</v>
      </c>
      <c r="AD22" s="153" t="s">
        <v>15</v>
      </c>
      <c r="AE22" s="148">
        <v>11</v>
      </c>
      <c r="AF22" s="7">
        <v>13</v>
      </c>
      <c r="AG22" s="153">
        <f t="shared" ref="AG22" si="20">(AE22/AF22)*100</f>
        <v>84.615384615384613</v>
      </c>
      <c r="AH22" s="6">
        <v>15</v>
      </c>
      <c r="AI22" s="7">
        <v>17</v>
      </c>
      <c r="AJ22" s="153">
        <f t="shared" ref="AJ22" si="21">(AH22/AI22)*100</f>
        <v>88.235294117647058</v>
      </c>
      <c r="AK22" s="6" t="s">
        <v>15</v>
      </c>
      <c r="AL22" s="7" t="s">
        <v>15</v>
      </c>
      <c r="AM22" s="153" t="s">
        <v>15</v>
      </c>
      <c r="AN22" s="148">
        <v>23</v>
      </c>
      <c r="AO22" s="7">
        <v>27</v>
      </c>
      <c r="AP22" s="153">
        <f t="shared" ref="AP22" si="22">SUM(AN22/AO22)*100</f>
        <v>85.18518518518519</v>
      </c>
      <c r="AQ22" s="148" t="s">
        <v>15</v>
      </c>
      <c r="AR22" s="7" t="s">
        <v>15</v>
      </c>
      <c r="AS22" s="6" t="s">
        <v>15</v>
      </c>
      <c r="AT22" s="6">
        <v>6</v>
      </c>
      <c r="AU22" s="7">
        <v>6</v>
      </c>
      <c r="AV22" s="153">
        <f t="shared" ref="AV22" si="23">SUM(AT22/AU22)*100</f>
        <v>100</v>
      </c>
      <c r="AW22" s="6" t="s">
        <v>15</v>
      </c>
      <c r="AX22" s="7" t="s">
        <v>15</v>
      </c>
      <c r="AY22" s="153" t="s">
        <v>15</v>
      </c>
      <c r="AZ22" s="6" t="s">
        <v>15</v>
      </c>
      <c r="BA22" s="7" t="s">
        <v>15</v>
      </c>
      <c r="BB22" s="153" t="s">
        <v>15</v>
      </c>
    </row>
    <row r="23" spans="1:54" ht="14.95" customHeight="1" thickBot="1" x14ac:dyDescent="0.3">
      <c r="A23" s="187" t="s">
        <v>274</v>
      </c>
      <c r="B23" s="185">
        <v>4</v>
      </c>
      <c r="C23" s="267">
        <v>1</v>
      </c>
      <c r="D23" s="220">
        <v>0</v>
      </c>
      <c r="E23" s="189">
        <f t="shared" si="6"/>
        <v>5</v>
      </c>
      <c r="F23" s="273" t="s">
        <v>274</v>
      </c>
      <c r="G23" s="277">
        <v>20</v>
      </c>
      <c r="H23" s="270">
        <v>5</v>
      </c>
      <c r="I23" s="271">
        <v>0</v>
      </c>
      <c r="J23" s="275">
        <f t="shared" si="7"/>
        <v>25</v>
      </c>
      <c r="K23" s="187" t="s">
        <v>22</v>
      </c>
      <c r="L23" s="7" t="s">
        <v>15</v>
      </c>
      <c r="M23" s="7" t="s">
        <v>15</v>
      </c>
      <c r="N23" s="153" t="s">
        <v>15</v>
      </c>
      <c r="O23" s="7" t="s">
        <v>15</v>
      </c>
      <c r="P23" s="7" t="s">
        <v>15</v>
      </c>
      <c r="Q23" s="153" t="s">
        <v>15</v>
      </c>
      <c r="R23" s="7" t="s">
        <v>15</v>
      </c>
      <c r="S23" s="7" t="s">
        <v>15</v>
      </c>
      <c r="T23" s="153" t="s">
        <v>15</v>
      </c>
      <c r="U23" s="7" t="s">
        <v>15</v>
      </c>
      <c r="V23" s="7" t="s">
        <v>15</v>
      </c>
      <c r="W23" s="153" t="s">
        <v>15</v>
      </c>
      <c r="AB23" s="148" t="s">
        <v>15</v>
      </c>
      <c r="AC23" s="7" t="s">
        <v>15</v>
      </c>
      <c r="AD23" s="153" t="s">
        <v>15</v>
      </c>
      <c r="AE23" s="148" t="s">
        <v>15</v>
      </c>
      <c r="AF23" s="7" t="s">
        <v>15</v>
      </c>
      <c r="AG23" s="153" t="s">
        <v>15</v>
      </c>
      <c r="AH23" s="148" t="s">
        <v>15</v>
      </c>
      <c r="AI23" s="7" t="s">
        <v>15</v>
      </c>
      <c r="AJ23" s="7" t="s">
        <v>15</v>
      </c>
      <c r="AK23" s="148">
        <v>23</v>
      </c>
      <c r="AL23" s="7">
        <v>28</v>
      </c>
      <c r="AM23" s="153">
        <f t="shared" ref="AM23" si="24">SUM(AK23/AL23)*100</f>
        <v>82.142857142857139</v>
      </c>
      <c r="AN23" s="148" t="s">
        <v>15</v>
      </c>
      <c r="AO23" s="7" t="s">
        <v>15</v>
      </c>
      <c r="AP23" s="7" t="s">
        <v>15</v>
      </c>
      <c r="AQ23" s="148" t="s">
        <v>15</v>
      </c>
      <c r="AR23" s="7" t="s">
        <v>15</v>
      </c>
      <c r="AS23" s="7" t="s">
        <v>15</v>
      </c>
      <c r="AT23" s="148" t="s">
        <v>15</v>
      </c>
      <c r="AU23" s="7" t="s">
        <v>15</v>
      </c>
      <c r="AV23" s="7" t="s">
        <v>15</v>
      </c>
      <c r="AW23" s="148" t="s">
        <v>15</v>
      </c>
      <c r="AX23" s="7" t="s">
        <v>15</v>
      </c>
      <c r="AY23" s="7" t="s">
        <v>15</v>
      </c>
      <c r="AZ23" s="148" t="s">
        <v>15</v>
      </c>
      <c r="BA23" s="7" t="s">
        <v>15</v>
      </c>
      <c r="BB23" s="7" t="s">
        <v>15</v>
      </c>
    </row>
    <row r="24" spans="1:54" ht="14.95" customHeight="1" thickBot="1" x14ac:dyDescent="0.3">
      <c r="A24" s="187" t="s">
        <v>829</v>
      </c>
      <c r="B24" s="185">
        <v>0</v>
      </c>
      <c r="C24" s="267">
        <v>0</v>
      </c>
      <c r="D24" s="220">
        <v>0</v>
      </c>
      <c r="E24" s="189">
        <f t="shared" si="6"/>
        <v>0</v>
      </c>
      <c r="F24" s="273" t="s">
        <v>829</v>
      </c>
      <c r="G24" s="277">
        <v>0</v>
      </c>
      <c r="H24" s="270">
        <v>0</v>
      </c>
      <c r="I24" s="271">
        <v>0</v>
      </c>
      <c r="J24" s="275">
        <f t="shared" si="7"/>
        <v>0</v>
      </c>
    </row>
    <row r="25" spans="1:54" ht="14.95" customHeight="1" thickBot="1" x14ac:dyDescent="0.3">
      <c r="A25" s="187" t="s">
        <v>781</v>
      </c>
      <c r="B25" s="185">
        <v>0</v>
      </c>
      <c r="C25" s="267">
        <v>0</v>
      </c>
      <c r="D25" s="220">
        <v>1</v>
      </c>
      <c r="E25" s="189">
        <f t="shared" si="6"/>
        <v>1</v>
      </c>
      <c r="F25" s="273" t="s">
        <v>781</v>
      </c>
      <c r="G25" s="277">
        <v>0</v>
      </c>
      <c r="H25" s="270">
        <v>0</v>
      </c>
      <c r="I25" s="271">
        <v>5</v>
      </c>
      <c r="J25" s="275">
        <f t="shared" si="7"/>
        <v>5</v>
      </c>
      <c r="K25" s="472" t="s">
        <v>1003</v>
      </c>
      <c r="L25" s="511" t="s">
        <v>14</v>
      </c>
      <c r="M25" s="512"/>
      <c r="N25" s="513"/>
      <c r="O25" s="449" t="s">
        <v>226</v>
      </c>
      <c r="P25" s="450"/>
      <c r="Q25" s="451"/>
      <c r="R25" s="449" t="s">
        <v>875</v>
      </c>
      <c r="S25" s="450"/>
      <c r="T25" s="451"/>
      <c r="U25" s="449" t="s">
        <v>581</v>
      </c>
      <c r="V25" s="450"/>
      <c r="W25" s="451"/>
      <c r="AB25" s="449" t="s">
        <v>477</v>
      </c>
      <c r="AC25" s="450"/>
      <c r="AD25" s="451"/>
      <c r="AE25" s="449" t="s">
        <v>300</v>
      </c>
      <c r="AF25" s="450"/>
      <c r="AG25" s="451"/>
      <c r="AH25" s="449" t="s">
        <v>219</v>
      </c>
      <c r="AI25" s="450"/>
      <c r="AJ25" s="451"/>
      <c r="AK25" s="449" t="s">
        <v>165</v>
      </c>
      <c r="AL25" s="450"/>
      <c r="AM25" s="451"/>
      <c r="AN25" s="449" t="s">
        <v>78</v>
      </c>
      <c r="AO25" s="450"/>
      <c r="AP25" s="451"/>
      <c r="AQ25" s="449" t="s">
        <v>50</v>
      </c>
      <c r="AR25" s="450"/>
      <c r="AS25" s="451"/>
      <c r="AT25" s="449" t="s">
        <v>37</v>
      </c>
      <c r="AU25" s="450"/>
      <c r="AV25" s="451"/>
      <c r="AW25" s="523"/>
      <c r="AX25" s="523"/>
      <c r="AY25" s="523"/>
      <c r="AZ25" s="36"/>
    </row>
    <row r="26" spans="1:54" ht="14.95" customHeight="1" thickBot="1" x14ac:dyDescent="0.3">
      <c r="A26" s="187" t="s">
        <v>767</v>
      </c>
      <c r="B26" s="185">
        <v>3</v>
      </c>
      <c r="C26" s="267">
        <v>0</v>
      </c>
      <c r="D26" s="220">
        <v>0</v>
      </c>
      <c r="E26" s="189">
        <f t="shared" si="6"/>
        <v>3</v>
      </c>
      <c r="F26" s="273" t="s">
        <v>767</v>
      </c>
      <c r="G26" s="277">
        <v>15</v>
      </c>
      <c r="H26" s="270">
        <v>0</v>
      </c>
      <c r="I26" s="271">
        <v>0</v>
      </c>
      <c r="J26" s="275">
        <f t="shared" si="7"/>
        <v>15</v>
      </c>
      <c r="K26" s="473"/>
      <c r="L26" s="514"/>
      <c r="M26" s="515"/>
      <c r="N26" s="516"/>
      <c r="O26" s="452"/>
      <c r="P26" s="453"/>
      <c r="Q26" s="454"/>
      <c r="R26" s="452"/>
      <c r="S26" s="453"/>
      <c r="T26" s="454"/>
      <c r="U26" s="452"/>
      <c r="V26" s="453"/>
      <c r="W26" s="454"/>
      <c r="AB26" s="452"/>
      <c r="AC26" s="453"/>
      <c r="AD26" s="454"/>
      <c r="AE26" s="452"/>
      <c r="AF26" s="453"/>
      <c r="AG26" s="454"/>
      <c r="AH26" s="452"/>
      <c r="AI26" s="453"/>
      <c r="AJ26" s="454"/>
      <c r="AK26" s="452"/>
      <c r="AL26" s="453"/>
      <c r="AM26" s="454"/>
      <c r="AN26" s="452"/>
      <c r="AO26" s="453"/>
      <c r="AP26" s="454"/>
      <c r="AQ26" s="452"/>
      <c r="AR26" s="453"/>
      <c r="AS26" s="454"/>
      <c r="AT26" s="452"/>
      <c r="AU26" s="453"/>
      <c r="AV26" s="454"/>
      <c r="AW26" s="523"/>
      <c r="AX26" s="523"/>
      <c r="AY26" s="523"/>
      <c r="AZ26" s="36"/>
    </row>
    <row r="27" spans="1:54" ht="14.95" customHeight="1" thickBot="1" x14ac:dyDescent="0.3">
      <c r="A27" s="187" t="s">
        <v>343</v>
      </c>
      <c r="B27" s="185">
        <v>0</v>
      </c>
      <c r="C27" s="267">
        <v>0</v>
      </c>
      <c r="D27" s="220">
        <v>0</v>
      </c>
      <c r="E27" s="189">
        <f t="shared" si="6"/>
        <v>0</v>
      </c>
      <c r="F27" s="273" t="s">
        <v>343</v>
      </c>
      <c r="G27" s="277">
        <v>0</v>
      </c>
      <c r="H27" s="270">
        <v>0</v>
      </c>
      <c r="I27" s="271">
        <v>0</v>
      </c>
      <c r="J27" s="275">
        <f t="shared" si="7"/>
        <v>0</v>
      </c>
      <c r="K27" s="359" t="s">
        <v>21</v>
      </c>
      <c r="L27" s="163" t="s">
        <v>46</v>
      </c>
      <c r="M27" s="163" t="s">
        <v>9</v>
      </c>
      <c r="N27" s="163" t="s">
        <v>10</v>
      </c>
      <c r="O27" s="7" t="s">
        <v>46</v>
      </c>
      <c r="P27" s="7" t="s">
        <v>9</v>
      </c>
      <c r="Q27" s="7" t="s">
        <v>10</v>
      </c>
      <c r="R27" s="7" t="s">
        <v>46</v>
      </c>
      <c r="S27" s="7" t="s">
        <v>9</v>
      </c>
      <c r="T27" s="7" t="s">
        <v>10</v>
      </c>
      <c r="U27" s="7" t="s">
        <v>46</v>
      </c>
      <c r="V27" s="7" t="s">
        <v>9</v>
      </c>
      <c r="W27" s="7" t="s">
        <v>10</v>
      </c>
      <c r="AB27" s="148" t="s">
        <v>46</v>
      </c>
      <c r="AC27" s="7" t="s">
        <v>9</v>
      </c>
      <c r="AD27" s="7" t="s">
        <v>10</v>
      </c>
      <c r="AE27" s="148" t="s">
        <v>46</v>
      </c>
      <c r="AF27" s="7" t="s">
        <v>9</v>
      </c>
      <c r="AG27" s="7" t="s">
        <v>10</v>
      </c>
      <c r="AH27" s="148" t="s">
        <v>46</v>
      </c>
      <c r="AI27" s="7" t="s">
        <v>9</v>
      </c>
      <c r="AJ27" s="7" t="s">
        <v>10</v>
      </c>
      <c r="AK27" s="148" t="s">
        <v>46</v>
      </c>
      <c r="AL27" s="7" t="s">
        <v>9</v>
      </c>
      <c r="AM27" s="7" t="s">
        <v>10</v>
      </c>
      <c r="AN27" s="148" t="s">
        <v>46</v>
      </c>
      <c r="AO27" s="7" t="s">
        <v>9</v>
      </c>
      <c r="AP27" s="7" t="s">
        <v>10</v>
      </c>
      <c r="AQ27" s="148" t="s">
        <v>46</v>
      </c>
      <c r="AR27" s="7" t="s">
        <v>9</v>
      </c>
      <c r="AS27" s="7" t="s">
        <v>10</v>
      </c>
      <c r="AT27" s="6" t="s">
        <v>46</v>
      </c>
      <c r="AU27" s="7" t="s">
        <v>9</v>
      </c>
      <c r="AV27" s="7" t="s">
        <v>10</v>
      </c>
      <c r="AW27" s="45"/>
      <c r="AX27" s="45"/>
      <c r="AY27" s="45"/>
      <c r="AZ27" s="36"/>
    </row>
    <row r="28" spans="1:54" ht="14.95" customHeight="1" thickBot="1" x14ac:dyDescent="0.3">
      <c r="A28" s="187" t="s">
        <v>289</v>
      </c>
      <c r="B28" s="185">
        <v>2</v>
      </c>
      <c r="C28" s="267">
        <v>1</v>
      </c>
      <c r="D28" s="220">
        <v>0</v>
      </c>
      <c r="E28" s="189">
        <f t="shared" si="6"/>
        <v>3</v>
      </c>
      <c r="F28" s="273" t="s">
        <v>289</v>
      </c>
      <c r="G28" s="277">
        <v>10</v>
      </c>
      <c r="H28" s="270">
        <v>5</v>
      </c>
      <c r="I28" s="271">
        <v>0</v>
      </c>
      <c r="J28" s="275">
        <f t="shared" si="7"/>
        <v>15</v>
      </c>
      <c r="K28" s="187" t="s">
        <v>357</v>
      </c>
      <c r="L28" s="189" t="s">
        <v>15</v>
      </c>
      <c r="M28" s="189" t="s">
        <v>15</v>
      </c>
      <c r="N28" s="190" t="s">
        <v>15</v>
      </c>
      <c r="O28" s="7" t="s">
        <v>15</v>
      </c>
      <c r="P28" s="7" t="s">
        <v>15</v>
      </c>
      <c r="Q28" s="153" t="s">
        <v>15</v>
      </c>
      <c r="R28" s="7" t="s">
        <v>15</v>
      </c>
      <c r="S28" s="7" t="s">
        <v>15</v>
      </c>
      <c r="T28" s="153" t="s">
        <v>15</v>
      </c>
      <c r="U28" s="7" t="s">
        <v>15</v>
      </c>
      <c r="V28" s="7" t="s">
        <v>15</v>
      </c>
      <c r="W28" s="153" t="s">
        <v>15</v>
      </c>
      <c r="AB28" s="148">
        <v>0</v>
      </c>
      <c r="AC28" s="7">
        <v>1</v>
      </c>
      <c r="AD28" s="153">
        <f t="shared" ref="AD28:AD30" si="25">SUM(AB28/AC28)*100</f>
        <v>0</v>
      </c>
      <c r="AE28" s="148" t="s">
        <v>15</v>
      </c>
      <c r="AF28" s="7" t="s">
        <v>15</v>
      </c>
      <c r="AG28" s="153" t="s">
        <v>15</v>
      </c>
      <c r="AH28" s="6" t="s">
        <v>15</v>
      </c>
      <c r="AI28" s="7" t="s">
        <v>15</v>
      </c>
      <c r="AJ28" s="153" t="s">
        <v>15</v>
      </c>
      <c r="AK28" s="148" t="s">
        <v>15</v>
      </c>
      <c r="AL28" s="7" t="s">
        <v>15</v>
      </c>
      <c r="AM28" s="7" t="s">
        <v>15</v>
      </c>
      <c r="AN28" s="148" t="s">
        <v>15</v>
      </c>
      <c r="AO28" s="7" t="s">
        <v>15</v>
      </c>
      <c r="AP28" s="7" t="s">
        <v>15</v>
      </c>
      <c r="AQ28" s="148" t="s">
        <v>15</v>
      </c>
      <c r="AR28" s="7" t="s">
        <v>15</v>
      </c>
      <c r="AS28" s="7" t="s">
        <v>15</v>
      </c>
      <c r="AT28" s="148" t="s">
        <v>15</v>
      </c>
      <c r="AU28" s="7" t="s">
        <v>15</v>
      </c>
      <c r="AV28" s="7" t="s">
        <v>15</v>
      </c>
      <c r="AW28" s="45"/>
      <c r="AX28" s="45"/>
      <c r="AY28" s="45"/>
      <c r="AZ28" s="36"/>
    </row>
    <row r="29" spans="1:54" ht="14.95" customHeight="1" thickBot="1" x14ac:dyDescent="0.3">
      <c r="A29" s="187" t="s">
        <v>890</v>
      </c>
      <c r="B29" s="185">
        <v>0</v>
      </c>
      <c r="C29" s="267">
        <v>0</v>
      </c>
      <c r="D29" s="220">
        <v>0</v>
      </c>
      <c r="E29" s="189">
        <f t="shared" si="6"/>
        <v>0</v>
      </c>
      <c r="F29" s="273" t="s">
        <v>890</v>
      </c>
      <c r="G29" s="277">
        <v>0</v>
      </c>
      <c r="H29" s="270">
        <v>0</v>
      </c>
      <c r="I29" s="271">
        <v>2</v>
      </c>
      <c r="J29" s="275">
        <f t="shared" si="7"/>
        <v>2</v>
      </c>
      <c r="K29" s="187" t="s">
        <v>1086</v>
      </c>
      <c r="L29" s="189">
        <v>0</v>
      </c>
      <c r="M29" s="189">
        <v>2</v>
      </c>
      <c r="N29" s="190">
        <f t="shared" ref="N29:N31" si="26">SUM(L29/M29)*100</f>
        <v>0</v>
      </c>
      <c r="O29" s="7" t="s">
        <v>15</v>
      </c>
      <c r="P29" s="7" t="s">
        <v>15</v>
      </c>
      <c r="Q29" s="153" t="s">
        <v>15</v>
      </c>
      <c r="R29" s="7" t="s">
        <v>15</v>
      </c>
      <c r="S29" s="7" t="s">
        <v>15</v>
      </c>
      <c r="T29" s="153" t="s">
        <v>15</v>
      </c>
      <c r="U29" s="7" t="s">
        <v>15</v>
      </c>
      <c r="V29" s="7" t="s">
        <v>15</v>
      </c>
      <c r="W29" s="153" t="s">
        <v>15</v>
      </c>
      <c r="AB29" s="6" t="s">
        <v>15</v>
      </c>
      <c r="AC29" s="7" t="s">
        <v>15</v>
      </c>
      <c r="AD29" s="153" t="s">
        <v>15</v>
      </c>
      <c r="AE29" s="7" t="s">
        <v>15</v>
      </c>
      <c r="AF29" s="7" t="s">
        <v>15</v>
      </c>
      <c r="AG29" s="153" t="s">
        <v>15</v>
      </c>
      <c r="AH29" s="7" t="s">
        <v>15</v>
      </c>
      <c r="AI29" s="7" t="s">
        <v>15</v>
      </c>
      <c r="AJ29" s="153" t="s">
        <v>15</v>
      </c>
      <c r="AK29" s="7" t="s">
        <v>15</v>
      </c>
      <c r="AL29" s="7" t="s">
        <v>15</v>
      </c>
      <c r="AM29" s="153" t="s">
        <v>15</v>
      </c>
      <c r="AN29" s="7" t="s">
        <v>15</v>
      </c>
      <c r="AO29" s="7" t="s">
        <v>15</v>
      </c>
      <c r="AP29" s="153" t="s">
        <v>15</v>
      </c>
      <c r="AQ29" s="7" t="s">
        <v>15</v>
      </c>
      <c r="AR29" s="7" t="s">
        <v>15</v>
      </c>
      <c r="AS29" s="153" t="s">
        <v>15</v>
      </c>
      <c r="AT29" s="7" t="s">
        <v>15</v>
      </c>
      <c r="AU29" s="7" t="s">
        <v>15</v>
      </c>
      <c r="AV29" s="153" t="s">
        <v>15</v>
      </c>
      <c r="AW29" s="45"/>
      <c r="AX29" s="45"/>
      <c r="AY29" s="45"/>
      <c r="AZ29" s="36"/>
    </row>
    <row r="30" spans="1:54" ht="14.95" customHeight="1" thickBot="1" x14ac:dyDescent="0.3">
      <c r="A30" s="187" t="s">
        <v>234</v>
      </c>
      <c r="B30" s="185">
        <v>0</v>
      </c>
      <c r="C30" s="267">
        <v>0</v>
      </c>
      <c r="D30" s="220">
        <v>0</v>
      </c>
      <c r="E30" s="189">
        <f t="shared" si="6"/>
        <v>0</v>
      </c>
      <c r="F30" s="273" t="s">
        <v>234</v>
      </c>
      <c r="G30" s="277">
        <v>0</v>
      </c>
      <c r="H30" s="270">
        <v>0</v>
      </c>
      <c r="I30" s="271">
        <v>0</v>
      </c>
      <c r="J30" s="275">
        <f t="shared" si="7"/>
        <v>0</v>
      </c>
      <c r="K30" s="187" t="s">
        <v>345</v>
      </c>
      <c r="L30" s="189">
        <v>8</v>
      </c>
      <c r="M30" s="189">
        <v>16</v>
      </c>
      <c r="N30" s="190">
        <f t="shared" si="26"/>
        <v>50</v>
      </c>
      <c r="O30" s="7">
        <v>19</v>
      </c>
      <c r="P30" s="7">
        <v>21</v>
      </c>
      <c r="Q30" s="153">
        <v>90.476190476190482</v>
      </c>
      <c r="R30" s="7">
        <v>1</v>
      </c>
      <c r="S30" s="7">
        <v>1</v>
      </c>
      <c r="T30" s="153">
        <v>100</v>
      </c>
      <c r="U30" s="7">
        <v>5</v>
      </c>
      <c r="V30" s="7">
        <v>6</v>
      </c>
      <c r="W30" s="153">
        <v>83.333333333333343</v>
      </c>
      <c r="AB30" s="148">
        <v>6</v>
      </c>
      <c r="AC30" s="7">
        <v>7</v>
      </c>
      <c r="AD30" s="153">
        <f t="shared" si="25"/>
        <v>85.714285714285708</v>
      </c>
      <c r="AE30" s="148" t="s">
        <v>15</v>
      </c>
      <c r="AF30" s="7" t="s">
        <v>15</v>
      </c>
      <c r="AG30" s="153" t="s">
        <v>15</v>
      </c>
      <c r="AH30" s="6" t="s">
        <v>15</v>
      </c>
      <c r="AI30" s="7" t="s">
        <v>15</v>
      </c>
      <c r="AJ30" s="153" t="s">
        <v>15</v>
      </c>
      <c r="AK30" s="148" t="s">
        <v>15</v>
      </c>
      <c r="AL30" s="7" t="s">
        <v>15</v>
      </c>
      <c r="AM30" s="7" t="s">
        <v>15</v>
      </c>
      <c r="AN30" s="148" t="s">
        <v>15</v>
      </c>
      <c r="AO30" s="7" t="s">
        <v>15</v>
      </c>
      <c r="AP30" s="7" t="s">
        <v>15</v>
      </c>
      <c r="AQ30" s="148" t="s">
        <v>15</v>
      </c>
      <c r="AR30" s="7" t="s">
        <v>15</v>
      </c>
      <c r="AS30" s="7" t="s">
        <v>15</v>
      </c>
      <c r="AT30" s="148" t="s">
        <v>15</v>
      </c>
      <c r="AU30" s="7" t="s">
        <v>15</v>
      </c>
      <c r="AV30" s="7" t="s">
        <v>15</v>
      </c>
      <c r="AW30" s="45"/>
      <c r="AX30" s="45"/>
      <c r="AY30" s="45"/>
      <c r="AZ30" s="36"/>
    </row>
    <row r="31" spans="1:54" ht="14.95" customHeight="1" thickBot="1" x14ac:dyDescent="0.3">
      <c r="A31" s="187" t="s">
        <v>1087</v>
      </c>
      <c r="B31" s="185">
        <v>0</v>
      </c>
      <c r="C31" s="267">
        <v>0</v>
      </c>
      <c r="D31" s="220">
        <v>1</v>
      </c>
      <c r="E31" s="189">
        <f t="shared" si="6"/>
        <v>1</v>
      </c>
      <c r="F31" s="273" t="s">
        <v>1087</v>
      </c>
      <c r="G31" s="277">
        <v>0</v>
      </c>
      <c r="H31" s="270">
        <v>0</v>
      </c>
      <c r="I31" s="271">
        <v>5</v>
      </c>
      <c r="J31" s="275">
        <f t="shared" si="7"/>
        <v>5</v>
      </c>
      <c r="K31" s="187" t="s">
        <v>508</v>
      </c>
      <c r="L31" s="189">
        <v>1</v>
      </c>
      <c r="M31" s="189">
        <v>3</v>
      </c>
      <c r="N31" s="190">
        <f t="shared" si="26"/>
        <v>33.333333333333329</v>
      </c>
      <c r="O31" s="7">
        <v>9</v>
      </c>
      <c r="P31" s="7">
        <v>10</v>
      </c>
      <c r="Q31" s="153">
        <v>90</v>
      </c>
      <c r="R31" s="7" t="s">
        <v>15</v>
      </c>
      <c r="S31" s="7" t="s">
        <v>15</v>
      </c>
      <c r="T31" s="153" t="s">
        <v>15</v>
      </c>
      <c r="U31" s="7" t="s">
        <v>15</v>
      </c>
      <c r="V31" s="7" t="s">
        <v>15</v>
      </c>
      <c r="W31" s="153" t="s">
        <v>15</v>
      </c>
      <c r="AB31" s="148" t="s">
        <v>15</v>
      </c>
      <c r="AC31" s="7" t="s">
        <v>15</v>
      </c>
      <c r="AD31" s="153" t="s">
        <v>15</v>
      </c>
      <c r="AE31" s="6" t="s">
        <v>15</v>
      </c>
      <c r="AF31" s="7" t="s">
        <v>15</v>
      </c>
      <c r="AG31" s="153" t="s">
        <v>15</v>
      </c>
      <c r="AH31" s="7" t="s">
        <v>15</v>
      </c>
      <c r="AI31" s="7" t="s">
        <v>15</v>
      </c>
      <c r="AJ31" s="153" t="s">
        <v>15</v>
      </c>
      <c r="AK31" s="7" t="s">
        <v>15</v>
      </c>
      <c r="AL31" s="7" t="s">
        <v>15</v>
      </c>
      <c r="AM31" s="153" t="s">
        <v>15</v>
      </c>
      <c r="AN31" s="7" t="s">
        <v>15</v>
      </c>
      <c r="AO31" s="7" t="s">
        <v>15</v>
      </c>
      <c r="AP31" s="153" t="s">
        <v>15</v>
      </c>
      <c r="AQ31" s="7" t="s">
        <v>15</v>
      </c>
      <c r="AR31" s="7" t="s">
        <v>15</v>
      </c>
      <c r="AS31" s="153" t="s">
        <v>15</v>
      </c>
      <c r="AT31" s="7" t="s">
        <v>15</v>
      </c>
      <c r="AU31" s="7" t="s">
        <v>15</v>
      </c>
      <c r="AV31" s="153" t="s">
        <v>15</v>
      </c>
      <c r="AW31" s="45"/>
      <c r="AX31" s="45"/>
      <c r="AY31" s="45"/>
      <c r="AZ31" s="36"/>
    </row>
    <row r="32" spans="1:54" ht="14.95" customHeight="1" thickBot="1" x14ac:dyDescent="0.3">
      <c r="A32" s="187" t="s">
        <v>647</v>
      </c>
      <c r="B32" s="185">
        <v>0</v>
      </c>
      <c r="C32" s="267">
        <v>0</v>
      </c>
      <c r="D32" s="220">
        <v>0</v>
      </c>
      <c r="E32" s="189">
        <f t="shared" si="6"/>
        <v>0</v>
      </c>
      <c r="F32" s="273" t="s">
        <v>647</v>
      </c>
      <c r="G32" s="277">
        <v>0</v>
      </c>
      <c r="H32" s="270">
        <v>0</v>
      </c>
      <c r="I32" s="271">
        <v>0</v>
      </c>
      <c r="J32" s="275">
        <f t="shared" si="7"/>
        <v>0</v>
      </c>
      <c r="K32" s="187" t="s">
        <v>890</v>
      </c>
      <c r="L32" s="189">
        <v>1</v>
      </c>
      <c r="M32" s="189">
        <v>1</v>
      </c>
      <c r="N32" s="190">
        <f t="shared" ref="N32:N33" si="27">SUM(L32/M32)*100</f>
        <v>100</v>
      </c>
      <c r="O32" s="7" t="s">
        <v>15</v>
      </c>
      <c r="P32" s="7" t="s">
        <v>15</v>
      </c>
      <c r="Q32" s="153" t="s">
        <v>15</v>
      </c>
      <c r="R32" s="7" t="s">
        <v>15</v>
      </c>
      <c r="S32" s="7" t="s">
        <v>15</v>
      </c>
      <c r="T32" s="153" t="s">
        <v>15</v>
      </c>
      <c r="U32" s="7" t="s">
        <v>15</v>
      </c>
      <c r="V32" s="7" t="s">
        <v>15</v>
      </c>
      <c r="W32" s="153" t="s">
        <v>15</v>
      </c>
      <c r="AB32" s="6" t="s">
        <v>15</v>
      </c>
      <c r="AC32" s="7" t="s">
        <v>15</v>
      </c>
      <c r="AD32" s="153" t="s">
        <v>15</v>
      </c>
      <c r="AE32" s="7" t="s">
        <v>15</v>
      </c>
      <c r="AF32" s="7" t="s">
        <v>15</v>
      </c>
      <c r="AG32" s="153" t="s">
        <v>15</v>
      </c>
      <c r="AH32" s="7" t="s">
        <v>15</v>
      </c>
      <c r="AI32" s="7" t="s">
        <v>15</v>
      </c>
      <c r="AJ32" s="153" t="s">
        <v>15</v>
      </c>
      <c r="AK32" s="7" t="s">
        <v>15</v>
      </c>
      <c r="AL32" s="7" t="s">
        <v>15</v>
      </c>
      <c r="AM32" s="153" t="s">
        <v>15</v>
      </c>
      <c r="AN32" s="7" t="s">
        <v>15</v>
      </c>
      <c r="AO32" s="7" t="s">
        <v>15</v>
      </c>
      <c r="AP32" s="153" t="s">
        <v>15</v>
      </c>
      <c r="AQ32" s="7" t="s">
        <v>15</v>
      </c>
      <c r="AR32" s="7" t="s">
        <v>15</v>
      </c>
      <c r="AS32" s="153" t="s">
        <v>15</v>
      </c>
      <c r="AT32" s="7" t="s">
        <v>15</v>
      </c>
      <c r="AU32" s="7" t="s">
        <v>15</v>
      </c>
      <c r="AV32" s="153" t="s">
        <v>15</v>
      </c>
      <c r="AW32" s="45"/>
      <c r="AX32" s="45"/>
      <c r="AY32" s="45"/>
      <c r="AZ32" s="36"/>
    </row>
    <row r="33" spans="1:52" ht="14.95" customHeight="1" thickBot="1" x14ac:dyDescent="0.3">
      <c r="A33" s="187" t="s">
        <v>201</v>
      </c>
      <c r="B33" s="185">
        <v>0</v>
      </c>
      <c r="C33" s="267">
        <v>1</v>
      </c>
      <c r="D33" s="220">
        <v>2</v>
      </c>
      <c r="E33" s="189">
        <f t="shared" si="6"/>
        <v>3</v>
      </c>
      <c r="F33" s="273" t="s">
        <v>201</v>
      </c>
      <c r="G33" s="277">
        <v>0</v>
      </c>
      <c r="H33" s="270">
        <v>5</v>
      </c>
      <c r="I33" s="271">
        <v>10</v>
      </c>
      <c r="J33" s="275">
        <f t="shared" si="7"/>
        <v>15</v>
      </c>
      <c r="K33" s="187" t="s">
        <v>409</v>
      </c>
      <c r="L33" s="189">
        <v>9</v>
      </c>
      <c r="M33" s="189">
        <v>11</v>
      </c>
      <c r="N33" s="190">
        <f t="shared" si="27"/>
        <v>81.818181818181827</v>
      </c>
      <c r="O33" s="7" t="s">
        <v>15</v>
      </c>
      <c r="P33" s="7" t="s">
        <v>15</v>
      </c>
      <c r="Q33" s="7" t="s">
        <v>15</v>
      </c>
      <c r="R33" s="7">
        <v>11</v>
      </c>
      <c r="S33" s="7">
        <v>12</v>
      </c>
      <c r="T33" s="7">
        <v>92</v>
      </c>
      <c r="U33" s="6" t="s">
        <v>15</v>
      </c>
      <c r="V33" s="7" t="s">
        <v>15</v>
      </c>
      <c r="W33" s="153" t="s">
        <v>15</v>
      </c>
      <c r="AB33" s="6" t="s">
        <v>15</v>
      </c>
      <c r="AC33" s="7" t="s">
        <v>15</v>
      </c>
      <c r="AD33" s="153" t="s">
        <v>15</v>
      </c>
      <c r="AE33" s="6" t="s">
        <v>15</v>
      </c>
      <c r="AF33" s="7" t="s">
        <v>15</v>
      </c>
      <c r="AG33" s="153" t="s">
        <v>15</v>
      </c>
      <c r="AH33" s="6" t="s">
        <v>15</v>
      </c>
      <c r="AI33" s="7" t="s">
        <v>15</v>
      </c>
      <c r="AJ33" s="153" t="s">
        <v>15</v>
      </c>
      <c r="AK33" s="6" t="s">
        <v>15</v>
      </c>
      <c r="AL33" s="7" t="s">
        <v>15</v>
      </c>
      <c r="AM33" s="153" t="s">
        <v>15</v>
      </c>
      <c r="AN33" s="6" t="s">
        <v>15</v>
      </c>
      <c r="AO33" s="7" t="s">
        <v>15</v>
      </c>
      <c r="AP33" s="153" t="s">
        <v>15</v>
      </c>
      <c r="AQ33" s="6" t="s">
        <v>15</v>
      </c>
      <c r="AR33" s="7" t="s">
        <v>15</v>
      </c>
      <c r="AS33" s="153" t="s">
        <v>15</v>
      </c>
      <c r="AT33" s="6" t="s">
        <v>15</v>
      </c>
      <c r="AU33" s="7" t="s">
        <v>15</v>
      </c>
      <c r="AV33" s="153" t="s">
        <v>15</v>
      </c>
      <c r="AW33" s="117"/>
      <c r="AX33" s="117"/>
      <c r="AY33" s="117"/>
      <c r="AZ33" s="36"/>
    </row>
    <row r="34" spans="1:52" ht="14.95" customHeight="1" thickBot="1" x14ac:dyDescent="0.3">
      <c r="A34" s="187" t="s">
        <v>196</v>
      </c>
      <c r="B34" s="185">
        <v>0</v>
      </c>
      <c r="C34" s="267">
        <v>0</v>
      </c>
      <c r="D34" s="220">
        <v>0</v>
      </c>
      <c r="E34" s="189">
        <f t="shared" si="6"/>
        <v>0</v>
      </c>
      <c r="F34" s="273" t="s">
        <v>196</v>
      </c>
      <c r="G34" s="277">
        <v>0</v>
      </c>
      <c r="H34" s="270">
        <v>0</v>
      </c>
      <c r="I34" s="271">
        <v>0</v>
      </c>
      <c r="J34" s="275">
        <f t="shared" si="7"/>
        <v>0</v>
      </c>
      <c r="K34" s="187" t="s">
        <v>22</v>
      </c>
      <c r="L34" s="189" t="s">
        <v>15</v>
      </c>
      <c r="M34" s="189" t="s">
        <v>15</v>
      </c>
      <c r="N34" s="190" t="s">
        <v>15</v>
      </c>
      <c r="O34" s="7" t="s">
        <v>15</v>
      </c>
      <c r="P34" s="7" t="s">
        <v>15</v>
      </c>
      <c r="Q34" s="153" t="s">
        <v>15</v>
      </c>
      <c r="R34" s="7" t="s">
        <v>15</v>
      </c>
      <c r="S34" s="7" t="s">
        <v>15</v>
      </c>
      <c r="T34" s="153" t="s">
        <v>15</v>
      </c>
      <c r="U34" s="7" t="s">
        <v>15</v>
      </c>
      <c r="V34" s="7" t="s">
        <v>15</v>
      </c>
      <c r="W34" s="153" t="s">
        <v>15</v>
      </c>
      <c r="AB34" s="148" t="s">
        <v>15</v>
      </c>
      <c r="AC34" s="7" t="s">
        <v>15</v>
      </c>
      <c r="AD34" s="153" t="s">
        <v>15</v>
      </c>
      <c r="AE34" s="148">
        <v>20</v>
      </c>
      <c r="AF34" s="7">
        <v>25</v>
      </c>
      <c r="AG34" s="153">
        <f>(AE34/AF34)*100</f>
        <v>80</v>
      </c>
      <c r="AH34" s="148">
        <v>3</v>
      </c>
      <c r="AI34" s="7">
        <v>4</v>
      </c>
      <c r="AJ34" s="153">
        <f t="shared" ref="AJ34" si="28">SUM(AH34/AI34)*100</f>
        <v>75</v>
      </c>
      <c r="AK34" s="148" t="s">
        <v>15</v>
      </c>
      <c r="AL34" s="7" t="s">
        <v>15</v>
      </c>
      <c r="AM34" s="7" t="s">
        <v>15</v>
      </c>
      <c r="AN34" s="148" t="s">
        <v>15</v>
      </c>
      <c r="AO34" s="7" t="s">
        <v>15</v>
      </c>
      <c r="AP34" s="7" t="s">
        <v>15</v>
      </c>
      <c r="AQ34" s="148" t="s">
        <v>15</v>
      </c>
      <c r="AR34" s="7" t="s">
        <v>15</v>
      </c>
      <c r="AS34" s="7" t="s">
        <v>15</v>
      </c>
      <c r="AT34" s="148" t="s">
        <v>15</v>
      </c>
      <c r="AU34" s="7" t="s">
        <v>15</v>
      </c>
      <c r="AV34" s="7" t="s">
        <v>15</v>
      </c>
    </row>
    <row r="35" spans="1:52" ht="14.95" customHeight="1" thickBot="1" x14ac:dyDescent="0.3">
      <c r="A35" s="187" t="s">
        <v>1088</v>
      </c>
      <c r="B35" s="185">
        <v>0</v>
      </c>
      <c r="C35" s="267">
        <v>0</v>
      </c>
      <c r="D35" s="220">
        <v>1</v>
      </c>
      <c r="E35" s="189">
        <f t="shared" si="6"/>
        <v>1</v>
      </c>
      <c r="F35" s="273" t="s">
        <v>1088</v>
      </c>
      <c r="G35" s="277">
        <v>0</v>
      </c>
      <c r="H35" s="270">
        <v>0</v>
      </c>
      <c r="I35" s="271">
        <v>5</v>
      </c>
      <c r="J35" s="275">
        <f t="shared" si="7"/>
        <v>5</v>
      </c>
      <c r="K35" s="524" t="s">
        <v>1008</v>
      </c>
      <c r="L35" s="477"/>
      <c r="M35" s="477"/>
      <c r="N35" s="477"/>
      <c r="O35" s="477"/>
      <c r="P35" s="477"/>
      <c r="Q35" s="477"/>
      <c r="R35" s="477"/>
      <c r="S35" s="477"/>
      <c r="T35" s="477"/>
      <c r="U35" s="477"/>
      <c r="V35" s="477"/>
      <c r="W35" s="477"/>
    </row>
    <row r="36" spans="1:52" ht="14.95" customHeight="1" thickBot="1" x14ac:dyDescent="0.3">
      <c r="A36" s="187" t="s">
        <v>159</v>
      </c>
      <c r="B36" s="185">
        <v>1</v>
      </c>
      <c r="C36" s="267">
        <v>3</v>
      </c>
      <c r="D36" s="220">
        <v>1</v>
      </c>
      <c r="E36" s="189">
        <f t="shared" si="6"/>
        <v>5</v>
      </c>
      <c r="F36" s="273" t="s">
        <v>159</v>
      </c>
      <c r="G36" s="277">
        <v>5</v>
      </c>
      <c r="H36" s="270">
        <v>15</v>
      </c>
      <c r="I36" s="271">
        <v>5</v>
      </c>
      <c r="J36" s="275">
        <f t="shared" si="7"/>
        <v>25</v>
      </c>
      <c r="K36" s="521"/>
      <c r="L36" s="522"/>
      <c r="M36" s="522"/>
      <c r="N36" s="522"/>
      <c r="O36" s="522"/>
      <c r="P36" s="522"/>
      <c r="Q36" s="522"/>
      <c r="R36" s="522"/>
      <c r="S36" s="522"/>
      <c r="T36" s="522"/>
      <c r="U36" s="522"/>
      <c r="V36" s="522"/>
      <c r="W36" s="522"/>
    </row>
    <row r="37" spans="1:52" ht="14.95" customHeight="1" thickBot="1" x14ac:dyDescent="0.3">
      <c r="A37" s="187" t="s">
        <v>410</v>
      </c>
      <c r="B37" s="185">
        <v>0</v>
      </c>
      <c r="C37" s="267">
        <v>0</v>
      </c>
      <c r="D37" s="220">
        <v>1</v>
      </c>
      <c r="E37" s="189">
        <f t="shared" si="6"/>
        <v>1</v>
      </c>
      <c r="F37" s="273" t="s">
        <v>410</v>
      </c>
      <c r="G37" s="277">
        <v>0</v>
      </c>
      <c r="H37" s="270">
        <v>0</v>
      </c>
      <c r="I37" s="271">
        <v>5</v>
      </c>
      <c r="J37" s="275">
        <f t="shared" si="7"/>
        <v>5</v>
      </c>
      <c r="K37" s="93"/>
      <c r="L37" s="94"/>
      <c r="M37" s="94"/>
      <c r="N37" s="94"/>
      <c r="O37" s="94"/>
      <c r="P37" s="94"/>
      <c r="Q37" s="94"/>
    </row>
    <row r="38" spans="1:52" ht="14.95" customHeight="1" thickBot="1" x14ac:dyDescent="0.3">
      <c r="A38" s="187" t="s">
        <v>421</v>
      </c>
      <c r="B38" s="185">
        <v>0</v>
      </c>
      <c r="C38" s="267">
        <v>0</v>
      </c>
      <c r="D38" s="220">
        <v>1</v>
      </c>
      <c r="E38" s="189">
        <f t="shared" si="6"/>
        <v>1</v>
      </c>
      <c r="F38" s="273" t="s">
        <v>421</v>
      </c>
      <c r="G38" s="277">
        <v>0</v>
      </c>
      <c r="H38" s="270">
        <v>0</v>
      </c>
      <c r="I38" s="271">
        <v>5</v>
      </c>
      <c r="J38" s="275">
        <f t="shared" si="7"/>
        <v>5</v>
      </c>
      <c r="K38" s="93"/>
      <c r="L38" s="94"/>
      <c r="M38" s="94"/>
      <c r="N38" s="94"/>
      <c r="O38" s="94"/>
      <c r="P38" s="94"/>
      <c r="Q38" s="94"/>
    </row>
    <row r="39" spans="1:52" ht="14.95" customHeight="1" thickBot="1" x14ac:dyDescent="0.3">
      <c r="A39" s="187" t="s">
        <v>198</v>
      </c>
      <c r="B39" s="185">
        <v>1</v>
      </c>
      <c r="C39" s="267">
        <v>1</v>
      </c>
      <c r="D39" s="220">
        <v>2</v>
      </c>
      <c r="E39" s="189">
        <f t="shared" si="6"/>
        <v>4</v>
      </c>
      <c r="F39" s="273" t="s">
        <v>198</v>
      </c>
      <c r="G39" s="277">
        <v>5</v>
      </c>
      <c r="H39" s="270">
        <v>5</v>
      </c>
      <c r="I39" s="271">
        <v>10</v>
      </c>
      <c r="J39" s="275">
        <f t="shared" si="7"/>
        <v>20</v>
      </c>
      <c r="K39" s="93"/>
      <c r="L39" s="94"/>
      <c r="M39" s="94"/>
      <c r="N39" s="94"/>
      <c r="O39" s="94"/>
      <c r="P39" s="94"/>
      <c r="Q39" s="94"/>
    </row>
    <row r="40" spans="1:52" ht="14.95" customHeight="1" thickBot="1" x14ac:dyDescent="0.3">
      <c r="A40" s="187" t="s">
        <v>406</v>
      </c>
      <c r="B40" s="185">
        <v>0</v>
      </c>
      <c r="C40" s="267">
        <v>0</v>
      </c>
      <c r="D40" s="220">
        <v>0</v>
      </c>
      <c r="E40" s="189">
        <f t="shared" si="6"/>
        <v>0</v>
      </c>
      <c r="F40" s="273" t="s">
        <v>406</v>
      </c>
      <c r="G40" s="277">
        <v>0</v>
      </c>
      <c r="H40" s="270">
        <v>0</v>
      </c>
      <c r="I40" s="271">
        <v>0</v>
      </c>
      <c r="J40" s="275">
        <f t="shared" si="7"/>
        <v>0</v>
      </c>
    </row>
    <row r="41" spans="1:52" ht="14.95" customHeight="1" thickBot="1" x14ac:dyDescent="0.3">
      <c r="A41" s="187" t="s">
        <v>4</v>
      </c>
      <c r="B41" s="185">
        <v>0</v>
      </c>
      <c r="C41" s="267">
        <v>1</v>
      </c>
      <c r="D41" s="220">
        <v>0</v>
      </c>
      <c r="E41" s="189">
        <f t="shared" si="6"/>
        <v>1</v>
      </c>
      <c r="F41" s="273" t="s">
        <v>4</v>
      </c>
      <c r="G41" s="277">
        <v>0</v>
      </c>
      <c r="H41" s="270">
        <v>7</v>
      </c>
      <c r="I41" s="271">
        <v>0</v>
      </c>
      <c r="J41" s="275">
        <f t="shared" si="7"/>
        <v>7</v>
      </c>
    </row>
    <row r="42" spans="1:52" ht="14.95" customHeight="1" thickBot="1" x14ac:dyDescent="0.3">
      <c r="A42" s="187" t="s">
        <v>946</v>
      </c>
      <c r="B42" s="185">
        <v>0</v>
      </c>
      <c r="C42" s="267">
        <v>0</v>
      </c>
      <c r="D42" s="220">
        <v>0</v>
      </c>
      <c r="E42" s="189">
        <f t="shared" si="6"/>
        <v>0</v>
      </c>
      <c r="F42" s="273" t="s">
        <v>946</v>
      </c>
      <c r="G42" s="277">
        <v>0</v>
      </c>
      <c r="H42" s="270">
        <v>0</v>
      </c>
      <c r="I42" s="271">
        <v>0</v>
      </c>
      <c r="J42" s="275">
        <f t="shared" si="7"/>
        <v>0</v>
      </c>
    </row>
    <row r="43" spans="1:52" ht="14.95" customHeight="1" thickBot="1" x14ac:dyDescent="0.3">
      <c r="A43" s="187" t="s">
        <v>250</v>
      </c>
      <c r="B43" s="185">
        <v>2</v>
      </c>
      <c r="C43" s="267">
        <v>2</v>
      </c>
      <c r="D43" s="220">
        <v>0</v>
      </c>
      <c r="E43" s="189">
        <f t="shared" si="6"/>
        <v>4</v>
      </c>
      <c r="F43" s="273" t="s">
        <v>250</v>
      </c>
      <c r="G43" s="277">
        <v>10</v>
      </c>
      <c r="H43" s="270">
        <v>10</v>
      </c>
      <c r="I43" s="271">
        <v>0</v>
      </c>
      <c r="J43" s="275">
        <f t="shared" si="7"/>
        <v>20</v>
      </c>
    </row>
    <row r="44" spans="1:52" ht="14.95" customHeight="1" thickBot="1" x14ac:dyDescent="0.3">
      <c r="A44" s="187" t="s">
        <v>398</v>
      </c>
      <c r="B44" s="185">
        <v>0</v>
      </c>
      <c r="C44" s="267">
        <v>2</v>
      </c>
      <c r="D44" s="220">
        <v>1</v>
      </c>
      <c r="E44" s="189">
        <f t="shared" si="6"/>
        <v>3</v>
      </c>
      <c r="F44" s="273" t="s">
        <v>398</v>
      </c>
      <c r="G44" s="277">
        <v>0</v>
      </c>
      <c r="H44" s="270">
        <v>10</v>
      </c>
      <c r="I44" s="271">
        <v>5</v>
      </c>
      <c r="J44" s="275">
        <f t="shared" si="7"/>
        <v>15</v>
      </c>
    </row>
    <row r="45" spans="1:52" ht="14.95" customHeight="1" thickBot="1" x14ac:dyDescent="0.3">
      <c r="A45" s="187" t="s">
        <v>783</v>
      </c>
      <c r="B45" s="185">
        <v>0</v>
      </c>
      <c r="C45" s="267">
        <v>0</v>
      </c>
      <c r="D45" s="220">
        <v>0</v>
      </c>
      <c r="E45" s="189">
        <f t="shared" si="6"/>
        <v>0</v>
      </c>
      <c r="F45" s="273" t="s">
        <v>783</v>
      </c>
      <c r="G45" s="277">
        <v>0</v>
      </c>
      <c r="H45" s="270">
        <v>0</v>
      </c>
      <c r="I45" s="271">
        <v>0</v>
      </c>
      <c r="J45" s="275">
        <f t="shared" si="7"/>
        <v>0</v>
      </c>
    </row>
    <row r="46" spans="1:52" ht="14.95" customHeight="1" thickBot="1" x14ac:dyDescent="0.3">
      <c r="A46" s="187" t="s">
        <v>409</v>
      </c>
      <c r="B46" s="185">
        <v>0</v>
      </c>
      <c r="C46" s="267">
        <v>0</v>
      </c>
      <c r="D46" s="220">
        <v>1</v>
      </c>
      <c r="E46" s="189">
        <f t="shared" si="6"/>
        <v>1</v>
      </c>
      <c r="F46" s="273" t="s">
        <v>409</v>
      </c>
      <c r="G46" s="277">
        <v>0</v>
      </c>
      <c r="H46" s="270">
        <v>0</v>
      </c>
      <c r="I46" s="271">
        <v>23</v>
      </c>
      <c r="J46" s="275">
        <f t="shared" si="7"/>
        <v>23</v>
      </c>
    </row>
    <row r="47" spans="1:52" ht="14.95" customHeight="1" thickBot="1" x14ac:dyDescent="0.3">
      <c r="A47" s="187" t="s">
        <v>22</v>
      </c>
      <c r="B47" s="185">
        <v>4</v>
      </c>
      <c r="C47" s="267">
        <v>0</v>
      </c>
      <c r="D47" s="220">
        <v>0</v>
      </c>
      <c r="E47" s="189">
        <f t="shared" si="6"/>
        <v>4</v>
      </c>
      <c r="F47" s="273" t="s">
        <v>22</v>
      </c>
      <c r="G47" s="277">
        <v>70</v>
      </c>
      <c r="H47" s="270">
        <v>48</v>
      </c>
      <c r="I47" s="271">
        <v>0</v>
      </c>
      <c r="J47" s="275">
        <f t="shared" si="7"/>
        <v>118</v>
      </c>
    </row>
    <row r="48" spans="1:52" ht="14.95" customHeight="1" thickBot="1" x14ac:dyDescent="0.3">
      <c r="A48" s="187" t="s">
        <v>1041</v>
      </c>
      <c r="B48" s="185">
        <v>0</v>
      </c>
      <c r="C48" s="267">
        <v>0</v>
      </c>
      <c r="D48" s="220">
        <v>1</v>
      </c>
      <c r="E48" s="189">
        <f t="shared" si="6"/>
        <v>1</v>
      </c>
      <c r="F48" s="273" t="s">
        <v>1041</v>
      </c>
      <c r="G48" s="277">
        <v>0</v>
      </c>
      <c r="H48" s="270">
        <v>0</v>
      </c>
      <c r="I48" s="271">
        <v>5</v>
      </c>
      <c r="J48" s="275">
        <f t="shared" si="7"/>
        <v>5</v>
      </c>
    </row>
    <row r="49" spans="1:10" ht="14.95" customHeight="1" thickBot="1" x14ac:dyDescent="0.3">
      <c r="A49" s="187" t="s">
        <v>949</v>
      </c>
      <c r="B49" s="185">
        <v>0</v>
      </c>
      <c r="C49" s="267">
        <v>0</v>
      </c>
      <c r="D49" s="220">
        <v>1</v>
      </c>
      <c r="E49" s="189">
        <f t="shared" si="6"/>
        <v>1</v>
      </c>
      <c r="F49" s="273" t="s">
        <v>949</v>
      </c>
      <c r="G49" s="277">
        <v>0</v>
      </c>
      <c r="H49" s="270">
        <v>0</v>
      </c>
      <c r="I49" s="271">
        <v>5</v>
      </c>
      <c r="J49" s="275">
        <f t="shared" si="7"/>
        <v>5</v>
      </c>
    </row>
    <row r="50" spans="1:10" ht="14.95" customHeight="1" thickBot="1" x14ac:dyDescent="0.3">
      <c r="A50" s="187" t="s">
        <v>945</v>
      </c>
      <c r="B50" s="185">
        <v>0</v>
      </c>
      <c r="C50" s="267">
        <v>2</v>
      </c>
      <c r="D50" s="220">
        <v>1</v>
      </c>
      <c r="E50" s="189">
        <f t="shared" ref="E50:E52" si="29">SUM(B50:D50)</f>
        <v>3</v>
      </c>
      <c r="F50" s="273" t="s">
        <v>945</v>
      </c>
      <c r="G50" s="277">
        <v>0</v>
      </c>
      <c r="H50" s="270">
        <v>10</v>
      </c>
      <c r="I50" s="271">
        <v>5</v>
      </c>
      <c r="J50" s="275">
        <f t="shared" ref="J50:J52" si="30">SUM(G50:I50)</f>
        <v>15</v>
      </c>
    </row>
    <row r="51" spans="1:10" ht="14.95" customHeight="1" thickBot="1" x14ac:dyDescent="0.3">
      <c r="A51" s="187" t="s">
        <v>948</v>
      </c>
      <c r="B51" s="185">
        <v>1</v>
      </c>
      <c r="C51" s="267">
        <v>0</v>
      </c>
      <c r="D51" s="220">
        <v>0</v>
      </c>
      <c r="E51" s="189">
        <f t="shared" si="29"/>
        <v>1</v>
      </c>
      <c r="F51" s="273" t="s">
        <v>948</v>
      </c>
      <c r="G51" s="277">
        <v>5</v>
      </c>
      <c r="H51" s="270">
        <v>0</v>
      </c>
      <c r="I51" s="271">
        <v>0</v>
      </c>
      <c r="J51" s="275">
        <f t="shared" si="30"/>
        <v>5</v>
      </c>
    </row>
    <row r="52" spans="1:10" ht="14.95" customHeight="1" thickBot="1" x14ac:dyDescent="0.3">
      <c r="A52" s="187" t="s">
        <v>847</v>
      </c>
      <c r="B52" s="185">
        <v>1</v>
      </c>
      <c r="C52" s="267">
        <v>0</v>
      </c>
      <c r="D52" s="220">
        <v>0</v>
      </c>
      <c r="E52" s="189">
        <f t="shared" si="29"/>
        <v>1</v>
      </c>
      <c r="F52" s="273" t="s">
        <v>847</v>
      </c>
      <c r="G52" s="277">
        <v>5</v>
      </c>
      <c r="H52" s="270">
        <v>0</v>
      </c>
      <c r="I52" s="271">
        <v>0</v>
      </c>
      <c r="J52" s="275">
        <f t="shared" si="30"/>
        <v>5</v>
      </c>
    </row>
    <row r="53" spans="1:10" ht="14.95" customHeight="1" thickBot="1" x14ac:dyDescent="0.3">
      <c r="A53" s="187" t="s">
        <v>20</v>
      </c>
      <c r="B53" s="185">
        <v>1</v>
      </c>
      <c r="C53" s="267">
        <v>0</v>
      </c>
      <c r="D53" s="220">
        <v>2</v>
      </c>
      <c r="E53" s="189">
        <f t="shared" si="6"/>
        <v>3</v>
      </c>
      <c r="F53" s="273" t="s">
        <v>20</v>
      </c>
      <c r="G53" s="277">
        <v>5</v>
      </c>
      <c r="H53" s="270">
        <v>0</v>
      </c>
      <c r="I53" s="271">
        <v>10</v>
      </c>
      <c r="J53" s="275">
        <f t="shared" si="7"/>
        <v>15</v>
      </c>
    </row>
    <row r="54" spans="1:10" ht="14.95" customHeight="1" thickBot="1" x14ac:dyDescent="0.3">
      <c r="A54" s="187" t="s">
        <v>951</v>
      </c>
      <c r="B54" s="185">
        <v>0</v>
      </c>
      <c r="C54" s="267">
        <v>0</v>
      </c>
      <c r="D54" s="220">
        <v>0</v>
      </c>
      <c r="E54" s="189">
        <f t="shared" si="6"/>
        <v>0</v>
      </c>
      <c r="F54" s="273" t="s">
        <v>951</v>
      </c>
      <c r="G54" s="277">
        <v>0</v>
      </c>
      <c r="H54" s="270">
        <v>0</v>
      </c>
      <c r="I54" s="271">
        <v>0</v>
      </c>
      <c r="J54" s="275">
        <f t="shared" si="7"/>
        <v>0</v>
      </c>
    </row>
    <row r="55" spans="1:10" ht="14.95" thickBot="1" x14ac:dyDescent="0.3">
      <c r="A55" s="187" t="s">
        <v>5</v>
      </c>
      <c r="B55" s="185">
        <v>0</v>
      </c>
      <c r="C55" s="267">
        <v>0</v>
      </c>
      <c r="D55" s="220">
        <v>0</v>
      </c>
      <c r="E55" s="189">
        <f t="shared" si="6"/>
        <v>0</v>
      </c>
      <c r="F55" s="273" t="s">
        <v>5</v>
      </c>
      <c r="G55" s="277">
        <v>0</v>
      </c>
      <c r="H55" s="270">
        <v>0</v>
      </c>
      <c r="I55" s="271">
        <v>0</v>
      </c>
      <c r="J55" s="275">
        <f t="shared" si="7"/>
        <v>0</v>
      </c>
    </row>
    <row r="56" spans="1:10" ht="14.95" thickBot="1" x14ac:dyDescent="0.3">
      <c r="A56" s="187" t="s">
        <v>1100</v>
      </c>
      <c r="B56" s="185">
        <v>0</v>
      </c>
      <c r="C56" s="267">
        <v>0</v>
      </c>
      <c r="D56" s="220">
        <v>1</v>
      </c>
      <c r="E56" s="189">
        <f t="shared" si="6"/>
        <v>1</v>
      </c>
      <c r="F56" s="273" t="s">
        <v>1100</v>
      </c>
      <c r="G56" s="277">
        <v>0</v>
      </c>
      <c r="H56" s="270">
        <v>0</v>
      </c>
      <c r="I56" s="271">
        <v>5</v>
      </c>
      <c r="J56" s="275">
        <f t="shared" ref="J56" si="31">SUM(G56:I56)</f>
        <v>5</v>
      </c>
    </row>
    <row r="57" spans="1:10" ht="14.95" thickBot="1" x14ac:dyDescent="0.3">
      <c r="A57" s="187" t="s">
        <v>3</v>
      </c>
      <c r="B57" s="185">
        <f>SUM(B3:B56)</f>
        <v>31</v>
      </c>
      <c r="C57" s="267">
        <f>SUM(C3:C56)</f>
        <v>29</v>
      </c>
      <c r="D57" s="220">
        <f>SUM(D3:D56)</f>
        <v>32</v>
      </c>
      <c r="E57" s="189">
        <f t="shared" si="6"/>
        <v>92</v>
      </c>
      <c r="F57" s="272" t="s">
        <v>3</v>
      </c>
      <c r="G57" s="276">
        <f>SUM(G3:G56)</f>
        <v>233</v>
      </c>
      <c r="H57" s="268">
        <f>SUM(H3:H56)</f>
        <v>201</v>
      </c>
      <c r="I57" s="271">
        <f>SUM(I3:I56)</f>
        <v>198</v>
      </c>
      <c r="J57" s="275">
        <f t="shared" si="7"/>
        <v>632</v>
      </c>
    </row>
    <row r="58" spans="1:10" ht="16.3" x14ac:dyDescent="0.25">
      <c r="B58" s="132"/>
      <c r="C58" s="67"/>
      <c r="D58" s="67"/>
      <c r="F58" s="13"/>
      <c r="G58" s="140"/>
      <c r="H58" s="69"/>
      <c r="I58" s="69"/>
      <c r="J58" s="13"/>
    </row>
    <row r="59" spans="1:10" ht="17" thickBot="1" x14ac:dyDescent="0.3">
      <c r="A59" t="s">
        <v>12</v>
      </c>
      <c r="B59" s="132"/>
      <c r="C59" s="67"/>
      <c r="D59" s="67"/>
      <c r="F59" s="13"/>
      <c r="G59" s="140"/>
      <c r="H59" s="69"/>
      <c r="I59" s="69"/>
    </row>
    <row r="60" spans="1:10" ht="14.95" thickBot="1" x14ac:dyDescent="0.3">
      <c r="A60" s="186" t="s">
        <v>0</v>
      </c>
      <c r="B60" s="184" t="s">
        <v>218</v>
      </c>
      <c r="C60" s="266" t="s">
        <v>30</v>
      </c>
      <c r="D60" s="219" t="s">
        <v>326</v>
      </c>
      <c r="E60" s="188" t="s">
        <v>1</v>
      </c>
      <c r="F60" s="272" t="s">
        <v>2</v>
      </c>
      <c r="G60" s="276" t="s">
        <v>218</v>
      </c>
      <c r="H60" s="268" t="s">
        <v>30</v>
      </c>
      <c r="I60" s="269" t="s">
        <v>326</v>
      </c>
      <c r="J60" s="274" t="s">
        <v>1</v>
      </c>
    </row>
    <row r="61" spans="1:10" ht="14.95" thickBot="1" x14ac:dyDescent="0.3">
      <c r="A61" s="187" t="s">
        <v>96</v>
      </c>
      <c r="B61" s="185">
        <v>4</v>
      </c>
      <c r="C61" s="267">
        <v>3</v>
      </c>
      <c r="D61" s="220">
        <v>0</v>
      </c>
      <c r="E61" s="189">
        <f t="shared" ref="E61:E92" si="32">SUM(B61:D61)</f>
        <v>7</v>
      </c>
      <c r="F61" s="273" t="s">
        <v>22</v>
      </c>
      <c r="G61" s="277">
        <v>70</v>
      </c>
      <c r="H61" s="270">
        <v>48</v>
      </c>
      <c r="I61" s="271">
        <v>0</v>
      </c>
      <c r="J61" s="275">
        <f t="shared" ref="J61:J92" si="33">SUM(G61:I61)</f>
        <v>118</v>
      </c>
    </row>
    <row r="62" spans="1:10" ht="14.95" thickBot="1" x14ac:dyDescent="0.3">
      <c r="A62" s="187" t="s">
        <v>386</v>
      </c>
      <c r="B62" s="185">
        <v>2</v>
      </c>
      <c r="C62" s="267">
        <v>1</v>
      </c>
      <c r="D62" s="220">
        <v>2</v>
      </c>
      <c r="E62" s="189">
        <f t="shared" si="32"/>
        <v>5</v>
      </c>
      <c r="F62" s="273" t="s">
        <v>345</v>
      </c>
      <c r="G62" s="277">
        <v>8</v>
      </c>
      <c r="H62" s="270">
        <v>7</v>
      </c>
      <c r="I62" s="271">
        <v>21</v>
      </c>
      <c r="J62" s="275">
        <f t="shared" si="33"/>
        <v>36</v>
      </c>
    </row>
    <row r="63" spans="1:10" ht="14.95" thickBot="1" x14ac:dyDescent="0.3">
      <c r="A63" s="187" t="s">
        <v>274</v>
      </c>
      <c r="B63" s="185">
        <v>4</v>
      </c>
      <c r="C63" s="267">
        <v>1</v>
      </c>
      <c r="D63" s="220">
        <v>0</v>
      </c>
      <c r="E63" s="189">
        <f t="shared" si="32"/>
        <v>5</v>
      </c>
      <c r="F63" s="273" t="s">
        <v>96</v>
      </c>
      <c r="G63" s="277">
        <v>20</v>
      </c>
      <c r="H63" s="270">
        <v>15</v>
      </c>
      <c r="I63" s="271">
        <v>0</v>
      </c>
      <c r="J63" s="275">
        <f t="shared" si="33"/>
        <v>35</v>
      </c>
    </row>
    <row r="64" spans="1:10" ht="14.95" thickBot="1" x14ac:dyDescent="0.3">
      <c r="A64" s="187" t="s">
        <v>159</v>
      </c>
      <c r="B64" s="185">
        <v>1</v>
      </c>
      <c r="C64" s="267">
        <v>3</v>
      </c>
      <c r="D64" s="220">
        <v>1</v>
      </c>
      <c r="E64" s="189">
        <f t="shared" si="32"/>
        <v>5</v>
      </c>
      <c r="F64" s="273" t="s">
        <v>508</v>
      </c>
      <c r="G64" s="277">
        <v>20</v>
      </c>
      <c r="H64" s="270">
        <v>9</v>
      </c>
      <c r="I64" s="271">
        <v>2</v>
      </c>
      <c r="J64" s="275">
        <f t="shared" si="33"/>
        <v>31</v>
      </c>
    </row>
    <row r="65" spans="1:10" ht="14.95" thickBot="1" x14ac:dyDescent="0.3">
      <c r="A65" s="187" t="s">
        <v>577</v>
      </c>
      <c r="B65" s="185">
        <v>1</v>
      </c>
      <c r="C65" s="267">
        <v>2</v>
      </c>
      <c r="D65" s="220">
        <v>1</v>
      </c>
      <c r="E65" s="189">
        <f t="shared" si="32"/>
        <v>4</v>
      </c>
      <c r="F65" s="273" t="s">
        <v>386</v>
      </c>
      <c r="G65" s="277">
        <v>10</v>
      </c>
      <c r="H65" s="270">
        <v>5</v>
      </c>
      <c r="I65" s="271">
        <v>10</v>
      </c>
      <c r="J65" s="275">
        <f t="shared" si="33"/>
        <v>25</v>
      </c>
    </row>
    <row r="66" spans="1:10" ht="14.95" thickBot="1" x14ac:dyDescent="0.3">
      <c r="A66" s="187" t="s">
        <v>265</v>
      </c>
      <c r="B66" s="185">
        <v>4</v>
      </c>
      <c r="C66" s="267">
        <v>0</v>
      </c>
      <c r="D66" s="220">
        <v>0</v>
      </c>
      <c r="E66" s="189">
        <f t="shared" si="32"/>
        <v>4</v>
      </c>
      <c r="F66" s="273" t="s">
        <v>274</v>
      </c>
      <c r="G66" s="277">
        <v>20</v>
      </c>
      <c r="H66" s="270">
        <v>5</v>
      </c>
      <c r="I66" s="271">
        <v>0</v>
      </c>
      <c r="J66" s="275">
        <f t="shared" si="33"/>
        <v>25</v>
      </c>
    </row>
    <row r="67" spans="1:10" ht="14.95" thickBot="1" x14ac:dyDescent="0.3">
      <c r="A67" s="187" t="s">
        <v>198</v>
      </c>
      <c r="B67" s="185">
        <v>1</v>
      </c>
      <c r="C67" s="267">
        <v>1</v>
      </c>
      <c r="D67" s="220">
        <v>2</v>
      </c>
      <c r="E67" s="189">
        <f t="shared" si="32"/>
        <v>4</v>
      </c>
      <c r="F67" s="273" t="s">
        <v>159</v>
      </c>
      <c r="G67" s="277">
        <v>5</v>
      </c>
      <c r="H67" s="270">
        <v>15</v>
      </c>
      <c r="I67" s="271">
        <v>5</v>
      </c>
      <c r="J67" s="275">
        <f t="shared" si="33"/>
        <v>25</v>
      </c>
    </row>
    <row r="68" spans="1:10" ht="14.95" thickBot="1" x14ac:dyDescent="0.3">
      <c r="A68" s="187" t="s">
        <v>250</v>
      </c>
      <c r="B68" s="185">
        <v>2</v>
      </c>
      <c r="C68" s="267">
        <v>2</v>
      </c>
      <c r="D68" s="220">
        <v>0</v>
      </c>
      <c r="E68" s="189">
        <f t="shared" si="32"/>
        <v>4</v>
      </c>
      <c r="F68" s="273" t="s">
        <v>409</v>
      </c>
      <c r="G68" s="277">
        <v>0</v>
      </c>
      <c r="H68" s="270">
        <v>0</v>
      </c>
      <c r="I68" s="271">
        <v>23</v>
      </c>
      <c r="J68" s="275">
        <f t="shared" si="33"/>
        <v>23</v>
      </c>
    </row>
    <row r="69" spans="1:10" ht="14.95" thickBot="1" x14ac:dyDescent="0.3">
      <c r="A69" s="187" t="s">
        <v>22</v>
      </c>
      <c r="B69" s="185">
        <v>4</v>
      </c>
      <c r="C69" s="267">
        <v>0</v>
      </c>
      <c r="D69" s="220">
        <v>0</v>
      </c>
      <c r="E69" s="189">
        <f t="shared" si="32"/>
        <v>4</v>
      </c>
      <c r="F69" s="273" t="s">
        <v>577</v>
      </c>
      <c r="G69" s="277">
        <v>5</v>
      </c>
      <c r="H69" s="270">
        <v>10</v>
      </c>
      <c r="I69" s="271">
        <v>5</v>
      </c>
      <c r="J69" s="275">
        <f t="shared" si="33"/>
        <v>20</v>
      </c>
    </row>
    <row r="70" spans="1:10" ht="14.95" thickBot="1" x14ac:dyDescent="0.3">
      <c r="A70" s="187" t="s">
        <v>1086</v>
      </c>
      <c r="B70" s="185">
        <v>0</v>
      </c>
      <c r="C70" s="267">
        <v>0</v>
      </c>
      <c r="D70" s="220">
        <v>3</v>
      </c>
      <c r="E70" s="189">
        <f t="shared" si="32"/>
        <v>3</v>
      </c>
      <c r="F70" s="273" t="s">
        <v>265</v>
      </c>
      <c r="G70" s="277">
        <v>20</v>
      </c>
      <c r="H70" s="270">
        <v>0</v>
      </c>
      <c r="I70" s="271">
        <v>0</v>
      </c>
      <c r="J70" s="275">
        <f t="shared" si="33"/>
        <v>20</v>
      </c>
    </row>
    <row r="71" spans="1:10" ht="14.95" thickBot="1" x14ac:dyDescent="0.3">
      <c r="A71" s="187" t="s">
        <v>163</v>
      </c>
      <c r="B71" s="185">
        <v>0</v>
      </c>
      <c r="C71" s="267">
        <v>3</v>
      </c>
      <c r="D71" s="220">
        <v>0</v>
      </c>
      <c r="E71" s="189">
        <f t="shared" si="32"/>
        <v>3</v>
      </c>
      <c r="F71" s="273" t="s">
        <v>198</v>
      </c>
      <c r="G71" s="277">
        <v>5</v>
      </c>
      <c r="H71" s="270">
        <v>5</v>
      </c>
      <c r="I71" s="271">
        <v>10</v>
      </c>
      <c r="J71" s="275">
        <f t="shared" si="33"/>
        <v>20</v>
      </c>
    </row>
    <row r="72" spans="1:10" ht="14.95" thickBot="1" x14ac:dyDescent="0.3">
      <c r="A72" s="187" t="s">
        <v>767</v>
      </c>
      <c r="B72" s="185">
        <v>3</v>
      </c>
      <c r="C72" s="267">
        <v>0</v>
      </c>
      <c r="D72" s="220">
        <v>0</v>
      </c>
      <c r="E72" s="189">
        <f t="shared" si="32"/>
        <v>3</v>
      </c>
      <c r="F72" s="273" t="s">
        <v>250</v>
      </c>
      <c r="G72" s="277">
        <v>10</v>
      </c>
      <c r="H72" s="270">
        <v>10</v>
      </c>
      <c r="I72" s="271">
        <v>0</v>
      </c>
      <c r="J72" s="275">
        <f t="shared" si="33"/>
        <v>20</v>
      </c>
    </row>
    <row r="73" spans="1:10" ht="14.95" thickBot="1" x14ac:dyDescent="0.3">
      <c r="A73" s="187" t="s">
        <v>289</v>
      </c>
      <c r="B73" s="185">
        <v>2</v>
      </c>
      <c r="C73" s="267">
        <v>1</v>
      </c>
      <c r="D73" s="220">
        <v>0</v>
      </c>
      <c r="E73" s="189">
        <f t="shared" si="32"/>
        <v>3</v>
      </c>
      <c r="F73" s="273" t="s">
        <v>1086</v>
      </c>
      <c r="G73" s="277">
        <v>0</v>
      </c>
      <c r="H73" s="270">
        <v>0</v>
      </c>
      <c r="I73" s="271">
        <v>15</v>
      </c>
      <c r="J73" s="275">
        <f t="shared" si="33"/>
        <v>15</v>
      </c>
    </row>
    <row r="74" spans="1:10" ht="14.95" thickBot="1" x14ac:dyDescent="0.3">
      <c r="A74" s="187" t="s">
        <v>201</v>
      </c>
      <c r="B74" s="185">
        <v>0</v>
      </c>
      <c r="C74" s="267">
        <v>1</v>
      </c>
      <c r="D74" s="220">
        <v>2</v>
      </c>
      <c r="E74" s="189">
        <f t="shared" si="32"/>
        <v>3</v>
      </c>
      <c r="F74" s="273" t="s">
        <v>163</v>
      </c>
      <c r="G74" s="277">
        <v>0</v>
      </c>
      <c r="H74" s="270">
        <v>15</v>
      </c>
      <c r="I74" s="271">
        <v>0</v>
      </c>
      <c r="J74" s="275">
        <f t="shared" si="33"/>
        <v>15</v>
      </c>
    </row>
    <row r="75" spans="1:10" ht="14.95" thickBot="1" x14ac:dyDescent="0.3">
      <c r="A75" s="187" t="s">
        <v>398</v>
      </c>
      <c r="B75" s="185">
        <v>0</v>
      </c>
      <c r="C75" s="267">
        <v>2</v>
      </c>
      <c r="D75" s="220">
        <v>1</v>
      </c>
      <c r="E75" s="189">
        <f t="shared" si="32"/>
        <v>3</v>
      </c>
      <c r="F75" s="273" t="s">
        <v>767</v>
      </c>
      <c r="G75" s="277">
        <v>15</v>
      </c>
      <c r="H75" s="270">
        <v>0</v>
      </c>
      <c r="I75" s="271">
        <v>0</v>
      </c>
      <c r="J75" s="275">
        <f t="shared" si="33"/>
        <v>15</v>
      </c>
    </row>
    <row r="76" spans="1:10" ht="14.95" thickBot="1" x14ac:dyDescent="0.3">
      <c r="A76" s="187" t="s">
        <v>945</v>
      </c>
      <c r="B76" s="185">
        <v>0</v>
      </c>
      <c r="C76" s="267">
        <v>2</v>
      </c>
      <c r="D76" s="220">
        <v>1</v>
      </c>
      <c r="E76" s="189">
        <f t="shared" si="32"/>
        <v>3</v>
      </c>
      <c r="F76" s="273" t="s">
        <v>289</v>
      </c>
      <c r="G76" s="277">
        <v>10</v>
      </c>
      <c r="H76" s="270">
        <v>5</v>
      </c>
      <c r="I76" s="271">
        <v>0</v>
      </c>
      <c r="J76" s="275">
        <f t="shared" si="33"/>
        <v>15</v>
      </c>
    </row>
    <row r="77" spans="1:10" ht="14.95" thickBot="1" x14ac:dyDescent="0.3">
      <c r="A77" s="187" t="s">
        <v>20</v>
      </c>
      <c r="B77" s="185">
        <v>1</v>
      </c>
      <c r="C77" s="267">
        <v>0</v>
      </c>
      <c r="D77" s="220">
        <v>2</v>
      </c>
      <c r="E77" s="189">
        <f t="shared" si="32"/>
        <v>3</v>
      </c>
      <c r="F77" s="273" t="s">
        <v>201</v>
      </c>
      <c r="G77" s="277">
        <v>0</v>
      </c>
      <c r="H77" s="270">
        <v>5</v>
      </c>
      <c r="I77" s="271">
        <v>10</v>
      </c>
      <c r="J77" s="275">
        <f t="shared" si="33"/>
        <v>15</v>
      </c>
    </row>
    <row r="78" spans="1:10" ht="14.95" thickBot="1" x14ac:dyDescent="0.3">
      <c r="A78" s="187" t="s">
        <v>345</v>
      </c>
      <c r="B78" s="185">
        <v>0</v>
      </c>
      <c r="C78" s="267">
        <v>1</v>
      </c>
      <c r="D78" s="220">
        <v>1</v>
      </c>
      <c r="E78" s="189">
        <f t="shared" si="32"/>
        <v>2</v>
      </c>
      <c r="F78" s="273" t="s">
        <v>398</v>
      </c>
      <c r="G78" s="277">
        <v>0</v>
      </c>
      <c r="H78" s="270">
        <v>10</v>
      </c>
      <c r="I78" s="271">
        <v>5</v>
      </c>
      <c r="J78" s="275">
        <f t="shared" si="33"/>
        <v>15</v>
      </c>
    </row>
    <row r="79" spans="1:10" ht="14.95" thickBot="1" x14ac:dyDescent="0.3">
      <c r="A79" s="187" t="s">
        <v>408</v>
      </c>
      <c r="B79" s="185">
        <v>0</v>
      </c>
      <c r="C79" s="267">
        <v>0</v>
      </c>
      <c r="D79" s="220">
        <v>2</v>
      </c>
      <c r="E79" s="189">
        <f t="shared" si="32"/>
        <v>2</v>
      </c>
      <c r="F79" s="273" t="s">
        <v>945</v>
      </c>
      <c r="G79" s="277">
        <v>0</v>
      </c>
      <c r="H79" s="270">
        <v>10</v>
      </c>
      <c r="I79" s="271">
        <v>5</v>
      </c>
      <c r="J79" s="275">
        <f t="shared" si="33"/>
        <v>15</v>
      </c>
    </row>
    <row r="80" spans="1:10" ht="14.95" thickBot="1" x14ac:dyDescent="0.3">
      <c r="A80" s="187" t="s">
        <v>652</v>
      </c>
      <c r="B80" s="185">
        <v>0</v>
      </c>
      <c r="C80" s="267">
        <v>0</v>
      </c>
      <c r="D80" s="220">
        <v>2</v>
      </c>
      <c r="E80" s="189">
        <f t="shared" si="32"/>
        <v>2</v>
      </c>
      <c r="F80" s="273" t="s">
        <v>20</v>
      </c>
      <c r="G80" s="277">
        <v>5</v>
      </c>
      <c r="H80" s="270">
        <v>0</v>
      </c>
      <c r="I80" s="271">
        <v>10</v>
      </c>
      <c r="J80" s="275">
        <f t="shared" si="33"/>
        <v>15</v>
      </c>
    </row>
    <row r="81" spans="1:10" ht="14.95" thickBot="1" x14ac:dyDescent="0.3">
      <c r="A81" s="187" t="s">
        <v>449</v>
      </c>
      <c r="B81" s="185">
        <v>0</v>
      </c>
      <c r="C81" s="267">
        <v>0</v>
      </c>
      <c r="D81" s="220">
        <v>1</v>
      </c>
      <c r="E81" s="189">
        <f t="shared" si="32"/>
        <v>1</v>
      </c>
      <c r="F81" s="273" t="s">
        <v>408</v>
      </c>
      <c r="G81" s="277">
        <v>0</v>
      </c>
      <c r="H81" s="270">
        <v>0</v>
      </c>
      <c r="I81" s="271">
        <v>10</v>
      </c>
      <c r="J81" s="275">
        <f t="shared" si="33"/>
        <v>10</v>
      </c>
    </row>
    <row r="82" spans="1:10" ht="14.95" thickBot="1" x14ac:dyDescent="0.3">
      <c r="A82" s="187" t="s">
        <v>472</v>
      </c>
      <c r="B82" s="185">
        <v>0</v>
      </c>
      <c r="C82" s="267">
        <v>1</v>
      </c>
      <c r="D82" s="220">
        <v>0</v>
      </c>
      <c r="E82" s="189">
        <f t="shared" si="32"/>
        <v>1</v>
      </c>
      <c r="F82" s="273" t="s">
        <v>652</v>
      </c>
      <c r="G82" s="277">
        <v>0</v>
      </c>
      <c r="H82" s="270">
        <v>0</v>
      </c>
      <c r="I82" s="271">
        <v>10</v>
      </c>
      <c r="J82" s="275">
        <f t="shared" si="33"/>
        <v>10</v>
      </c>
    </row>
    <row r="83" spans="1:10" ht="14.95" thickBot="1" x14ac:dyDescent="0.3">
      <c r="A83" s="187" t="s">
        <v>357</v>
      </c>
      <c r="B83" s="185">
        <v>0</v>
      </c>
      <c r="C83" s="267">
        <v>1</v>
      </c>
      <c r="D83" s="220">
        <v>0</v>
      </c>
      <c r="E83" s="189">
        <f t="shared" si="32"/>
        <v>1</v>
      </c>
      <c r="F83" s="273" t="s">
        <v>4</v>
      </c>
      <c r="G83" s="277">
        <v>0</v>
      </c>
      <c r="H83" s="270">
        <v>7</v>
      </c>
      <c r="I83" s="271">
        <v>0</v>
      </c>
      <c r="J83" s="275">
        <f t="shared" si="33"/>
        <v>7</v>
      </c>
    </row>
    <row r="84" spans="1:10" ht="14.95" thickBot="1" x14ac:dyDescent="0.3">
      <c r="A84" s="187" t="s">
        <v>487</v>
      </c>
      <c r="B84" s="185">
        <v>0</v>
      </c>
      <c r="C84" s="267">
        <v>0</v>
      </c>
      <c r="D84" s="220">
        <v>1</v>
      </c>
      <c r="E84" s="189">
        <f t="shared" si="32"/>
        <v>1</v>
      </c>
      <c r="F84" s="273" t="s">
        <v>449</v>
      </c>
      <c r="G84" s="277">
        <v>0</v>
      </c>
      <c r="H84" s="270">
        <v>0</v>
      </c>
      <c r="I84" s="271">
        <v>5</v>
      </c>
      <c r="J84" s="275">
        <f t="shared" si="33"/>
        <v>5</v>
      </c>
    </row>
    <row r="85" spans="1:10" ht="14.95" thickBot="1" x14ac:dyDescent="0.3">
      <c r="A85" s="187" t="s">
        <v>380</v>
      </c>
      <c r="B85" s="185">
        <v>0</v>
      </c>
      <c r="C85" s="267">
        <v>1</v>
      </c>
      <c r="D85" s="220">
        <v>0</v>
      </c>
      <c r="E85" s="189">
        <f t="shared" si="32"/>
        <v>1</v>
      </c>
      <c r="F85" s="273" t="s">
        <v>472</v>
      </c>
      <c r="G85" s="277">
        <v>0</v>
      </c>
      <c r="H85" s="270">
        <v>5</v>
      </c>
      <c r="I85" s="271">
        <v>0</v>
      </c>
      <c r="J85" s="275">
        <f t="shared" si="33"/>
        <v>5</v>
      </c>
    </row>
    <row r="86" spans="1:10" ht="14.95" thickBot="1" x14ac:dyDescent="0.3">
      <c r="A86" s="187" t="s">
        <v>952</v>
      </c>
      <c r="B86" s="185">
        <v>0</v>
      </c>
      <c r="C86" s="267">
        <v>1</v>
      </c>
      <c r="D86" s="220">
        <v>0</v>
      </c>
      <c r="E86" s="189">
        <f t="shared" si="32"/>
        <v>1</v>
      </c>
      <c r="F86" s="273" t="s">
        <v>357</v>
      </c>
      <c r="G86" s="277">
        <v>0</v>
      </c>
      <c r="H86" s="270">
        <v>5</v>
      </c>
      <c r="I86" s="271">
        <v>0</v>
      </c>
      <c r="J86" s="275">
        <f t="shared" si="33"/>
        <v>5</v>
      </c>
    </row>
    <row r="87" spans="1:10" ht="14.95" thickBot="1" x14ac:dyDescent="0.3">
      <c r="A87" s="187" t="s">
        <v>232</v>
      </c>
      <c r="B87" s="185">
        <v>0</v>
      </c>
      <c r="C87" s="267">
        <v>0</v>
      </c>
      <c r="D87" s="220">
        <v>1</v>
      </c>
      <c r="E87" s="189">
        <f t="shared" si="32"/>
        <v>1</v>
      </c>
      <c r="F87" s="273" t="s">
        <v>487</v>
      </c>
      <c r="G87" s="277">
        <v>0</v>
      </c>
      <c r="H87" s="270">
        <v>0</v>
      </c>
      <c r="I87" s="271">
        <v>5</v>
      </c>
      <c r="J87" s="275">
        <f t="shared" si="33"/>
        <v>5</v>
      </c>
    </row>
    <row r="88" spans="1:10" ht="14.95" thickBot="1" x14ac:dyDescent="0.3">
      <c r="A88" s="187" t="s">
        <v>508</v>
      </c>
      <c r="B88" s="185">
        <v>0</v>
      </c>
      <c r="C88" s="267">
        <v>1</v>
      </c>
      <c r="D88" s="220">
        <v>0</v>
      </c>
      <c r="E88" s="189">
        <f t="shared" si="32"/>
        <v>1</v>
      </c>
      <c r="F88" s="273" t="s">
        <v>380</v>
      </c>
      <c r="G88" s="277">
        <v>0</v>
      </c>
      <c r="H88" s="270">
        <v>5</v>
      </c>
      <c r="I88" s="271">
        <v>0</v>
      </c>
      <c r="J88" s="275">
        <f t="shared" si="33"/>
        <v>5</v>
      </c>
    </row>
    <row r="89" spans="1:10" ht="14.95" thickBot="1" x14ac:dyDescent="0.3">
      <c r="A89" s="187" t="s">
        <v>781</v>
      </c>
      <c r="B89" s="185">
        <v>0</v>
      </c>
      <c r="C89" s="267">
        <v>0</v>
      </c>
      <c r="D89" s="220">
        <v>1</v>
      </c>
      <c r="E89" s="189">
        <f t="shared" si="32"/>
        <v>1</v>
      </c>
      <c r="F89" s="273" t="s">
        <v>952</v>
      </c>
      <c r="G89" s="277">
        <v>0</v>
      </c>
      <c r="H89" s="270">
        <v>5</v>
      </c>
      <c r="I89" s="271">
        <v>0</v>
      </c>
      <c r="J89" s="275">
        <f t="shared" si="33"/>
        <v>5</v>
      </c>
    </row>
    <row r="90" spans="1:10" ht="14.95" thickBot="1" x14ac:dyDescent="0.3">
      <c r="A90" s="187" t="s">
        <v>1087</v>
      </c>
      <c r="B90" s="185">
        <v>0</v>
      </c>
      <c r="C90" s="267">
        <v>0</v>
      </c>
      <c r="D90" s="220">
        <v>1</v>
      </c>
      <c r="E90" s="189">
        <f t="shared" si="32"/>
        <v>1</v>
      </c>
      <c r="F90" s="273" t="s">
        <v>232</v>
      </c>
      <c r="G90" s="277">
        <v>0</v>
      </c>
      <c r="H90" s="270">
        <v>0</v>
      </c>
      <c r="I90" s="271">
        <v>5</v>
      </c>
      <c r="J90" s="275">
        <f t="shared" si="33"/>
        <v>5</v>
      </c>
    </row>
    <row r="91" spans="1:10" ht="14.95" thickBot="1" x14ac:dyDescent="0.3">
      <c r="A91" s="187" t="s">
        <v>1088</v>
      </c>
      <c r="B91" s="185">
        <v>0</v>
      </c>
      <c r="C91" s="267">
        <v>0</v>
      </c>
      <c r="D91" s="220">
        <v>1</v>
      </c>
      <c r="E91" s="189">
        <f t="shared" si="32"/>
        <v>1</v>
      </c>
      <c r="F91" s="273" t="s">
        <v>781</v>
      </c>
      <c r="G91" s="277">
        <v>0</v>
      </c>
      <c r="H91" s="270">
        <v>0</v>
      </c>
      <c r="I91" s="271">
        <v>5</v>
      </c>
      <c r="J91" s="275">
        <f t="shared" si="33"/>
        <v>5</v>
      </c>
    </row>
    <row r="92" spans="1:10" ht="14.95" thickBot="1" x14ac:dyDescent="0.3">
      <c r="A92" s="187" t="s">
        <v>410</v>
      </c>
      <c r="B92" s="185">
        <v>0</v>
      </c>
      <c r="C92" s="267">
        <v>0</v>
      </c>
      <c r="D92" s="220">
        <v>1</v>
      </c>
      <c r="E92" s="189">
        <f t="shared" si="32"/>
        <v>1</v>
      </c>
      <c r="F92" s="273" t="s">
        <v>1087</v>
      </c>
      <c r="G92" s="277">
        <v>0</v>
      </c>
      <c r="H92" s="270">
        <v>0</v>
      </c>
      <c r="I92" s="271">
        <v>5</v>
      </c>
      <c r="J92" s="275">
        <f t="shared" si="33"/>
        <v>5</v>
      </c>
    </row>
    <row r="93" spans="1:10" ht="14.95" thickBot="1" x14ac:dyDescent="0.3">
      <c r="A93" s="187" t="s">
        <v>421</v>
      </c>
      <c r="B93" s="185">
        <v>0</v>
      </c>
      <c r="C93" s="267">
        <v>0</v>
      </c>
      <c r="D93" s="220">
        <v>1</v>
      </c>
      <c r="E93" s="189">
        <f t="shared" ref="E93:E124" si="34">SUM(B93:D93)</f>
        <v>1</v>
      </c>
      <c r="F93" s="273" t="s">
        <v>1088</v>
      </c>
      <c r="G93" s="277">
        <v>0</v>
      </c>
      <c r="H93" s="270">
        <v>0</v>
      </c>
      <c r="I93" s="271">
        <v>5</v>
      </c>
      <c r="J93" s="275">
        <f t="shared" ref="J93:J124" si="35">SUM(G93:I93)</f>
        <v>5</v>
      </c>
    </row>
    <row r="94" spans="1:10" ht="14.95" thickBot="1" x14ac:dyDescent="0.3">
      <c r="A94" s="187" t="s">
        <v>4</v>
      </c>
      <c r="B94" s="185">
        <v>0</v>
      </c>
      <c r="C94" s="267">
        <v>1</v>
      </c>
      <c r="D94" s="220">
        <v>0</v>
      </c>
      <c r="E94" s="189">
        <f t="shared" si="34"/>
        <v>1</v>
      </c>
      <c r="F94" s="273" t="s">
        <v>410</v>
      </c>
      <c r="G94" s="277">
        <v>0</v>
      </c>
      <c r="H94" s="270">
        <v>0</v>
      </c>
      <c r="I94" s="271">
        <v>5</v>
      </c>
      <c r="J94" s="275">
        <f t="shared" si="35"/>
        <v>5</v>
      </c>
    </row>
    <row r="95" spans="1:10" ht="14.95" thickBot="1" x14ac:dyDescent="0.3">
      <c r="A95" s="187" t="s">
        <v>409</v>
      </c>
      <c r="B95" s="185">
        <v>0</v>
      </c>
      <c r="C95" s="267">
        <v>0</v>
      </c>
      <c r="D95" s="220">
        <v>1</v>
      </c>
      <c r="E95" s="189">
        <f t="shared" si="34"/>
        <v>1</v>
      </c>
      <c r="F95" s="273" t="s">
        <v>421</v>
      </c>
      <c r="G95" s="277">
        <v>0</v>
      </c>
      <c r="H95" s="270">
        <v>0</v>
      </c>
      <c r="I95" s="271">
        <v>5</v>
      </c>
      <c r="J95" s="275">
        <f t="shared" si="35"/>
        <v>5</v>
      </c>
    </row>
    <row r="96" spans="1:10" ht="14.95" thickBot="1" x14ac:dyDescent="0.3">
      <c r="A96" s="187" t="s">
        <v>1041</v>
      </c>
      <c r="B96" s="185">
        <v>0</v>
      </c>
      <c r="C96" s="267">
        <v>0</v>
      </c>
      <c r="D96" s="220">
        <v>1</v>
      </c>
      <c r="E96" s="189">
        <f t="shared" si="34"/>
        <v>1</v>
      </c>
      <c r="F96" s="273" t="s">
        <v>1041</v>
      </c>
      <c r="G96" s="277">
        <v>0</v>
      </c>
      <c r="H96" s="270">
        <v>0</v>
      </c>
      <c r="I96" s="271">
        <v>5</v>
      </c>
      <c r="J96" s="275">
        <f t="shared" si="35"/>
        <v>5</v>
      </c>
    </row>
    <row r="97" spans="1:10" ht="14.95" thickBot="1" x14ac:dyDescent="0.3">
      <c r="A97" s="187" t="s">
        <v>949</v>
      </c>
      <c r="B97" s="185">
        <v>0</v>
      </c>
      <c r="C97" s="267">
        <v>0</v>
      </c>
      <c r="D97" s="220">
        <v>1</v>
      </c>
      <c r="E97" s="189">
        <f t="shared" si="34"/>
        <v>1</v>
      </c>
      <c r="F97" s="273" t="s">
        <v>949</v>
      </c>
      <c r="G97" s="277">
        <v>0</v>
      </c>
      <c r="H97" s="270">
        <v>0</v>
      </c>
      <c r="I97" s="271">
        <v>5</v>
      </c>
      <c r="J97" s="275">
        <f t="shared" si="35"/>
        <v>5</v>
      </c>
    </row>
    <row r="98" spans="1:10" ht="14.95" thickBot="1" x14ac:dyDescent="0.3">
      <c r="A98" s="187" t="s">
        <v>948</v>
      </c>
      <c r="B98" s="185">
        <v>1</v>
      </c>
      <c r="C98" s="267">
        <v>0</v>
      </c>
      <c r="D98" s="220">
        <v>0</v>
      </c>
      <c r="E98" s="189">
        <f t="shared" si="34"/>
        <v>1</v>
      </c>
      <c r="F98" s="273" t="s">
        <v>948</v>
      </c>
      <c r="G98" s="277">
        <v>5</v>
      </c>
      <c r="H98" s="270">
        <v>0</v>
      </c>
      <c r="I98" s="271">
        <v>0</v>
      </c>
      <c r="J98" s="275">
        <f t="shared" si="35"/>
        <v>5</v>
      </c>
    </row>
    <row r="99" spans="1:10" ht="14.95" thickBot="1" x14ac:dyDescent="0.3">
      <c r="A99" s="187" t="s">
        <v>847</v>
      </c>
      <c r="B99" s="185">
        <v>1</v>
      </c>
      <c r="C99" s="267">
        <v>0</v>
      </c>
      <c r="D99" s="220">
        <v>0</v>
      </c>
      <c r="E99" s="189">
        <f t="shared" si="34"/>
        <v>1</v>
      </c>
      <c r="F99" s="273" t="s">
        <v>847</v>
      </c>
      <c r="G99" s="277">
        <v>5</v>
      </c>
      <c r="H99" s="270">
        <v>0</v>
      </c>
      <c r="I99" s="271">
        <v>0</v>
      </c>
      <c r="J99" s="275">
        <f t="shared" si="35"/>
        <v>5</v>
      </c>
    </row>
    <row r="100" spans="1:10" ht="14.95" thickBot="1" x14ac:dyDescent="0.3">
      <c r="A100" s="187" t="s">
        <v>1100</v>
      </c>
      <c r="B100" s="185">
        <v>0</v>
      </c>
      <c r="C100" s="267">
        <v>0</v>
      </c>
      <c r="D100" s="220">
        <v>1</v>
      </c>
      <c r="E100" s="189">
        <f t="shared" si="34"/>
        <v>1</v>
      </c>
      <c r="F100" s="273" t="s">
        <v>1100</v>
      </c>
      <c r="G100" s="277">
        <v>0</v>
      </c>
      <c r="H100" s="270">
        <v>0</v>
      </c>
      <c r="I100" s="271">
        <v>5</v>
      </c>
      <c r="J100" s="275">
        <f t="shared" si="35"/>
        <v>5</v>
      </c>
    </row>
    <row r="101" spans="1:10" ht="14.95" thickBot="1" x14ac:dyDescent="0.3">
      <c r="A101" s="187" t="s">
        <v>529</v>
      </c>
      <c r="B101" s="185">
        <v>0</v>
      </c>
      <c r="C101" s="267">
        <v>0</v>
      </c>
      <c r="D101" s="220">
        <v>0</v>
      </c>
      <c r="E101" s="189">
        <f t="shared" si="34"/>
        <v>0</v>
      </c>
      <c r="F101" s="273" t="s">
        <v>890</v>
      </c>
      <c r="G101" s="277">
        <v>0</v>
      </c>
      <c r="H101" s="270">
        <v>0</v>
      </c>
      <c r="I101" s="271">
        <v>2</v>
      </c>
      <c r="J101" s="275">
        <f t="shared" si="35"/>
        <v>2</v>
      </c>
    </row>
    <row r="102" spans="1:10" ht="14.95" thickBot="1" x14ac:dyDescent="0.3">
      <c r="A102" s="187" t="s">
        <v>397</v>
      </c>
      <c r="B102" s="185">
        <v>0</v>
      </c>
      <c r="C102" s="267">
        <v>0</v>
      </c>
      <c r="D102" s="220">
        <v>0</v>
      </c>
      <c r="E102" s="189">
        <f t="shared" si="34"/>
        <v>0</v>
      </c>
      <c r="F102" s="273" t="s">
        <v>529</v>
      </c>
      <c r="G102" s="277">
        <v>0</v>
      </c>
      <c r="H102" s="270">
        <v>0</v>
      </c>
      <c r="I102" s="271">
        <v>0</v>
      </c>
      <c r="J102" s="275">
        <f t="shared" si="35"/>
        <v>0</v>
      </c>
    </row>
    <row r="103" spans="1:10" ht="14.95" thickBot="1" x14ac:dyDescent="0.3">
      <c r="A103" s="187" t="s">
        <v>950</v>
      </c>
      <c r="B103" s="185">
        <v>0</v>
      </c>
      <c r="C103" s="267">
        <v>0</v>
      </c>
      <c r="D103" s="220">
        <v>0</v>
      </c>
      <c r="E103" s="189">
        <f t="shared" si="34"/>
        <v>0</v>
      </c>
      <c r="F103" s="273" t="s">
        <v>397</v>
      </c>
      <c r="G103" s="277">
        <v>0</v>
      </c>
      <c r="H103" s="270">
        <v>0</v>
      </c>
      <c r="I103" s="271">
        <v>0</v>
      </c>
      <c r="J103" s="275">
        <f t="shared" si="35"/>
        <v>0</v>
      </c>
    </row>
    <row r="104" spans="1:10" ht="14.95" thickBot="1" x14ac:dyDescent="0.3">
      <c r="A104" s="187" t="s">
        <v>829</v>
      </c>
      <c r="B104" s="185">
        <v>0</v>
      </c>
      <c r="C104" s="267">
        <v>0</v>
      </c>
      <c r="D104" s="220">
        <v>0</v>
      </c>
      <c r="E104" s="189">
        <f t="shared" si="34"/>
        <v>0</v>
      </c>
      <c r="F104" s="273" t="s">
        <v>950</v>
      </c>
      <c r="G104" s="277">
        <v>0</v>
      </c>
      <c r="H104" s="270">
        <v>0</v>
      </c>
      <c r="I104" s="271">
        <v>0</v>
      </c>
      <c r="J104" s="275">
        <f t="shared" si="35"/>
        <v>0</v>
      </c>
    </row>
    <row r="105" spans="1:10" ht="14.95" thickBot="1" x14ac:dyDescent="0.3">
      <c r="A105" s="187" t="s">
        <v>343</v>
      </c>
      <c r="B105" s="185">
        <v>0</v>
      </c>
      <c r="C105" s="267">
        <v>0</v>
      </c>
      <c r="D105" s="220">
        <v>0</v>
      </c>
      <c r="E105" s="189">
        <f t="shared" si="34"/>
        <v>0</v>
      </c>
      <c r="F105" s="273" t="s">
        <v>829</v>
      </c>
      <c r="G105" s="277">
        <v>0</v>
      </c>
      <c r="H105" s="270">
        <v>0</v>
      </c>
      <c r="I105" s="271">
        <v>0</v>
      </c>
      <c r="J105" s="275">
        <f t="shared" si="35"/>
        <v>0</v>
      </c>
    </row>
    <row r="106" spans="1:10" ht="14.95" thickBot="1" x14ac:dyDescent="0.3">
      <c r="A106" s="187" t="s">
        <v>890</v>
      </c>
      <c r="B106" s="185">
        <v>0</v>
      </c>
      <c r="C106" s="267">
        <v>0</v>
      </c>
      <c r="D106" s="220">
        <v>0</v>
      </c>
      <c r="E106" s="189">
        <f t="shared" si="34"/>
        <v>0</v>
      </c>
      <c r="F106" s="273" t="s">
        <v>343</v>
      </c>
      <c r="G106" s="277">
        <v>0</v>
      </c>
      <c r="H106" s="270">
        <v>0</v>
      </c>
      <c r="I106" s="271">
        <v>0</v>
      </c>
      <c r="J106" s="275">
        <f t="shared" si="35"/>
        <v>0</v>
      </c>
    </row>
    <row r="107" spans="1:10" ht="14.95" thickBot="1" x14ac:dyDescent="0.3">
      <c r="A107" s="187" t="s">
        <v>234</v>
      </c>
      <c r="B107" s="185">
        <v>0</v>
      </c>
      <c r="C107" s="267">
        <v>0</v>
      </c>
      <c r="D107" s="220">
        <v>0</v>
      </c>
      <c r="E107" s="189">
        <f t="shared" si="34"/>
        <v>0</v>
      </c>
      <c r="F107" s="273" t="s">
        <v>234</v>
      </c>
      <c r="G107" s="277">
        <v>0</v>
      </c>
      <c r="H107" s="270">
        <v>0</v>
      </c>
      <c r="I107" s="271">
        <v>0</v>
      </c>
      <c r="J107" s="275">
        <f t="shared" si="35"/>
        <v>0</v>
      </c>
    </row>
    <row r="108" spans="1:10" ht="14.95" thickBot="1" x14ac:dyDescent="0.3">
      <c r="A108" s="187" t="s">
        <v>647</v>
      </c>
      <c r="B108" s="185">
        <v>0</v>
      </c>
      <c r="C108" s="267">
        <v>0</v>
      </c>
      <c r="D108" s="220">
        <v>0</v>
      </c>
      <c r="E108" s="189">
        <f t="shared" si="34"/>
        <v>0</v>
      </c>
      <c r="F108" s="273" t="s">
        <v>647</v>
      </c>
      <c r="G108" s="277">
        <v>0</v>
      </c>
      <c r="H108" s="270">
        <v>0</v>
      </c>
      <c r="I108" s="271">
        <v>0</v>
      </c>
      <c r="J108" s="275">
        <f t="shared" si="35"/>
        <v>0</v>
      </c>
    </row>
    <row r="109" spans="1:10" ht="14.95" thickBot="1" x14ac:dyDescent="0.3">
      <c r="A109" s="187" t="s">
        <v>196</v>
      </c>
      <c r="B109" s="185">
        <v>0</v>
      </c>
      <c r="C109" s="267">
        <v>0</v>
      </c>
      <c r="D109" s="220">
        <v>0</v>
      </c>
      <c r="E109" s="189">
        <f t="shared" si="34"/>
        <v>0</v>
      </c>
      <c r="F109" s="273" t="s">
        <v>196</v>
      </c>
      <c r="G109" s="277">
        <v>0</v>
      </c>
      <c r="H109" s="270">
        <v>0</v>
      </c>
      <c r="I109" s="271">
        <v>0</v>
      </c>
      <c r="J109" s="275">
        <f t="shared" si="35"/>
        <v>0</v>
      </c>
    </row>
    <row r="110" spans="1:10" ht="14.95" thickBot="1" x14ac:dyDescent="0.3">
      <c r="A110" s="187" t="s">
        <v>406</v>
      </c>
      <c r="B110" s="185">
        <v>0</v>
      </c>
      <c r="C110" s="267">
        <v>0</v>
      </c>
      <c r="D110" s="220">
        <v>0</v>
      </c>
      <c r="E110" s="189">
        <f t="shared" si="34"/>
        <v>0</v>
      </c>
      <c r="F110" s="273" t="s">
        <v>406</v>
      </c>
      <c r="G110" s="277">
        <v>0</v>
      </c>
      <c r="H110" s="270">
        <v>0</v>
      </c>
      <c r="I110" s="271">
        <v>0</v>
      </c>
      <c r="J110" s="275">
        <f t="shared" si="35"/>
        <v>0</v>
      </c>
    </row>
    <row r="111" spans="1:10" ht="14.95" thickBot="1" x14ac:dyDescent="0.3">
      <c r="A111" s="187" t="s">
        <v>946</v>
      </c>
      <c r="B111" s="185">
        <v>0</v>
      </c>
      <c r="C111" s="267">
        <v>0</v>
      </c>
      <c r="D111" s="220">
        <v>0</v>
      </c>
      <c r="E111" s="189">
        <f t="shared" si="34"/>
        <v>0</v>
      </c>
      <c r="F111" s="273" t="s">
        <v>946</v>
      </c>
      <c r="G111" s="277">
        <v>0</v>
      </c>
      <c r="H111" s="270">
        <v>0</v>
      </c>
      <c r="I111" s="271">
        <v>0</v>
      </c>
      <c r="J111" s="275">
        <f t="shared" si="35"/>
        <v>0</v>
      </c>
    </row>
    <row r="112" spans="1:10" ht="14.95" thickBot="1" x14ac:dyDescent="0.3">
      <c r="A112" s="187" t="s">
        <v>783</v>
      </c>
      <c r="B112" s="185">
        <v>0</v>
      </c>
      <c r="C112" s="267">
        <v>0</v>
      </c>
      <c r="D112" s="220">
        <v>0</v>
      </c>
      <c r="E112" s="189">
        <f t="shared" si="34"/>
        <v>0</v>
      </c>
      <c r="F112" s="273" t="s">
        <v>783</v>
      </c>
      <c r="G112" s="277">
        <v>0</v>
      </c>
      <c r="H112" s="270">
        <v>0</v>
      </c>
      <c r="I112" s="271">
        <v>0</v>
      </c>
      <c r="J112" s="275">
        <f t="shared" si="35"/>
        <v>0</v>
      </c>
    </row>
    <row r="113" spans="1:10" ht="14.95" thickBot="1" x14ac:dyDescent="0.3">
      <c r="A113" s="187" t="s">
        <v>951</v>
      </c>
      <c r="B113" s="185">
        <v>0</v>
      </c>
      <c r="C113" s="267">
        <v>0</v>
      </c>
      <c r="D113" s="220">
        <v>0</v>
      </c>
      <c r="E113" s="189">
        <f t="shared" si="34"/>
        <v>0</v>
      </c>
      <c r="F113" s="273" t="s">
        <v>951</v>
      </c>
      <c r="G113" s="277">
        <v>0</v>
      </c>
      <c r="H113" s="270">
        <v>0</v>
      </c>
      <c r="I113" s="271">
        <v>0</v>
      </c>
      <c r="J113" s="275">
        <f t="shared" si="35"/>
        <v>0</v>
      </c>
    </row>
    <row r="114" spans="1:10" ht="14.95" thickBot="1" x14ac:dyDescent="0.3">
      <c r="A114" s="187" t="s">
        <v>5</v>
      </c>
      <c r="B114" s="185">
        <v>0</v>
      </c>
      <c r="C114" s="267">
        <v>0</v>
      </c>
      <c r="D114" s="220">
        <v>0</v>
      </c>
      <c r="E114" s="189">
        <f t="shared" si="34"/>
        <v>0</v>
      </c>
      <c r="F114" s="273" t="s">
        <v>5</v>
      </c>
      <c r="G114" s="277">
        <v>0</v>
      </c>
      <c r="H114" s="270">
        <v>0</v>
      </c>
      <c r="I114" s="271">
        <v>0</v>
      </c>
      <c r="J114" s="275">
        <f t="shared" si="35"/>
        <v>0</v>
      </c>
    </row>
    <row r="115" spans="1:10" ht="14.95" thickBot="1" x14ac:dyDescent="0.3">
      <c r="A115" s="187" t="s">
        <v>3</v>
      </c>
      <c r="B115" s="185">
        <f>SUM(B61:B114)</f>
        <v>31</v>
      </c>
      <c r="C115" s="267">
        <f>SUM(C61:C114)</f>
        <v>29</v>
      </c>
      <c r="D115" s="220">
        <f>SUM(D61:D114)</f>
        <v>32</v>
      </c>
      <c r="E115" s="189">
        <f t="shared" ref="E115" si="36">SUM(B115:D115)</f>
        <v>92</v>
      </c>
      <c r="F115" s="272" t="s">
        <v>3</v>
      </c>
      <c r="G115" s="276">
        <f>SUM(G61:G114)</f>
        <v>233</v>
      </c>
      <c r="H115" s="268">
        <f>SUM(H61:H114)</f>
        <v>201</v>
      </c>
      <c r="I115" s="271">
        <f>SUM(I61:I114)</f>
        <v>198</v>
      </c>
      <c r="J115" s="275">
        <f t="shared" ref="J115" si="37">SUM(G115:I115)</f>
        <v>632</v>
      </c>
    </row>
    <row r="116" spans="1:10" ht="16.3" x14ac:dyDescent="0.3">
      <c r="A116" s="447" t="s">
        <v>34</v>
      </c>
      <c r="B116" s="448"/>
      <c r="C116" s="448"/>
      <c r="D116" s="448"/>
      <c r="E116" s="448"/>
      <c r="F116" s="448"/>
      <c r="G116" s="448"/>
      <c r="H116" s="448"/>
      <c r="I116" s="448"/>
      <c r="J116" s="448"/>
    </row>
  </sheetData>
  <sortState xmlns:xlrd2="http://schemas.microsoft.com/office/spreadsheetml/2017/richdata2" ref="F61:J114">
    <sortCondition descending="1" ref="J61:J114"/>
  </sortState>
  <mergeCells count="61">
    <mergeCell ref="BC1:BE2"/>
    <mergeCell ref="R1:S2"/>
    <mergeCell ref="K12:K13"/>
    <mergeCell ref="AW12:AY13"/>
    <mergeCell ref="K1:K2"/>
    <mergeCell ref="L1:N2"/>
    <mergeCell ref="O1:Q2"/>
    <mergeCell ref="AZ1:BB2"/>
    <mergeCell ref="L12:N13"/>
    <mergeCell ref="AW1:AY2"/>
    <mergeCell ref="AZ12:BB13"/>
    <mergeCell ref="AT12:AV13"/>
    <mergeCell ref="AT1:AV2"/>
    <mergeCell ref="W1:Y2"/>
    <mergeCell ref="R12:T13"/>
    <mergeCell ref="AH1:AJ2"/>
    <mergeCell ref="AH12:AJ13"/>
    <mergeCell ref="AQ19:AS20"/>
    <mergeCell ref="AT19:AV20"/>
    <mergeCell ref="AW19:AY20"/>
    <mergeCell ref="AZ19:BB20"/>
    <mergeCell ref="AK1:AM2"/>
    <mergeCell ref="AK12:AM13"/>
    <mergeCell ref="AK19:AM20"/>
    <mergeCell ref="AQ1:AS2"/>
    <mergeCell ref="AN1:AP2"/>
    <mergeCell ref="AN12:AP13"/>
    <mergeCell ref="AN19:AP20"/>
    <mergeCell ref="AQ12:AS13"/>
    <mergeCell ref="A1:J1"/>
    <mergeCell ref="T1:V2"/>
    <mergeCell ref="O12:Q13"/>
    <mergeCell ref="O19:Q20"/>
    <mergeCell ref="AH19:AJ20"/>
    <mergeCell ref="AE1:AG2"/>
    <mergeCell ref="AE12:AG13"/>
    <mergeCell ref="AE19:AG20"/>
    <mergeCell ref="AB12:AD13"/>
    <mergeCell ref="AB19:AD20"/>
    <mergeCell ref="K19:K20"/>
    <mergeCell ref="L19:N20"/>
    <mergeCell ref="U19:W20"/>
    <mergeCell ref="U12:W13"/>
    <mergeCell ref="R19:T20"/>
    <mergeCell ref="AB1:AD2"/>
    <mergeCell ref="A116:J116"/>
    <mergeCell ref="K36:W36"/>
    <mergeCell ref="AW25:AY26"/>
    <mergeCell ref="AT25:AV26"/>
    <mergeCell ref="AQ25:AS26"/>
    <mergeCell ref="K35:W35"/>
    <mergeCell ref="AN25:AP26"/>
    <mergeCell ref="AK25:AM26"/>
    <mergeCell ref="K25:K26"/>
    <mergeCell ref="L25:N26"/>
    <mergeCell ref="U25:W26"/>
    <mergeCell ref="R25:T26"/>
    <mergeCell ref="O25:Q26"/>
    <mergeCell ref="AH25:AJ26"/>
    <mergeCell ref="AE25:AG26"/>
    <mergeCell ref="AB25:AD26"/>
  </mergeCells>
  <pageMargins left="0.7" right="0.7" top="0.75" bottom="0.75" header="0.3" footer="0.3"/>
  <pageSetup paperSize="9" orientation="portrait" r:id="rId1"/>
  <ignoredErrors>
    <ignoredError sqref="E50 J50 J56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O108"/>
  <sheetViews>
    <sheetView topLeftCell="A5" workbookViewId="0">
      <selection activeCell="O23" sqref="O23:Q24"/>
    </sheetView>
  </sheetViews>
  <sheetFormatPr defaultColWidth="8.875" defaultRowHeight="14.3" x14ac:dyDescent="0.25"/>
  <cols>
    <col min="1" max="1" width="16.375" customWidth="1"/>
    <col min="2" max="2" width="3.75" customWidth="1"/>
    <col min="3" max="4" width="4.125" customWidth="1"/>
    <col min="5" max="5" width="4.75" customWidth="1"/>
    <col min="6" max="6" width="16.375" customWidth="1"/>
    <col min="7" max="10" width="5.25" customWidth="1"/>
    <col min="11" max="11" width="11.625" customWidth="1"/>
    <col min="12" max="25" width="5.625" customWidth="1"/>
    <col min="26" max="51" width="5.75" customWidth="1"/>
    <col min="52" max="60" width="5.625" customWidth="1"/>
  </cols>
  <sheetData>
    <row r="1" spans="1:67" ht="16.149999999999999" customHeight="1" thickBot="1" x14ac:dyDescent="0.3">
      <c r="A1" s="538" t="s">
        <v>892</v>
      </c>
      <c r="B1" s="539"/>
      <c r="C1" s="539"/>
      <c r="D1" s="539"/>
      <c r="E1" s="539"/>
      <c r="F1" s="539"/>
      <c r="G1" s="539"/>
      <c r="H1" s="539"/>
      <c r="I1" s="539"/>
      <c r="J1" s="540"/>
      <c r="K1" s="467" t="s">
        <v>187</v>
      </c>
      <c r="L1" s="457" t="s">
        <v>14</v>
      </c>
      <c r="M1" s="461"/>
      <c r="N1" s="458"/>
      <c r="O1" s="457" t="s">
        <v>40</v>
      </c>
      <c r="P1" s="461"/>
      <c r="Q1" s="458"/>
      <c r="R1" s="457" t="s">
        <v>186</v>
      </c>
      <c r="S1" s="458"/>
      <c r="T1" s="449" t="s">
        <v>226</v>
      </c>
      <c r="U1" s="450"/>
      <c r="V1" s="451"/>
      <c r="W1" s="449" t="s">
        <v>875</v>
      </c>
      <c r="X1" s="450"/>
      <c r="Y1" s="451"/>
      <c r="Z1" s="195"/>
      <c r="AA1" s="94"/>
      <c r="AB1" s="449" t="s">
        <v>581</v>
      </c>
      <c r="AC1" s="450"/>
      <c r="AD1" s="451"/>
      <c r="AE1" s="449" t="s">
        <v>477</v>
      </c>
      <c r="AF1" s="450"/>
      <c r="AG1" s="451"/>
      <c r="AH1" s="449" t="s">
        <v>391</v>
      </c>
      <c r="AI1" s="450"/>
      <c r="AJ1" s="451"/>
      <c r="AK1" s="449" t="s">
        <v>300</v>
      </c>
      <c r="AL1" s="450"/>
      <c r="AM1" s="451"/>
      <c r="AN1" s="449" t="s">
        <v>219</v>
      </c>
      <c r="AO1" s="450"/>
      <c r="AP1" s="451"/>
      <c r="AQ1" s="449" t="s">
        <v>165</v>
      </c>
      <c r="AR1" s="450"/>
      <c r="AS1" s="451"/>
      <c r="AT1" s="449" t="s">
        <v>78</v>
      </c>
      <c r="AU1" s="450"/>
      <c r="AV1" s="451"/>
      <c r="AW1" s="449" t="s">
        <v>54</v>
      </c>
      <c r="AX1" s="450"/>
      <c r="AY1" s="451"/>
      <c r="AZ1" s="449" t="s">
        <v>50</v>
      </c>
      <c r="BA1" s="450"/>
      <c r="BB1" s="451"/>
      <c r="BC1" s="449" t="s">
        <v>41</v>
      </c>
      <c r="BD1" s="450"/>
      <c r="BE1" s="451"/>
      <c r="BF1" s="449" t="s">
        <v>45</v>
      </c>
      <c r="BG1" s="450"/>
      <c r="BH1" s="451"/>
      <c r="BJ1" s="4"/>
      <c r="BK1" s="4"/>
      <c r="BL1" s="4"/>
      <c r="BO1" s="4"/>
    </row>
    <row r="2" spans="1:67" ht="14.95" customHeight="1" thickBot="1" x14ac:dyDescent="0.3">
      <c r="A2" s="430" t="s">
        <v>0</v>
      </c>
      <c r="B2" s="431" t="s">
        <v>218</v>
      </c>
      <c r="C2" s="439" t="s">
        <v>30</v>
      </c>
      <c r="D2" s="432" t="s">
        <v>326</v>
      </c>
      <c r="E2" s="433" t="s">
        <v>1</v>
      </c>
      <c r="F2" s="165" t="s">
        <v>2</v>
      </c>
      <c r="G2" s="141" t="s">
        <v>218</v>
      </c>
      <c r="H2" s="442" t="s">
        <v>30</v>
      </c>
      <c r="I2" s="396" t="s">
        <v>326</v>
      </c>
      <c r="J2" s="168" t="s">
        <v>1</v>
      </c>
      <c r="K2" s="468"/>
      <c r="L2" s="459"/>
      <c r="M2" s="462"/>
      <c r="N2" s="460"/>
      <c r="O2" s="459"/>
      <c r="P2" s="462"/>
      <c r="Q2" s="460"/>
      <c r="R2" s="459"/>
      <c r="S2" s="460"/>
      <c r="T2" s="452"/>
      <c r="U2" s="453"/>
      <c r="V2" s="454"/>
      <c r="W2" s="452"/>
      <c r="X2" s="453"/>
      <c r="Y2" s="454"/>
      <c r="Z2" s="93"/>
      <c r="AA2" s="94"/>
      <c r="AB2" s="452"/>
      <c r="AC2" s="453"/>
      <c r="AD2" s="454"/>
      <c r="AE2" s="452"/>
      <c r="AF2" s="453"/>
      <c r="AG2" s="454"/>
      <c r="AH2" s="452"/>
      <c r="AI2" s="453"/>
      <c r="AJ2" s="454"/>
      <c r="AK2" s="452"/>
      <c r="AL2" s="453"/>
      <c r="AM2" s="454"/>
      <c r="AN2" s="452"/>
      <c r="AO2" s="453"/>
      <c r="AP2" s="454"/>
      <c r="AQ2" s="452"/>
      <c r="AR2" s="453"/>
      <c r="AS2" s="454"/>
      <c r="AT2" s="452"/>
      <c r="AU2" s="453"/>
      <c r="AV2" s="454"/>
      <c r="AW2" s="452"/>
      <c r="AX2" s="453"/>
      <c r="AY2" s="454"/>
      <c r="AZ2" s="452"/>
      <c r="BA2" s="453"/>
      <c r="BB2" s="454"/>
      <c r="BC2" s="452"/>
      <c r="BD2" s="453"/>
      <c r="BE2" s="454"/>
      <c r="BF2" s="452"/>
      <c r="BG2" s="453"/>
      <c r="BH2" s="454"/>
    </row>
    <row r="3" spans="1:67" ht="14.95" customHeight="1" thickBot="1" x14ac:dyDescent="0.3">
      <c r="A3" s="434" t="s">
        <v>660</v>
      </c>
      <c r="B3" s="435">
        <v>0</v>
      </c>
      <c r="C3" s="440">
        <v>0</v>
      </c>
      <c r="D3" s="436">
        <v>2</v>
      </c>
      <c r="E3" s="437">
        <f t="shared" ref="E3:E53" si="0">SUM(B3:D3)</f>
        <v>2</v>
      </c>
      <c r="F3" s="166" t="s">
        <v>660</v>
      </c>
      <c r="G3" s="142">
        <v>0</v>
      </c>
      <c r="H3" s="443">
        <v>0</v>
      </c>
      <c r="I3" s="397">
        <v>10</v>
      </c>
      <c r="J3" s="169">
        <f t="shared" ref="J3:J53" si="1">SUM(G3:I3)</f>
        <v>10</v>
      </c>
      <c r="K3" s="415" t="s">
        <v>21</v>
      </c>
      <c r="L3" s="3" t="s">
        <v>46</v>
      </c>
      <c r="M3" s="3" t="s">
        <v>9</v>
      </c>
      <c r="N3" s="3" t="s">
        <v>10</v>
      </c>
      <c r="O3" s="162" t="s">
        <v>46</v>
      </c>
      <c r="P3" s="3" t="s">
        <v>9</v>
      </c>
      <c r="Q3" s="3" t="s">
        <v>10</v>
      </c>
      <c r="R3" s="3" t="s">
        <v>187</v>
      </c>
      <c r="S3" s="3" t="s">
        <v>58</v>
      </c>
      <c r="T3" s="7" t="s">
        <v>46</v>
      </c>
      <c r="U3" s="7" t="s">
        <v>9</v>
      </c>
      <c r="V3" s="7" t="s">
        <v>10</v>
      </c>
      <c r="W3" s="7" t="s">
        <v>46</v>
      </c>
      <c r="X3" s="7" t="s">
        <v>9</v>
      </c>
      <c r="Y3" s="7" t="s">
        <v>10</v>
      </c>
      <c r="Z3" s="93"/>
      <c r="AA3" s="94"/>
      <c r="AB3" s="148" t="s">
        <v>46</v>
      </c>
      <c r="AC3" s="7" t="s">
        <v>9</v>
      </c>
      <c r="AD3" s="7" t="s">
        <v>10</v>
      </c>
      <c r="AE3" s="148" t="s">
        <v>46</v>
      </c>
      <c r="AF3" s="7" t="s">
        <v>9</v>
      </c>
      <c r="AG3" s="7" t="s">
        <v>10</v>
      </c>
      <c r="AH3" s="148" t="s">
        <v>46</v>
      </c>
      <c r="AI3" s="7" t="s">
        <v>9</v>
      </c>
      <c r="AJ3" s="7" t="s">
        <v>10</v>
      </c>
      <c r="AK3" s="148" t="s">
        <v>46</v>
      </c>
      <c r="AL3" s="7" t="s">
        <v>9</v>
      </c>
      <c r="AM3" s="7" t="s">
        <v>10</v>
      </c>
      <c r="AN3" s="148" t="s">
        <v>46</v>
      </c>
      <c r="AO3" s="7" t="s">
        <v>9</v>
      </c>
      <c r="AP3" s="7" t="s">
        <v>10</v>
      </c>
      <c r="AQ3" s="148" t="s">
        <v>46</v>
      </c>
      <c r="AR3" s="7" t="s">
        <v>9</v>
      </c>
      <c r="AS3" s="7" t="s">
        <v>10</v>
      </c>
      <c r="AT3" s="148" t="s">
        <v>46</v>
      </c>
      <c r="AU3" s="7" t="s">
        <v>9</v>
      </c>
      <c r="AV3" s="7" t="s">
        <v>10</v>
      </c>
      <c r="AW3" s="148" t="s">
        <v>46</v>
      </c>
      <c r="AX3" s="7" t="s">
        <v>9</v>
      </c>
      <c r="AY3" s="7" t="s">
        <v>10</v>
      </c>
      <c r="AZ3" s="7" t="s">
        <v>46</v>
      </c>
      <c r="BA3" s="7" t="s">
        <v>9</v>
      </c>
      <c r="BB3" s="7" t="s">
        <v>10</v>
      </c>
      <c r="BC3" s="7" t="s">
        <v>46</v>
      </c>
      <c r="BD3" s="7" t="s">
        <v>9</v>
      </c>
      <c r="BE3" s="7" t="s">
        <v>10</v>
      </c>
      <c r="BF3" s="7" t="s">
        <v>46</v>
      </c>
      <c r="BG3" s="7" t="s">
        <v>9</v>
      </c>
      <c r="BH3" s="7" t="s">
        <v>10</v>
      </c>
    </row>
    <row r="4" spans="1:67" ht="14.95" customHeight="1" thickBot="1" x14ac:dyDescent="0.3">
      <c r="A4" s="434" t="s">
        <v>279</v>
      </c>
      <c r="B4" s="435">
        <v>2</v>
      </c>
      <c r="C4" s="440">
        <v>0</v>
      </c>
      <c r="D4" s="436">
        <v>1</v>
      </c>
      <c r="E4" s="437">
        <f t="shared" ref="E4:E5" si="2">SUM(B4:D4)</f>
        <v>3</v>
      </c>
      <c r="F4" s="166" t="s">
        <v>279</v>
      </c>
      <c r="G4" s="142">
        <v>18</v>
      </c>
      <c r="H4" s="443">
        <v>0</v>
      </c>
      <c r="I4" s="397">
        <v>20</v>
      </c>
      <c r="J4" s="169">
        <f t="shared" ref="J4:J5" si="3">SUM(G4:I4)</f>
        <v>38</v>
      </c>
      <c r="K4" s="434" t="s">
        <v>965</v>
      </c>
      <c r="L4" s="437">
        <v>4</v>
      </c>
      <c r="M4" s="437">
        <v>8</v>
      </c>
      <c r="N4" s="438">
        <f t="shared" ref="N4:N6" si="4">SUM(L4/M4)*100</f>
        <v>50</v>
      </c>
      <c r="O4" s="437" t="s">
        <v>15</v>
      </c>
      <c r="P4" s="437" t="s">
        <v>15</v>
      </c>
      <c r="Q4" s="438" t="s">
        <v>15</v>
      </c>
      <c r="R4" s="437">
        <v>-1</v>
      </c>
      <c r="S4" s="437">
        <v>1</v>
      </c>
      <c r="T4" s="7">
        <v>3</v>
      </c>
      <c r="U4" s="7">
        <v>4</v>
      </c>
      <c r="V4" s="153">
        <v>75</v>
      </c>
      <c r="W4" s="7">
        <v>4</v>
      </c>
      <c r="X4" s="7">
        <v>8</v>
      </c>
      <c r="Y4" s="153">
        <v>50</v>
      </c>
      <c r="Z4" s="94"/>
      <c r="AA4" s="94"/>
      <c r="AB4" s="6">
        <v>20</v>
      </c>
      <c r="AC4" s="7">
        <v>30</v>
      </c>
      <c r="AD4" s="153">
        <v>66.666666666666657</v>
      </c>
      <c r="AE4" s="7">
        <v>41</v>
      </c>
      <c r="AF4" s="7">
        <v>53</v>
      </c>
      <c r="AG4" s="153">
        <v>77.358490566037744</v>
      </c>
      <c r="AH4" s="7">
        <v>5</v>
      </c>
      <c r="AI4" s="7">
        <v>6</v>
      </c>
      <c r="AJ4" s="153">
        <v>83.333333333333343</v>
      </c>
      <c r="AK4" s="7" t="s">
        <v>15</v>
      </c>
      <c r="AL4" s="7" t="s">
        <v>15</v>
      </c>
      <c r="AM4" s="153" t="s">
        <v>15</v>
      </c>
      <c r="AN4" s="7" t="s">
        <v>15</v>
      </c>
      <c r="AO4" s="7" t="s">
        <v>15</v>
      </c>
      <c r="AP4" s="153" t="s">
        <v>15</v>
      </c>
      <c r="AQ4" s="7" t="s">
        <v>15</v>
      </c>
      <c r="AR4" s="7" t="s">
        <v>15</v>
      </c>
      <c r="AS4" s="153" t="s">
        <v>15</v>
      </c>
      <c r="AT4" s="7" t="s">
        <v>15</v>
      </c>
      <c r="AU4" s="7" t="s">
        <v>15</v>
      </c>
      <c r="AV4" s="153" t="s">
        <v>15</v>
      </c>
      <c r="AW4" s="7" t="s">
        <v>15</v>
      </c>
      <c r="AX4" s="7" t="s">
        <v>15</v>
      </c>
      <c r="AY4" s="153" t="s">
        <v>15</v>
      </c>
      <c r="AZ4" s="7" t="s">
        <v>15</v>
      </c>
      <c r="BA4" s="7" t="s">
        <v>15</v>
      </c>
      <c r="BB4" s="153" t="s">
        <v>15</v>
      </c>
      <c r="BC4" s="7" t="s">
        <v>15</v>
      </c>
      <c r="BD4" s="7" t="s">
        <v>15</v>
      </c>
      <c r="BE4" s="153" t="s">
        <v>15</v>
      </c>
      <c r="BF4" s="7" t="s">
        <v>15</v>
      </c>
      <c r="BG4" s="7" t="s">
        <v>15</v>
      </c>
      <c r="BH4" s="153" t="s">
        <v>15</v>
      </c>
    </row>
    <row r="5" spans="1:67" ht="14.95" customHeight="1" thickBot="1" x14ac:dyDescent="0.3">
      <c r="A5" s="434" t="s">
        <v>237</v>
      </c>
      <c r="B5" s="435">
        <v>3</v>
      </c>
      <c r="C5" s="440">
        <v>1</v>
      </c>
      <c r="D5" s="436">
        <v>3</v>
      </c>
      <c r="E5" s="437">
        <f t="shared" si="2"/>
        <v>7</v>
      </c>
      <c r="F5" s="166" t="s">
        <v>237</v>
      </c>
      <c r="G5" s="142">
        <v>15</v>
      </c>
      <c r="H5" s="443">
        <v>5</v>
      </c>
      <c r="I5" s="397">
        <v>15</v>
      </c>
      <c r="J5" s="169">
        <f t="shared" si="3"/>
        <v>35</v>
      </c>
      <c r="K5" s="434" t="s">
        <v>958</v>
      </c>
      <c r="L5" s="437">
        <v>8</v>
      </c>
      <c r="M5" s="437">
        <v>12</v>
      </c>
      <c r="N5" s="438">
        <f t="shared" ref="N5" si="5">SUM(L5/M5)*100</f>
        <v>66.666666666666657</v>
      </c>
      <c r="O5" s="437" t="s">
        <v>15</v>
      </c>
      <c r="P5" s="437" t="s">
        <v>15</v>
      </c>
      <c r="Q5" s="438" t="s">
        <v>15</v>
      </c>
      <c r="R5" s="437">
        <v>1</v>
      </c>
      <c r="S5" s="437">
        <v>1</v>
      </c>
      <c r="T5" s="7" t="s">
        <v>15</v>
      </c>
      <c r="U5" s="7" t="s">
        <v>15</v>
      </c>
      <c r="V5" s="153" t="s">
        <v>15</v>
      </c>
      <c r="W5" s="7" t="s">
        <v>15</v>
      </c>
      <c r="X5" s="7" t="s">
        <v>15</v>
      </c>
      <c r="Y5" s="153" t="s">
        <v>15</v>
      </c>
      <c r="Z5" s="94"/>
      <c r="AA5" s="94"/>
      <c r="AB5" s="6" t="s">
        <v>15</v>
      </c>
      <c r="AC5" s="7" t="s">
        <v>15</v>
      </c>
      <c r="AD5" s="153" t="s">
        <v>15</v>
      </c>
      <c r="AE5" s="7" t="s">
        <v>15</v>
      </c>
      <c r="AF5" s="7" t="s">
        <v>15</v>
      </c>
      <c r="AG5" s="153" t="s">
        <v>15</v>
      </c>
      <c r="AH5" s="7" t="s">
        <v>15</v>
      </c>
      <c r="AI5" s="7" t="s">
        <v>15</v>
      </c>
      <c r="AJ5" s="153" t="s">
        <v>15</v>
      </c>
      <c r="AK5" s="7" t="s">
        <v>15</v>
      </c>
      <c r="AL5" s="7" t="s">
        <v>15</v>
      </c>
      <c r="AM5" s="153" t="s">
        <v>15</v>
      </c>
      <c r="AN5" s="7" t="s">
        <v>15</v>
      </c>
      <c r="AO5" s="7" t="s">
        <v>15</v>
      </c>
      <c r="AP5" s="153" t="s">
        <v>15</v>
      </c>
      <c r="AQ5" s="7" t="s">
        <v>15</v>
      </c>
      <c r="AR5" s="7" t="s">
        <v>15</v>
      </c>
      <c r="AS5" s="153" t="s">
        <v>15</v>
      </c>
      <c r="AT5" s="7" t="s">
        <v>15</v>
      </c>
      <c r="AU5" s="7" t="s">
        <v>15</v>
      </c>
      <c r="AV5" s="153" t="s">
        <v>15</v>
      </c>
      <c r="AW5" s="7" t="s">
        <v>15</v>
      </c>
      <c r="AX5" s="7" t="s">
        <v>15</v>
      </c>
      <c r="AY5" s="153" t="s">
        <v>15</v>
      </c>
      <c r="AZ5" s="7" t="s">
        <v>15</v>
      </c>
      <c r="BA5" s="7" t="s">
        <v>15</v>
      </c>
      <c r="BB5" s="153" t="s">
        <v>15</v>
      </c>
      <c r="BC5" s="7">
        <v>36</v>
      </c>
      <c r="BD5" s="7">
        <v>55</v>
      </c>
      <c r="BE5" s="153">
        <v>65.454545454545453</v>
      </c>
      <c r="BF5" s="7" t="s">
        <v>15</v>
      </c>
      <c r="BG5" s="7" t="s">
        <v>15</v>
      </c>
      <c r="BH5" s="153" t="s">
        <v>15</v>
      </c>
    </row>
    <row r="6" spans="1:67" ht="14.95" customHeight="1" thickBot="1" x14ac:dyDescent="0.3">
      <c r="A6" s="434" t="s">
        <v>849</v>
      </c>
      <c r="B6" s="435">
        <v>0</v>
      </c>
      <c r="C6" s="440">
        <v>0</v>
      </c>
      <c r="D6" s="436">
        <v>0</v>
      </c>
      <c r="E6" s="437">
        <f t="shared" si="0"/>
        <v>0</v>
      </c>
      <c r="F6" s="166" t="s">
        <v>849</v>
      </c>
      <c r="G6" s="142">
        <v>0</v>
      </c>
      <c r="H6" s="443">
        <v>0</v>
      </c>
      <c r="I6" s="397">
        <v>0</v>
      </c>
      <c r="J6" s="169">
        <f t="shared" si="1"/>
        <v>0</v>
      </c>
      <c r="K6" s="434" t="s">
        <v>895</v>
      </c>
      <c r="L6" s="437">
        <v>37</v>
      </c>
      <c r="M6" s="437">
        <v>45</v>
      </c>
      <c r="N6" s="438">
        <f t="shared" si="4"/>
        <v>82.222222222222214</v>
      </c>
      <c r="O6" s="437">
        <v>2</v>
      </c>
      <c r="P6" s="437">
        <v>2</v>
      </c>
      <c r="Q6" s="438">
        <f t="shared" ref="Q6" si="6">SUM(O6/P6)*100</f>
        <v>100</v>
      </c>
      <c r="R6" s="437">
        <v>1</v>
      </c>
      <c r="S6" s="437">
        <v>3</v>
      </c>
      <c r="T6" s="7" t="s">
        <v>15</v>
      </c>
      <c r="U6" s="7" t="s">
        <v>15</v>
      </c>
      <c r="V6" s="153" t="s">
        <v>15</v>
      </c>
      <c r="W6" s="7" t="s">
        <v>15</v>
      </c>
      <c r="X6" s="7" t="s">
        <v>15</v>
      </c>
      <c r="Y6" s="153" t="s">
        <v>15</v>
      </c>
      <c r="Z6" s="94"/>
      <c r="AA6" s="94"/>
      <c r="AB6" s="148">
        <v>9</v>
      </c>
      <c r="AC6" s="7">
        <v>10</v>
      </c>
      <c r="AD6" s="153">
        <v>87.5</v>
      </c>
      <c r="AE6" s="7">
        <v>11</v>
      </c>
      <c r="AF6" s="7">
        <v>20</v>
      </c>
      <c r="AG6" s="153">
        <v>55.000000000000007</v>
      </c>
      <c r="AH6" s="7">
        <v>23</v>
      </c>
      <c r="AI6" s="7">
        <v>31</v>
      </c>
      <c r="AJ6" s="153">
        <v>74.193548387096769</v>
      </c>
      <c r="AK6" s="84">
        <v>8</v>
      </c>
      <c r="AL6" s="79">
        <v>13</v>
      </c>
      <c r="AM6" s="171">
        <v>61.53846153846154</v>
      </c>
      <c r="AN6" s="148">
        <v>17</v>
      </c>
      <c r="AO6" s="7">
        <v>22</v>
      </c>
      <c r="AP6" s="7">
        <v>77</v>
      </c>
      <c r="AQ6" s="6" t="s">
        <v>15</v>
      </c>
      <c r="AR6" s="7" t="s">
        <v>15</v>
      </c>
      <c r="AS6" s="7" t="s">
        <v>15</v>
      </c>
      <c r="AT6" s="7">
        <v>10</v>
      </c>
      <c r="AU6" s="7">
        <v>11</v>
      </c>
      <c r="AV6" s="7">
        <v>91</v>
      </c>
      <c r="AW6" s="7" t="s">
        <v>15</v>
      </c>
      <c r="AX6" s="7" t="s">
        <v>15</v>
      </c>
      <c r="AY6" s="153" t="s">
        <v>15</v>
      </c>
      <c r="AZ6" s="7" t="s">
        <v>15</v>
      </c>
      <c r="BA6" s="7" t="s">
        <v>15</v>
      </c>
      <c r="BB6" s="153" t="s">
        <v>15</v>
      </c>
      <c r="BC6" s="7" t="s">
        <v>15</v>
      </c>
      <c r="BD6" s="7" t="s">
        <v>15</v>
      </c>
      <c r="BE6" s="153" t="s">
        <v>15</v>
      </c>
      <c r="BF6" s="7" t="s">
        <v>15</v>
      </c>
      <c r="BG6" s="7" t="s">
        <v>15</v>
      </c>
      <c r="BH6" s="153" t="s">
        <v>15</v>
      </c>
    </row>
    <row r="7" spans="1:67" ht="14.95" customHeight="1" thickBot="1" x14ac:dyDescent="0.3">
      <c r="A7" s="434" t="s">
        <v>403</v>
      </c>
      <c r="B7" s="435">
        <v>0</v>
      </c>
      <c r="C7" s="440">
        <v>0</v>
      </c>
      <c r="D7" s="436">
        <v>0</v>
      </c>
      <c r="E7" s="437">
        <f t="shared" si="0"/>
        <v>0</v>
      </c>
      <c r="F7" s="166" t="s">
        <v>403</v>
      </c>
      <c r="G7" s="142">
        <v>0</v>
      </c>
      <c r="H7" s="443">
        <v>0</v>
      </c>
      <c r="I7" s="397">
        <v>0</v>
      </c>
      <c r="J7" s="169">
        <f t="shared" si="1"/>
        <v>0</v>
      </c>
      <c r="K7" s="434" t="s">
        <v>193</v>
      </c>
      <c r="L7" s="437" t="s">
        <v>15</v>
      </c>
      <c r="M7" s="437" t="s">
        <v>15</v>
      </c>
      <c r="N7" s="438" t="s">
        <v>15</v>
      </c>
      <c r="O7" s="437" t="s">
        <v>15</v>
      </c>
      <c r="P7" s="437" t="s">
        <v>15</v>
      </c>
      <c r="Q7" s="438" t="s">
        <v>15</v>
      </c>
      <c r="R7" s="437">
        <v>-1</v>
      </c>
      <c r="S7" s="437">
        <v>1</v>
      </c>
      <c r="T7" s="7" t="s">
        <v>15</v>
      </c>
      <c r="U7" s="7" t="s">
        <v>15</v>
      </c>
      <c r="V7" s="153" t="s">
        <v>15</v>
      </c>
      <c r="W7" s="7" t="s">
        <v>15</v>
      </c>
      <c r="X7" s="7" t="s">
        <v>15</v>
      </c>
      <c r="Y7" s="153" t="s">
        <v>15</v>
      </c>
      <c r="Z7" s="94"/>
      <c r="AA7" s="94"/>
      <c r="AB7" s="148" t="s">
        <v>15</v>
      </c>
      <c r="AC7" s="7" t="s">
        <v>15</v>
      </c>
      <c r="AD7" s="153" t="s">
        <v>15</v>
      </c>
      <c r="AE7" s="148">
        <v>0</v>
      </c>
      <c r="AF7" s="7">
        <v>1</v>
      </c>
      <c r="AG7" s="153">
        <f t="shared" ref="AG7" si="7">SUM(AE7/AF7)*100</f>
        <v>0</v>
      </c>
      <c r="AH7" s="148" t="s">
        <v>15</v>
      </c>
      <c r="AI7" s="7" t="s">
        <v>15</v>
      </c>
      <c r="AJ7" s="153" t="s">
        <v>15</v>
      </c>
      <c r="AK7" s="148">
        <v>1</v>
      </c>
      <c r="AL7" s="7">
        <v>1</v>
      </c>
      <c r="AM7" s="153">
        <f>(AK7/AL7)*100</f>
        <v>100</v>
      </c>
      <c r="AN7" s="148" t="s">
        <v>15</v>
      </c>
      <c r="AO7" s="7" t="s">
        <v>15</v>
      </c>
      <c r="AP7" s="7" t="s">
        <v>15</v>
      </c>
      <c r="AQ7" s="148" t="s">
        <v>15</v>
      </c>
      <c r="AR7" s="7" t="s">
        <v>15</v>
      </c>
      <c r="AS7" s="7" t="s">
        <v>15</v>
      </c>
      <c r="AT7" s="148" t="s">
        <v>15</v>
      </c>
      <c r="AU7" s="7" t="s">
        <v>15</v>
      </c>
      <c r="AV7" s="7" t="s">
        <v>15</v>
      </c>
      <c r="AW7" s="148" t="s">
        <v>15</v>
      </c>
      <c r="AX7" s="7" t="s">
        <v>15</v>
      </c>
      <c r="AY7" s="7" t="s">
        <v>15</v>
      </c>
      <c r="AZ7" s="7" t="s">
        <v>15</v>
      </c>
      <c r="BA7" s="7" t="s">
        <v>15</v>
      </c>
      <c r="BB7" s="7" t="s">
        <v>15</v>
      </c>
      <c r="BC7" s="7" t="s">
        <v>15</v>
      </c>
      <c r="BD7" s="7" t="s">
        <v>15</v>
      </c>
      <c r="BE7" s="7" t="s">
        <v>15</v>
      </c>
      <c r="BF7" s="7" t="s">
        <v>15</v>
      </c>
      <c r="BG7" s="7" t="s">
        <v>15</v>
      </c>
      <c r="BH7" s="7" t="s">
        <v>15</v>
      </c>
      <c r="BI7" t="s">
        <v>21</v>
      </c>
    </row>
    <row r="8" spans="1:67" ht="14.95" customHeight="1" thickBot="1" x14ac:dyDescent="0.3">
      <c r="A8" s="434" t="s">
        <v>277</v>
      </c>
      <c r="B8" s="435">
        <v>1</v>
      </c>
      <c r="C8" s="440">
        <v>1</v>
      </c>
      <c r="D8" s="436">
        <v>0</v>
      </c>
      <c r="E8" s="437">
        <f t="shared" si="0"/>
        <v>2</v>
      </c>
      <c r="F8" s="166" t="s">
        <v>277</v>
      </c>
      <c r="G8" s="142">
        <v>5</v>
      </c>
      <c r="H8" s="443">
        <v>5</v>
      </c>
      <c r="I8" s="397">
        <v>0</v>
      </c>
      <c r="J8" s="169">
        <f t="shared" si="1"/>
        <v>10</v>
      </c>
      <c r="K8" s="434" t="s">
        <v>797</v>
      </c>
      <c r="L8" s="437" t="s">
        <v>15</v>
      </c>
      <c r="M8" s="437" t="s">
        <v>15</v>
      </c>
      <c r="N8" s="438" t="s">
        <v>15</v>
      </c>
      <c r="O8" s="437" t="s">
        <v>15</v>
      </c>
      <c r="P8" s="437" t="s">
        <v>15</v>
      </c>
      <c r="Q8" s="438" t="s">
        <v>15</v>
      </c>
      <c r="R8" s="437" t="s">
        <v>19</v>
      </c>
      <c r="S8" s="437">
        <v>2</v>
      </c>
      <c r="T8" s="7" t="s">
        <v>15</v>
      </c>
      <c r="U8" s="7" t="s">
        <v>15</v>
      </c>
      <c r="V8" s="153" t="s">
        <v>15</v>
      </c>
      <c r="W8" s="7" t="s">
        <v>15</v>
      </c>
      <c r="X8" s="7" t="s">
        <v>15</v>
      </c>
      <c r="Y8" s="153" t="s">
        <v>15</v>
      </c>
      <c r="Z8" s="94"/>
      <c r="AA8" s="94"/>
      <c r="AB8" s="148" t="s">
        <v>15</v>
      </c>
      <c r="AC8" s="7" t="s">
        <v>15</v>
      </c>
      <c r="AD8" s="153" t="s">
        <v>15</v>
      </c>
      <c r="AE8" s="6" t="s">
        <v>15</v>
      </c>
      <c r="AF8" s="7" t="s">
        <v>15</v>
      </c>
      <c r="AG8" s="153" t="s">
        <v>15</v>
      </c>
      <c r="AH8" s="7" t="s">
        <v>15</v>
      </c>
      <c r="AI8" s="7" t="s">
        <v>15</v>
      </c>
      <c r="AJ8" s="153" t="s">
        <v>15</v>
      </c>
      <c r="AK8" s="7" t="s">
        <v>15</v>
      </c>
      <c r="AL8" s="7" t="s">
        <v>15</v>
      </c>
      <c r="AM8" s="153" t="s">
        <v>15</v>
      </c>
      <c r="AN8" s="7" t="s">
        <v>15</v>
      </c>
      <c r="AO8" s="7" t="s">
        <v>15</v>
      </c>
      <c r="AP8" s="153" t="s">
        <v>15</v>
      </c>
      <c r="AQ8" s="7" t="s">
        <v>15</v>
      </c>
      <c r="AR8" s="7" t="s">
        <v>15</v>
      </c>
      <c r="AS8" s="153" t="s">
        <v>15</v>
      </c>
      <c r="AT8" s="7" t="s">
        <v>15</v>
      </c>
      <c r="AU8" s="7" t="s">
        <v>15</v>
      </c>
      <c r="AV8" s="153" t="s">
        <v>15</v>
      </c>
      <c r="AW8" s="7" t="s">
        <v>15</v>
      </c>
      <c r="AX8" s="7" t="s">
        <v>15</v>
      </c>
      <c r="AY8" s="153" t="s">
        <v>15</v>
      </c>
      <c r="AZ8" s="7" t="s">
        <v>15</v>
      </c>
      <c r="BA8" s="7" t="s">
        <v>15</v>
      </c>
      <c r="BB8" s="153" t="s">
        <v>15</v>
      </c>
      <c r="BC8" s="7" t="s">
        <v>15</v>
      </c>
      <c r="BD8" s="7" t="s">
        <v>15</v>
      </c>
      <c r="BE8" s="153" t="s">
        <v>15</v>
      </c>
      <c r="BF8" s="7" t="s">
        <v>15</v>
      </c>
      <c r="BG8" s="7" t="s">
        <v>15</v>
      </c>
      <c r="BH8" s="153" t="s">
        <v>15</v>
      </c>
    </row>
    <row r="9" spans="1:67" ht="14.95" customHeight="1" thickBot="1" x14ac:dyDescent="0.3">
      <c r="A9" s="434" t="s">
        <v>252</v>
      </c>
      <c r="B9" s="435">
        <v>0</v>
      </c>
      <c r="C9" s="440">
        <v>0</v>
      </c>
      <c r="D9" s="436">
        <v>2</v>
      </c>
      <c r="E9" s="437">
        <f t="shared" si="0"/>
        <v>2</v>
      </c>
      <c r="F9" s="166" t="s">
        <v>252</v>
      </c>
      <c r="G9" s="142">
        <v>0</v>
      </c>
      <c r="H9" s="443">
        <v>0</v>
      </c>
      <c r="I9" s="397">
        <v>10</v>
      </c>
      <c r="J9" s="169">
        <f t="shared" si="1"/>
        <v>10</v>
      </c>
      <c r="K9" s="434" t="s">
        <v>894</v>
      </c>
      <c r="L9" s="437" t="s">
        <v>15</v>
      </c>
      <c r="M9" s="437" t="s">
        <v>15</v>
      </c>
      <c r="N9" s="438" t="s">
        <v>15</v>
      </c>
      <c r="O9" s="437" t="s">
        <v>15</v>
      </c>
      <c r="P9" s="437" t="s">
        <v>15</v>
      </c>
      <c r="Q9" s="438" t="s">
        <v>15</v>
      </c>
      <c r="R9" s="437" t="s">
        <v>19</v>
      </c>
      <c r="S9" s="437">
        <v>4</v>
      </c>
      <c r="T9" s="7" t="s">
        <v>15</v>
      </c>
      <c r="U9" s="7" t="s">
        <v>15</v>
      </c>
      <c r="V9" s="153" t="s">
        <v>15</v>
      </c>
      <c r="W9" s="7" t="s">
        <v>15</v>
      </c>
      <c r="X9" s="7" t="s">
        <v>15</v>
      </c>
      <c r="Y9" s="153" t="s">
        <v>15</v>
      </c>
      <c r="Z9" s="94"/>
      <c r="AA9" s="94"/>
      <c r="AB9" s="6" t="s">
        <v>15</v>
      </c>
      <c r="AC9" s="7" t="s">
        <v>15</v>
      </c>
      <c r="AD9" s="153" t="s">
        <v>15</v>
      </c>
      <c r="AE9" s="7" t="s">
        <v>15</v>
      </c>
      <c r="AF9" s="7" t="s">
        <v>15</v>
      </c>
      <c r="AG9" s="153" t="s">
        <v>15</v>
      </c>
      <c r="AH9" s="7" t="s">
        <v>15</v>
      </c>
      <c r="AI9" s="7" t="s">
        <v>15</v>
      </c>
      <c r="AJ9" s="153" t="s">
        <v>15</v>
      </c>
      <c r="AK9" s="7" t="s">
        <v>15</v>
      </c>
      <c r="AL9" s="7" t="s">
        <v>15</v>
      </c>
      <c r="AM9" s="153" t="s">
        <v>15</v>
      </c>
      <c r="AN9" s="7" t="s">
        <v>15</v>
      </c>
      <c r="AO9" s="7" t="s">
        <v>15</v>
      </c>
      <c r="AP9" s="153" t="s">
        <v>15</v>
      </c>
      <c r="AQ9" s="7" t="s">
        <v>15</v>
      </c>
      <c r="AR9" s="7" t="s">
        <v>15</v>
      </c>
      <c r="AS9" s="153" t="s">
        <v>15</v>
      </c>
      <c r="AT9" s="7" t="s">
        <v>15</v>
      </c>
      <c r="AU9" s="7" t="s">
        <v>15</v>
      </c>
      <c r="AV9" s="153" t="s">
        <v>15</v>
      </c>
      <c r="AW9" s="7" t="s">
        <v>15</v>
      </c>
      <c r="AX9" s="7" t="s">
        <v>15</v>
      </c>
      <c r="AY9" s="153" t="s">
        <v>15</v>
      </c>
      <c r="AZ9" s="7" t="s">
        <v>15</v>
      </c>
      <c r="BA9" s="7" t="s">
        <v>15</v>
      </c>
      <c r="BB9" s="153" t="s">
        <v>15</v>
      </c>
      <c r="BC9" s="7" t="s">
        <v>15</v>
      </c>
      <c r="BD9" s="7" t="s">
        <v>15</v>
      </c>
      <c r="BE9" s="153" t="s">
        <v>15</v>
      </c>
      <c r="BF9" s="7" t="s">
        <v>15</v>
      </c>
      <c r="BG9" s="7" t="s">
        <v>15</v>
      </c>
      <c r="BH9" s="153" t="s">
        <v>15</v>
      </c>
    </row>
    <row r="10" spans="1:67" ht="14.95" customHeight="1" thickBot="1" x14ac:dyDescent="0.3">
      <c r="A10" s="434" t="s">
        <v>361</v>
      </c>
      <c r="B10" s="435">
        <v>2</v>
      </c>
      <c r="C10" s="440">
        <v>0</v>
      </c>
      <c r="D10" s="436">
        <v>0</v>
      </c>
      <c r="E10" s="437">
        <f t="shared" si="0"/>
        <v>2</v>
      </c>
      <c r="F10" s="166" t="s">
        <v>361</v>
      </c>
      <c r="G10" s="142">
        <v>10</v>
      </c>
      <c r="H10" s="443">
        <v>0</v>
      </c>
      <c r="I10" s="397">
        <v>0</v>
      </c>
      <c r="J10" s="169">
        <f t="shared" si="1"/>
        <v>10</v>
      </c>
      <c r="K10" s="434" t="s">
        <v>294</v>
      </c>
      <c r="L10" s="437" t="s">
        <v>15</v>
      </c>
      <c r="M10" s="437" t="s">
        <v>15</v>
      </c>
      <c r="N10" s="438" t="s">
        <v>15</v>
      </c>
      <c r="O10" s="437" t="s">
        <v>15</v>
      </c>
      <c r="P10" s="437" t="s">
        <v>15</v>
      </c>
      <c r="Q10" s="438" t="s">
        <v>15</v>
      </c>
      <c r="R10" s="437">
        <v>1</v>
      </c>
      <c r="S10" s="437">
        <v>-1</v>
      </c>
      <c r="T10" s="7" t="s">
        <v>15</v>
      </c>
      <c r="U10" s="7" t="s">
        <v>15</v>
      </c>
      <c r="V10" s="153" t="s">
        <v>15</v>
      </c>
      <c r="W10" s="7" t="s">
        <v>15</v>
      </c>
      <c r="X10" s="7" t="s">
        <v>15</v>
      </c>
      <c r="Y10" s="153" t="s">
        <v>15</v>
      </c>
      <c r="Z10" s="94"/>
      <c r="AA10" s="94"/>
      <c r="AB10" s="148" t="s">
        <v>15</v>
      </c>
      <c r="AC10" s="7" t="s">
        <v>15</v>
      </c>
      <c r="AD10" s="153" t="s">
        <v>15</v>
      </c>
      <c r="AE10" s="6">
        <v>9</v>
      </c>
      <c r="AF10" s="7">
        <v>10</v>
      </c>
      <c r="AG10" s="153">
        <v>90</v>
      </c>
      <c r="AH10" s="7" t="s">
        <v>15</v>
      </c>
      <c r="AI10" s="7" t="s">
        <v>15</v>
      </c>
      <c r="AJ10" s="153" t="s">
        <v>15</v>
      </c>
      <c r="AK10" s="7" t="s">
        <v>15</v>
      </c>
      <c r="AL10" s="7" t="s">
        <v>15</v>
      </c>
      <c r="AM10" s="153" t="s">
        <v>15</v>
      </c>
      <c r="AN10" s="7">
        <v>10</v>
      </c>
      <c r="AO10" s="7">
        <v>10</v>
      </c>
      <c r="AP10" s="153">
        <v>100</v>
      </c>
      <c r="AQ10" s="7" t="s">
        <v>15</v>
      </c>
      <c r="AR10" s="7" t="s">
        <v>15</v>
      </c>
      <c r="AS10" s="153" t="s">
        <v>15</v>
      </c>
      <c r="AT10" s="7" t="s">
        <v>15</v>
      </c>
      <c r="AU10" s="7" t="s">
        <v>15</v>
      </c>
      <c r="AV10" s="153" t="s">
        <v>15</v>
      </c>
      <c r="AW10" s="7" t="s">
        <v>15</v>
      </c>
      <c r="AX10" s="7" t="s">
        <v>15</v>
      </c>
      <c r="AY10" s="153" t="s">
        <v>15</v>
      </c>
      <c r="AZ10" s="7" t="s">
        <v>15</v>
      </c>
      <c r="BA10" s="7" t="s">
        <v>15</v>
      </c>
      <c r="BB10" s="153" t="s">
        <v>15</v>
      </c>
      <c r="BC10" s="7" t="s">
        <v>15</v>
      </c>
      <c r="BD10" s="7" t="s">
        <v>15</v>
      </c>
      <c r="BE10" s="153" t="s">
        <v>15</v>
      </c>
      <c r="BF10" s="7" t="s">
        <v>15</v>
      </c>
      <c r="BG10" s="7" t="s">
        <v>15</v>
      </c>
      <c r="BH10" s="153" t="s">
        <v>15</v>
      </c>
    </row>
    <row r="11" spans="1:67" ht="14.95" customHeight="1" thickBot="1" x14ac:dyDescent="0.3">
      <c r="A11" s="434" t="s">
        <v>963</v>
      </c>
      <c r="B11" s="435">
        <v>0</v>
      </c>
      <c r="C11" s="440">
        <v>0</v>
      </c>
      <c r="D11" s="436">
        <v>2</v>
      </c>
      <c r="E11" s="437">
        <f t="shared" si="0"/>
        <v>2</v>
      </c>
      <c r="F11" s="166" t="s">
        <v>963</v>
      </c>
      <c r="G11" s="142">
        <v>0</v>
      </c>
      <c r="H11" s="443">
        <v>0</v>
      </c>
      <c r="I11" s="397">
        <v>10</v>
      </c>
      <c r="J11" s="169">
        <f t="shared" si="1"/>
        <v>10</v>
      </c>
      <c r="K11" s="434" t="s">
        <v>63</v>
      </c>
      <c r="L11" s="437">
        <v>0</v>
      </c>
      <c r="M11" s="437">
        <v>1</v>
      </c>
      <c r="N11" s="438">
        <f t="shared" ref="N11" si="8">SUM(L11/M11)*100</f>
        <v>0</v>
      </c>
      <c r="O11" s="437" t="s">
        <v>15</v>
      </c>
      <c r="P11" s="437" t="s">
        <v>15</v>
      </c>
      <c r="Q11" s="438" t="s">
        <v>15</v>
      </c>
      <c r="R11" s="437">
        <v>-1</v>
      </c>
      <c r="S11" s="437">
        <v>1</v>
      </c>
      <c r="T11" s="7" t="s">
        <v>15</v>
      </c>
      <c r="U11" s="7" t="s">
        <v>15</v>
      </c>
      <c r="V11" s="153" t="s">
        <v>15</v>
      </c>
      <c r="W11" s="7" t="s">
        <v>15</v>
      </c>
      <c r="X11" s="7" t="s">
        <v>15</v>
      </c>
      <c r="Y11" s="153" t="s">
        <v>15</v>
      </c>
      <c r="Z11" s="94"/>
      <c r="AA11" s="94"/>
      <c r="AB11" s="148" t="s">
        <v>15</v>
      </c>
      <c r="AC11" s="7" t="s">
        <v>15</v>
      </c>
      <c r="AD11" s="153" t="s">
        <v>15</v>
      </c>
      <c r="AE11" s="148" t="s">
        <v>15</v>
      </c>
      <c r="AF11" s="7" t="s">
        <v>15</v>
      </c>
      <c r="AG11" s="153" t="s">
        <v>15</v>
      </c>
      <c r="AH11" s="148" t="s">
        <v>15</v>
      </c>
      <c r="AI11" s="7" t="s">
        <v>15</v>
      </c>
      <c r="AJ11" s="153" t="s">
        <v>15</v>
      </c>
      <c r="AK11" s="148" t="s">
        <v>15</v>
      </c>
      <c r="AL11" s="7" t="s">
        <v>15</v>
      </c>
      <c r="AM11" s="153" t="s">
        <v>15</v>
      </c>
      <c r="AN11" s="148" t="s">
        <v>15</v>
      </c>
      <c r="AO11" s="7" t="s">
        <v>15</v>
      </c>
      <c r="AP11" s="7" t="s">
        <v>15</v>
      </c>
      <c r="AQ11" s="148" t="s">
        <v>15</v>
      </c>
      <c r="AR11" s="7" t="s">
        <v>15</v>
      </c>
      <c r="AS11" s="7" t="s">
        <v>15</v>
      </c>
      <c r="AT11" s="148" t="s">
        <v>15</v>
      </c>
      <c r="AU11" s="7" t="s">
        <v>15</v>
      </c>
      <c r="AV11" s="7" t="s">
        <v>15</v>
      </c>
      <c r="AW11" s="148" t="s">
        <v>15</v>
      </c>
      <c r="AX11" s="7" t="s">
        <v>15</v>
      </c>
      <c r="AY11" s="7" t="s">
        <v>15</v>
      </c>
      <c r="AZ11" s="7" t="s">
        <v>15</v>
      </c>
      <c r="BA11" s="7" t="s">
        <v>15</v>
      </c>
      <c r="BB11" s="7" t="s">
        <v>15</v>
      </c>
      <c r="BC11" s="7" t="s">
        <v>15</v>
      </c>
      <c r="BD11" s="7" t="s">
        <v>15</v>
      </c>
      <c r="BE11" s="7" t="s">
        <v>15</v>
      </c>
      <c r="BF11" s="7" t="s">
        <v>15</v>
      </c>
      <c r="BG11" s="7" t="s">
        <v>15</v>
      </c>
      <c r="BH11" s="153" t="s">
        <v>15</v>
      </c>
    </row>
    <row r="12" spans="1:67" ht="14.95" customHeight="1" thickBot="1" x14ac:dyDescent="0.3">
      <c r="A12" s="434" t="s">
        <v>704</v>
      </c>
      <c r="B12" s="435">
        <v>0</v>
      </c>
      <c r="C12" s="440">
        <v>0</v>
      </c>
      <c r="D12" s="436">
        <v>1</v>
      </c>
      <c r="E12" s="437">
        <f t="shared" si="0"/>
        <v>1</v>
      </c>
      <c r="F12" s="166" t="s">
        <v>704</v>
      </c>
      <c r="G12" s="142">
        <v>0</v>
      </c>
      <c r="H12" s="443">
        <v>0</v>
      </c>
      <c r="I12" s="397">
        <v>5</v>
      </c>
      <c r="J12" s="169">
        <f t="shared" si="1"/>
        <v>5</v>
      </c>
      <c r="K12" s="26"/>
      <c r="AB12" s="160"/>
      <c r="AC12" s="160"/>
    </row>
    <row r="13" spans="1:67" ht="14.95" customHeight="1" thickBot="1" x14ac:dyDescent="0.3">
      <c r="A13" s="434" t="s">
        <v>957</v>
      </c>
      <c r="B13" s="435">
        <v>3</v>
      </c>
      <c r="C13" s="440">
        <v>0</v>
      </c>
      <c r="D13" s="436">
        <v>1</v>
      </c>
      <c r="E13" s="437">
        <f t="shared" si="0"/>
        <v>4</v>
      </c>
      <c r="F13" s="166" t="s">
        <v>957</v>
      </c>
      <c r="G13" s="142">
        <v>15</v>
      </c>
      <c r="H13" s="443">
        <v>0</v>
      </c>
      <c r="I13" s="397">
        <v>5</v>
      </c>
      <c r="J13" s="169">
        <f>SUM(G13:I13)</f>
        <v>20</v>
      </c>
      <c r="K13" s="465" t="s">
        <v>188</v>
      </c>
      <c r="L13" s="457" t="s">
        <v>14</v>
      </c>
      <c r="M13" s="461"/>
      <c r="N13" s="458"/>
      <c r="O13" s="449" t="s">
        <v>226</v>
      </c>
      <c r="P13" s="450"/>
      <c r="Q13" s="451"/>
      <c r="R13" s="449" t="s">
        <v>875</v>
      </c>
      <c r="S13" s="450"/>
      <c r="T13" s="451"/>
      <c r="U13" s="449" t="s">
        <v>581</v>
      </c>
      <c r="V13" s="450"/>
      <c r="W13" s="451"/>
      <c r="X13" s="160"/>
      <c r="AB13" s="449" t="s">
        <v>477</v>
      </c>
      <c r="AC13" s="450"/>
      <c r="AD13" s="451"/>
      <c r="AE13" s="449" t="s">
        <v>391</v>
      </c>
      <c r="AF13" s="450"/>
      <c r="AG13" s="451"/>
      <c r="AH13" s="449" t="s">
        <v>300</v>
      </c>
      <c r="AI13" s="450"/>
      <c r="AJ13" s="451"/>
      <c r="AK13" s="449" t="s">
        <v>219</v>
      </c>
      <c r="AL13" s="450"/>
      <c r="AM13" s="451"/>
      <c r="AN13" s="449" t="s">
        <v>165</v>
      </c>
      <c r="AO13" s="450"/>
      <c r="AP13" s="451"/>
      <c r="AQ13" s="449" t="s">
        <v>78</v>
      </c>
      <c r="AR13" s="450"/>
      <c r="AS13" s="451"/>
      <c r="AT13" s="449" t="s">
        <v>54</v>
      </c>
      <c r="AU13" s="450"/>
      <c r="AV13" s="451"/>
      <c r="AW13" s="449" t="s">
        <v>50</v>
      </c>
      <c r="AX13" s="450"/>
      <c r="AY13" s="451"/>
      <c r="AZ13" s="449" t="s">
        <v>166</v>
      </c>
      <c r="BA13" s="450"/>
      <c r="BB13" s="451"/>
      <c r="BC13" s="62"/>
    </row>
    <row r="14" spans="1:67" ht="14.95" customHeight="1" thickBot="1" x14ac:dyDescent="0.3">
      <c r="A14" s="434" t="s">
        <v>489</v>
      </c>
      <c r="B14" s="435">
        <v>1</v>
      </c>
      <c r="C14" s="440">
        <v>1</v>
      </c>
      <c r="D14" s="436">
        <v>1</v>
      </c>
      <c r="E14" s="437">
        <f t="shared" ref="E14" si="9">SUM(B14:D14)</f>
        <v>3</v>
      </c>
      <c r="F14" s="167" t="s">
        <v>489</v>
      </c>
      <c r="G14" s="142">
        <v>5</v>
      </c>
      <c r="H14" s="443">
        <v>5</v>
      </c>
      <c r="I14" s="397">
        <v>5</v>
      </c>
      <c r="J14" s="169">
        <f>SUM(G14:I14)</f>
        <v>15</v>
      </c>
      <c r="K14" s="466"/>
      <c r="L14" s="459"/>
      <c r="M14" s="462"/>
      <c r="N14" s="460"/>
      <c r="O14" s="452"/>
      <c r="P14" s="453"/>
      <c r="Q14" s="454"/>
      <c r="R14" s="452"/>
      <c r="S14" s="453"/>
      <c r="T14" s="454"/>
      <c r="U14" s="452"/>
      <c r="V14" s="453"/>
      <c r="W14" s="454"/>
      <c r="AB14" s="452"/>
      <c r="AC14" s="453"/>
      <c r="AD14" s="454"/>
      <c r="AE14" s="452"/>
      <c r="AF14" s="453"/>
      <c r="AG14" s="454"/>
      <c r="AH14" s="452"/>
      <c r="AI14" s="453"/>
      <c r="AJ14" s="454"/>
      <c r="AK14" s="452"/>
      <c r="AL14" s="453"/>
      <c r="AM14" s="454"/>
      <c r="AN14" s="452"/>
      <c r="AO14" s="453"/>
      <c r="AP14" s="454"/>
      <c r="AQ14" s="452"/>
      <c r="AR14" s="453"/>
      <c r="AS14" s="454"/>
      <c r="AT14" s="452"/>
      <c r="AU14" s="453"/>
      <c r="AV14" s="454"/>
      <c r="AW14" s="452"/>
      <c r="AX14" s="453"/>
      <c r="AY14" s="454"/>
      <c r="AZ14" s="452"/>
      <c r="BA14" s="453"/>
      <c r="BB14" s="454"/>
      <c r="BC14" s="62"/>
    </row>
    <row r="15" spans="1:67" ht="14.95" customHeight="1" thickBot="1" x14ac:dyDescent="0.3">
      <c r="A15" s="434" t="s">
        <v>206</v>
      </c>
      <c r="B15" s="435">
        <v>2</v>
      </c>
      <c r="C15" s="440">
        <v>1</v>
      </c>
      <c r="D15" s="436">
        <v>0</v>
      </c>
      <c r="E15" s="437">
        <f t="shared" si="0"/>
        <v>3</v>
      </c>
      <c r="F15" s="167" t="s">
        <v>206</v>
      </c>
      <c r="G15" s="142">
        <v>10</v>
      </c>
      <c r="H15" s="443">
        <v>5</v>
      </c>
      <c r="I15" s="397">
        <v>0</v>
      </c>
      <c r="J15" s="169">
        <f t="shared" si="1"/>
        <v>15</v>
      </c>
      <c r="K15" s="251" t="s">
        <v>21</v>
      </c>
      <c r="L15" s="3" t="s">
        <v>46</v>
      </c>
      <c r="M15" s="3" t="s">
        <v>9</v>
      </c>
      <c r="N15" s="3" t="s">
        <v>10</v>
      </c>
      <c r="O15" s="7" t="s">
        <v>46</v>
      </c>
      <c r="P15" s="7" t="s">
        <v>9</v>
      </c>
      <c r="Q15" s="7" t="s">
        <v>10</v>
      </c>
      <c r="R15" s="7" t="s">
        <v>46</v>
      </c>
      <c r="S15" s="7" t="s">
        <v>9</v>
      </c>
      <c r="T15" s="7" t="s">
        <v>10</v>
      </c>
      <c r="U15" s="7" t="s">
        <v>46</v>
      </c>
      <c r="V15" s="7" t="s">
        <v>9</v>
      </c>
      <c r="W15" s="7" t="s">
        <v>10</v>
      </c>
      <c r="AB15" s="148" t="s">
        <v>46</v>
      </c>
      <c r="AC15" s="7" t="s">
        <v>9</v>
      </c>
      <c r="AD15" s="7" t="s">
        <v>10</v>
      </c>
      <c r="AE15" s="148" t="s">
        <v>46</v>
      </c>
      <c r="AF15" s="7" t="s">
        <v>9</v>
      </c>
      <c r="AG15" s="7" t="s">
        <v>10</v>
      </c>
      <c r="AH15" s="148" t="s">
        <v>46</v>
      </c>
      <c r="AI15" s="7" t="s">
        <v>9</v>
      </c>
      <c r="AJ15" s="7" t="s">
        <v>10</v>
      </c>
      <c r="AK15" s="148" t="s">
        <v>46</v>
      </c>
      <c r="AL15" s="7" t="s">
        <v>9</v>
      </c>
      <c r="AM15" s="7" t="s">
        <v>10</v>
      </c>
      <c r="AN15" s="148" t="s">
        <v>46</v>
      </c>
      <c r="AO15" s="7" t="s">
        <v>9</v>
      </c>
      <c r="AP15" s="7" t="s">
        <v>10</v>
      </c>
      <c r="AQ15" s="148" t="s">
        <v>46</v>
      </c>
      <c r="AR15" s="7" t="s">
        <v>9</v>
      </c>
      <c r="AS15" s="7" t="s">
        <v>10</v>
      </c>
      <c r="AT15" s="148" t="s">
        <v>46</v>
      </c>
      <c r="AU15" s="7" t="s">
        <v>9</v>
      </c>
      <c r="AV15" s="7" t="s">
        <v>10</v>
      </c>
      <c r="AW15" s="148" t="s">
        <v>46</v>
      </c>
      <c r="AX15" s="7" t="s">
        <v>9</v>
      </c>
      <c r="AY15" s="7" t="s">
        <v>10</v>
      </c>
      <c r="AZ15" s="6" t="s">
        <v>46</v>
      </c>
      <c r="BA15" s="7" t="s">
        <v>9</v>
      </c>
      <c r="BB15" s="7" t="s">
        <v>10</v>
      </c>
      <c r="BC15" s="62"/>
    </row>
    <row r="16" spans="1:67" ht="14.95" customHeight="1" thickBot="1" x14ac:dyDescent="0.3">
      <c r="A16" s="434" t="s">
        <v>235</v>
      </c>
      <c r="B16" s="435">
        <v>1</v>
      </c>
      <c r="C16" s="440">
        <v>0</v>
      </c>
      <c r="D16" s="436">
        <v>0</v>
      </c>
      <c r="E16" s="437">
        <f t="shared" si="0"/>
        <v>1</v>
      </c>
      <c r="F16" s="167" t="s">
        <v>235</v>
      </c>
      <c r="G16" s="142">
        <v>5</v>
      </c>
      <c r="H16" s="443">
        <v>0</v>
      </c>
      <c r="I16" s="397">
        <v>0</v>
      </c>
      <c r="J16" s="169">
        <f t="shared" si="1"/>
        <v>5</v>
      </c>
      <c r="K16" s="434" t="s">
        <v>965</v>
      </c>
      <c r="L16" s="437" t="s">
        <v>15</v>
      </c>
      <c r="M16" s="437" t="s">
        <v>15</v>
      </c>
      <c r="N16" s="438" t="s">
        <v>15</v>
      </c>
      <c r="O16" s="7">
        <v>3</v>
      </c>
      <c r="P16" s="7">
        <v>3</v>
      </c>
      <c r="Q16" s="153">
        <v>100</v>
      </c>
      <c r="R16" s="7">
        <v>1</v>
      </c>
      <c r="S16" s="7">
        <v>1</v>
      </c>
      <c r="T16" s="153">
        <v>100</v>
      </c>
      <c r="U16" s="7" t="s">
        <v>15</v>
      </c>
      <c r="V16" s="7" t="s">
        <v>15</v>
      </c>
      <c r="W16" s="153" t="s">
        <v>15</v>
      </c>
      <c r="AB16" s="148">
        <v>5</v>
      </c>
      <c r="AC16" s="7">
        <v>6</v>
      </c>
      <c r="AD16" s="153">
        <v>83.333333333333343</v>
      </c>
      <c r="AE16" s="148" t="s">
        <v>15</v>
      </c>
      <c r="AF16" s="7" t="s">
        <v>15</v>
      </c>
      <c r="AG16" s="153" t="s">
        <v>15</v>
      </c>
      <c r="AH16" s="6" t="s">
        <v>15</v>
      </c>
      <c r="AI16" s="7" t="s">
        <v>15</v>
      </c>
      <c r="AJ16" s="153" t="s">
        <v>15</v>
      </c>
      <c r="AK16" s="7" t="s">
        <v>15</v>
      </c>
      <c r="AL16" s="7" t="s">
        <v>15</v>
      </c>
      <c r="AM16" s="153" t="s">
        <v>15</v>
      </c>
      <c r="AN16" s="7" t="s">
        <v>15</v>
      </c>
      <c r="AO16" s="7" t="s">
        <v>15</v>
      </c>
      <c r="AP16" s="153" t="s">
        <v>15</v>
      </c>
      <c r="AQ16" s="7" t="s">
        <v>15</v>
      </c>
      <c r="AR16" s="7" t="s">
        <v>15</v>
      </c>
      <c r="AS16" s="153" t="s">
        <v>15</v>
      </c>
      <c r="AT16" s="7" t="s">
        <v>15</v>
      </c>
      <c r="AU16" s="7" t="s">
        <v>15</v>
      </c>
      <c r="AV16" s="153" t="s">
        <v>15</v>
      </c>
      <c r="AW16" s="7" t="s">
        <v>15</v>
      </c>
      <c r="AX16" s="7" t="s">
        <v>15</v>
      </c>
      <c r="AY16" s="153" t="s">
        <v>15</v>
      </c>
      <c r="AZ16" s="7" t="s">
        <v>15</v>
      </c>
      <c r="BA16" s="7" t="s">
        <v>15</v>
      </c>
      <c r="BB16" s="153" t="s">
        <v>15</v>
      </c>
      <c r="BC16" s="62"/>
    </row>
    <row r="17" spans="1:60" ht="14.95" customHeight="1" thickBot="1" x14ac:dyDescent="0.3">
      <c r="A17" s="434" t="s">
        <v>329</v>
      </c>
      <c r="B17" s="435">
        <v>0</v>
      </c>
      <c r="C17" s="440">
        <v>0</v>
      </c>
      <c r="D17" s="436">
        <v>0</v>
      </c>
      <c r="E17" s="437">
        <f t="shared" si="0"/>
        <v>0</v>
      </c>
      <c r="F17" s="167" t="s">
        <v>329</v>
      </c>
      <c r="G17" s="142">
        <v>0</v>
      </c>
      <c r="H17" s="443">
        <v>0</v>
      </c>
      <c r="I17" s="397">
        <v>0</v>
      </c>
      <c r="J17" s="169">
        <f t="shared" si="1"/>
        <v>0</v>
      </c>
      <c r="K17" s="434" t="s">
        <v>958</v>
      </c>
      <c r="L17" s="437" t="s">
        <v>15</v>
      </c>
      <c r="M17" s="437" t="s">
        <v>15</v>
      </c>
      <c r="N17" s="438" t="s">
        <v>15</v>
      </c>
      <c r="O17" s="7" t="s">
        <v>15</v>
      </c>
      <c r="P17" s="7" t="s">
        <v>15</v>
      </c>
      <c r="Q17" s="153" t="s">
        <v>15</v>
      </c>
      <c r="R17" s="7" t="s">
        <v>15</v>
      </c>
      <c r="S17" s="7" t="s">
        <v>15</v>
      </c>
      <c r="T17" s="153" t="s">
        <v>15</v>
      </c>
      <c r="U17" s="7" t="s">
        <v>15</v>
      </c>
      <c r="V17" s="7" t="s">
        <v>15</v>
      </c>
      <c r="W17" s="153" t="s">
        <v>15</v>
      </c>
      <c r="AB17" s="148" t="s">
        <v>15</v>
      </c>
      <c r="AC17" s="7" t="s">
        <v>15</v>
      </c>
      <c r="AD17" s="153" t="s">
        <v>15</v>
      </c>
      <c r="AE17" s="148" t="s">
        <v>15</v>
      </c>
      <c r="AF17" s="7" t="s">
        <v>15</v>
      </c>
      <c r="AG17" s="153" t="s">
        <v>15</v>
      </c>
      <c r="AH17" s="6" t="s">
        <v>15</v>
      </c>
      <c r="AI17" s="7" t="s">
        <v>15</v>
      </c>
      <c r="AJ17" s="153" t="s">
        <v>15</v>
      </c>
      <c r="AK17" s="7" t="s">
        <v>15</v>
      </c>
      <c r="AL17" s="7" t="s">
        <v>15</v>
      </c>
      <c r="AM17" s="153" t="s">
        <v>15</v>
      </c>
      <c r="AN17" s="7" t="s">
        <v>15</v>
      </c>
      <c r="AO17" s="7" t="s">
        <v>15</v>
      </c>
      <c r="AP17" s="153" t="s">
        <v>15</v>
      </c>
      <c r="AQ17" s="7" t="s">
        <v>15</v>
      </c>
      <c r="AR17" s="7" t="s">
        <v>15</v>
      </c>
      <c r="AS17" s="153" t="s">
        <v>15</v>
      </c>
      <c r="AT17" s="7">
        <v>3</v>
      </c>
      <c r="AU17" s="7">
        <v>7</v>
      </c>
      <c r="AV17" s="153">
        <v>43</v>
      </c>
      <c r="AW17" s="7" t="s">
        <v>15</v>
      </c>
      <c r="AX17" s="7" t="s">
        <v>15</v>
      </c>
      <c r="AY17" s="153" t="s">
        <v>15</v>
      </c>
      <c r="AZ17" s="7" t="s">
        <v>15</v>
      </c>
      <c r="BA17" s="7" t="s">
        <v>15</v>
      </c>
      <c r="BB17" s="153" t="s">
        <v>15</v>
      </c>
      <c r="BC17" s="62"/>
    </row>
    <row r="18" spans="1:60" ht="14.95" customHeight="1" thickBot="1" x14ac:dyDescent="0.3">
      <c r="A18" s="434" t="s">
        <v>404</v>
      </c>
      <c r="B18" s="435">
        <v>1</v>
      </c>
      <c r="C18" s="440">
        <v>1</v>
      </c>
      <c r="D18" s="436">
        <v>1</v>
      </c>
      <c r="E18" s="437">
        <f t="shared" si="0"/>
        <v>3</v>
      </c>
      <c r="F18" s="167" t="s">
        <v>404</v>
      </c>
      <c r="G18" s="142">
        <v>5</v>
      </c>
      <c r="H18" s="443">
        <v>5</v>
      </c>
      <c r="I18" s="397">
        <v>5</v>
      </c>
      <c r="J18" s="169">
        <f t="shared" si="1"/>
        <v>15</v>
      </c>
      <c r="K18" s="434" t="s">
        <v>895</v>
      </c>
      <c r="L18" s="437">
        <v>15</v>
      </c>
      <c r="M18" s="437">
        <v>22</v>
      </c>
      <c r="N18" s="438">
        <f t="shared" ref="N18" si="10">SUM(L18/M18)*100</f>
        <v>68.181818181818173</v>
      </c>
      <c r="O18" s="7" t="s">
        <v>15</v>
      </c>
      <c r="P18" s="7" t="s">
        <v>15</v>
      </c>
      <c r="Q18" s="153" t="s">
        <v>15</v>
      </c>
      <c r="R18" s="7" t="s">
        <v>15</v>
      </c>
      <c r="S18" s="7" t="s">
        <v>15</v>
      </c>
      <c r="T18" s="153" t="s">
        <v>15</v>
      </c>
      <c r="U18" s="7" t="s">
        <v>15</v>
      </c>
      <c r="V18" s="7" t="s">
        <v>15</v>
      </c>
      <c r="W18" s="153" t="s">
        <v>15</v>
      </c>
      <c r="AB18" s="148" t="s">
        <v>15</v>
      </c>
      <c r="AC18" s="7" t="s">
        <v>15</v>
      </c>
      <c r="AD18" s="153" t="s">
        <v>15</v>
      </c>
      <c r="AE18" s="148" t="s">
        <v>15</v>
      </c>
      <c r="AF18" s="7" t="s">
        <v>15</v>
      </c>
      <c r="AG18" s="153" t="s">
        <v>15</v>
      </c>
      <c r="AH18" s="148" t="s">
        <v>15</v>
      </c>
      <c r="AI18" s="7" t="s">
        <v>15</v>
      </c>
      <c r="AJ18" s="153" t="s">
        <v>15</v>
      </c>
      <c r="AK18" s="7">
        <v>7</v>
      </c>
      <c r="AL18" s="7">
        <v>10</v>
      </c>
      <c r="AM18" s="153">
        <v>70</v>
      </c>
      <c r="AN18" s="148" t="s">
        <v>15</v>
      </c>
      <c r="AO18" s="7" t="s">
        <v>15</v>
      </c>
      <c r="AP18" s="153" t="s">
        <v>15</v>
      </c>
      <c r="AQ18" s="148">
        <v>8</v>
      </c>
      <c r="AR18" s="7">
        <v>13</v>
      </c>
      <c r="AS18" s="153">
        <v>62</v>
      </c>
      <c r="AT18" s="148" t="s">
        <v>15</v>
      </c>
      <c r="AU18" s="7" t="s">
        <v>15</v>
      </c>
      <c r="AV18" s="153" t="s">
        <v>15</v>
      </c>
      <c r="AW18" s="148" t="s">
        <v>15</v>
      </c>
      <c r="AX18" s="7" t="s">
        <v>15</v>
      </c>
      <c r="AY18" s="153" t="s">
        <v>15</v>
      </c>
      <c r="AZ18" s="148" t="s">
        <v>15</v>
      </c>
      <c r="BA18" s="7" t="s">
        <v>15</v>
      </c>
      <c r="BB18" s="153" t="s">
        <v>15</v>
      </c>
      <c r="BC18" s="62"/>
    </row>
    <row r="19" spans="1:60" ht="14.95" customHeight="1" thickBot="1" x14ac:dyDescent="0.3">
      <c r="A19" s="434" t="s">
        <v>393</v>
      </c>
      <c r="B19" s="435">
        <v>1</v>
      </c>
      <c r="C19" s="440">
        <v>0</v>
      </c>
      <c r="D19" s="436">
        <v>0</v>
      </c>
      <c r="E19" s="437">
        <f t="shared" si="0"/>
        <v>1</v>
      </c>
      <c r="F19" s="167" t="s">
        <v>393</v>
      </c>
      <c r="G19" s="142">
        <v>5</v>
      </c>
      <c r="H19" s="443">
        <v>0</v>
      </c>
      <c r="I19" s="397">
        <v>0</v>
      </c>
      <c r="J19" s="169">
        <f t="shared" si="1"/>
        <v>5</v>
      </c>
      <c r="K19" s="430" t="s">
        <v>193</v>
      </c>
      <c r="L19" s="437" t="s">
        <v>15</v>
      </c>
      <c r="M19" s="437" t="s">
        <v>15</v>
      </c>
      <c r="N19" s="438" t="s">
        <v>15</v>
      </c>
      <c r="O19" s="7">
        <v>1</v>
      </c>
      <c r="P19" s="7">
        <v>1</v>
      </c>
      <c r="Q19" s="153">
        <v>100</v>
      </c>
      <c r="R19" s="7" t="s">
        <v>15</v>
      </c>
      <c r="S19" s="7" t="s">
        <v>15</v>
      </c>
      <c r="T19" s="153" t="s">
        <v>15</v>
      </c>
      <c r="U19" s="7" t="s">
        <v>15</v>
      </c>
      <c r="V19" s="7" t="s">
        <v>15</v>
      </c>
      <c r="W19" s="153" t="s">
        <v>15</v>
      </c>
      <c r="AB19" s="148" t="s">
        <v>15</v>
      </c>
      <c r="AC19" s="7" t="s">
        <v>15</v>
      </c>
      <c r="AD19" s="153" t="s">
        <v>15</v>
      </c>
      <c r="AE19" s="148" t="s">
        <v>15</v>
      </c>
      <c r="AF19" s="7" t="s">
        <v>15</v>
      </c>
      <c r="AG19" s="153" t="s">
        <v>15</v>
      </c>
      <c r="AH19" s="6" t="s">
        <v>15</v>
      </c>
      <c r="AI19" s="7" t="s">
        <v>15</v>
      </c>
      <c r="AJ19" s="153" t="s">
        <v>15</v>
      </c>
      <c r="AK19" s="7" t="s">
        <v>15</v>
      </c>
      <c r="AL19" s="7" t="s">
        <v>15</v>
      </c>
      <c r="AM19" s="153" t="s">
        <v>15</v>
      </c>
      <c r="AN19" s="7" t="s">
        <v>15</v>
      </c>
      <c r="AO19" s="7" t="s">
        <v>15</v>
      </c>
      <c r="AP19" s="153" t="s">
        <v>15</v>
      </c>
      <c r="AQ19" s="7" t="s">
        <v>15</v>
      </c>
      <c r="AR19" s="7" t="s">
        <v>15</v>
      </c>
      <c r="AS19" s="153" t="s">
        <v>15</v>
      </c>
      <c r="AT19" s="7" t="s">
        <v>15</v>
      </c>
      <c r="AU19" s="7" t="s">
        <v>15</v>
      </c>
      <c r="AV19" s="153" t="s">
        <v>15</v>
      </c>
      <c r="AW19" s="7" t="s">
        <v>15</v>
      </c>
      <c r="AX19" s="7" t="s">
        <v>15</v>
      </c>
      <c r="AY19" s="153" t="s">
        <v>15</v>
      </c>
      <c r="AZ19" s="7" t="s">
        <v>15</v>
      </c>
      <c r="BA19" s="7" t="s">
        <v>15</v>
      </c>
      <c r="BB19" s="153" t="s">
        <v>15</v>
      </c>
      <c r="BC19" s="62"/>
    </row>
    <row r="20" spans="1:60" ht="14.95" customHeight="1" thickBot="1" x14ac:dyDescent="0.3">
      <c r="A20" s="434" t="s">
        <v>664</v>
      </c>
      <c r="B20" s="435">
        <v>0</v>
      </c>
      <c r="C20" s="440">
        <v>0</v>
      </c>
      <c r="D20" s="436">
        <v>0</v>
      </c>
      <c r="E20" s="437">
        <f t="shared" si="0"/>
        <v>0</v>
      </c>
      <c r="F20" s="167" t="s">
        <v>664</v>
      </c>
      <c r="G20" s="142">
        <v>0</v>
      </c>
      <c r="H20" s="443">
        <v>0</v>
      </c>
      <c r="I20" s="397">
        <v>0</v>
      </c>
      <c r="J20" s="169">
        <f t="shared" si="1"/>
        <v>0</v>
      </c>
      <c r="K20" s="434" t="s">
        <v>894</v>
      </c>
      <c r="L20" s="437">
        <v>1</v>
      </c>
      <c r="M20" s="437">
        <v>1</v>
      </c>
      <c r="N20" s="438">
        <f t="shared" ref="N20" si="11">SUM(L20/M20)*100</f>
        <v>100</v>
      </c>
      <c r="O20" s="7" t="s">
        <v>15</v>
      </c>
      <c r="P20" s="7" t="s">
        <v>15</v>
      </c>
      <c r="Q20" s="153" t="s">
        <v>15</v>
      </c>
      <c r="R20" s="7" t="s">
        <v>15</v>
      </c>
      <c r="S20" s="7" t="s">
        <v>15</v>
      </c>
      <c r="T20" s="153" t="s">
        <v>15</v>
      </c>
      <c r="U20" s="7" t="s">
        <v>15</v>
      </c>
      <c r="V20" s="7" t="s">
        <v>15</v>
      </c>
      <c r="W20" s="153" t="s">
        <v>15</v>
      </c>
      <c r="AB20" s="148" t="s">
        <v>15</v>
      </c>
      <c r="AC20" s="7" t="s">
        <v>15</v>
      </c>
      <c r="AD20" s="153" t="s">
        <v>15</v>
      </c>
      <c r="AE20" s="148" t="s">
        <v>15</v>
      </c>
      <c r="AF20" s="7" t="s">
        <v>15</v>
      </c>
      <c r="AG20" s="153" t="s">
        <v>15</v>
      </c>
      <c r="AH20" s="6" t="s">
        <v>15</v>
      </c>
      <c r="AI20" s="7" t="s">
        <v>15</v>
      </c>
      <c r="AJ20" s="153" t="s">
        <v>15</v>
      </c>
      <c r="AK20" s="7" t="s">
        <v>15</v>
      </c>
      <c r="AL20" s="7" t="s">
        <v>15</v>
      </c>
      <c r="AM20" s="153" t="s">
        <v>15</v>
      </c>
      <c r="AN20" s="7" t="s">
        <v>15</v>
      </c>
      <c r="AO20" s="7" t="s">
        <v>15</v>
      </c>
      <c r="AP20" s="153" t="s">
        <v>15</v>
      </c>
      <c r="AQ20" s="7" t="s">
        <v>15</v>
      </c>
      <c r="AR20" s="7" t="s">
        <v>15</v>
      </c>
      <c r="AS20" s="153" t="s">
        <v>15</v>
      </c>
      <c r="AT20" s="7" t="s">
        <v>15</v>
      </c>
      <c r="AU20" s="7" t="s">
        <v>15</v>
      </c>
      <c r="AV20" s="153" t="s">
        <v>15</v>
      </c>
      <c r="AW20" s="7" t="s">
        <v>15</v>
      </c>
      <c r="AX20" s="7" t="s">
        <v>15</v>
      </c>
      <c r="AY20" s="153" t="s">
        <v>15</v>
      </c>
      <c r="AZ20" s="7" t="s">
        <v>15</v>
      </c>
      <c r="BA20" s="7" t="s">
        <v>15</v>
      </c>
      <c r="BB20" s="153" t="s">
        <v>15</v>
      </c>
      <c r="BC20" s="62"/>
    </row>
    <row r="21" spans="1:60" ht="14.95" customHeight="1" thickBot="1" x14ac:dyDescent="0.3">
      <c r="A21" s="434" t="s">
        <v>962</v>
      </c>
      <c r="B21" s="435">
        <v>0</v>
      </c>
      <c r="C21" s="440">
        <v>0</v>
      </c>
      <c r="D21" s="436">
        <v>0</v>
      </c>
      <c r="E21" s="437">
        <f t="shared" si="0"/>
        <v>0</v>
      </c>
      <c r="F21" s="167" t="s">
        <v>962</v>
      </c>
      <c r="G21" s="142">
        <v>0</v>
      </c>
      <c r="H21" s="443">
        <v>0</v>
      </c>
      <c r="I21" s="397">
        <v>0</v>
      </c>
      <c r="J21" s="169">
        <f t="shared" si="1"/>
        <v>0</v>
      </c>
      <c r="K21" s="434" t="s">
        <v>63</v>
      </c>
      <c r="L21" s="437">
        <v>1</v>
      </c>
      <c r="M21" s="437">
        <v>1</v>
      </c>
      <c r="N21" s="438">
        <f t="shared" ref="N21" si="12">SUM(L21/M21)*100</f>
        <v>100</v>
      </c>
      <c r="O21" s="7" t="s">
        <v>15</v>
      </c>
      <c r="P21" s="7" t="s">
        <v>15</v>
      </c>
      <c r="Q21" s="153" t="s">
        <v>15</v>
      </c>
      <c r="R21" s="7" t="s">
        <v>15</v>
      </c>
      <c r="S21" s="7" t="s">
        <v>15</v>
      </c>
      <c r="T21" s="153" t="s">
        <v>15</v>
      </c>
      <c r="U21" s="7" t="s">
        <v>15</v>
      </c>
      <c r="V21" s="7" t="s">
        <v>15</v>
      </c>
      <c r="W21" s="153" t="s">
        <v>15</v>
      </c>
      <c r="AB21" s="148" t="s">
        <v>15</v>
      </c>
      <c r="AC21" s="7" t="s">
        <v>15</v>
      </c>
      <c r="AD21" s="153" t="s">
        <v>15</v>
      </c>
      <c r="AE21" s="148" t="s">
        <v>15</v>
      </c>
      <c r="AF21" s="7" t="s">
        <v>15</v>
      </c>
      <c r="AG21" s="153" t="s">
        <v>15</v>
      </c>
      <c r="AH21" s="6" t="s">
        <v>15</v>
      </c>
      <c r="AI21" s="7" t="s">
        <v>15</v>
      </c>
      <c r="AJ21" s="153" t="s">
        <v>15</v>
      </c>
      <c r="AK21" s="7" t="s">
        <v>15</v>
      </c>
      <c r="AL21" s="7" t="s">
        <v>15</v>
      </c>
      <c r="AM21" s="153" t="s">
        <v>15</v>
      </c>
      <c r="AN21" s="7" t="s">
        <v>15</v>
      </c>
      <c r="AO21" s="7" t="s">
        <v>15</v>
      </c>
      <c r="AP21" s="153" t="s">
        <v>15</v>
      </c>
      <c r="AQ21" s="7" t="s">
        <v>15</v>
      </c>
      <c r="AR21" s="7" t="s">
        <v>15</v>
      </c>
      <c r="AS21" s="153" t="s">
        <v>15</v>
      </c>
      <c r="AT21" s="7" t="s">
        <v>15</v>
      </c>
      <c r="AU21" s="7" t="s">
        <v>15</v>
      </c>
      <c r="AV21" s="153" t="s">
        <v>15</v>
      </c>
      <c r="AW21" s="7" t="s">
        <v>15</v>
      </c>
      <c r="AX21" s="7" t="s">
        <v>15</v>
      </c>
      <c r="AY21" s="153" t="s">
        <v>15</v>
      </c>
      <c r="AZ21" s="7" t="s">
        <v>15</v>
      </c>
      <c r="BA21" s="7" t="s">
        <v>15</v>
      </c>
      <c r="BB21" s="153" t="s">
        <v>15</v>
      </c>
      <c r="BC21" s="62"/>
    </row>
    <row r="22" spans="1:60" ht="14.95" customHeight="1" thickBot="1" x14ac:dyDescent="0.3">
      <c r="A22" s="434" t="s">
        <v>208</v>
      </c>
      <c r="B22" s="435">
        <v>1</v>
      </c>
      <c r="C22" s="440">
        <v>0</v>
      </c>
      <c r="D22" s="436">
        <v>1</v>
      </c>
      <c r="E22" s="437">
        <f t="shared" si="0"/>
        <v>2</v>
      </c>
      <c r="F22" s="167" t="s">
        <v>208</v>
      </c>
      <c r="G22" s="142">
        <v>5</v>
      </c>
      <c r="H22" s="443">
        <v>0</v>
      </c>
      <c r="I22" s="397">
        <v>5</v>
      </c>
      <c r="J22" s="169">
        <f t="shared" si="1"/>
        <v>10</v>
      </c>
      <c r="O22" s="62"/>
      <c r="P22" s="62"/>
      <c r="Q22" s="62"/>
      <c r="R22" s="62"/>
      <c r="S22" s="62"/>
      <c r="T22" s="62"/>
      <c r="U22" s="62"/>
      <c r="V22" s="62"/>
      <c r="W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</row>
    <row r="23" spans="1:60" ht="14.95" customHeight="1" thickBot="1" x14ac:dyDescent="0.3">
      <c r="A23" s="434" t="s">
        <v>437</v>
      </c>
      <c r="B23" s="435">
        <v>0</v>
      </c>
      <c r="C23" s="440">
        <v>0</v>
      </c>
      <c r="D23" s="436">
        <v>2</v>
      </c>
      <c r="E23" s="437">
        <f t="shared" si="0"/>
        <v>2</v>
      </c>
      <c r="F23" s="167" t="s">
        <v>437</v>
      </c>
      <c r="G23" s="142">
        <v>0</v>
      </c>
      <c r="H23" s="443">
        <v>0</v>
      </c>
      <c r="I23" s="397">
        <v>10</v>
      </c>
      <c r="J23" s="169">
        <f t="shared" si="1"/>
        <v>10</v>
      </c>
      <c r="K23" s="455" t="s">
        <v>189</v>
      </c>
      <c r="L23" s="449" t="s">
        <v>14</v>
      </c>
      <c r="M23" s="450"/>
      <c r="N23" s="451"/>
      <c r="O23" s="449" t="s">
        <v>226</v>
      </c>
      <c r="P23" s="450"/>
      <c r="Q23" s="451"/>
      <c r="R23" s="449" t="s">
        <v>875</v>
      </c>
      <c r="S23" s="450"/>
      <c r="T23" s="451"/>
      <c r="U23" s="449" t="s">
        <v>581</v>
      </c>
      <c r="V23" s="450"/>
      <c r="W23" s="451"/>
      <c r="AB23" s="449" t="s">
        <v>477</v>
      </c>
      <c r="AC23" s="450"/>
      <c r="AD23" s="451"/>
      <c r="AE23" s="449" t="s">
        <v>391</v>
      </c>
      <c r="AF23" s="450"/>
      <c r="AG23" s="451"/>
      <c r="AH23" s="449" t="s">
        <v>300</v>
      </c>
      <c r="AI23" s="450"/>
      <c r="AJ23" s="451"/>
      <c r="AK23" s="449" t="s">
        <v>219</v>
      </c>
      <c r="AL23" s="450"/>
      <c r="AM23" s="451"/>
      <c r="AN23" s="449" t="s">
        <v>165</v>
      </c>
      <c r="AO23" s="450"/>
      <c r="AP23" s="451"/>
      <c r="AQ23" s="449" t="s">
        <v>78</v>
      </c>
      <c r="AR23" s="450"/>
      <c r="AS23" s="451"/>
      <c r="AT23" s="449" t="s">
        <v>54</v>
      </c>
      <c r="AU23" s="450"/>
      <c r="AV23" s="451"/>
      <c r="AW23" s="449" t="s">
        <v>50</v>
      </c>
      <c r="AX23" s="450"/>
      <c r="AY23" s="451"/>
      <c r="AZ23" s="449" t="s">
        <v>37</v>
      </c>
      <c r="BA23" s="450"/>
      <c r="BB23" s="451"/>
      <c r="BC23" s="62"/>
    </row>
    <row r="24" spans="1:60" ht="14.95" customHeight="1" thickBot="1" x14ac:dyDescent="0.3">
      <c r="A24" s="434" t="s">
        <v>666</v>
      </c>
      <c r="B24" s="435">
        <v>0</v>
      </c>
      <c r="C24" s="440">
        <v>1</v>
      </c>
      <c r="D24" s="436">
        <v>0</v>
      </c>
      <c r="E24" s="437">
        <f t="shared" si="0"/>
        <v>1</v>
      </c>
      <c r="F24" s="167" t="s">
        <v>666</v>
      </c>
      <c r="G24" s="142">
        <v>0</v>
      </c>
      <c r="H24" s="443">
        <v>5</v>
      </c>
      <c r="I24" s="397">
        <v>0</v>
      </c>
      <c r="J24" s="169">
        <f t="shared" si="1"/>
        <v>5</v>
      </c>
      <c r="K24" s="456"/>
      <c r="L24" s="452"/>
      <c r="M24" s="453"/>
      <c r="N24" s="454"/>
      <c r="O24" s="452"/>
      <c r="P24" s="453"/>
      <c r="Q24" s="454"/>
      <c r="R24" s="452"/>
      <c r="S24" s="453"/>
      <c r="T24" s="454"/>
      <c r="U24" s="452"/>
      <c r="V24" s="453"/>
      <c r="W24" s="454"/>
      <c r="AB24" s="452"/>
      <c r="AC24" s="453"/>
      <c r="AD24" s="454"/>
      <c r="AE24" s="452"/>
      <c r="AF24" s="453"/>
      <c r="AG24" s="454"/>
      <c r="AH24" s="452"/>
      <c r="AI24" s="453"/>
      <c r="AJ24" s="454"/>
      <c r="AK24" s="452"/>
      <c r="AL24" s="453"/>
      <c r="AM24" s="454"/>
      <c r="AN24" s="452"/>
      <c r="AO24" s="453"/>
      <c r="AP24" s="454"/>
      <c r="AQ24" s="452"/>
      <c r="AR24" s="453"/>
      <c r="AS24" s="454"/>
      <c r="AT24" s="452"/>
      <c r="AU24" s="453"/>
      <c r="AV24" s="454"/>
      <c r="AW24" s="452"/>
      <c r="AX24" s="453"/>
      <c r="AY24" s="454"/>
      <c r="AZ24" s="452"/>
      <c r="BA24" s="453"/>
      <c r="BB24" s="454"/>
      <c r="BC24" s="62"/>
    </row>
    <row r="25" spans="1:60" ht="14.95" thickBot="1" x14ac:dyDescent="0.3">
      <c r="A25" s="434" t="s">
        <v>269</v>
      </c>
      <c r="B25" s="435">
        <v>0</v>
      </c>
      <c r="C25" s="440">
        <v>0</v>
      </c>
      <c r="D25" s="436">
        <v>0</v>
      </c>
      <c r="E25" s="437">
        <f t="shared" si="0"/>
        <v>0</v>
      </c>
      <c r="F25" s="167" t="s">
        <v>269</v>
      </c>
      <c r="G25" s="142">
        <v>0</v>
      </c>
      <c r="H25" s="443">
        <v>0</v>
      </c>
      <c r="I25" s="397">
        <v>0</v>
      </c>
      <c r="J25" s="169">
        <f t="shared" si="1"/>
        <v>0</v>
      </c>
      <c r="K25" s="246" t="s">
        <v>21</v>
      </c>
      <c r="L25" s="7" t="s">
        <v>46</v>
      </c>
      <c r="M25" s="7" t="s">
        <v>9</v>
      </c>
      <c r="N25" s="7" t="s">
        <v>10</v>
      </c>
      <c r="O25" s="7" t="s">
        <v>46</v>
      </c>
      <c r="P25" s="7" t="s">
        <v>9</v>
      </c>
      <c r="Q25" s="7" t="s">
        <v>10</v>
      </c>
      <c r="R25" s="7" t="s">
        <v>46</v>
      </c>
      <c r="S25" s="7" t="s">
        <v>9</v>
      </c>
      <c r="T25" s="7" t="s">
        <v>10</v>
      </c>
      <c r="U25" s="7" t="s">
        <v>46</v>
      </c>
      <c r="V25" s="7" t="s">
        <v>9</v>
      </c>
      <c r="W25" s="7" t="s">
        <v>10</v>
      </c>
      <c r="AB25" s="148" t="s">
        <v>46</v>
      </c>
      <c r="AC25" s="7" t="s">
        <v>9</v>
      </c>
      <c r="AD25" s="7" t="s">
        <v>10</v>
      </c>
      <c r="AE25" s="148" t="s">
        <v>46</v>
      </c>
      <c r="AF25" s="7" t="s">
        <v>9</v>
      </c>
      <c r="AG25" s="7" t="s">
        <v>10</v>
      </c>
      <c r="AH25" s="148" t="s">
        <v>46</v>
      </c>
      <c r="AI25" s="7" t="s">
        <v>9</v>
      </c>
      <c r="AJ25" s="7" t="s">
        <v>10</v>
      </c>
      <c r="AK25" s="148" t="s">
        <v>46</v>
      </c>
      <c r="AL25" s="7" t="s">
        <v>9</v>
      </c>
      <c r="AM25" s="7" t="s">
        <v>10</v>
      </c>
      <c r="AN25" s="148" t="s">
        <v>46</v>
      </c>
      <c r="AO25" s="7" t="s">
        <v>9</v>
      </c>
      <c r="AP25" s="7" t="s">
        <v>10</v>
      </c>
      <c r="AQ25" s="148" t="s">
        <v>46</v>
      </c>
      <c r="AR25" s="7" t="s">
        <v>9</v>
      </c>
      <c r="AS25" s="7" t="s">
        <v>10</v>
      </c>
      <c r="AT25" s="148" t="s">
        <v>46</v>
      </c>
      <c r="AU25" s="7" t="s">
        <v>9</v>
      </c>
      <c r="AV25" s="7" t="s">
        <v>10</v>
      </c>
      <c r="AW25" s="148" t="s">
        <v>46</v>
      </c>
      <c r="AX25" s="7" t="s">
        <v>9</v>
      </c>
      <c r="AY25" s="7" t="s">
        <v>10</v>
      </c>
      <c r="AZ25" s="6" t="s">
        <v>46</v>
      </c>
      <c r="BA25" s="7" t="s">
        <v>9</v>
      </c>
      <c r="BB25" s="7" t="s">
        <v>10</v>
      </c>
      <c r="BC25" s="62"/>
    </row>
    <row r="26" spans="1:60" ht="14.95" customHeight="1" thickBot="1" x14ac:dyDescent="0.3">
      <c r="A26" s="434" t="s">
        <v>954</v>
      </c>
      <c r="B26" s="435">
        <v>0</v>
      </c>
      <c r="C26" s="440">
        <v>0</v>
      </c>
      <c r="D26" s="436">
        <v>1</v>
      </c>
      <c r="E26" s="437">
        <f t="shared" si="0"/>
        <v>1</v>
      </c>
      <c r="F26" s="167" t="s">
        <v>954</v>
      </c>
      <c r="G26" s="142">
        <v>0</v>
      </c>
      <c r="H26" s="443">
        <v>0</v>
      </c>
      <c r="I26" s="397">
        <v>5</v>
      </c>
      <c r="J26" s="169">
        <f t="shared" si="1"/>
        <v>5</v>
      </c>
      <c r="K26" s="434" t="s">
        <v>965</v>
      </c>
      <c r="L26" s="7" t="s">
        <v>15</v>
      </c>
      <c r="M26" s="153" t="s">
        <v>15</v>
      </c>
      <c r="N26" s="6" t="s">
        <v>15</v>
      </c>
      <c r="O26" s="7" t="s">
        <v>15</v>
      </c>
      <c r="P26" s="153" t="s">
        <v>15</v>
      </c>
      <c r="Q26" s="6" t="s">
        <v>15</v>
      </c>
      <c r="R26" s="7" t="s">
        <v>15</v>
      </c>
      <c r="S26" s="153" t="s">
        <v>15</v>
      </c>
      <c r="T26" s="6" t="s">
        <v>15</v>
      </c>
      <c r="U26" s="6">
        <v>2</v>
      </c>
      <c r="V26" s="6">
        <v>5</v>
      </c>
      <c r="W26" s="6">
        <v>100</v>
      </c>
      <c r="AB26" s="148">
        <v>1</v>
      </c>
      <c r="AC26" s="153">
        <v>4</v>
      </c>
      <c r="AD26" s="6">
        <v>25</v>
      </c>
      <c r="AE26" s="148" t="s">
        <v>15</v>
      </c>
      <c r="AF26" s="153" t="s">
        <v>15</v>
      </c>
      <c r="AG26" s="6" t="s">
        <v>15</v>
      </c>
      <c r="AH26" s="148" t="s">
        <v>15</v>
      </c>
      <c r="AI26" s="153" t="s">
        <v>15</v>
      </c>
      <c r="AJ26" s="6" t="s">
        <v>15</v>
      </c>
      <c r="AK26" s="148" t="s">
        <v>15</v>
      </c>
      <c r="AL26" s="153" t="s">
        <v>15</v>
      </c>
      <c r="AM26" s="6" t="s">
        <v>15</v>
      </c>
      <c r="AN26" s="148" t="s">
        <v>15</v>
      </c>
      <c r="AO26" s="153" t="s">
        <v>15</v>
      </c>
      <c r="AP26" s="6" t="s">
        <v>15</v>
      </c>
      <c r="AQ26" s="148" t="s">
        <v>15</v>
      </c>
      <c r="AR26" s="7" t="s">
        <v>15</v>
      </c>
      <c r="AS26" s="7" t="s">
        <v>15</v>
      </c>
      <c r="AT26" s="148" t="s">
        <v>15</v>
      </c>
      <c r="AU26" s="153" t="s">
        <v>15</v>
      </c>
      <c r="AV26" s="6" t="s">
        <v>15</v>
      </c>
      <c r="AW26" s="148" t="s">
        <v>15</v>
      </c>
      <c r="AX26" s="153" t="s">
        <v>15</v>
      </c>
      <c r="AY26" s="6" t="s">
        <v>15</v>
      </c>
      <c r="AZ26" s="148" t="s">
        <v>15</v>
      </c>
      <c r="BA26" s="153" t="s">
        <v>15</v>
      </c>
      <c r="BB26" s="6" t="s">
        <v>15</v>
      </c>
      <c r="BC26" s="62"/>
    </row>
    <row r="27" spans="1:60" ht="14.95" customHeight="1" thickBot="1" x14ac:dyDescent="0.3">
      <c r="A27" s="434" t="s">
        <v>667</v>
      </c>
      <c r="B27" s="435">
        <v>0</v>
      </c>
      <c r="C27" s="440">
        <v>0</v>
      </c>
      <c r="D27" s="436">
        <v>0</v>
      </c>
      <c r="E27" s="437">
        <f t="shared" si="0"/>
        <v>0</v>
      </c>
      <c r="F27" s="167" t="s">
        <v>667</v>
      </c>
      <c r="G27" s="142">
        <v>0</v>
      </c>
      <c r="H27" s="443">
        <v>0</v>
      </c>
      <c r="I27" s="397">
        <v>0</v>
      </c>
      <c r="J27" s="169">
        <f t="shared" si="1"/>
        <v>0</v>
      </c>
      <c r="K27" s="434" t="s">
        <v>895</v>
      </c>
      <c r="L27" s="7" t="s">
        <v>15</v>
      </c>
      <c r="M27" s="153" t="s">
        <v>15</v>
      </c>
      <c r="N27" s="6" t="s">
        <v>15</v>
      </c>
      <c r="O27" s="7" t="s">
        <v>15</v>
      </c>
      <c r="P27" s="153" t="s">
        <v>15</v>
      </c>
      <c r="Q27" s="6" t="s">
        <v>15</v>
      </c>
      <c r="R27" s="7" t="s">
        <v>15</v>
      </c>
      <c r="S27" s="153" t="s">
        <v>15</v>
      </c>
      <c r="T27" s="6" t="s">
        <v>15</v>
      </c>
      <c r="U27" s="7" t="s">
        <v>15</v>
      </c>
      <c r="V27" s="153" t="s">
        <v>15</v>
      </c>
      <c r="W27" s="6" t="s">
        <v>15</v>
      </c>
      <c r="AB27" s="6">
        <v>8</v>
      </c>
      <c r="AC27" s="7">
        <v>10</v>
      </c>
      <c r="AD27" s="153">
        <f>(AB27/AC27)*100</f>
        <v>80</v>
      </c>
      <c r="AE27" s="148" t="s">
        <v>15</v>
      </c>
      <c r="AF27" s="153" t="s">
        <v>15</v>
      </c>
      <c r="AG27" s="6" t="s">
        <v>15</v>
      </c>
      <c r="AH27" s="148" t="s">
        <v>15</v>
      </c>
      <c r="AI27" s="153" t="s">
        <v>15</v>
      </c>
      <c r="AJ27" s="6" t="s">
        <v>15</v>
      </c>
      <c r="AK27" s="148">
        <v>7</v>
      </c>
      <c r="AL27" s="7">
        <v>10</v>
      </c>
      <c r="AM27" s="153">
        <f>SUM(AK27/AL27)*100</f>
        <v>70</v>
      </c>
      <c r="AN27" s="148" t="s">
        <v>15</v>
      </c>
      <c r="AO27" s="7" t="s">
        <v>15</v>
      </c>
      <c r="AP27" s="7" t="s">
        <v>15</v>
      </c>
      <c r="AQ27" s="6">
        <v>8</v>
      </c>
      <c r="AR27" s="7">
        <v>13</v>
      </c>
      <c r="AS27" s="153">
        <f>SUM(AQ27/AR27)*100</f>
        <v>61.53846153846154</v>
      </c>
      <c r="AT27" s="148" t="s">
        <v>15</v>
      </c>
      <c r="AU27" s="153" t="s">
        <v>15</v>
      </c>
      <c r="AV27" s="6" t="s">
        <v>15</v>
      </c>
      <c r="AW27" s="148" t="s">
        <v>15</v>
      </c>
      <c r="AX27" s="153" t="s">
        <v>15</v>
      </c>
      <c r="AY27" s="6" t="s">
        <v>15</v>
      </c>
      <c r="AZ27" s="148" t="s">
        <v>15</v>
      </c>
      <c r="BA27" s="153" t="s">
        <v>15</v>
      </c>
      <c r="BB27" s="6" t="s">
        <v>15</v>
      </c>
      <c r="BC27" s="62"/>
    </row>
    <row r="28" spans="1:60" ht="14.95" customHeight="1" thickBot="1" x14ac:dyDescent="0.3">
      <c r="A28" s="434" t="s">
        <v>956</v>
      </c>
      <c r="B28" s="435">
        <v>0</v>
      </c>
      <c r="C28" s="440">
        <v>0</v>
      </c>
      <c r="D28" s="436">
        <v>0</v>
      </c>
      <c r="E28" s="437">
        <f t="shared" si="0"/>
        <v>0</v>
      </c>
      <c r="F28" s="167" t="s">
        <v>956</v>
      </c>
      <c r="G28" s="142">
        <v>0</v>
      </c>
      <c r="H28" s="443">
        <v>0</v>
      </c>
      <c r="I28" s="397">
        <v>0</v>
      </c>
      <c r="J28" s="169">
        <f t="shared" si="1"/>
        <v>0</v>
      </c>
      <c r="O28" s="62"/>
      <c r="P28" s="62"/>
      <c r="Q28" s="62"/>
      <c r="R28" s="62"/>
      <c r="S28" s="62"/>
      <c r="T28" s="62"/>
      <c r="U28" s="62"/>
      <c r="V28" s="62"/>
      <c r="W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</row>
    <row r="29" spans="1:60" ht="14.95" customHeight="1" thickBot="1" x14ac:dyDescent="0.3">
      <c r="A29" s="434" t="s">
        <v>893</v>
      </c>
      <c r="B29" s="435">
        <v>3</v>
      </c>
      <c r="C29" s="440">
        <v>1</v>
      </c>
      <c r="D29" s="436">
        <v>3</v>
      </c>
      <c r="E29" s="437">
        <f t="shared" si="0"/>
        <v>7</v>
      </c>
      <c r="F29" s="167" t="s">
        <v>893</v>
      </c>
      <c r="G29" s="142">
        <v>15</v>
      </c>
      <c r="H29" s="443">
        <v>5</v>
      </c>
      <c r="I29" s="397">
        <v>15</v>
      </c>
      <c r="J29" s="169">
        <f t="shared" si="1"/>
        <v>35</v>
      </c>
      <c r="K29" s="472" t="s">
        <v>1003</v>
      </c>
      <c r="L29" s="511" t="s">
        <v>14</v>
      </c>
      <c r="M29" s="512"/>
      <c r="N29" s="513"/>
      <c r="O29" s="449" t="s">
        <v>226</v>
      </c>
      <c r="P29" s="450"/>
      <c r="Q29" s="451"/>
      <c r="R29" s="449" t="s">
        <v>875</v>
      </c>
      <c r="S29" s="450"/>
      <c r="T29" s="451"/>
      <c r="U29" s="449" t="s">
        <v>581</v>
      </c>
      <c r="V29" s="450"/>
      <c r="W29" s="451"/>
      <c r="AB29" s="449" t="s">
        <v>477</v>
      </c>
      <c r="AC29" s="450"/>
      <c r="AD29" s="451"/>
      <c r="AE29" s="449" t="s">
        <v>300</v>
      </c>
      <c r="AF29" s="450"/>
      <c r="AG29" s="451"/>
      <c r="AH29" s="449" t="s">
        <v>219</v>
      </c>
      <c r="AI29" s="450"/>
      <c r="AJ29" s="451"/>
      <c r="AK29" s="449" t="s">
        <v>165</v>
      </c>
      <c r="AL29" s="450"/>
      <c r="AM29" s="451"/>
      <c r="AN29" s="449" t="s">
        <v>78</v>
      </c>
      <c r="AO29" s="450"/>
      <c r="AP29" s="451"/>
      <c r="AQ29" s="449" t="s">
        <v>54</v>
      </c>
      <c r="AR29" s="450"/>
      <c r="AS29" s="451"/>
      <c r="AT29" s="449" t="s">
        <v>50</v>
      </c>
      <c r="AU29" s="450"/>
      <c r="AV29" s="451"/>
      <c r="AW29" s="449" t="s">
        <v>37</v>
      </c>
      <c r="AX29" s="450"/>
      <c r="AY29" s="451"/>
      <c r="AZ29" s="205"/>
    </row>
    <row r="30" spans="1:60" ht="14.95" customHeight="1" thickBot="1" x14ac:dyDescent="0.3">
      <c r="A30" s="434" t="s">
        <v>958</v>
      </c>
      <c r="B30" s="435">
        <v>0</v>
      </c>
      <c r="C30" s="440">
        <v>0</v>
      </c>
      <c r="D30" s="436">
        <v>1</v>
      </c>
      <c r="E30" s="437">
        <f t="shared" si="0"/>
        <v>1</v>
      </c>
      <c r="F30" s="167" t="s">
        <v>958</v>
      </c>
      <c r="G30" s="142">
        <v>18</v>
      </c>
      <c r="H30" s="443">
        <v>0</v>
      </c>
      <c r="I30" s="397">
        <v>17</v>
      </c>
      <c r="J30" s="169">
        <f t="shared" si="1"/>
        <v>35</v>
      </c>
      <c r="K30" s="473"/>
      <c r="L30" s="514"/>
      <c r="M30" s="515"/>
      <c r="N30" s="516"/>
      <c r="O30" s="452"/>
      <c r="P30" s="453"/>
      <c r="Q30" s="454"/>
      <c r="R30" s="452"/>
      <c r="S30" s="453"/>
      <c r="T30" s="454"/>
      <c r="U30" s="452"/>
      <c r="V30" s="453"/>
      <c r="W30" s="454"/>
      <c r="AB30" s="452"/>
      <c r="AC30" s="453"/>
      <c r="AD30" s="454"/>
      <c r="AE30" s="452"/>
      <c r="AF30" s="453"/>
      <c r="AG30" s="454"/>
      <c r="AH30" s="452"/>
      <c r="AI30" s="453"/>
      <c r="AJ30" s="454"/>
      <c r="AK30" s="452"/>
      <c r="AL30" s="453"/>
      <c r="AM30" s="454"/>
      <c r="AN30" s="452"/>
      <c r="AO30" s="453"/>
      <c r="AP30" s="454"/>
      <c r="AQ30" s="452"/>
      <c r="AR30" s="453"/>
      <c r="AS30" s="454"/>
      <c r="AT30" s="452"/>
      <c r="AU30" s="453"/>
      <c r="AV30" s="454"/>
      <c r="AW30" s="452"/>
      <c r="AX30" s="453"/>
      <c r="AY30" s="454"/>
      <c r="AZ30" s="92"/>
    </row>
    <row r="31" spans="1:60" ht="14.95" customHeight="1" thickBot="1" x14ac:dyDescent="0.3">
      <c r="A31" s="434" t="s">
        <v>1112</v>
      </c>
      <c r="B31" s="435">
        <v>0</v>
      </c>
      <c r="C31" s="440">
        <v>0</v>
      </c>
      <c r="D31" s="436">
        <v>1</v>
      </c>
      <c r="E31" s="437">
        <f t="shared" si="0"/>
        <v>1</v>
      </c>
      <c r="F31" s="167" t="s">
        <v>1112</v>
      </c>
      <c r="G31" s="142">
        <v>0</v>
      </c>
      <c r="H31" s="443">
        <v>0</v>
      </c>
      <c r="I31" s="397">
        <v>5</v>
      </c>
      <c r="J31" s="169">
        <f t="shared" si="1"/>
        <v>5</v>
      </c>
      <c r="K31" s="398" t="s">
        <v>21</v>
      </c>
      <c r="L31" s="163" t="s">
        <v>46</v>
      </c>
      <c r="M31" s="163" t="s">
        <v>9</v>
      </c>
      <c r="N31" s="163" t="s">
        <v>10</v>
      </c>
      <c r="O31" s="7" t="s">
        <v>46</v>
      </c>
      <c r="P31" s="7" t="s">
        <v>9</v>
      </c>
      <c r="Q31" s="7" t="s">
        <v>10</v>
      </c>
      <c r="R31" s="7" t="s">
        <v>46</v>
      </c>
      <c r="S31" s="7" t="s">
        <v>9</v>
      </c>
      <c r="T31" s="7" t="s">
        <v>10</v>
      </c>
      <c r="U31" s="7" t="s">
        <v>46</v>
      </c>
      <c r="V31" s="7" t="s">
        <v>9</v>
      </c>
      <c r="W31" s="7" t="s">
        <v>10</v>
      </c>
      <c r="AB31" s="148" t="s">
        <v>46</v>
      </c>
      <c r="AC31" s="7" t="s">
        <v>9</v>
      </c>
      <c r="AD31" s="7" t="s">
        <v>10</v>
      </c>
      <c r="AE31" s="148" t="s">
        <v>46</v>
      </c>
      <c r="AF31" s="7" t="s">
        <v>9</v>
      </c>
      <c r="AG31" s="7" t="s">
        <v>10</v>
      </c>
      <c r="AH31" s="148" t="s">
        <v>46</v>
      </c>
      <c r="AI31" s="7" t="s">
        <v>9</v>
      </c>
      <c r="AJ31" s="7" t="s">
        <v>10</v>
      </c>
      <c r="AK31" s="148" t="s">
        <v>46</v>
      </c>
      <c r="AL31" s="7" t="s">
        <v>9</v>
      </c>
      <c r="AM31" s="7" t="s">
        <v>10</v>
      </c>
      <c r="AN31" s="148" t="s">
        <v>46</v>
      </c>
      <c r="AO31" s="7" t="s">
        <v>9</v>
      </c>
      <c r="AP31" s="7" t="s">
        <v>10</v>
      </c>
      <c r="AQ31" s="148" t="s">
        <v>46</v>
      </c>
      <c r="AR31" s="7" t="s">
        <v>9</v>
      </c>
      <c r="AS31" s="7" t="s">
        <v>10</v>
      </c>
      <c r="AT31" s="148" t="s">
        <v>46</v>
      </c>
      <c r="AU31" s="7" t="s">
        <v>9</v>
      </c>
      <c r="AV31" s="7" t="s">
        <v>10</v>
      </c>
      <c r="AW31" s="148" t="s">
        <v>46</v>
      </c>
      <c r="AX31" s="7" t="s">
        <v>9</v>
      </c>
      <c r="AY31" s="7" t="s">
        <v>10</v>
      </c>
      <c r="AZ31" s="92"/>
    </row>
    <row r="32" spans="1:60" ht="14.95" customHeight="1" thickBot="1" x14ac:dyDescent="0.3">
      <c r="A32" s="434" t="s">
        <v>366</v>
      </c>
      <c r="B32" s="435">
        <v>0</v>
      </c>
      <c r="C32" s="440">
        <v>1</v>
      </c>
      <c r="D32" s="436">
        <v>3</v>
      </c>
      <c r="E32" s="437">
        <f t="shared" si="0"/>
        <v>4</v>
      </c>
      <c r="F32" s="167" t="s">
        <v>366</v>
      </c>
      <c r="G32" s="142">
        <v>0</v>
      </c>
      <c r="H32" s="443">
        <v>5</v>
      </c>
      <c r="I32" s="397">
        <v>15</v>
      </c>
      <c r="J32" s="169">
        <f t="shared" si="1"/>
        <v>20</v>
      </c>
      <c r="K32" s="434" t="s">
        <v>965</v>
      </c>
      <c r="L32" s="437">
        <v>7</v>
      </c>
      <c r="M32" s="437">
        <v>13</v>
      </c>
      <c r="N32" s="438">
        <f t="shared" ref="N32:N34" si="13">SUM(L32/M32)*100</f>
        <v>53.846153846153847</v>
      </c>
      <c r="O32" s="7">
        <v>25</v>
      </c>
      <c r="P32" s="153">
        <v>33</v>
      </c>
      <c r="Q32" s="6">
        <v>76</v>
      </c>
      <c r="R32" s="7">
        <v>0</v>
      </c>
      <c r="S32" s="153">
        <v>1</v>
      </c>
      <c r="T32" s="6">
        <v>0</v>
      </c>
      <c r="U32" s="7" t="s">
        <v>15</v>
      </c>
      <c r="V32" s="153" t="s">
        <v>15</v>
      </c>
      <c r="W32" s="6" t="s">
        <v>15</v>
      </c>
      <c r="AB32" s="148">
        <v>2</v>
      </c>
      <c r="AC32" s="153">
        <v>3</v>
      </c>
      <c r="AD32" s="6">
        <v>67</v>
      </c>
      <c r="AE32" s="148" t="s">
        <v>15</v>
      </c>
      <c r="AF32" s="153" t="s">
        <v>15</v>
      </c>
      <c r="AG32" s="6" t="s">
        <v>15</v>
      </c>
      <c r="AH32" s="6" t="s">
        <v>15</v>
      </c>
      <c r="AI32" s="153" t="s">
        <v>15</v>
      </c>
      <c r="AJ32" s="6" t="s">
        <v>15</v>
      </c>
      <c r="AK32" s="7" t="s">
        <v>15</v>
      </c>
      <c r="AL32" s="153" t="s">
        <v>15</v>
      </c>
      <c r="AM32" s="6" t="s">
        <v>15</v>
      </c>
      <c r="AN32" s="7" t="s">
        <v>15</v>
      </c>
      <c r="AO32" s="153" t="s">
        <v>15</v>
      </c>
      <c r="AP32" s="6" t="s">
        <v>15</v>
      </c>
      <c r="AQ32" s="7" t="s">
        <v>15</v>
      </c>
      <c r="AR32" s="153" t="s">
        <v>15</v>
      </c>
      <c r="AS32" s="6" t="s">
        <v>15</v>
      </c>
      <c r="AT32" s="7" t="s">
        <v>15</v>
      </c>
      <c r="AU32" s="153" t="s">
        <v>15</v>
      </c>
      <c r="AV32" s="6" t="s">
        <v>15</v>
      </c>
      <c r="AW32" s="7" t="s">
        <v>15</v>
      </c>
      <c r="AX32" s="153" t="s">
        <v>15</v>
      </c>
      <c r="AY32" s="6" t="s">
        <v>15</v>
      </c>
      <c r="AZ32" s="92"/>
      <c r="BF32" s="160"/>
      <c r="BG32" s="160"/>
      <c r="BH32" s="160"/>
    </row>
    <row r="33" spans="1:60" ht="14.95" customHeight="1" thickBot="1" x14ac:dyDescent="0.3">
      <c r="A33" s="434" t="s">
        <v>654</v>
      </c>
      <c r="B33" s="435">
        <v>2</v>
      </c>
      <c r="C33" s="440">
        <v>1</v>
      </c>
      <c r="D33" s="436">
        <v>1</v>
      </c>
      <c r="E33" s="437">
        <f t="shared" si="0"/>
        <v>4</v>
      </c>
      <c r="F33" s="167" t="s">
        <v>654</v>
      </c>
      <c r="G33" s="142">
        <v>10</v>
      </c>
      <c r="H33" s="443">
        <v>5</v>
      </c>
      <c r="I33" s="397">
        <v>5</v>
      </c>
      <c r="J33" s="169">
        <f t="shared" si="1"/>
        <v>20</v>
      </c>
      <c r="K33" s="434" t="s">
        <v>958</v>
      </c>
      <c r="L33" s="437">
        <v>6</v>
      </c>
      <c r="M33" s="437">
        <v>11</v>
      </c>
      <c r="N33" s="438">
        <f t="shared" ref="N33" si="14">SUM(L33/M33)*100</f>
        <v>54.54545454545454</v>
      </c>
      <c r="O33" s="7" t="s">
        <v>15</v>
      </c>
      <c r="P33" s="153" t="s">
        <v>15</v>
      </c>
      <c r="Q33" s="6" t="s">
        <v>15</v>
      </c>
      <c r="R33" s="7" t="s">
        <v>15</v>
      </c>
      <c r="S33" s="153" t="s">
        <v>15</v>
      </c>
      <c r="T33" s="6" t="s">
        <v>15</v>
      </c>
      <c r="U33" s="7" t="s">
        <v>15</v>
      </c>
      <c r="V33" s="153" t="s">
        <v>15</v>
      </c>
      <c r="W33" s="6" t="s">
        <v>15</v>
      </c>
      <c r="AB33" s="6" t="s">
        <v>15</v>
      </c>
      <c r="AC33" s="153" t="s">
        <v>15</v>
      </c>
      <c r="AD33" s="6" t="s">
        <v>15</v>
      </c>
      <c r="AE33" s="7" t="s">
        <v>15</v>
      </c>
      <c r="AF33" s="153" t="s">
        <v>15</v>
      </c>
      <c r="AG33" s="6" t="s">
        <v>15</v>
      </c>
      <c r="AH33" s="7" t="s">
        <v>15</v>
      </c>
      <c r="AI33" s="153" t="s">
        <v>15</v>
      </c>
      <c r="AJ33" s="6" t="s">
        <v>15</v>
      </c>
      <c r="AK33" s="7" t="s">
        <v>15</v>
      </c>
      <c r="AL33" s="153" t="s">
        <v>15</v>
      </c>
      <c r="AM33" s="6" t="s">
        <v>15</v>
      </c>
      <c r="AN33" s="148">
        <v>9</v>
      </c>
      <c r="AO33" s="7">
        <v>12</v>
      </c>
      <c r="AP33" s="7">
        <v>75</v>
      </c>
      <c r="AQ33" s="7" t="s">
        <v>15</v>
      </c>
      <c r="AR33" s="153" t="s">
        <v>15</v>
      </c>
      <c r="AS33" s="6" t="s">
        <v>15</v>
      </c>
      <c r="AT33" s="7" t="s">
        <v>15</v>
      </c>
      <c r="AU33" s="153" t="s">
        <v>15</v>
      </c>
      <c r="AV33" s="6" t="s">
        <v>15</v>
      </c>
      <c r="AW33" s="7" t="s">
        <v>15</v>
      </c>
      <c r="AX33" s="153" t="s">
        <v>15</v>
      </c>
      <c r="AY33" s="6" t="s">
        <v>15</v>
      </c>
      <c r="AZ33" s="92"/>
    </row>
    <row r="34" spans="1:60" ht="14.95" customHeight="1" thickBot="1" x14ac:dyDescent="0.3">
      <c r="A34" s="434" t="s">
        <v>4</v>
      </c>
      <c r="B34" s="435">
        <v>1</v>
      </c>
      <c r="C34" s="440">
        <v>0</v>
      </c>
      <c r="D34" s="436">
        <v>2</v>
      </c>
      <c r="E34" s="437">
        <f t="shared" si="0"/>
        <v>3</v>
      </c>
      <c r="F34" s="167" t="s">
        <v>4</v>
      </c>
      <c r="G34" s="142">
        <v>7</v>
      </c>
      <c r="H34" s="443">
        <v>0</v>
      </c>
      <c r="I34" s="397">
        <v>14</v>
      </c>
      <c r="J34" s="169">
        <f t="shared" si="1"/>
        <v>21</v>
      </c>
      <c r="K34" s="434" t="s">
        <v>895</v>
      </c>
      <c r="L34" s="437">
        <v>12</v>
      </c>
      <c r="M34" s="437">
        <v>18</v>
      </c>
      <c r="N34" s="438">
        <f t="shared" si="13"/>
        <v>66.666666666666657</v>
      </c>
      <c r="O34" s="7" t="s">
        <v>15</v>
      </c>
      <c r="P34" s="153" t="s">
        <v>15</v>
      </c>
      <c r="Q34" s="6" t="s">
        <v>15</v>
      </c>
      <c r="R34" s="7" t="s">
        <v>15</v>
      </c>
      <c r="S34" s="153" t="s">
        <v>15</v>
      </c>
      <c r="T34" s="6" t="s">
        <v>15</v>
      </c>
      <c r="U34" s="7" t="s">
        <v>15</v>
      </c>
      <c r="V34" s="153" t="s">
        <v>15</v>
      </c>
      <c r="W34" s="6" t="s">
        <v>15</v>
      </c>
      <c r="AB34" s="6">
        <v>15</v>
      </c>
      <c r="AC34" s="7">
        <v>18</v>
      </c>
      <c r="AD34" s="153">
        <f>(AB34/AC34)*100</f>
        <v>83.333333333333343</v>
      </c>
      <c r="AE34" s="7">
        <v>3</v>
      </c>
      <c r="AF34" s="7">
        <v>4</v>
      </c>
      <c r="AG34" s="153">
        <v>75</v>
      </c>
      <c r="AH34" s="148">
        <v>2</v>
      </c>
      <c r="AI34" s="7">
        <v>3</v>
      </c>
      <c r="AJ34" s="153">
        <v>67</v>
      </c>
      <c r="AK34" s="7" t="s">
        <v>15</v>
      </c>
      <c r="AL34" s="153" t="s">
        <v>15</v>
      </c>
      <c r="AM34" s="6" t="s">
        <v>15</v>
      </c>
      <c r="AN34" s="148">
        <v>9</v>
      </c>
      <c r="AO34" s="7">
        <v>12</v>
      </c>
      <c r="AP34" s="7">
        <v>75</v>
      </c>
      <c r="AQ34" s="7" t="s">
        <v>15</v>
      </c>
      <c r="AR34" s="153" t="s">
        <v>15</v>
      </c>
      <c r="AS34" s="6" t="s">
        <v>15</v>
      </c>
      <c r="AT34" s="7" t="s">
        <v>15</v>
      </c>
      <c r="AU34" s="153" t="s">
        <v>15</v>
      </c>
      <c r="AV34" s="6" t="s">
        <v>15</v>
      </c>
      <c r="AW34" s="7" t="s">
        <v>15</v>
      </c>
      <c r="AX34" s="153" t="s">
        <v>15</v>
      </c>
      <c r="AY34" s="6" t="s">
        <v>15</v>
      </c>
      <c r="AZ34" s="92"/>
    </row>
    <row r="35" spans="1:60" ht="14.95" customHeight="1" thickBot="1" x14ac:dyDescent="0.3">
      <c r="A35" s="434" t="s">
        <v>245</v>
      </c>
      <c r="B35" s="435">
        <v>6</v>
      </c>
      <c r="C35" s="440">
        <v>3</v>
      </c>
      <c r="D35" s="436">
        <v>0</v>
      </c>
      <c r="E35" s="437">
        <f t="shared" si="0"/>
        <v>9</v>
      </c>
      <c r="F35" s="167" t="s">
        <v>245</v>
      </c>
      <c r="G35" s="142">
        <v>30</v>
      </c>
      <c r="H35" s="443">
        <v>15</v>
      </c>
      <c r="I35" s="397">
        <v>0</v>
      </c>
      <c r="J35" s="169">
        <f t="shared" si="1"/>
        <v>45</v>
      </c>
      <c r="K35" s="434" t="s">
        <v>797</v>
      </c>
      <c r="L35" s="437" t="s">
        <v>15</v>
      </c>
      <c r="M35" s="437" t="s">
        <v>15</v>
      </c>
      <c r="N35" s="438" t="s">
        <v>15</v>
      </c>
      <c r="O35" s="7">
        <v>2</v>
      </c>
      <c r="P35" s="153">
        <v>3</v>
      </c>
      <c r="Q35" s="6">
        <v>67</v>
      </c>
      <c r="R35" s="7" t="s">
        <v>15</v>
      </c>
      <c r="S35" s="153" t="s">
        <v>15</v>
      </c>
      <c r="T35" s="6" t="s">
        <v>15</v>
      </c>
      <c r="U35" s="7" t="s">
        <v>15</v>
      </c>
      <c r="V35" s="153" t="s">
        <v>15</v>
      </c>
      <c r="W35" s="6" t="s">
        <v>15</v>
      </c>
      <c r="AB35" s="6" t="s">
        <v>15</v>
      </c>
      <c r="AC35" s="153" t="s">
        <v>15</v>
      </c>
      <c r="AD35" s="6" t="s">
        <v>15</v>
      </c>
      <c r="AE35" s="7" t="s">
        <v>15</v>
      </c>
      <c r="AF35" s="153" t="s">
        <v>15</v>
      </c>
      <c r="AG35" s="6" t="s">
        <v>15</v>
      </c>
      <c r="AH35" s="7" t="s">
        <v>15</v>
      </c>
      <c r="AI35" s="153" t="s">
        <v>15</v>
      </c>
      <c r="AJ35" s="6" t="s">
        <v>15</v>
      </c>
      <c r="AK35" s="7" t="s">
        <v>15</v>
      </c>
      <c r="AL35" s="153" t="s">
        <v>15</v>
      </c>
      <c r="AM35" s="6" t="s">
        <v>15</v>
      </c>
      <c r="AN35" s="148" t="s">
        <v>15</v>
      </c>
      <c r="AO35" s="7" t="s">
        <v>15</v>
      </c>
      <c r="AP35" s="7" t="s">
        <v>15</v>
      </c>
      <c r="AQ35" s="148" t="s">
        <v>15</v>
      </c>
      <c r="AR35" s="7" t="s">
        <v>15</v>
      </c>
      <c r="AS35" s="7" t="s">
        <v>15</v>
      </c>
      <c r="AT35" s="148" t="s">
        <v>15</v>
      </c>
      <c r="AU35" s="7" t="s">
        <v>15</v>
      </c>
      <c r="AV35" s="7" t="s">
        <v>15</v>
      </c>
      <c r="AW35" s="7"/>
      <c r="AX35" s="7"/>
      <c r="AY35" s="7"/>
      <c r="AZ35" s="92"/>
      <c r="BF35" s="160"/>
      <c r="BG35" s="160"/>
      <c r="BH35" s="160"/>
    </row>
    <row r="36" spans="1:60" ht="14.95" customHeight="1" thickBot="1" x14ac:dyDescent="0.3">
      <c r="A36" s="434" t="s">
        <v>73</v>
      </c>
      <c r="B36" s="435">
        <v>3</v>
      </c>
      <c r="C36" s="440">
        <v>1</v>
      </c>
      <c r="D36" s="436">
        <v>4</v>
      </c>
      <c r="E36" s="437">
        <f t="shared" si="0"/>
        <v>8</v>
      </c>
      <c r="F36" s="167" t="s">
        <v>73</v>
      </c>
      <c r="G36" s="142">
        <v>15</v>
      </c>
      <c r="H36" s="443">
        <v>5</v>
      </c>
      <c r="I36" s="397">
        <v>20</v>
      </c>
      <c r="J36" s="169">
        <f t="shared" si="1"/>
        <v>40</v>
      </c>
      <c r="K36" s="434" t="s">
        <v>894</v>
      </c>
      <c r="L36" s="437">
        <v>3</v>
      </c>
      <c r="M36" s="437">
        <v>6</v>
      </c>
      <c r="N36" s="438">
        <f t="shared" ref="N36" si="15">SUM(L36/M36)*100</f>
        <v>50</v>
      </c>
      <c r="O36" s="7" t="s">
        <v>15</v>
      </c>
      <c r="P36" s="153" t="s">
        <v>15</v>
      </c>
      <c r="Q36" s="6" t="s">
        <v>15</v>
      </c>
      <c r="R36" s="7" t="s">
        <v>15</v>
      </c>
      <c r="S36" s="153" t="s">
        <v>15</v>
      </c>
      <c r="T36" s="6" t="s">
        <v>15</v>
      </c>
      <c r="U36" s="7" t="s">
        <v>15</v>
      </c>
      <c r="V36" s="153" t="s">
        <v>15</v>
      </c>
      <c r="W36" s="6" t="s">
        <v>15</v>
      </c>
      <c r="AB36" s="148" t="s">
        <v>15</v>
      </c>
      <c r="AC36" s="153" t="s">
        <v>15</v>
      </c>
      <c r="AD36" s="6" t="s">
        <v>15</v>
      </c>
      <c r="AE36" s="148" t="s">
        <v>15</v>
      </c>
      <c r="AF36" s="153" t="s">
        <v>15</v>
      </c>
      <c r="AG36" s="6" t="s">
        <v>15</v>
      </c>
      <c r="AH36" s="6" t="s">
        <v>15</v>
      </c>
      <c r="AI36" s="153" t="s">
        <v>15</v>
      </c>
      <c r="AJ36" s="6" t="s">
        <v>15</v>
      </c>
      <c r="AK36" s="7" t="s">
        <v>15</v>
      </c>
      <c r="AL36" s="153" t="s">
        <v>15</v>
      </c>
      <c r="AM36" s="6" t="s">
        <v>15</v>
      </c>
      <c r="AN36" s="7" t="s">
        <v>15</v>
      </c>
      <c r="AO36" s="153" t="s">
        <v>15</v>
      </c>
      <c r="AP36" s="6" t="s">
        <v>15</v>
      </c>
      <c r="AQ36" s="7" t="s">
        <v>15</v>
      </c>
      <c r="AR36" s="153" t="s">
        <v>15</v>
      </c>
      <c r="AS36" s="6" t="s">
        <v>15</v>
      </c>
      <c r="AT36" s="7" t="s">
        <v>15</v>
      </c>
      <c r="AU36" s="153" t="s">
        <v>15</v>
      </c>
      <c r="AV36" s="6" t="s">
        <v>15</v>
      </c>
      <c r="AW36" s="7" t="s">
        <v>15</v>
      </c>
      <c r="AX36" s="153" t="s">
        <v>15</v>
      </c>
      <c r="AY36" s="6" t="s">
        <v>15</v>
      </c>
      <c r="AZ36" s="92"/>
      <c r="BF36" s="160"/>
      <c r="BG36" s="160"/>
      <c r="BH36" s="160"/>
    </row>
    <row r="37" spans="1:60" ht="14.95" customHeight="1" thickBot="1" x14ac:dyDescent="0.3">
      <c r="A37" s="434" t="s">
        <v>895</v>
      </c>
      <c r="B37" s="435">
        <v>1</v>
      </c>
      <c r="C37" s="440">
        <v>4</v>
      </c>
      <c r="D37" s="436">
        <v>3</v>
      </c>
      <c r="E37" s="437">
        <f t="shared" si="0"/>
        <v>8</v>
      </c>
      <c r="F37" s="167" t="s">
        <v>895</v>
      </c>
      <c r="G37" s="142">
        <v>92</v>
      </c>
      <c r="H37" s="443">
        <v>53</v>
      </c>
      <c r="I37" s="397">
        <v>40</v>
      </c>
      <c r="J37" s="169">
        <f t="shared" si="1"/>
        <v>185</v>
      </c>
      <c r="K37" s="434" t="s">
        <v>294</v>
      </c>
      <c r="L37" s="437">
        <v>2</v>
      </c>
      <c r="M37" s="437">
        <v>3</v>
      </c>
      <c r="N37" s="438">
        <f t="shared" ref="N37" si="16">SUM(L37/M37)*100</f>
        <v>66.666666666666657</v>
      </c>
      <c r="O37" s="7">
        <v>2</v>
      </c>
      <c r="P37" s="153">
        <v>2</v>
      </c>
      <c r="Q37" s="6">
        <v>100</v>
      </c>
      <c r="R37" s="7" t="s">
        <v>15</v>
      </c>
      <c r="S37" s="153" t="s">
        <v>15</v>
      </c>
      <c r="T37" s="6" t="s">
        <v>15</v>
      </c>
      <c r="U37" s="7" t="s">
        <v>15</v>
      </c>
      <c r="V37" s="153" t="s">
        <v>15</v>
      </c>
      <c r="W37" s="6" t="s">
        <v>15</v>
      </c>
      <c r="AB37" s="148" t="s">
        <v>15</v>
      </c>
      <c r="AC37" s="153" t="s">
        <v>15</v>
      </c>
      <c r="AD37" s="6" t="s">
        <v>15</v>
      </c>
      <c r="AE37" s="148">
        <v>14</v>
      </c>
      <c r="AF37" s="153">
        <v>20</v>
      </c>
      <c r="AG37" s="6">
        <v>70</v>
      </c>
      <c r="AH37" s="6">
        <v>2</v>
      </c>
      <c r="AI37" s="153">
        <v>4</v>
      </c>
      <c r="AJ37" s="6">
        <v>50</v>
      </c>
      <c r="AK37" s="7" t="s">
        <v>15</v>
      </c>
      <c r="AL37" s="153" t="s">
        <v>15</v>
      </c>
      <c r="AM37" s="6" t="s">
        <v>15</v>
      </c>
      <c r="AN37" s="7">
        <v>12</v>
      </c>
      <c r="AO37" s="153">
        <v>20</v>
      </c>
      <c r="AP37" s="6">
        <v>60</v>
      </c>
      <c r="AQ37" s="7" t="s">
        <v>15</v>
      </c>
      <c r="AR37" s="153" t="s">
        <v>15</v>
      </c>
      <c r="AS37" s="6" t="s">
        <v>15</v>
      </c>
      <c r="AT37" s="7" t="s">
        <v>15</v>
      </c>
      <c r="AU37" s="153" t="s">
        <v>15</v>
      </c>
      <c r="AV37" s="6" t="s">
        <v>15</v>
      </c>
      <c r="AW37" s="7" t="s">
        <v>15</v>
      </c>
      <c r="AX37" s="153" t="s">
        <v>15</v>
      </c>
      <c r="AY37" s="6" t="s">
        <v>15</v>
      </c>
    </row>
    <row r="38" spans="1:60" ht="14.95" customHeight="1" thickBot="1" x14ac:dyDescent="0.3">
      <c r="A38" s="434" t="s">
        <v>74</v>
      </c>
      <c r="B38" s="435">
        <v>0</v>
      </c>
      <c r="C38" s="440">
        <v>0</v>
      </c>
      <c r="D38" s="436">
        <v>0</v>
      </c>
      <c r="E38" s="437">
        <f t="shared" si="0"/>
        <v>0</v>
      </c>
      <c r="F38" s="167" t="s">
        <v>74</v>
      </c>
      <c r="G38" s="142">
        <v>0</v>
      </c>
      <c r="H38" s="443">
        <v>0</v>
      </c>
      <c r="I38" s="397">
        <v>0</v>
      </c>
      <c r="J38" s="169">
        <f t="shared" si="1"/>
        <v>0</v>
      </c>
      <c r="K38" s="434" t="s">
        <v>63</v>
      </c>
      <c r="L38" s="437">
        <v>1</v>
      </c>
      <c r="M38" s="437">
        <v>2</v>
      </c>
      <c r="N38" s="438">
        <f t="shared" ref="N38" si="17">SUM(L38/M38)*100</f>
        <v>50</v>
      </c>
      <c r="O38" s="7" t="s">
        <v>15</v>
      </c>
      <c r="P38" s="153" t="s">
        <v>15</v>
      </c>
      <c r="Q38" s="6" t="s">
        <v>15</v>
      </c>
      <c r="R38" s="7" t="s">
        <v>15</v>
      </c>
      <c r="S38" s="153" t="s">
        <v>15</v>
      </c>
      <c r="T38" s="6" t="s">
        <v>15</v>
      </c>
      <c r="U38" s="7" t="s">
        <v>15</v>
      </c>
      <c r="V38" s="153" t="s">
        <v>15</v>
      </c>
      <c r="W38" s="6" t="s">
        <v>15</v>
      </c>
      <c r="AB38" s="148" t="s">
        <v>15</v>
      </c>
      <c r="AC38" s="153" t="s">
        <v>15</v>
      </c>
      <c r="AD38" s="6" t="s">
        <v>15</v>
      </c>
      <c r="AE38" s="148" t="s">
        <v>15</v>
      </c>
      <c r="AF38" s="153" t="s">
        <v>15</v>
      </c>
      <c r="AG38" s="6" t="s">
        <v>15</v>
      </c>
      <c r="AH38" s="6" t="s">
        <v>15</v>
      </c>
      <c r="AI38" s="153" t="s">
        <v>15</v>
      </c>
      <c r="AJ38" s="6" t="s">
        <v>15</v>
      </c>
      <c r="AK38" s="7" t="s">
        <v>15</v>
      </c>
      <c r="AL38" s="153" t="s">
        <v>15</v>
      </c>
      <c r="AM38" s="6" t="s">
        <v>15</v>
      </c>
      <c r="AN38" s="7" t="s">
        <v>15</v>
      </c>
      <c r="AO38" s="153" t="s">
        <v>15</v>
      </c>
      <c r="AP38" s="6" t="s">
        <v>15</v>
      </c>
      <c r="AQ38" s="7" t="s">
        <v>15</v>
      </c>
      <c r="AR38" s="153" t="s">
        <v>15</v>
      </c>
      <c r="AS38" s="6" t="s">
        <v>15</v>
      </c>
      <c r="AT38" s="7" t="s">
        <v>15</v>
      </c>
      <c r="AU38" s="153" t="s">
        <v>15</v>
      </c>
      <c r="AV38" s="6" t="s">
        <v>15</v>
      </c>
      <c r="AW38" s="7" t="s">
        <v>15</v>
      </c>
      <c r="AX38" s="153" t="s">
        <v>15</v>
      </c>
      <c r="AY38" s="6" t="s">
        <v>15</v>
      </c>
      <c r="AZ38" s="92"/>
    </row>
    <row r="39" spans="1:60" ht="14.95" customHeight="1" thickBot="1" x14ac:dyDescent="0.3">
      <c r="A39" s="434" t="s">
        <v>22</v>
      </c>
      <c r="B39" s="435">
        <v>1</v>
      </c>
      <c r="C39" s="440">
        <v>0</v>
      </c>
      <c r="D39" s="436">
        <v>0</v>
      </c>
      <c r="E39" s="437">
        <f t="shared" si="0"/>
        <v>1</v>
      </c>
      <c r="F39" s="167" t="s">
        <v>22</v>
      </c>
      <c r="G39" s="142">
        <v>5</v>
      </c>
      <c r="H39" s="443">
        <v>0</v>
      </c>
      <c r="I39" s="397">
        <v>0</v>
      </c>
      <c r="J39" s="169">
        <f t="shared" si="1"/>
        <v>5</v>
      </c>
      <c r="K39" s="474" t="s">
        <v>985</v>
      </c>
      <c r="L39" s="477"/>
      <c r="M39" s="477"/>
      <c r="N39" s="477"/>
      <c r="O39" s="477"/>
      <c r="P39" s="477"/>
      <c r="Q39" s="477"/>
      <c r="R39" s="477"/>
      <c r="S39" s="477"/>
      <c r="T39" s="477"/>
      <c r="U39" s="477"/>
      <c r="V39" s="477"/>
      <c r="W39" s="477"/>
      <c r="X39" s="477"/>
      <c r="Y39" s="477"/>
      <c r="Z39" s="477"/>
      <c r="AA39" s="477"/>
      <c r="AB39" s="542" t="s">
        <v>1009</v>
      </c>
      <c r="AC39" s="543"/>
      <c r="AD39" s="543"/>
      <c r="AE39" s="543"/>
      <c r="AF39" s="543"/>
      <c r="AG39" s="543"/>
      <c r="AH39" s="543"/>
      <c r="AI39" s="543"/>
      <c r="AJ39" s="543"/>
      <c r="AK39" s="543"/>
      <c r="AL39" s="543"/>
      <c r="AM39" s="543"/>
      <c r="AN39" s="543"/>
      <c r="AO39" s="543"/>
      <c r="AP39" s="543"/>
      <c r="AQ39" s="543"/>
      <c r="AR39" s="543"/>
      <c r="AS39" s="543"/>
      <c r="AT39" s="543"/>
      <c r="AU39" s="543"/>
      <c r="AV39" s="543"/>
      <c r="AW39" s="543"/>
      <c r="AX39" s="543"/>
      <c r="AY39" s="543"/>
      <c r="AZ39" s="543"/>
      <c r="BA39" s="543"/>
      <c r="BB39" s="543"/>
    </row>
    <row r="40" spans="1:60" ht="14.95" customHeight="1" thickBot="1" x14ac:dyDescent="0.3">
      <c r="A40" s="434" t="s">
        <v>193</v>
      </c>
      <c r="B40" s="435">
        <v>4</v>
      </c>
      <c r="C40" s="440">
        <v>0</v>
      </c>
      <c r="D40" s="436">
        <v>0</v>
      </c>
      <c r="E40" s="437">
        <f t="shared" si="0"/>
        <v>4</v>
      </c>
      <c r="F40" s="167" t="s">
        <v>193</v>
      </c>
      <c r="G40" s="142">
        <v>20</v>
      </c>
      <c r="H40" s="443">
        <v>0</v>
      </c>
      <c r="I40" s="397">
        <v>0</v>
      </c>
      <c r="J40" s="169">
        <f t="shared" si="1"/>
        <v>20</v>
      </c>
      <c r="K40" s="474" t="s">
        <v>1120</v>
      </c>
      <c r="L40" s="477"/>
      <c r="M40" s="477"/>
      <c r="N40" s="477"/>
      <c r="O40" s="477"/>
      <c r="P40" s="477"/>
      <c r="Q40" s="477"/>
      <c r="R40" s="477"/>
      <c r="S40" s="477"/>
      <c r="T40" s="477"/>
      <c r="U40" s="477"/>
      <c r="V40" s="477"/>
      <c r="W40" s="477"/>
      <c r="AZ40" s="160"/>
      <c r="BA40" s="160"/>
      <c r="BB40" s="160"/>
    </row>
    <row r="41" spans="1:60" ht="14.95" customHeight="1" thickBot="1" x14ac:dyDescent="0.3">
      <c r="A41" s="434" t="s">
        <v>960</v>
      </c>
      <c r="B41" s="435">
        <v>0</v>
      </c>
      <c r="C41" s="440">
        <v>0</v>
      </c>
      <c r="D41" s="436">
        <v>0</v>
      </c>
      <c r="E41" s="437">
        <f t="shared" si="0"/>
        <v>0</v>
      </c>
      <c r="F41" s="167" t="s">
        <v>960</v>
      </c>
      <c r="G41" s="142">
        <v>0</v>
      </c>
      <c r="H41" s="443">
        <v>0</v>
      </c>
      <c r="I41" s="397">
        <v>0</v>
      </c>
      <c r="J41" s="169">
        <f t="shared" si="1"/>
        <v>0</v>
      </c>
      <c r="K41" s="474" t="s">
        <v>21</v>
      </c>
      <c r="L41" s="477"/>
      <c r="M41" s="477"/>
      <c r="N41" s="477"/>
      <c r="O41" s="477"/>
      <c r="P41" s="477"/>
      <c r="Q41" s="477"/>
      <c r="R41" s="477"/>
      <c r="S41" s="477"/>
      <c r="T41" s="477"/>
      <c r="U41" s="477"/>
      <c r="V41" s="477"/>
      <c r="W41" s="477"/>
      <c r="AZ41" s="160"/>
      <c r="BA41" s="160"/>
      <c r="BB41" s="160"/>
      <c r="BC41" s="541"/>
      <c r="BD41" s="541"/>
      <c r="BE41" s="541"/>
    </row>
    <row r="42" spans="1:60" ht="14.95" customHeight="1" thickBot="1" x14ac:dyDescent="0.3">
      <c r="A42" s="434" t="s">
        <v>561</v>
      </c>
      <c r="B42" s="435">
        <v>0</v>
      </c>
      <c r="C42" s="440">
        <v>0</v>
      </c>
      <c r="D42" s="436">
        <v>1</v>
      </c>
      <c r="E42" s="437">
        <f t="shared" si="0"/>
        <v>1</v>
      </c>
      <c r="F42" s="167" t="s">
        <v>561</v>
      </c>
      <c r="G42" s="142">
        <v>0</v>
      </c>
      <c r="H42" s="443">
        <v>0</v>
      </c>
      <c r="I42" s="397">
        <v>5</v>
      </c>
      <c r="J42" s="169">
        <f t="shared" si="1"/>
        <v>5</v>
      </c>
      <c r="AW42" s="160"/>
      <c r="AX42" s="160"/>
      <c r="AY42" s="160"/>
      <c r="BC42" s="541"/>
      <c r="BD42" s="541"/>
      <c r="BE42" s="541"/>
    </row>
    <row r="43" spans="1:60" ht="14.95" customHeight="1" thickBot="1" x14ac:dyDescent="0.3">
      <c r="A43" s="434" t="s">
        <v>961</v>
      </c>
      <c r="B43" s="435">
        <v>2</v>
      </c>
      <c r="C43" s="440">
        <v>0</v>
      </c>
      <c r="D43" s="436">
        <v>0</v>
      </c>
      <c r="E43" s="437">
        <f t="shared" si="0"/>
        <v>2</v>
      </c>
      <c r="F43" s="167" t="s">
        <v>961</v>
      </c>
      <c r="G43" s="142">
        <v>10</v>
      </c>
      <c r="H43" s="443">
        <v>0</v>
      </c>
      <c r="I43" s="397">
        <v>0</v>
      </c>
      <c r="J43" s="169">
        <f t="shared" si="1"/>
        <v>10</v>
      </c>
      <c r="AW43" s="86"/>
      <c r="AX43" s="86"/>
      <c r="AY43" s="86"/>
      <c r="BC43" s="86"/>
      <c r="BD43" s="86"/>
      <c r="BE43" s="86"/>
    </row>
    <row r="44" spans="1:60" ht="14.95" customHeight="1" thickBot="1" x14ac:dyDescent="0.3">
      <c r="A44" s="434" t="s">
        <v>797</v>
      </c>
      <c r="B44" s="435">
        <v>0</v>
      </c>
      <c r="C44" s="440">
        <v>0</v>
      </c>
      <c r="D44" s="436">
        <v>1</v>
      </c>
      <c r="E44" s="437">
        <f t="shared" si="0"/>
        <v>1</v>
      </c>
      <c r="F44" s="167" t="s">
        <v>797</v>
      </c>
      <c r="G44" s="142">
        <v>0</v>
      </c>
      <c r="H44" s="443">
        <v>0</v>
      </c>
      <c r="I44" s="397">
        <v>5</v>
      </c>
      <c r="J44" s="169">
        <f t="shared" si="1"/>
        <v>5</v>
      </c>
      <c r="AW44" s="86"/>
      <c r="AX44" s="86"/>
      <c r="AY44" s="86"/>
      <c r="BC44" s="86"/>
      <c r="BD44" s="86"/>
      <c r="BE44" s="86"/>
    </row>
    <row r="45" spans="1:60" ht="14.95" customHeight="1" thickBot="1" x14ac:dyDescent="0.3">
      <c r="A45" s="434" t="s">
        <v>894</v>
      </c>
      <c r="B45" s="435">
        <v>0</v>
      </c>
      <c r="C45" s="440">
        <v>0</v>
      </c>
      <c r="D45" s="436">
        <v>0</v>
      </c>
      <c r="E45" s="437">
        <f t="shared" si="0"/>
        <v>0</v>
      </c>
      <c r="F45" s="167" t="s">
        <v>894</v>
      </c>
      <c r="G45" s="142">
        <v>0</v>
      </c>
      <c r="H45" s="443">
        <v>2</v>
      </c>
      <c r="I45" s="397">
        <v>7</v>
      </c>
      <c r="J45" s="169">
        <f t="shared" si="1"/>
        <v>9</v>
      </c>
      <c r="AW45" s="86"/>
      <c r="AX45" s="86"/>
      <c r="AY45" s="173"/>
      <c r="BC45" s="86"/>
      <c r="BD45" s="86"/>
      <c r="BE45" s="173"/>
    </row>
    <row r="46" spans="1:60" ht="14.95" thickBot="1" x14ac:dyDescent="0.3">
      <c r="A46" s="434" t="s">
        <v>795</v>
      </c>
      <c r="B46" s="435">
        <v>0</v>
      </c>
      <c r="C46" s="440">
        <v>0</v>
      </c>
      <c r="D46" s="436">
        <v>2</v>
      </c>
      <c r="E46" s="437">
        <f t="shared" si="0"/>
        <v>2</v>
      </c>
      <c r="F46" s="167" t="s">
        <v>795</v>
      </c>
      <c r="G46" s="142">
        <v>0</v>
      </c>
      <c r="H46" s="443">
        <v>0</v>
      </c>
      <c r="I46" s="397">
        <v>10</v>
      </c>
      <c r="J46" s="169">
        <f t="shared" si="1"/>
        <v>10</v>
      </c>
      <c r="AW46" s="86"/>
      <c r="AX46" s="86"/>
      <c r="AY46" s="173"/>
      <c r="BC46" s="86"/>
      <c r="BD46" s="86"/>
      <c r="BE46" s="173"/>
    </row>
    <row r="47" spans="1:60" ht="14.95" thickBot="1" x14ac:dyDescent="0.3">
      <c r="A47" s="434" t="s">
        <v>268</v>
      </c>
      <c r="B47" s="435">
        <v>3</v>
      </c>
      <c r="C47" s="440">
        <v>0</v>
      </c>
      <c r="D47" s="436">
        <v>0</v>
      </c>
      <c r="E47" s="437">
        <f t="shared" si="0"/>
        <v>3</v>
      </c>
      <c r="F47" s="167" t="s">
        <v>268</v>
      </c>
      <c r="G47" s="142">
        <v>15</v>
      </c>
      <c r="H47" s="443">
        <v>0</v>
      </c>
      <c r="I47" s="397">
        <v>0</v>
      </c>
      <c r="J47" s="169">
        <f t="shared" si="1"/>
        <v>15</v>
      </c>
      <c r="BC47" s="86"/>
      <c r="BD47" s="86"/>
      <c r="BE47" s="173"/>
    </row>
    <row r="48" spans="1:60" ht="14.95" thickBot="1" x14ac:dyDescent="0.3">
      <c r="A48" s="434" t="s">
        <v>656</v>
      </c>
      <c r="B48" s="435">
        <v>3</v>
      </c>
      <c r="C48" s="440">
        <v>2</v>
      </c>
      <c r="D48" s="436">
        <v>7</v>
      </c>
      <c r="E48" s="437">
        <f t="shared" si="0"/>
        <v>12</v>
      </c>
      <c r="F48" s="167" t="s">
        <v>656</v>
      </c>
      <c r="G48" s="142">
        <v>15</v>
      </c>
      <c r="H48" s="443">
        <v>10</v>
      </c>
      <c r="I48" s="397">
        <v>35</v>
      </c>
      <c r="J48" s="169">
        <f t="shared" si="1"/>
        <v>60</v>
      </c>
      <c r="BC48" s="86"/>
      <c r="BD48" s="86"/>
      <c r="BE48" s="86"/>
    </row>
    <row r="49" spans="1:10" ht="14.95" thickBot="1" x14ac:dyDescent="0.3">
      <c r="A49" s="434" t="s">
        <v>145</v>
      </c>
      <c r="B49" s="435">
        <v>2</v>
      </c>
      <c r="C49" s="440">
        <v>0</v>
      </c>
      <c r="D49" s="436">
        <v>0</v>
      </c>
      <c r="E49" s="437">
        <f t="shared" si="0"/>
        <v>2</v>
      </c>
      <c r="F49" s="167" t="s">
        <v>145</v>
      </c>
      <c r="G49" s="142">
        <v>10</v>
      </c>
      <c r="H49" s="443">
        <v>0</v>
      </c>
      <c r="I49" s="397">
        <v>0</v>
      </c>
      <c r="J49" s="169">
        <f t="shared" si="1"/>
        <v>10</v>
      </c>
    </row>
    <row r="50" spans="1:10" ht="14.95" thickBot="1" x14ac:dyDescent="0.3">
      <c r="A50" s="434" t="s">
        <v>294</v>
      </c>
      <c r="B50" s="435">
        <v>2</v>
      </c>
      <c r="C50" s="440">
        <v>0</v>
      </c>
      <c r="D50" s="436">
        <v>1</v>
      </c>
      <c r="E50" s="437">
        <f t="shared" ref="E50" si="18">SUM(B50:D50)</f>
        <v>3</v>
      </c>
      <c r="F50" s="167" t="s">
        <v>294</v>
      </c>
      <c r="G50" s="142">
        <v>10</v>
      </c>
      <c r="H50" s="443">
        <v>0</v>
      </c>
      <c r="I50" s="397">
        <v>9</v>
      </c>
      <c r="J50" s="169">
        <f t="shared" si="1"/>
        <v>19</v>
      </c>
    </row>
    <row r="51" spans="1:10" ht="14.95" thickBot="1" x14ac:dyDescent="0.3">
      <c r="A51" s="434" t="s">
        <v>5</v>
      </c>
      <c r="B51" s="435">
        <v>0</v>
      </c>
      <c r="C51" s="440">
        <v>0</v>
      </c>
      <c r="D51" s="436">
        <v>1</v>
      </c>
      <c r="E51" s="437">
        <f t="shared" si="0"/>
        <v>1</v>
      </c>
      <c r="F51" s="167" t="s">
        <v>5</v>
      </c>
      <c r="G51" s="142">
        <v>0</v>
      </c>
      <c r="H51" s="443">
        <v>0</v>
      </c>
      <c r="I51" s="397">
        <v>5</v>
      </c>
      <c r="J51" s="169">
        <f t="shared" si="1"/>
        <v>5</v>
      </c>
    </row>
    <row r="52" spans="1:10" ht="14.95" thickBot="1" x14ac:dyDescent="0.3">
      <c r="A52" s="434" t="s">
        <v>63</v>
      </c>
      <c r="B52" s="435">
        <v>0</v>
      </c>
      <c r="C52" s="440">
        <v>0</v>
      </c>
      <c r="D52" s="436">
        <v>0</v>
      </c>
      <c r="E52" s="437">
        <f t="shared" ref="E52" si="19">SUM(B52:D52)</f>
        <v>0</v>
      </c>
      <c r="F52" s="167" t="s">
        <v>63</v>
      </c>
      <c r="G52" s="142">
        <v>0</v>
      </c>
      <c r="H52" s="443">
        <v>2</v>
      </c>
      <c r="I52" s="397">
        <v>3</v>
      </c>
      <c r="J52" s="169">
        <f t="shared" ref="J52" si="20">SUM(G52:I52)</f>
        <v>5</v>
      </c>
    </row>
    <row r="53" spans="1:10" ht="14.95" thickBot="1" x14ac:dyDescent="0.3">
      <c r="A53" s="434" t="s">
        <v>3</v>
      </c>
      <c r="B53" s="435">
        <f>SUM(B3:B52)</f>
        <v>51</v>
      </c>
      <c r="C53" s="440">
        <f>SUM(C3:C52)</f>
        <v>19</v>
      </c>
      <c r="D53" s="436">
        <f>SUM(D3:D52)</f>
        <v>49</v>
      </c>
      <c r="E53" s="437">
        <f t="shared" si="0"/>
        <v>119</v>
      </c>
      <c r="F53" s="167" t="s">
        <v>3</v>
      </c>
      <c r="G53" s="142">
        <f>SUM(G3:G52)</f>
        <v>370</v>
      </c>
      <c r="H53" s="443">
        <f>SUM(H3:H52)</f>
        <v>132</v>
      </c>
      <c r="I53" s="397">
        <f>SUM(I3:I52)</f>
        <v>315</v>
      </c>
      <c r="J53" s="169">
        <f t="shared" si="1"/>
        <v>817</v>
      </c>
    </row>
    <row r="54" spans="1:10" x14ac:dyDescent="0.25">
      <c r="B54" s="66"/>
      <c r="C54" s="441"/>
      <c r="F54" s="37"/>
      <c r="G54" s="134"/>
      <c r="H54" s="444"/>
      <c r="I54" s="37"/>
      <c r="J54" s="37"/>
    </row>
    <row r="55" spans="1:10" ht="14.95" thickBot="1" x14ac:dyDescent="0.3">
      <c r="A55" t="s">
        <v>12</v>
      </c>
      <c r="B55" s="66"/>
      <c r="C55" s="441"/>
      <c r="F55" s="35"/>
      <c r="G55" s="133"/>
      <c r="H55" s="445"/>
      <c r="I55" s="35"/>
      <c r="J55" s="35"/>
    </row>
    <row r="56" spans="1:10" ht="14.95" thickBot="1" x14ac:dyDescent="0.3">
      <c r="A56" s="430" t="s">
        <v>0</v>
      </c>
      <c r="B56" s="431" t="s">
        <v>218</v>
      </c>
      <c r="C56" s="439" t="s">
        <v>30</v>
      </c>
      <c r="D56" s="432" t="s">
        <v>326</v>
      </c>
      <c r="E56" s="433" t="s">
        <v>1</v>
      </c>
      <c r="F56" s="165" t="s">
        <v>2</v>
      </c>
      <c r="G56" s="141" t="s">
        <v>218</v>
      </c>
      <c r="H56" s="442" t="s">
        <v>30</v>
      </c>
      <c r="I56" s="396" t="s">
        <v>326</v>
      </c>
      <c r="J56" s="168" t="s">
        <v>1</v>
      </c>
    </row>
    <row r="57" spans="1:10" ht="14.95" thickBot="1" x14ac:dyDescent="0.3">
      <c r="A57" s="434" t="s">
        <v>656</v>
      </c>
      <c r="B57" s="435">
        <v>3</v>
      </c>
      <c r="C57" s="440">
        <v>2</v>
      </c>
      <c r="D57" s="436">
        <v>7</v>
      </c>
      <c r="E57" s="437">
        <f t="shared" ref="E57:E88" si="21">SUM(B57:D57)</f>
        <v>12</v>
      </c>
      <c r="F57" s="166" t="s">
        <v>895</v>
      </c>
      <c r="G57" s="142">
        <v>92</v>
      </c>
      <c r="H57" s="443">
        <v>53</v>
      </c>
      <c r="I57" s="397">
        <v>40</v>
      </c>
      <c r="J57" s="169">
        <f t="shared" ref="J57:J88" si="22">SUM(G57:I57)</f>
        <v>185</v>
      </c>
    </row>
    <row r="58" spans="1:10" ht="14.95" thickBot="1" x14ac:dyDescent="0.3">
      <c r="A58" s="434" t="s">
        <v>245</v>
      </c>
      <c r="B58" s="435">
        <v>6</v>
      </c>
      <c r="C58" s="440">
        <v>3</v>
      </c>
      <c r="D58" s="436">
        <v>0</v>
      </c>
      <c r="E58" s="437">
        <f t="shared" si="21"/>
        <v>9</v>
      </c>
      <c r="F58" s="166" t="s">
        <v>656</v>
      </c>
      <c r="G58" s="142">
        <v>15</v>
      </c>
      <c r="H58" s="443">
        <v>10</v>
      </c>
      <c r="I58" s="397">
        <v>35</v>
      </c>
      <c r="J58" s="169">
        <f t="shared" si="22"/>
        <v>60</v>
      </c>
    </row>
    <row r="59" spans="1:10" ht="14.95" thickBot="1" x14ac:dyDescent="0.3">
      <c r="A59" s="434" t="s">
        <v>73</v>
      </c>
      <c r="B59" s="435">
        <v>3</v>
      </c>
      <c r="C59" s="440">
        <v>1</v>
      </c>
      <c r="D59" s="436">
        <v>4</v>
      </c>
      <c r="E59" s="437">
        <f t="shared" si="21"/>
        <v>8</v>
      </c>
      <c r="F59" s="166" t="s">
        <v>245</v>
      </c>
      <c r="G59" s="142">
        <v>30</v>
      </c>
      <c r="H59" s="443">
        <v>15</v>
      </c>
      <c r="I59" s="397">
        <v>0</v>
      </c>
      <c r="J59" s="169">
        <f t="shared" si="22"/>
        <v>45</v>
      </c>
    </row>
    <row r="60" spans="1:10" ht="14.95" thickBot="1" x14ac:dyDescent="0.3">
      <c r="A60" s="434" t="s">
        <v>895</v>
      </c>
      <c r="B60" s="435">
        <v>1</v>
      </c>
      <c r="C60" s="440">
        <v>4</v>
      </c>
      <c r="D60" s="436">
        <v>3</v>
      </c>
      <c r="E60" s="437">
        <f t="shared" si="21"/>
        <v>8</v>
      </c>
      <c r="F60" s="166" t="s">
        <v>73</v>
      </c>
      <c r="G60" s="142">
        <v>15</v>
      </c>
      <c r="H60" s="443">
        <v>5</v>
      </c>
      <c r="I60" s="397">
        <v>20</v>
      </c>
      <c r="J60" s="169">
        <f t="shared" si="22"/>
        <v>40</v>
      </c>
    </row>
    <row r="61" spans="1:10" ht="14.95" thickBot="1" x14ac:dyDescent="0.3">
      <c r="A61" s="434" t="s">
        <v>237</v>
      </c>
      <c r="B61" s="435">
        <v>3</v>
      </c>
      <c r="C61" s="440">
        <v>1</v>
      </c>
      <c r="D61" s="436">
        <v>3</v>
      </c>
      <c r="E61" s="437">
        <f t="shared" si="21"/>
        <v>7</v>
      </c>
      <c r="F61" s="166" t="s">
        <v>279</v>
      </c>
      <c r="G61" s="142">
        <v>18</v>
      </c>
      <c r="H61" s="443">
        <v>0</v>
      </c>
      <c r="I61" s="397">
        <v>20</v>
      </c>
      <c r="J61" s="169">
        <f t="shared" si="22"/>
        <v>38</v>
      </c>
    </row>
    <row r="62" spans="1:10" ht="14.95" thickBot="1" x14ac:dyDescent="0.3">
      <c r="A62" s="434" t="s">
        <v>893</v>
      </c>
      <c r="B62" s="435">
        <v>3</v>
      </c>
      <c r="C62" s="440">
        <v>1</v>
      </c>
      <c r="D62" s="436">
        <v>3</v>
      </c>
      <c r="E62" s="437">
        <f t="shared" si="21"/>
        <v>7</v>
      </c>
      <c r="F62" s="166" t="s">
        <v>237</v>
      </c>
      <c r="G62" s="142">
        <v>15</v>
      </c>
      <c r="H62" s="443">
        <v>5</v>
      </c>
      <c r="I62" s="397">
        <v>15</v>
      </c>
      <c r="J62" s="169">
        <f t="shared" si="22"/>
        <v>35</v>
      </c>
    </row>
    <row r="63" spans="1:10" ht="14.95" thickBot="1" x14ac:dyDescent="0.3">
      <c r="A63" s="434" t="s">
        <v>957</v>
      </c>
      <c r="B63" s="435">
        <v>3</v>
      </c>
      <c r="C63" s="440">
        <v>0</v>
      </c>
      <c r="D63" s="436">
        <v>1</v>
      </c>
      <c r="E63" s="437">
        <f t="shared" si="21"/>
        <v>4</v>
      </c>
      <c r="F63" s="166" t="s">
        <v>893</v>
      </c>
      <c r="G63" s="142">
        <v>15</v>
      </c>
      <c r="H63" s="443">
        <v>5</v>
      </c>
      <c r="I63" s="397">
        <v>15</v>
      </c>
      <c r="J63" s="169">
        <f t="shared" si="22"/>
        <v>35</v>
      </c>
    </row>
    <row r="64" spans="1:10" ht="14.95" thickBot="1" x14ac:dyDescent="0.3">
      <c r="A64" s="434" t="s">
        <v>366</v>
      </c>
      <c r="B64" s="435">
        <v>0</v>
      </c>
      <c r="C64" s="440">
        <v>1</v>
      </c>
      <c r="D64" s="436">
        <v>3</v>
      </c>
      <c r="E64" s="437">
        <f t="shared" si="21"/>
        <v>4</v>
      </c>
      <c r="F64" s="166" t="s">
        <v>958</v>
      </c>
      <c r="G64" s="142">
        <v>18</v>
      </c>
      <c r="H64" s="443">
        <v>0</v>
      </c>
      <c r="I64" s="397">
        <v>17</v>
      </c>
      <c r="J64" s="169">
        <f t="shared" si="22"/>
        <v>35</v>
      </c>
    </row>
    <row r="65" spans="1:10" ht="14.95" thickBot="1" x14ac:dyDescent="0.3">
      <c r="A65" s="434" t="s">
        <v>654</v>
      </c>
      <c r="B65" s="435">
        <v>2</v>
      </c>
      <c r="C65" s="440">
        <v>1</v>
      </c>
      <c r="D65" s="436">
        <v>1</v>
      </c>
      <c r="E65" s="437">
        <f t="shared" si="21"/>
        <v>4</v>
      </c>
      <c r="F65" s="166" t="s">
        <v>4</v>
      </c>
      <c r="G65" s="142">
        <v>7</v>
      </c>
      <c r="H65" s="443">
        <v>0</v>
      </c>
      <c r="I65" s="397">
        <v>14</v>
      </c>
      <c r="J65" s="169">
        <f t="shared" si="22"/>
        <v>21</v>
      </c>
    </row>
    <row r="66" spans="1:10" ht="14.95" thickBot="1" x14ac:dyDescent="0.3">
      <c r="A66" s="434" t="s">
        <v>193</v>
      </c>
      <c r="B66" s="435">
        <v>4</v>
      </c>
      <c r="C66" s="440">
        <v>0</v>
      </c>
      <c r="D66" s="436">
        <v>0</v>
      </c>
      <c r="E66" s="437">
        <f t="shared" si="21"/>
        <v>4</v>
      </c>
      <c r="F66" s="166" t="s">
        <v>957</v>
      </c>
      <c r="G66" s="142">
        <v>15</v>
      </c>
      <c r="H66" s="443">
        <v>0</v>
      </c>
      <c r="I66" s="397">
        <v>5</v>
      </c>
      <c r="J66" s="169">
        <f t="shared" si="22"/>
        <v>20</v>
      </c>
    </row>
    <row r="67" spans="1:10" ht="14.95" thickBot="1" x14ac:dyDescent="0.3">
      <c r="A67" s="434" t="s">
        <v>279</v>
      </c>
      <c r="B67" s="435">
        <v>2</v>
      </c>
      <c r="C67" s="440">
        <v>0</v>
      </c>
      <c r="D67" s="436">
        <v>1</v>
      </c>
      <c r="E67" s="437">
        <f t="shared" si="21"/>
        <v>3</v>
      </c>
      <c r="F67" s="166" t="s">
        <v>366</v>
      </c>
      <c r="G67" s="142">
        <v>0</v>
      </c>
      <c r="H67" s="443">
        <v>5</v>
      </c>
      <c r="I67" s="397">
        <v>15</v>
      </c>
      <c r="J67" s="169">
        <f t="shared" si="22"/>
        <v>20</v>
      </c>
    </row>
    <row r="68" spans="1:10" ht="14.95" thickBot="1" x14ac:dyDescent="0.3">
      <c r="A68" s="434" t="s">
        <v>489</v>
      </c>
      <c r="B68" s="435">
        <v>1</v>
      </c>
      <c r="C68" s="440">
        <v>1</v>
      </c>
      <c r="D68" s="436">
        <v>1</v>
      </c>
      <c r="E68" s="437">
        <f t="shared" si="21"/>
        <v>3</v>
      </c>
      <c r="F68" s="167" t="s">
        <v>654</v>
      </c>
      <c r="G68" s="142">
        <v>10</v>
      </c>
      <c r="H68" s="443">
        <v>5</v>
      </c>
      <c r="I68" s="397">
        <v>5</v>
      </c>
      <c r="J68" s="169">
        <f t="shared" si="22"/>
        <v>20</v>
      </c>
    </row>
    <row r="69" spans="1:10" ht="14.95" thickBot="1" x14ac:dyDescent="0.3">
      <c r="A69" s="434" t="s">
        <v>206</v>
      </c>
      <c r="B69" s="435">
        <v>2</v>
      </c>
      <c r="C69" s="440">
        <v>1</v>
      </c>
      <c r="D69" s="436">
        <v>0</v>
      </c>
      <c r="E69" s="437">
        <f t="shared" si="21"/>
        <v>3</v>
      </c>
      <c r="F69" s="167" t="s">
        <v>193</v>
      </c>
      <c r="G69" s="142">
        <v>20</v>
      </c>
      <c r="H69" s="443">
        <v>0</v>
      </c>
      <c r="I69" s="397">
        <v>0</v>
      </c>
      <c r="J69" s="169">
        <f t="shared" si="22"/>
        <v>20</v>
      </c>
    </row>
    <row r="70" spans="1:10" ht="14.95" thickBot="1" x14ac:dyDescent="0.3">
      <c r="A70" s="434" t="s">
        <v>404</v>
      </c>
      <c r="B70" s="435">
        <v>1</v>
      </c>
      <c r="C70" s="440">
        <v>1</v>
      </c>
      <c r="D70" s="436">
        <v>1</v>
      </c>
      <c r="E70" s="437">
        <f t="shared" si="21"/>
        <v>3</v>
      </c>
      <c r="F70" s="167" t="s">
        <v>294</v>
      </c>
      <c r="G70" s="142">
        <v>10</v>
      </c>
      <c r="H70" s="443">
        <v>0</v>
      </c>
      <c r="I70" s="397">
        <v>9</v>
      </c>
      <c r="J70" s="169">
        <f t="shared" si="22"/>
        <v>19</v>
      </c>
    </row>
    <row r="71" spans="1:10" ht="14.95" thickBot="1" x14ac:dyDescent="0.3">
      <c r="A71" s="434" t="s">
        <v>4</v>
      </c>
      <c r="B71" s="435">
        <v>1</v>
      </c>
      <c r="C71" s="440">
        <v>0</v>
      </c>
      <c r="D71" s="436">
        <v>2</v>
      </c>
      <c r="E71" s="437">
        <f t="shared" si="21"/>
        <v>3</v>
      </c>
      <c r="F71" s="167" t="s">
        <v>489</v>
      </c>
      <c r="G71" s="142">
        <v>5</v>
      </c>
      <c r="H71" s="443">
        <v>5</v>
      </c>
      <c r="I71" s="397">
        <v>5</v>
      </c>
      <c r="J71" s="169">
        <f t="shared" si="22"/>
        <v>15</v>
      </c>
    </row>
    <row r="72" spans="1:10" ht="14.95" thickBot="1" x14ac:dyDescent="0.3">
      <c r="A72" s="434" t="s">
        <v>268</v>
      </c>
      <c r="B72" s="435">
        <v>3</v>
      </c>
      <c r="C72" s="440">
        <v>0</v>
      </c>
      <c r="D72" s="436">
        <v>0</v>
      </c>
      <c r="E72" s="437">
        <f t="shared" si="21"/>
        <v>3</v>
      </c>
      <c r="F72" s="167" t="s">
        <v>206</v>
      </c>
      <c r="G72" s="142">
        <v>10</v>
      </c>
      <c r="H72" s="443">
        <v>5</v>
      </c>
      <c r="I72" s="397">
        <v>0</v>
      </c>
      <c r="J72" s="169">
        <f t="shared" si="22"/>
        <v>15</v>
      </c>
    </row>
    <row r="73" spans="1:10" ht="14.95" thickBot="1" x14ac:dyDescent="0.3">
      <c r="A73" s="434" t="s">
        <v>294</v>
      </c>
      <c r="B73" s="435">
        <v>2</v>
      </c>
      <c r="C73" s="440">
        <v>0</v>
      </c>
      <c r="D73" s="436">
        <v>1</v>
      </c>
      <c r="E73" s="437">
        <f t="shared" si="21"/>
        <v>3</v>
      </c>
      <c r="F73" s="167" t="s">
        <v>404</v>
      </c>
      <c r="G73" s="142">
        <v>5</v>
      </c>
      <c r="H73" s="443">
        <v>5</v>
      </c>
      <c r="I73" s="397">
        <v>5</v>
      </c>
      <c r="J73" s="169">
        <f t="shared" si="22"/>
        <v>15</v>
      </c>
    </row>
    <row r="74" spans="1:10" ht="14.95" thickBot="1" x14ac:dyDescent="0.3">
      <c r="A74" s="434" t="s">
        <v>660</v>
      </c>
      <c r="B74" s="435">
        <v>0</v>
      </c>
      <c r="C74" s="440">
        <v>0</v>
      </c>
      <c r="D74" s="436">
        <v>2</v>
      </c>
      <c r="E74" s="437">
        <f t="shared" si="21"/>
        <v>2</v>
      </c>
      <c r="F74" s="167" t="s">
        <v>268</v>
      </c>
      <c r="G74" s="142">
        <v>15</v>
      </c>
      <c r="H74" s="443">
        <v>0</v>
      </c>
      <c r="I74" s="397">
        <v>0</v>
      </c>
      <c r="J74" s="169">
        <f t="shared" si="22"/>
        <v>15</v>
      </c>
    </row>
    <row r="75" spans="1:10" ht="14.95" thickBot="1" x14ac:dyDescent="0.3">
      <c r="A75" s="434" t="s">
        <v>277</v>
      </c>
      <c r="B75" s="435">
        <v>1</v>
      </c>
      <c r="C75" s="440">
        <v>1</v>
      </c>
      <c r="D75" s="436">
        <v>0</v>
      </c>
      <c r="E75" s="437">
        <f t="shared" si="21"/>
        <v>2</v>
      </c>
      <c r="F75" s="167" t="s">
        <v>660</v>
      </c>
      <c r="G75" s="142">
        <v>0</v>
      </c>
      <c r="H75" s="443">
        <v>0</v>
      </c>
      <c r="I75" s="397">
        <v>10</v>
      </c>
      <c r="J75" s="169">
        <f t="shared" si="22"/>
        <v>10</v>
      </c>
    </row>
    <row r="76" spans="1:10" ht="14.95" thickBot="1" x14ac:dyDescent="0.3">
      <c r="A76" s="434" t="s">
        <v>252</v>
      </c>
      <c r="B76" s="435">
        <v>0</v>
      </c>
      <c r="C76" s="440">
        <v>0</v>
      </c>
      <c r="D76" s="436">
        <v>2</v>
      </c>
      <c r="E76" s="437">
        <f t="shared" si="21"/>
        <v>2</v>
      </c>
      <c r="F76" s="167" t="s">
        <v>277</v>
      </c>
      <c r="G76" s="142">
        <v>5</v>
      </c>
      <c r="H76" s="443">
        <v>5</v>
      </c>
      <c r="I76" s="397">
        <v>0</v>
      </c>
      <c r="J76" s="169">
        <f t="shared" si="22"/>
        <v>10</v>
      </c>
    </row>
    <row r="77" spans="1:10" ht="14.95" thickBot="1" x14ac:dyDescent="0.3">
      <c r="A77" s="434" t="s">
        <v>361</v>
      </c>
      <c r="B77" s="435">
        <v>2</v>
      </c>
      <c r="C77" s="440">
        <v>0</v>
      </c>
      <c r="D77" s="436">
        <v>0</v>
      </c>
      <c r="E77" s="437">
        <f t="shared" si="21"/>
        <v>2</v>
      </c>
      <c r="F77" s="167" t="s">
        <v>252</v>
      </c>
      <c r="G77" s="142">
        <v>0</v>
      </c>
      <c r="H77" s="443">
        <v>0</v>
      </c>
      <c r="I77" s="397">
        <v>10</v>
      </c>
      <c r="J77" s="169">
        <f t="shared" si="22"/>
        <v>10</v>
      </c>
    </row>
    <row r="78" spans="1:10" ht="14.95" thickBot="1" x14ac:dyDescent="0.3">
      <c r="A78" s="434" t="s">
        <v>963</v>
      </c>
      <c r="B78" s="435">
        <v>0</v>
      </c>
      <c r="C78" s="440">
        <v>0</v>
      </c>
      <c r="D78" s="436">
        <v>2</v>
      </c>
      <c r="E78" s="437">
        <f t="shared" si="21"/>
        <v>2</v>
      </c>
      <c r="F78" s="167" t="s">
        <v>361</v>
      </c>
      <c r="G78" s="142">
        <v>10</v>
      </c>
      <c r="H78" s="443">
        <v>0</v>
      </c>
      <c r="I78" s="397">
        <v>0</v>
      </c>
      <c r="J78" s="169">
        <f t="shared" si="22"/>
        <v>10</v>
      </c>
    </row>
    <row r="79" spans="1:10" ht="14.95" thickBot="1" x14ac:dyDescent="0.3">
      <c r="A79" s="434" t="s">
        <v>208</v>
      </c>
      <c r="B79" s="435">
        <v>1</v>
      </c>
      <c r="C79" s="440">
        <v>0</v>
      </c>
      <c r="D79" s="436">
        <v>1</v>
      </c>
      <c r="E79" s="437">
        <f t="shared" si="21"/>
        <v>2</v>
      </c>
      <c r="F79" s="167" t="s">
        <v>963</v>
      </c>
      <c r="G79" s="142">
        <v>0</v>
      </c>
      <c r="H79" s="443">
        <v>0</v>
      </c>
      <c r="I79" s="397">
        <v>10</v>
      </c>
      <c r="J79" s="169">
        <f t="shared" si="22"/>
        <v>10</v>
      </c>
    </row>
    <row r="80" spans="1:10" ht="14.95" thickBot="1" x14ac:dyDescent="0.3">
      <c r="A80" s="434" t="s">
        <v>437</v>
      </c>
      <c r="B80" s="435">
        <v>0</v>
      </c>
      <c r="C80" s="440">
        <v>0</v>
      </c>
      <c r="D80" s="436">
        <v>2</v>
      </c>
      <c r="E80" s="437">
        <f t="shared" si="21"/>
        <v>2</v>
      </c>
      <c r="F80" s="167" t="s">
        <v>208</v>
      </c>
      <c r="G80" s="142">
        <v>5</v>
      </c>
      <c r="H80" s="443">
        <v>0</v>
      </c>
      <c r="I80" s="397">
        <v>5</v>
      </c>
      <c r="J80" s="169">
        <f t="shared" si="22"/>
        <v>10</v>
      </c>
    </row>
    <row r="81" spans="1:10" ht="14.95" thickBot="1" x14ac:dyDescent="0.3">
      <c r="A81" s="434" t="s">
        <v>961</v>
      </c>
      <c r="B81" s="435">
        <v>2</v>
      </c>
      <c r="C81" s="440">
        <v>0</v>
      </c>
      <c r="D81" s="436">
        <v>0</v>
      </c>
      <c r="E81" s="437">
        <f t="shared" si="21"/>
        <v>2</v>
      </c>
      <c r="F81" s="167" t="s">
        <v>437</v>
      </c>
      <c r="G81" s="142">
        <v>0</v>
      </c>
      <c r="H81" s="443">
        <v>0</v>
      </c>
      <c r="I81" s="397">
        <v>10</v>
      </c>
      <c r="J81" s="169">
        <f t="shared" si="22"/>
        <v>10</v>
      </c>
    </row>
    <row r="82" spans="1:10" ht="14.95" thickBot="1" x14ac:dyDescent="0.3">
      <c r="A82" s="434" t="s">
        <v>795</v>
      </c>
      <c r="B82" s="435">
        <v>0</v>
      </c>
      <c r="C82" s="440">
        <v>0</v>
      </c>
      <c r="D82" s="436">
        <v>2</v>
      </c>
      <c r="E82" s="437">
        <f t="shared" si="21"/>
        <v>2</v>
      </c>
      <c r="F82" s="167" t="s">
        <v>961</v>
      </c>
      <c r="G82" s="142">
        <v>10</v>
      </c>
      <c r="H82" s="443">
        <v>0</v>
      </c>
      <c r="I82" s="397">
        <v>0</v>
      </c>
      <c r="J82" s="169">
        <f t="shared" si="22"/>
        <v>10</v>
      </c>
    </row>
    <row r="83" spans="1:10" ht="14.95" thickBot="1" x14ac:dyDescent="0.3">
      <c r="A83" s="434" t="s">
        <v>145</v>
      </c>
      <c r="B83" s="435">
        <v>2</v>
      </c>
      <c r="C83" s="440">
        <v>0</v>
      </c>
      <c r="D83" s="436">
        <v>0</v>
      </c>
      <c r="E83" s="437">
        <f t="shared" si="21"/>
        <v>2</v>
      </c>
      <c r="F83" s="167" t="s">
        <v>795</v>
      </c>
      <c r="G83" s="142">
        <v>0</v>
      </c>
      <c r="H83" s="443">
        <v>0</v>
      </c>
      <c r="I83" s="397">
        <v>10</v>
      </c>
      <c r="J83" s="169">
        <f t="shared" si="22"/>
        <v>10</v>
      </c>
    </row>
    <row r="84" spans="1:10" ht="14.95" thickBot="1" x14ac:dyDescent="0.3">
      <c r="A84" s="434" t="s">
        <v>704</v>
      </c>
      <c r="B84" s="435">
        <v>0</v>
      </c>
      <c r="C84" s="440">
        <v>0</v>
      </c>
      <c r="D84" s="436">
        <v>1</v>
      </c>
      <c r="E84" s="437">
        <f t="shared" si="21"/>
        <v>1</v>
      </c>
      <c r="F84" s="167" t="s">
        <v>145</v>
      </c>
      <c r="G84" s="142">
        <v>10</v>
      </c>
      <c r="H84" s="443">
        <v>0</v>
      </c>
      <c r="I84" s="397">
        <v>0</v>
      </c>
      <c r="J84" s="169">
        <f t="shared" si="22"/>
        <v>10</v>
      </c>
    </row>
    <row r="85" spans="1:10" ht="14.95" thickBot="1" x14ac:dyDescent="0.3">
      <c r="A85" s="434" t="s">
        <v>235</v>
      </c>
      <c r="B85" s="435">
        <v>1</v>
      </c>
      <c r="C85" s="440">
        <v>0</v>
      </c>
      <c r="D85" s="436">
        <v>0</v>
      </c>
      <c r="E85" s="437">
        <f t="shared" si="21"/>
        <v>1</v>
      </c>
      <c r="F85" s="167" t="s">
        <v>894</v>
      </c>
      <c r="G85" s="142">
        <v>0</v>
      </c>
      <c r="H85" s="443">
        <v>2</v>
      </c>
      <c r="I85" s="397">
        <v>7</v>
      </c>
      <c r="J85" s="169">
        <f t="shared" si="22"/>
        <v>9</v>
      </c>
    </row>
    <row r="86" spans="1:10" ht="14.95" thickBot="1" x14ac:dyDescent="0.3">
      <c r="A86" s="434" t="s">
        <v>393</v>
      </c>
      <c r="B86" s="435">
        <v>1</v>
      </c>
      <c r="C86" s="440">
        <v>0</v>
      </c>
      <c r="D86" s="436">
        <v>0</v>
      </c>
      <c r="E86" s="437">
        <f t="shared" si="21"/>
        <v>1</v>
      </c>
      <c r="F86" s="167" t="s">
        <v>704</v>
      </c>
      <c r="G86" s="142">
        <v>0</v>
      </c>
      <c r="H86" s="443">
        <v>0</v>
      </c>
      <c r="I86" s="397">
        <v>5</v>
      </c>
      <c r="J86" s="169">
        <f t="shared" si="22"/>
        <v>5</v>
      </c>
    </row>
    <row r="87" spans="1:10" ht="14.95" thickBot="1" x14ac:dyDescent="0.3">
      <c r="A87" s="434" t="s">
        <v>666</v>
      </c>
      <c r="B87" s="435">
        <v>0</v>
      </c>
      <c r="C87" s="440">
        <v>1</v>
      </c>
      <c r="D87" s="436">
        <v>0</v>
      </c>
      <c r="E87" s="437">
        <f t="shared" si="21"/>
        <v>1</v>
      </c>
      <c r="F87" s="167" t="s">
        <v>235</v>
      </c>
      <c r="G87" s="142">
        <v>5</v>
      </c>
      <c r="H87" s="443">
        <v>0</v>
      </c>
      <c r="I87" s="397">
        <v>0</v>
      </c>
      <c r="J87" s="169">
        <f t="shared" si="22"/>
        <v>5</v>
      </c>
    </row>
    <row r="88" spans="1:10" ht="14.95" thickBot="1" x14ac:dyDescent="0.3">
      <c r="A88" s="434" t="s">
        <v>954</v>
      </c>
      <c r="B88" s="435">
        <v>0</v>
      </c>
      <c r="C88" s="440">
        <v>0</v>
      </c>
      <c r="D88" s="436">
        <v>1</v>
      </c>
      <c r="E88" s="437">
        <f t="shared" si="21"/>
        <v>1</v>
      </c>
      <c r="F88" s="167" t="s">
        <v>393</v>
      </c>
      <c r="G88" s="142">
        <v>5</v>
      </c>
      <c r="H88" s="443">
        <v>0</v>
      </c>
      <c r="I88" s="397">
        <v>0</v>
      </c>
      <c r="J88" s="169">
        <f t="shared" si="22"/>
        <v>5</v>
      </c>
    </row>
    <row r="89" spans="1:10" ht="14.95" thickBot="1" x14ac:dyDescent="0.3">
      <c r="A89" s="434" t="s">
        <v>958</v>
      </c>
      <c r="B89" s="435">
        <v>0</v>
      </c>
      <c r="C89" s="440">
        <v>0</v>
      </c>
      <c r="D89" s="436">
        <v>1</v>
      </c>
      <c r="E89" s="437">
        <f t="shared" ref="E89:E120" si="23">SUM(B89:D89)</f>
        <v>1</v>
      </c>
      <c r="F89" s="167" t="s">
        <v>666</v>
      </c>
      <c r="G89" s="142">
        <v>0</v>
      </c>
      <c r="H89" s="443">
        <v>5</v>
      </c>
      <c r="I89" s="397">
        <v>0</v>
      </c>
      <c r="J89" s="169">
        <f t="shared" ref="J89:J120" si="24">SUM(G89:I89)</f>
        <v>5</v>
      </c>
    </row>
    <row r="90" spans="1:10" ht="14.95" thickBot="1" x14ac:dyDescent="0.3">
      <c r="A90" s="434" t="s">
        <v>1112</v>
      </c>
      <c r="B90" s="435">
        <v>0</v>
      </c>
      <c r="C90" s="440">
        <v>0</v>
      </c>
      <c r="D90" s="436">
        <v>1</v>
      </c>
      <c r="E90" s="437">
        <f t="shared" si="23"/>
        <v>1</v>
      </c>
      <c r="F90" s="167" t="s">
        <v>954</v>
      </c>
      <c r="G90" s="142">
        <v>0</v>
      </c>
      <c r="H90" s="443">
        <v>0</v>
      </c>
      <c r="I90" s="397">
        <v>5</v>
      </c>
      <c r="J90" s="169">
        <f t="shared" si="24"/>
        <v>5</v>
      </c>
    </row>
    <row r="91" spans="1:10" ht="14.95" thickBot="1" x14ac:dyDescent="0.3">
      <c r="A91" s="434" t="s">
        <v>22</v>
      </c>
      <c r="B91" s="435">
        <v>1</v>
      </c>
      <c r="C91" s="440">
        <v>0</v>
      </c>
      <c r="D91" s="436">
        <v>0</v>
      </c>
      <c r="E91" s="437">
        <f t="shared" si="23"/>
        <v>1</v>
      </c>
      <c r="F91" s="167" t="s">
        <v>1112</v>
      </c>
      <c r="G91" s="142">
        <v>0</v>
      </c>
      <c r="H91" s="443">
        <v>0</v>
      </c>
      <c r="I91" s="397">
        <v>5</v>
      </c>
      <c r="J91" s="169">
        <f t="shared" si="24"/>
        <v>5</v>
      </c>
    </row>
    <row r="92" spans="1:10" ht="14.95" thickBot="1" x14ac:dyDescent="0.3">
      <c r="A92" s="434" t="s">
        <v>561</v>
      </c>
      <c r="B92" s="435">
        <v>0</v>
      </c>
      <c r="C92" s="440">
        <v>0</v>
      </c>
      <c r="D92" s="436">
        <v>1</v>
      </c>
      <c r="E92" s="437">
        <f t="shared" si="23"/>
        <v>1</v>
      </c>
      <c r="F92" s="167" t="s">
        <v>22</v>
      </c>
      <c r="G92" s="142">
        <v>5</v>
      </c>
      <c r="H92" s="443">
        <v>0</v>
      </c>
      <c r="I92" s="397">
        <v>0</v>
      </c>
      <c r="J92" s="169">
        <f t="shared" si="24"/>
        <v>5</v>
      </c>
    </row>
    <row r="93" spans="1:10" ht="14.95" thickBot="1" x14ac:dyDescent="0.3">
      <c r="A93" s="434" t="s">
        <v>797</v>
      </c>
      <c r="B93" s="435">
        <v>0</v>
      </c>
      <c r="C93" s="440">
        <v>0</v>
      </c>
      <c r="D93" s="436">
        <v>1</v>
      </c>
      <c r="E93" s="437">
        <f t="shared" si="23"/>
        <v>1</v>
      </c>
      <c r="F93" s="167" t="s">
        <v>561</v>
      </c>
      <c r="G93" s="142">
        <v>0</v>
      </c>
      <c r="H93" s="443">
        <v>0</v>
      </c>
      <c r="I93" s="397">
        <v>5</v>
      </c>
      <c r="J93" s="169">
        <f t="shared" si="24"/>
        <v>5</v>
      </c>
    </row>
    <row r="94" spans="1:10" ht="14.95" thickBot="1" x14ac:dyDescent="0.3">
      <c r="A94" s="434" t="s">
        <v>5</v>
      </c>
      <c r="B94" s="435">
        <v>0</v>
      </c>
      <c r="C94" s="440">
        <v>0</v>
      </c>
      <c r="D94" s="436">
        <v>1</v>
      </c>
      <c r="E94" s="437">
        <f t="shared" si="23"/>
        <v>1</v>
      </c>
      <c r="F94" s="167" t="s">
        <v>797</v>
      </c>
      <c r="G94" s="142">
        <v>0</v>
      </c>
      <c r="H94" s="443">
        <v>0</v>
      </c>
      <c r="I94" s="397">
        <v>5</v>
      </c>
      <c r="J94" s="169">
        <f t="shared" si="24"/>
        <v>5</v>
      </c>
    </row>
    <row r="95" spans="1:10" ht="14.95" thickBot="1" x14ac:dyDescent="0.3">
      <c r="A95" s="434" t="s">
        <v>849</v>
      </c>
      <c r="B95" s="435">
        <v>0</v>
      </c>
      <c r="C95" s="440">
        <v>0</v>
      </c>
      <c r="D95" s="436">
        <v>0</v>
      </c>
      <c r="E95" s="437">
        <f t="shared" si="23"/>
        <v>0</v>
      </c>
      <c r="F95" s="167" t="s">
        <v>5</v>
      </c>
      <c r="G95" s="142">
        <v>0</v>
      </c>
      <c r="H95" s="443">
        <v>0</v>
      </c>
      <c r="I95" s="397">
        <v>5</v>
      </c>
      <c r="J95" s="169">
        <f t="shared" si="24"/>
        <v>5</v>
      </c>
    </row>
    <row r="96" spans="1:10" ht="14.95" thickBot="1" x14ac:dyDescent="0.3">
      <c r="A96" s="434" t="s">
        <v>403</v>
      </c>
      <c r="B96" s="435">
        <v>0</v>
      </c>
      <c r="C96" s="440">
        <v>0</v>
      </c>
      <c r="D96" s="436">
        <v>0</v>
      </c>
      <c r="E96" s="437">
        <f t="shared" si="23"/>
        <v>0</v>
      </c>
      <c r="F96" s="167" t="s">
        <v>63</v>
      </c>
      <c r="G96" s="142">
        <v>0</v>
      </c>
      <c r="H96" s="443">
        <v>2</v>
      </c>
      <c r="I96" s="397">
        <v>3</v>
      </c>
      <c r="J96" s="169">
        <f t="shared" si="24"/>
        <v>5</v>
      </c>
    </row>
    <row r="97" spans="1:10" ht="14.95" thickBot="1" x14ac:dyDescent="0.3">
      <c r="A97" s="434" t="s">
        <v>329</v>
      </c>
      <c r="B97" s="435">
        <v>0</v>
      </c>
      <c r="C97" s="440">
        <v>0</v>
      </c>
      <c r="D97" s="436">
        <v>0</v>
      </c>
      <c r="E97" s="437">
        <f t="shared" si="23"/>
        <v>0</v>
      </c>
      <c r="F97" s="167" t="s">
        <v>849</v>
      </c>
      <c r="G97" s="142">
        <v>0</v>
      </c>
      <c r="H97" s="443">
        <v>0</v>
      </c>
      <c r="I97" s="397">
        <v>0</v>
      </c>
      <c r="J97" s="169">
        <f t="shared" si="24"/>
        <v>0</v>
      </c>
    </row>
    <row r="98" spans="1:10" ht="14.95" thickBot="1" x14ac:dyDescent="0.3">
      <c r="A98" s="434" t="s">
        <v>664</v>
      </c>
      <c r="B98" s="435">
        <v>0</v>
      </c>
      <c r="C98" s="440">
        <v>0</v>
      </c>
      <c r="D98" s="436">
        <v>0</v>
      </c>
      <c r="E98" s="437">
        <f t="shared" si="23"/>
        <v>0</v>
      </c>
      <c r="F98" s="167" t="s">
        <v>403</v>
      </c>
      <c r="G98" s="142">
        <v>0</v>
      </c>
      <c r="H98" s="443">
        <v>0</v>
      </c>
      <c r="I98" s="397">
        <v>0</v>
      </c>
      <c r="J98" s="169">
        <f t="shared" si="24"/>
        <v>0</v>
      </c>
    </row>
    <row r="99" spans="1:10" ht="14.95" thickBot="1" x14ac:dyDescent="0.3">
      <c r="A99" s="434" t="s">
        <v>962</v>
      </c>
      <c r="B99" s="435">
        <v>0</v>
      </c>
      <c r="C99" s="440">
        <v>0</v>
      </c>
      <c r="D99" s="436">
        <v>0</v>
      </c>
      <c r="E99" s="437">
        <f t="shared" si="23"/>
        <v>0</v>
      </c>
      <c r="F99" s="167" t="s">
        <v>329</v>
      </c>
      <c r="G99" s="142">
        <v>0</v>
      </c>
      <c r="H99" s="443">
        <v>0</v>
      </c>
      <c r="I99" s="397">
        <v>0</v>
      </c>
      <c r="J99" s="169">
        <f t="shared" si="24"/>
        <v>0</v>
      </c>
    </row>
    <row r="100" spans="1:10" ht="14.95" thickBot="1" x14ac:dyDescent="0.3">
      <c r="A100" s="434" t="s">
        <v>269</v>
      </c>
      <c r="B100" s="435">
        <v>0</v>
      </c>
      <c r="C100" s="440">
        <v>0</v>
      </c>
      <c r="D100" s="436">
        <v>0</v>
      </c>
      <c r="E100" s="437">
        <f t="shared" si="23"/>
        <v>0</v>
      </c>
      <c r="F100" s="167" t="s">
        <v>664</v>
      </c>
      <c r="G100" s="142">
        <v>0</v>
      </c>
      <c r="H100" s="443">
        <v>0</v>
      </c>
      <c r="I100" s="397">
        <v>0</v>
      </c>
      <c r="J100" s="169">
        <f t="shared" si="24"/>
        <v>0</v>
      </c>
    </row>
    <row r="101" spans="1:10" ht="14.95" thickBot="1" x14ac:dyDescent="0.3">
      <c r="A101" s="434" t="s">
        <v>667</v>
      </c>
      <c r="B101" s="435">
        <v>0</v>
      </c>
      <c r="C101" s="440">
        <v>0</v>
      </c>
      <c r="D101" s="436">
        <v>0</v>
      </c>
      <c r="E101" s="437">
        <f t="shared" si="23"/>
        <v>0</v>
      </c>
      <c r="F101" s="167" t="s">
        <v>962</v>
      </c>
      <c r="G101" s="142">
        <v>0</v>
      </c>
      <c r="H101" s="443">
        <v>0</v>
      </c>
      <c r="I101" s="397">
        <v>0</v>
      </c>
      <c r="J101" s="169">
        <f t="shared" si="24"/>
        <v>0</v>
      </c>
    </row>
    <row r="102" spans="1:10" ht="14.95" thickBot="1" x14ac:dyDescent="0.3">
      <c r="A102" s="434" t="s">
        <v>956</v>
      </c>
      <c r="B102" s="435">
        <v>0</v>
      </c>
      <c r="C102" s="440">
        <v>0</v>
      </c>
      <c r="D102" s="436">
        <v>0</v>
      </c>
      <c r="E102" s="437">
        <f t="shared" si="23"/>
        <v>0</v>
      </c>
      <c r="F102" s="167" t="s">
        <v>269</v>
      </c>
      <c r="G102" s="142">
        <v>0</v>
      </c>
      <c r="H102" s="443">
        <v>0</v>
      </c>
      <c r="I102" s="397">
        <v>0</v>
      </c>
      <c r="J102" s="169">
        <f t="shared" si="24"/>
        <v>0</v>
      </c>
    </row>
    <row r="103" spans="1:10" ht="14.95" thickBot="1" x14ac:dyDescent="0.3">
      <c r="A103" s="434" t="s">
        <v>74</v>
      </c>
      <c r="B103" s="435">
        <v>0</v>
      </c>
      <c r="C103" s="440">
        <v>0</v>
      </c>
      <c r="D103" s="436">
        <v>0</v>
      </c>
      <c r="E103" s="437">
        <f t="shared" si="23"/>
        <v>0</v>
      </c>
      <c r="F103" s="167" t="s">
        <v>667</v>
      </c>
      <c r="G103" s="142">
        <v>0</v>
      </c>
      <c r="H103" s="443">
        <v>0</v>
      </c>
      <c r="I103" s="397">
        <v>0</v>
      </c>
      <c r="J103" s="169">
        <f t="shared" si="24"/>
        <v>0</v>
      </c>
    </row>
    <row r="104" spans="1:10" ht="14.95" thickBot="1" x14ac:dyDescent="0.3">
      <c r="A104" s="434" t="s">
        <v>960</v>
      </c>
      <c r="B104" s="435">
        <v>0</v>
      </c>
      <c r="C104" s="440">
        <v>0</v>
      </c>
      <c r="D104" s="436">
        <v>0</v>
      </c>
      <c r="E104" s="437">
        <f t="shared" si="23"/>
        <v>0</v>
      </c>
      <c r="F104" s="167" t="s">
        <v>956</v>
      </c>
      <c r="G104" s="142">
        <v>0</v>
      </c>
      <c r="H104" s="443">
        <v>0</v>
      </c>
      <c r="I104" s="397">
        <v>0</v>
      </c>
      <c r="J104" s="169">
        <f t="shared" si="24"/>
        <v>0</v>
      </c>
    </row>
    <row r="105" spans="1:10" ht="14.95" thickBot="1" x14ac:dyDescent="0.3">
      <c r="A105" s="434" t="s">
        <v>894</v>
      </c>
      <c r="B105" s="435">
        <v>0</v>
      </c>
      <c r="C105" s="440">
        <v>0</v>
      </c>
      <c r="D105" s="436">
        <v>0</v>
      </c>
      <c r="E105" s="437">
        <f t="shared" si="23"/>
        <v>0</v>
      </c>
      <c r="F105" s="167" t="s">
        <v>74</v>
      </c>
      <c r="G105" s="142">
        <v>0</v>
      </c>
      <c r="H105" s="443">
        <v>0</v>
      </c>
      <c r="I105" s="397">
        <v>0</v>
      </c>
      <c r="J105" s="169">
        <f t="shared" si="24"/>
        <v>0</v>
      </c>
    </row>
    <row r="106" spans="1:10" ht="14.95" thickBot="1" x14ac:dyDescent="0.3">
      <c r="A106" s="434" t="s">
        <v>63</v>
      </c>
      <c r="B106" s="435">
        <v>0</v>
      </c>
      <c r="C106" s="440">
        <v>0</v>
      </c>
      <c r="D106" s="436">
        <v>0</v>
      </c>
      <c r="E106" s="437">
        <f t="shared" si="23"/>
        <v>0</v>
      </c>
      <c r="F106" s="167" t="s">
        <v>960</v>
      </c>
      <c r="G106" s="142">
        <v>0</v>
      </c>
      <c r="H106" s="443">
        <v>0</v>
      </c>
      <c r="I106" s="397">
        <v>0</v>
      </c>
      <c r="J106" s="169">
        <f t="shared" si="24"/>
        <v>0</v>
      </c>
    </row>
    <row r="107" spans="1:10" ht="16.3" customHeight="1" thickBot="1" x14ac:dyDescent="0.3">
      <c r="A107" s="434" t="s">
        <v>3</v>
      </c>
      <c r="B107" s="435">
        <f>SUM(B57:B106)</f>
        <v>51</v>
      </c>
      <c r="C107" s="440">
        <f>SUM(C57:C106)</f>
        <v>19</v>
      </c>
      <c r="D107" s="436">
        <f>SUM(D57:D106)</f>
        <v>49</v>
      </c>
      <c r="E107" s="437">
        <f t="shared" ref="E107" si="25">SUM(B107:D107)</f>
        <v>119</v>
      </c>
      <c r="F107" s="167" t="s">
        <v>3</v>
      </c>
      <c r="G107" s="142">
        <f>SUM(G57:G106)</f>
        <v>370</v>
      </c>
      <c r="H107" s="443">
        <f>SUM(H57:H106)</f>
        <v>132</v>
      </c>
      <c r="I107" s="397">
        <f>SUM(I57:I106)</f>
        <v>315</v>
      </c>
      <c r="J107" s="169">
        <f t="shared" ref="J107" si="26">SUM(G107:I107)</f>
        <v>817</v>
      </c>
    </row>
    <row r="108" spans="1:10" ht="16.3" x14ac:dyDescent="0.3">
      <c r="A108" s="447" t="s">
        <v>34</v>
      </c>
      <c r="B108" s="448"/>
      <c r="C108" s="448"/>
      <c r="D108" s="448"/>
      <c r="E108" s="448"/>
      <c r="F108" s="448"/>
      <c r="G108" s="448"/>
      <c r="H108" s="448"/>
      <c r="I108" s="448"/>
      <c r="J108" s="448"/>
    </row>
  </sheetData>
  <sortState xmlns:xlrd2="http://schemas.microsoft.com/office/spreadsheetml/2017/richdata2" ref="F57:J106">
    <sortCondition descending="1" ref="J57:J106"/>
  </sortState>
  <mergeCells count="65">
    <mergeCell ref="O29:Q30"/>
    <mergeCell ref="AH23:AJ24"/>
    <mergeCell ref="K40:W40"/>
    <mergeCell ref="K39:AA39"/>
    <mergeCell ref="K29:K30"/>
    <mergeCell ref="L29:N30"/>
    <mergeCell ref="O23:Q24"/>
    <mergeCell ref="AE29:AG30"/>
    <mergeCell ref="AB23:AD24"/>
    <mergeCell ref="AB29:AD30"/>
    <mergeCell ref="AB39:BB39"/>
    <mergeCell ref="AN29:AP30"/>
    <mergeCell ref="AT23:AV24"/>
    <mergeCell ref="U13:W14"/>
    <mergeCell ref="AH1:AJ2"/>
    <mergeCell ref="AH13:AJ14"/>
    <mergeCell ref="AK13:AM14"/>
    <mergeCell ref="W1:Y2"/>
    <mergeCell ref="AK1:AM2"/>
    <mergeCell ref="AB1:AD2"/>
    <mergeCell ref="AB13:AD14"/>
    <mergeCell ref="BF1:BH2"/>
    <mergeCell ref="BC1:BE2"/>
    <mergeCell ref="AZ1:BB2"/>
    <mergeCell ref="AW1:AY2"/>
    <mergeCell ref="AW13:AY14"/>
    <mergeCell ref="AZ13:BB14"/>
    <mergeCell ref="AT1:AV2"/>
    <mergeCell ref="AQ1:AS2"/>
    <mergeCell ref="AT13:AV14"/>
    <mergeCell ref="AN1:AP2"/>
    <mergeCell ref="AN13:AP14"/>
    <mergeCell ref="AQ13:AS14"/>
    <mergeCell ref="BC41:BE42"/>
    <mergeCell ref="R23:T24"/>
    <mergeCell ref="AN23:AP24"/>
    <mergeCell ref="R29:T30"/>
    <mergeCell ref="AQ29:AS30"/>
    <mergeCell ref="AQ23:AS24"/>
    <mergeCell ref="AZ23:BB24"/>
    <mergeCell ref="AK23:AM24"/>
    <mergeCell ref="U29:W30"/>
    <mergeCell ref="AW23:AY24"/>
    <mergeCell ref="AK29:AM30"/>
    <mergeCell ref="AW29:AY30"/>
    <mergeCell ref="AT29:AV30"/>
    <mergeCell ref="U23:W24"/>
    <mergeCell ref="K41:W41"/>
    <mergeCell ref="AE23:AG24"/>
    <mergeCell ref="A108:J108"/>
    <mergeCell ref="A1:J1"/>
    <mergeCell ref="K13:K14"/>
    <mergeCell ref="AH29:AJ30"/>
    <mergeCell ref="K23:K24"/>
    <mergeCell ref="K1:K2"/>
    <mergeCell ref="L23:N24"/>
    <mergeCell ref="L13:N14"/>
    <mergeCell ref="L1:N2"/>
    <mergeCell ref="O13:Q14"/>
    <mergeCell ref="O1:Q2"/>
    <mergeCell ref="T1:V2"/>
    <mergeCell ref="R13:T14"/>
    <mergeCell ref="R1:S2"/>
    <mergeCell ref="AE1:AG2"/>
    <mergeCell ref="AE13:AG14"/>
  </mergeCells>
  <pageMargins left="0.7" right="0.7" top="0.75" bottom="0.75" header="0.3" footer="0.3"/>
  <pageSetup paperSize="9" orientation="portrait" r:id="rId1"/>
  <ignoredErrors>
    <ignoredError sqref="E50 J52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BP106"/>
  <sheetViews>
    <sheetView workbookViewId="0">
      <selection activeCell="L17" sqref="L17:N18"/>
    </sheetView>
  </sheetViews>
  <sheetFormatPr defaultColWidth="8.875" defaultRowHeight="14.3" x14ac:dyDescent="0.25"/>
  <cols>
    <col min="1" max="1" width="18.25" bestFit="1" customWidth="1"/>
    <col min="2" max="2" width="3.75" customWidth="1"/>
    <col min="3" max="4" width="4.125" customWidth="1"/>
    <col min="5" max="5" width="4.75" customWidth="1"/>
    <col min="6" max="6" width="18.25" bestFit="1" customWidth="1"/>
    <col min="7" max="10" width="5.25" customWidth="1"/>
    <col min="11" max="11" width="12.625" bestFit="1" customWidth="1"/>
    <col min="12" max="52" width="5.75" customWidth="1"/>
    <col min="53" max="61" width="5.625" customWidth="1"/>
  </cols>
  <sheetData>
    <row r="1" spans="1:68" ht="14.95" customHeight="1" thickBot="1" x14ac:dyDescent="0.3">
      <c r="A1" s="469" t="s">
        <v>877</v>
      </c>
      <c r="B1" s="470"/>
      <c r="C1" s="470"/>
      <c r="D1" s="470"/>
      <c r="E1" s="470"/>
      <c r="F1" s="470"/>
      <c r="G1" s="470"/>
      <c r="H1" s="470"/>
      <c r="I1" s="470"/>
      <c r="J1" s="471"/>
      <c r="K1" s="467" t="s">
        <v>187</v>
      </c>
      <c r="L1" s="457" t="s">
        <v>14</v>
      </c>
      <c r="M1" s="461"/>
      <c r="N1" s="458"/>
      <c r="O1" s="457" t="s">
        <v>40</v>
      </c>
      <c r="P1" s="461"/>
      <c r="Q1" s="458"/>
      <c r="R1" s="457" t="s">
        <v>186</v>
      </c>
      <c r="S1" s="458"/>
      <c r="T1" s="449" t="s">
        <v>226</v>
      </c>
      <c r="U1" s="450"/>
      <c r="V1" s="451"/>
      <c r="W1" s="449" t="s">
        <v>875</v>
      </c>
      <c r="X1" s="450"/>
      <c r="Y1" s="451"/>
      <c r="Z1" s="195"/>
      <c r="AA1" s="160"/>
      <c r="AB1" s="196"/>
      <c r="AC1" s="449" t="s">
        <v>581</v>
      </c>
      <c r="AD1" s="450"/>
      <c r="AE1" s="451"/>
      <c r="AF1" s="449" t="s">
        <v>477</v>
      </c>
      <c r="AG1" s="450"/>
      <c r="AH1" s="451"/>
      <c r="AI1" s="449" t="s">
        <v>391</v>
      </c>
      <c r="AJ1" s="450"/>
      <c r="AK1" s="451"/>
      <c r="AL1" s="449" t="s">
        <v>300</v>
      </c>
      <c r="AM1" s="450"/>
      <c r="AN1" s="451"/>
      <c r="AO1" s="449" t="s">
        <v>219</v>
      </c>
      <c r="AP1" s="450"/>
      <c r="AQ1" s="451"/>
      <c r="AR1" s="449" t="s">
        <v>165</v>
      </c>
      <c r="AS1" s="450"/>
      <c r="AT1" s="451"/>
      <c r="AU1" s="449" t="s">
        <v>78</v>
      </c>
      <c r="AV1" s="450"/>
      <c r="AW1" s="451"/>
      <c r="AX1" s="449" t="s">
        <v>54</v>
      </c>
      <c r="AY1" s="450"/>
      <c r="AZ1" s="451"/>
      <c r="BA1" s="449" t="s">
        <v>50</v>
      </c>
      <c r="BB1" s="450"/>
      <c r="BC1" s="451"/>
      <c r="BD1" s="449" t="s">
        <v>37</v>
      </c>
      <c r="BE1" s="450"/>
      <c r="BF1" s="451"/>
      <c r="BG1" s="449" t="s">
        <v>45</v>
      </c>
      <c r="BH1" s="450"/>
      <c r="BI1" s="451"/>
      <c r="BK1" s="4"/>
      <c r="BL1" s="4"/>
      <c r="BM1" s="4"/>
      <c r="BP1" s="4"/>
    </row>
    <row r="2" spans="1:68" ht="14.95" customHeight="1" thickBot="1" x14ac:dyDescent="0.3">
      <c r="A2" s="178" t="s">
        <v>0</v>
      </c>
      <c r="B2" s="114" t="s">
        <v>218</v>
      </c>
      <c r="C2" s="278" t="s">
        <v>31</v>
      </c>
      <c r="D2" s="227" t="s">
        <v>326</v>
      </c>
      <c r="E2" s="107" t="s">
        <v>1</v>
      </c>
      <c r="F2" s="180" t="s">
        <v>2</v>
      </c>
      <c r="G2" s="109" t="s">
        <v>218</v>
      </c>
      <c r="H2" s="264" t="s">
        <v>31</v>
      </c>
      <c r="I2" s="229" t="s">
        <v>326</v>
      </c>
      <c r="J2" s="110" t="s">
        <v>1</v>
      </c>
      <c r="K2" s="468"/>
      <c r="L2" s="459"/>
      <c r="M2" s="462"/>
      <c r="N2" s="460"/>
      <c r="O2" s="459"/>
      <c r="P2" s="462"/>
      <c r="Q2" s="460"/>
      <c r="R2" s="459"/>
      <c r="S2" s="460"/>
      <c r="T2" s="452"/>
      <c r="U2" s="453"/>
      <c r="V2" s="454"/>
      <c r="W2" s="452"/>
      <c r="X2" s="453"/>
      <c r="Y2" s="454"/>
      <c r="Z2" s="195"/>
      <c r="AA2" s="160"/>
      <c r="AB2" s="196"/>
      <c r="AC2" s="452"/>
      <c r="AD2" s="453"/>
      <c r="AE2" s="454"/>
      <c r="AF2" s="452"/>
      <c r="AG2" s="453"/>
      <c r="AH2" s="454"/>
      <c r="AI2" s="452"/>
      <c r="AJ2" s="453"/>
      <c r="AK2" s="454"/>
      <c r="AL2" s="452"/>
      <c r="AM2" s="453"/>
      <c r="AN2" s="454"/>
      <c r="AO2" s="452"/>
      <c r="AP2" s="453"/>
      <c r="AQ2" s="454"/>
      <c r="AR2" s="452"/>
      <c r="AS2" s="453"/>
      <c r="AT2" s="454"/>
      <c r="AU2" s="452"/>
      <c r="AV2" s="453"/>
      <c r="AW2" s="454"/>
      <c r="AX2" s="452"/>
      <c r="AY2" s="453"/>
      <c r="AZ2" s="454"/>
      <c r="BA2" s="452"/>
      <c r="BB2" s="453"/>
      <c r="BC2" s="454"/>
      <c r="BD2" s="452"/>
      <c r="BE2" s="453"/>
      <c r="BF2" s="454"/>
      <c r="BG2" s="452"/>
      <c r="BH2" s="453"/>
      <c r="BI2" s="454"/>
    </row>
    <row r="3" spans="1:68" ht="14.95" customHeight="1" thickBot="1" x14ac:dyDescent="0.3">
      <c r="A3" s="179" t="s">
        <v>694</v>
      </c>
      <c r="B3" s="77">
        <v>0</v>
      </c>
      <c r="C3" s="279">
        <v>1</v>
      </c>
      <c r="D3" s="228">
        <v>0</v>
      </c>
      <c r="E3" s="5">
        <f t="shared" ref="E3" si="0">SUM(B3:D3)</f>
        <v>1</v>
      </c>
      <c r="F3" s="182" t="s">
        <v>694</v>
      </c>
      <c r="G3" s="78">
        <v>0</v>
      </c>
      <c r="H3" s="265">
        <v>5</v>
      </c>
      <c r="I3" s="230">
        <v>0</v>
      </c>
      <c r="J3" s="63">
        <f t="shared" ref="J3" si="1">SUM(G3:I3)</f>
        <v>5</v>
      </c>
      <c r="K3" s="218" t="s">
        <v>21</v>
      </c>
      <c r="L3" s="3" t="s">
        <v>46</v>
      </c>
      <c r="M3" s="3" t="s">
        <v>9</v>
      </c>
      <c r="N3" s="3" t="s">
        <v>10</v>
      </c>
      <c r="O3" s="3" t="s">
        <v>46</v>
      </c>
      <c r="P3" s="3" t="s">
        <v>9</v>
      </c>
      <c r="Q3" s="3" t="s">
        <v>10</v>
      </c>
      <c r="R3" s="3" t="s">
        <v>187</v>
      </c>
      <c r="S3" s="3" t="s">
        <v>58</v>
      </c>
      <c r="T3" s="7" t="s">
        <v>46</v>
      </c>
      <c r="U3" s="7" t="s">
        <v>9</v>
      </c>
      <c r="V3" s="7" t="s">
        <v>10</v>
      </c>
      <c r="W3" s="148" t="s">
        <v>46</v>
      </c>
      <c r="X3" s="7" t="s">
        <v>9</v>
      </c>
      <c r="Y3" s="7" t="s">
        <v>10</v>
      </c>
      <c r="Z3" s="93"/>
      <c r="AA3" s="94"/>
      <c r="AB3" s="197"/>
      <c r="AC3" s="148" t="s">
        <v>46</v>
      </c>
      <c r="AD3" s="7" t="s">
        <v>9</v>
      </c>
      <c r="AE3" s="7" t="s">
        <v>10</v>
      </c>
      <c r="AF3" s="148" t="s">
        <v>46</v>
      </c>
      <c r="AG3" s="7" t="s">
        <v>9</v>
      </c>
      <c r="AH3" s="7" t="s">
        <v>10</v>
      </c>
      <c r="AI3" s="148" t="s">
        <v>46</v>
      </c>
      <c r="AJ3" s="7" t="s">
        <v>9</v>
      </c>
      <c r="AK3" s="7" t="s">
        <v>10</v>
      </c>
      <c r="AL3" s="148" t="s">
        <v>46</v>
      </c>
      <c r="AM3" s="7" t="s">
        <v>9</v>
      </c>
      <c r="AN3" s="7" t="s">
        <v>10</v>
      </c>
      <c r="AO3" s="148" t="s">
        <v>46</v>
      </c>
      <c r="AP3" s="7" t="s">
        <v>9</v>
      </c>
      <c r="AQ3" s="7" t="s">
        <v>10</v>
      </c>
      <c r="AR3" s="148" t="s">
        <v>46</v>
      </c>
      <c r="AS3" s="7" t="s">
        <v>9</v>
      </c>
      <c r="AT3" s="7" t="s">
        <v>10</v>
      </c>
      <c r="AU3" s="148" t="s">
        <v>46</v>
      </c>
      <c r="AV3" s="7" t="s">
        <v>9</v>
      </c>
      <c r="AW3" s="7" t="s">
        <v>10</v>
      </c>
      <c r="AX3" s="148" t="s">
        <v>46</v>
      </c>
      <c r="AY3" s="7" t="s">
        <v>9</v>
      </c>
      <c r="AZ3" s="7" t="s">
        <v>10</v>
      </c>
      <c r="BA3" s="7" t="s">
        <v>46</v>
      </c>
      <c r="BB3" s="7" t="s">
        <v>9</v>
      </c>
      <c r="BC3" s="7" t="s">
        <v>10</v>
      </c>
      <c r="BD3" s="7" t="s">
        <v>46</v>
      </c>
      <c r="BE3" s="7" t="s">
        <v>9</v>
      </c>
      <c r="BF3" s="7" t="s">
        <v>10</v>
      </c>
      <c r="BG3" s="7" t="s">
        <v>46</v>
      </c>
      <c r="BH3" s="7" t="s">
        <v>9</v>
      </c>
      <c r="BI3" s="7" t="s">
        <v>10</v>
      </c>
    </row>
    <row r="4" spans="1:68" ht="14.95" customHeight="1" thickBot="1" x14ac:dyDescent="0.3">
      <c r="A4" s="179" t="s">
        <v>546</v>
      </c>
      <c r="B4" s="77">
        <v>0</v>
      </c>
      <c r="C4" s="279">
        <v>0</v>
      </c>
      <c r="D4" s="228">
        <v>0</v>
      </c>
      <c r="E4" s="5">
        <f t="shared" ref="E4:E51" si="2">SUM(B4:D4)</f>
        <v>0</v>
      </c>
      <c r="F4" s="182" t="s">
        <v>547</v>
      </c>
      <c r="G4" s="78">
        <v>0</v>
      </c>
      <c r="H4" s="265">
        <v>0</v>
      </c>
      <c r="I4" s="230">
        <v>0</v>
      </c>
      <c r="J4" s="63">
        <f t="shared" ref="J4:J51" si="3">SUM(G4:I4)</f>
        <v>0</v>
      </c>
      <c r="K4" s="179" t="s">
        <v>990</v>
      </c>
      <c r="L4" s="5">
        <v>0</v>
      </c>
      <c r="M4" s="5">
        <v>2</v>
      </c>
      <c r="N4" s="183">
        <f t="shared" ref="N4:N5" si="4">SUM(L4/M4)*100</f>
        <v>0</v>
      </c>
      <c r="O4" s="5" t="s">
        <v>15</v>
      </c>
      <c r="P4" s="5" t="s">
        <v>15</v>
      </c>
      <c r="Q4" s="183" t="s">
        <v>15</v>
      </c>
      <c r="R4" s="5">
        <v>-2</v>
      </c>
      <c r="S4" s="5">
        <v>1</v>
      </c>
      <c r="T4" s="7">
        <v>18</v>
      </c>
      <c r="U4" s="7">
        <v>22</v>
      </c>
      <c r="V4" s="153">
        <v>81.818181818181827</v>
      </c>
      <c r="W4" s="7">
        <v>19</v>
      </c>
      <c r="X4" s="7">
        <v>29</v>
      </c>
      <c r="Y4" s="153">
        <v>65.517241379310349</v>
      </c>
      <c r="Z4" s="93"/>
      <c r="AA4" s="94"/>
      <c r="AB4" s="197"/>
      <c r="AC4" s="7">
        <v>39</v>
      </c>
      <c r="AD4" s="7">
        <v>56</v>
      </c>
      <c r="AE4" s="153">
        <v>69.642857142857139</v>
      </c>
      <c r="AF4" s="7">
        <v>55</v>
      </c>
      <c r="AG4" s="7">
        <v>70</v>
      </c>
      <c r="AH4" s="153">
        <v>78.571428571428569</v>
      </c>
      <c r="AI4" s="7">
        <v>18</v>
      </c>
      <c r="AJ4" s="7">
        <v>21</v>
      </c>
      <c r="AK4" s="153">
        <v>85.714285714285708</v>
      </c>
      <c r="AL4" s="7" t="s">
        <v>15</v>
      </c>
      <c r="AM4" s="7" t="s">
        <v>15</v>
      </c>
      <c r="AN4" s="153" t="s">
        <v>15</v>
      </c>
      <c r="AO4" s="7" t="s">
        <v>15</v>
      </c>
      <c r="AP4" s="7" t="s">
        <v>15</v>
      </c>
      <c r="AQ4" s="153" t="s">
        <v>15</v>
      </c>
      <c r="AR4" s="148" t="s">
        <v>15</v>
      </c>
      <c r="AS4" s="7" t="s">
        <v>15</v>
      </c>
      <c r="AT4" s="153" t="s">
        <v>15</v>
      </c>
      <c r="AU4" s="7" t="s">
        <v>15</v>
      </c>
      <c r="AV4" s="7" t="s">
        <v>15</v>
      </c>
      <c r="AW4" s="153" t="s">
        <v>15</v>
      </c>
      <c r="AX4" s="7" t="s">
        <v>15</v>
      </c>
      <c r="AY4" s="7" t="s">
        <v>15</v>
      </c>
      <c r="AZ4" s="153" t="s">
        <v>15</v>
      </c>
      <c r="BA4" s="7" t="s">
        <v>15</v>
      </c>
      <c r="BB4" s="7" t="s">
        <v>15</v>
      </c>
      <c r="BC4" s="153" t="s">
        <v>15</v>
      </c>
      <c r="BD4" s="7" t="s">
        <v>15</v>
      </c>
      <c r="BE4" s="7" t="s">
        <v>15</v>
      </c>
      <c r="BF4" s="153" t="s">
        <v>15</v>
      </c>
      <c r="BG4" s="7" t="s">
        <v>15</v>
      </c>
      <c r="BH4" s="7" t="s">
        <v>15</v>
      </c>
      <c r="BI4" s="153" t="s">
        <v>15</v>
      </c>
    </row>
    <row r="5" spans="1:68" ht="14.95" customHeight="1" thickBot="1" x14ac:dyDescent="0.3">
      <c r="A5" s="179" t="s">
        <v>1062</v>
      </c>
      <c r="B5" s="77">
        <v>2</v>
      </c>
      <c r="C5" s="279">
        <v>1</v>
      </c>
      <c r="D5" s="228">
        <v>0</v>
      </c>
      <c r="E5" s="5">
        <f t="shared" si="2"/>
        <v>3</v>
      </c>
      <c r="F5" s="182" t="s">
        <v>1062</v>
      </c>
      <c r="G5" s="78">
        <v>10</v>
      </c>
      <c r="H5" s="265">
        <v>5</v>
      </c>
      <c r="I5" s="230">
        <v>0</v>
      </c>
      <c r="J5" s="63">
        <f t="shared" si="3"/>
        <v>15</v>
      </c>
      <c r="K5" s="179" t="s">
        <v>244</v>
      </c>
      <c r="L5" s="5">
        <v>26</v>
      </c>
      <c r="M5" s="5">
        <v>33</v>
      </c>
      <c r="N5" s="183">
        <f t="shared" si="4"/>
        <v>78.787878787878782</v>
      </c>
      <c r="O5" s="5">
        <v>3</v>
      </c>
      <c r="P5" s="5">
        <v>4</v>
      </c>
      <c r="Q5" s="183">
        <f t="shared" ref="Q5" si="5">SUM(O5/P5)*100</f>
        <v>75</v>
      </c>
      <c r="R5" s="5">
        <v>2</v>
      </c>
      <c r="S5" s="5">
        <v>2</v>
      </c>
      <c r="T5" s="7">
        <v>33</v>
      </c>
      <c r="U5" s="7">
        <v>42</v>
      </c>
      <c r="V5" s="153">
        <v>78.571428571428569</v>
      </c>
      <c r="W5" s="7">
        <v>25</v>
      </c>
      <c r="X5" s="7">
        <v>34</v>
      </c>
      <c r="Y5" s="153">
        <v>73.529411764705884</v>
      </c>
      <c r="Z5" s="93"/>
      <c r="AA5" s="94"/>
      <c r="AB5" s="197"/>
      <c r="AC5" s="7">
        <v>54</v>
      </c>
      <c r="AD5" s="7">
        <v>66</v>
      </c>
      <c r="AE5" s="153">
        <v>81.818181818181827</v>
      </c>
      <c r="AF5" s="7">
        <v>22</v>
      </c>
      <c r="AG5" s="7">
        <v>27</v>
      </c>
      <c r="AH5" s="153">
        <f>SUM(AF5/AG5)*100</f>
        <v>81.481481481481481</v>
      </c>
      <c r="AI5" s="148">
        <v>35</v>
      </c>
      <c r="AJ5" s="7">
        <v>51</v>
      </c>
      <c r="AK5" s="153">
        <f>SUM(AI5/AJ5)*100</f>
        <v>68.627450980392155</v>
      </c>
      <c r="AL5" s="148" t="s">
        <v>15</v>
      </c>
      <c r="AM5" s="7" t="s">
        <v>15</v>
      </c>
      <c r="AN5" s="153" t="s">
        <v>15</v>
      </c>
      <c r="AO5" s="148">
        <v>5</v>
      </c>
      <c r="AP5" s="7">
        <v>6</v>
      </c>
      <c r="AQ5" s="7">
        <v>100</v>
      </c>
      <c r="AR5" s="148" t="s">
        <v>15</v>
      </c>
      <c r="AS5" s="7" t="s">
        <v>15</v>
      </c>
      <c r="AT5" s="153" t="s">
        <v>15</v>
      </c>
      <c r="AU5" s="7" t="s">
        <v>15</v>
      </c>
      <c r="AV5" s="7" t="s">
        <v>15</v>
      </c>
      <c r="AW5" s="153" t="s">
        <v>15</v>
      </c>
      <c r="AX5" s="7" t="s">
        <v>15</v>
      </c>
      <c r="AY5" s="7" t="s">
        <v>15</v>
      </c>
      <c r="AZ5" s="153" t="s">
        <v>15</v>
      </c>
      <c r="BA5" s="7" t="s">
        <v>15</v>
      </c>
      <c r="BB5" s="7" t="s">
        <v>15</v>
      </c>
      <c r="BC5" s="153" t="s">
        <v>15</v>
      </c>
      <c r="BD5" s="7" t="s">
        <v>15</v>
      </c>
      <c r="BE5" s="7" t="s">
        <v>15</v>
      </c>
      <c r="BF5" s="153" t="s">
        <v>15</v>
      </c>
      <c r="BG5" s="7" t="s">
        <v>15</v>
      </c>
      <c r="BH5" s="7" t="s">
        <v>15</v>
      </c>
      <c r="BI5" s="153" t="s">
        <v>15</v>
      </c>
    </row>
    <row r="6" spans="1:68" ht="14.95" customHeight="1" thickBot="1" x14ac:dyDescent="0.3">
      <c r="A6" s="179" t="s">
        <v>239</v>
      </c>
      <c r="B6" s="77">
        <v>0</v>
      </c>
      <c r="C6" s="279">
        <v>0</v>
      </c>
      <c r="D6" s="228">
        <v>0</v>
      </c>
      <c r="E6" s="5">
        <f t="shared" si="2"/>
        <v>0</v>
      </c>
      <c r="F6" s="182" t="s">
        <v>239</v>
      </c>
      <c r="G6" s="78">
        <v>0</v>
      </c>
      <c r="H6" s="265">
        <v>0</v>
      </c>
      <c r="I6" s="230">
        <v>0</v>
      </c>
      <c r="J6" s="63">
        <f t="shared" si="3"/>
        <v>0</v>
      </c>
      <c r="K6" s="179" t="s">
        <v>763</v>
      </c>
      <c r="L6" s="5" t="s">
        <v>15</v>
      </c>
      <c r="M6" s="5" t="s">
        <v>15</v>
      </c>
      <c r="N6" s="183" t="s">
        <v>15</v>
      </c>
      <c r="O6" s="5" t="s">
        <v>15</v>
      </c>
      <c r="P6" s="5" t="s">
        <v>15</v>
      </c>
      <c r="Q6" s="183" t="s">
        <v>15</v>
      </c>
      <c r="R6" s="5">
        <v>6</v>
      </c>
      <c r="S6" s="5">
        <v>1</v>
      </c>
      <c r="T6" s="7">
        <v>9</v>
      </c>
      <c r="U6" s="7">
        <v>10</v>
      </c>
      <c r="V6" s="153">
        <v>90</v>
      </c>
      <c r="W6" s="7" t="s">
        <v>15</v>
      </c>
      <c r="X6" s="7" t="s">
        <v>15</v>
      </c>
      <c r="Y6" s="153" t="s">
        <v>15</v>
      </c>
      <c r="Z6" s="93"/>
      <c r="AA6" s="94"/>
      <c r="AB6" s="197"/>
      <c r="AC6" s="7" t="s">
        <v>15</v>
      </c>
      <c r="AD6" s="7" t="s">
        <v>15</v>
      </c>
      <c r="AE6" s="153" t="s">
        <v>15</v>
      </c>
      <c r="AF6" s="7" t="s">
        <v>15</v>
      </c>
      <c r="AG6" s="7" t="s">
        <v>15</v>
      </c>
      <c r="AH6" s="153" t="s">
        <v>15</v>
      </c>
      <c r="AI6" s="7" t="s">
        <v>15</v>
      </c>
      <c r="AJ6" s="7" t="s">
        <v>15</v>
      </c>
      <c r="AK6" s="153" t="s">
        <v>15</v>
      </c>
      <c r="AL6" s="7" t="s">
        <v>15</v>
      </c>
      <c r="AM6" s="7" t="s">
        <v>15</v>
      </c>
      <c r="AN6" s="153" t="s">
        <v>15</v>
      </c>
      <c r="AO6" s="7" t="s">
        <v>15</v>
      </c>
      <c r="AP6" s="7" t="s">
        <v>15</v>
      </c>
      <c r="AQ6" s="153" t="s">
        <v>15</v>
      </c>
      <c r="AR6" s="7" t="s">
        <v>15</v>
      </c>
      <c r="AS6" s="7" t="s">
        <v>15</v>
      </c>
      <c r="AT6" s="153" t="s">
        <v>15</v>
      </c>
      <c r="AU6" s="7" t="s">
        <v>15</v>
      </c>
      <c r="AV6" s="7" t="s">
        <v>15</v>
      </c>
      <c r="AW6" s="153" t="s">
        <v>15</v>
      </c>
      <c r="AX6" s="7" t="s">
        <v>15</v>
      </c>
      <c r="AY6" s="7" t="s">
        <v>15</v>
      </c>
      <c r="AZ6" s="153" t="s">
        <v>15</v>
      </c>
      <c r="BA6" s="7" t="s">
        <v>15</v>
      </c>
      <c r="BB6" s="7" t="s">
        <v>15</v>
      </c>
      <c r="BC6" s="153" t="s">
        <v>15</v>
      </c>
      <c r="BD6" s="7" t="s">
        <v>15</v>
      </c>
      <c r="BE6" s="7" t="s">
        <v>15</v>
      </c>
      <c r="BF6" s="153" t="s">
        <v>15</v>
      </c>
      <c r="BG6" s="7" t="s">
        <v>15</v>
      </c>
      <c r="BH6" s="7" t="s">
        <v>15</v>
      </c>
      <c r="BI6" s="153" t="s">
        <v>15</v>
      </c>
    </row>
    <row r="7" spans="1:68" ht="14.95" customHeight="1" thickBot="1" x14ac:dyDescent="0.3">
      <c r="A7" s="179" t="s">
        <v>215</v>
      </c>
      <c r="B7" s="77">
        <v>0</v>
      </c>
      <c r="C7" s="279">
        <v>0</v>
      </c>
      <c r="D7" s="228">
        <v>0</v>
      </c>
      <c r="E7" s="5">
        <f t="shared" si="2"/>
        <v>0</v>
      </c>
      <c r="F7" s="182" t="s">
        <v>215</v>
      </c>
      <c r="G7" s="78">
        <v>0</v>
      </c>
      <c r="H7" s="265">
        <v>0</v>
      </c>
      <c r="I7" s="230">
        <v>0</v>
      </c>
      <c r="J7" s="63">
        <f t="shared" si="3"/>
        <v>0</v>
      </c>
      <c r="K7" s="179" t="s">
        <v>1122</v>
      </c>
      <c r="L7" s="5">
        <v>1</v>
      </c>
      <c r="M7" s="5">
        <v>1</v>
      </c>
      <c r="N7" s="183">
        <f t="shared" ref="N7" si="6">SUM(L7/M7)*100</f>
        <v>100</v>
      </c>
      <c r="O7" s="5" t="s">
        <v>15</v>
      </c>
      <c r="P7" s="5" t="s">
        <v>15</v>
      </c>
      <c r="Q7" s="183" t="s">
        <v>15</v>
      </c>
      <c r="R7" s="5">
        <v>1</v>
      </c>
      <c r="S7" s="5">
        <v>1</v>
      </c>
      <c r="T7" s="7" t="s">
        <v>15</v>
      </c>
      <c r="U7" s="7" t="s">
        <v>15</v>
      </c>
      <c r="V7" s="153" t="s">
        <v>15</v>
      </c>
      <c r="W7" s="7" t="s">
        <v>15</v>
      </c>
      <c r="X7" s="7" t="s">
        <v>15</v>
      </c>
      <c r="Y7" s="153" t="s">
        <v>15</v>
      </c>
      <c r="Z7" s="93"/>
      <c r="AA7" s="94"/>
      <c r="AB7" s="197"/>
      <c r="AC7" s="7" t="s">
        <v>15</v>
      </c>
      <c r="AD7" s="7" t="s">
        <v>15</v>
      </c>
      <c r="AE7" s="153" t="s">
        <v>15</v>
      </c>
      <c r="AF7" s="7" t="s">
        <v>15</v>
      </c>
      <c r="AG7" s="7" t="s">
        <v>15</v>
      </c>
      <c r="AH7" s="153" t="s">
        <v>15</v>
      </c>
      <c r="AI7" s="7" t="s">
        <v>15</v>
      </c>
      <c r="AJ7" s="7" t="s">
        <v>15</v>
      </c>
      <c r="AK7" s="153" t="s">
        <v>15</v>
      </c>
      <c r="AL7" s="7" t="s">
        <v>15</v>
      </c>
      <c r="AM7" s="7" t="s">
        <v>15</v>
      </c>
      <c r="AN7" s="153" t="s">
        <v>15</v>
      </c>
      <c r="AO7" s="7" t="s">
        <v>15</v>
      </c>
      <c r="AP7" s="7" t="s">
        <v>15</v>
      </c>
      <c r="AQ7" s="153" t="s">
        <v>15</v>
      </c>
      <c r="AR7" s="7" t="s">
        <v>15</v>
      </c>
      <c r="AS7" s="7" t="s">
        <v>15</v>
      </c>
      <c r="AT7" s="153" t="s">
        <v>15</v>
      </c>
      <c r="AU7" s="7" t="s">
        <v>15</v>
      </c>
      <c r="AV7" s="7" t="s">
        <v>15</v>
      </c>
      <c r="AW7" s="153" t="s">
        <v>15</v>
      </c>
      <c r="AX7" s="7" t="s">
        <v>15</v>
      </c>
      <c r="AY7" s="7" t="s">
        <v>15</v>
      </c>
      <c r="AZ7" s="153" t="s">
        <v>15</v>
      </c>
      <c r="BA7" s="7" t="s">
        <v>15</v>
      </c>
      <c r="BB7" s="7" t="s">
        <v>15</v>
      </c>
      <c r="BC7" s="153" t="s">
        <v>15</v>
      </c>
      <c r="BD7" s="7" t="s">
        <v>15</v>
      </c>
      <c r="BE7" s="7" t="s">
        <v>15</v>
      </c>
      <c r="BF7" s="153" t="s">
        <v>15</v>
      </c>
      <c r="BG7" s="7" t="s">
        <v>15</v>
      </c>
      <c r="BH7" s="7" t="s">
        <v>15</v>
      </c>
      <c r="BI7" s="153" t="s">
        <v>15</v>
      </c>
    </row>
    <row r="8" spans="1:68" ht="14.95" customHeight="1" thickBot="1" x14ac:dyDescent="0.3">
      <c r="A8" s="179" t="s">
        <v>566</v>
      </c>
      <c r="B8" s="77">
        <v>0</v>
      </c>
      <c r="C8" s="279">
        <v>0</v>
      </c>
      <c r="D8" s="228">
        <v>1</v>
      </c>
      <c r="E8" s="5">
        <f t="shared" si="2"/>
        <v>1</v>
      </c>
      <c r="F8" s="182" t="s">
        <v>566</v>
      </c>
      <c r="G8" s="78">
        <v>0</v>
      </c>
      <c r="H8" s="265">
        <v>0</v>
      </c>
      <c r="I8" s="230">
        <v>5</v>
      </c>
      <c r="J8" s="63">
        <f t="shared" si="3"/>
        <v>5</v>
      </c>
      <c r="K8" s="179" t="s">
        <v>68</v>
      </c>
      <c r="L8" s="5" t="s">
        <v>15</v>
      </c>
      <c r="M8" s="5" t="s">
        <v>15</v>
      </c>
      <c r="N8" s="183" t="s">
        <v>15</v>
      </c>
      <c r="O8" s="5" t="s">
        <v>15</v>
      </c>
      <c r="P8" s="5" t="s">
        <v>15</v>
      </c>
      <c r="Q8" s="183" t="s">
        <v>15</v>
      </c>
      <c r="R8" s="5">
        <v>-1</v>
      </c>
      <c r="S8" s="5">
        <v>-2</v>
      </c>
      <c r="T8" s="7" t="s">
        <v>15</v>
      </c>
      <c r="U8" s="7" t="s">
        <v>15</v>
      </c>
      <c r="V8" s="153" t="s">
        <v>15</v>
      </c>
      <c r="W8" s="7" t="s">
        <v>15</v>
      </c>
      <c r="X8" s="7" t="s">
        <v>15</v>
      </c>
      <c r="Y8" s="153" t="s">
        <v>15</v>
      </c>
      <c r="Z8" s="93"/>
      <c r="AA8" s="94"/>
      <c r="AB8" s="197"/>
      <c r="AC8" s="7" t="s">
        <v>15</v>
      </c>
      <c r="AD8" s="7" t="s">
        <v>15</v>
      </c>
      <c r="AE8" s="153" t="s">
        <v>15</v>
      </c>
      <c r="AF8" s="7" t="s">
        <v>15</v>
      </c>
      <c r="AG8" s="7" t="s">
        <v>15</v>
      </c>
      <c r="AH8" s="153" t="s">
        <v>15</v>
      </c>
      <c r="AI8" s="148" t="s">
        <v>15</v>
      </c>
      <c r="AJ8" s="7" t="s">
        <v>15</v>
      </c>
      <c r="AK8" s="153" t="s">
        <v>15</v>
      </c>
      <c r="AL8" s="148" t="s">
        <v>15</v>
      </c>
      <c r="AM8" s="7" t="s">
        <v>15</v>
      </c>
      <c r="AN8" s="153" t="s">
        <v>15</v>
      </c>
      <c r="AO8" s="148">
        <v>0</v>
      </c>
      <c r="AP8" s="7">
        <v>1</v>
      </c>
      <c r="AQ8" s="7">
        <v>0</v>
      </c>
      <c r="AR8" s="148" t="s">
        <v>15</v>
      </c>
      <c r="AS8" s="7" t="s">
        <v>15</v>
      </c>
      <c r="AT8" s="153" t="s">
        <v>15</v>
      </c>
      <c r="AU8" s="7" t="s">
        <v>15</v>
      </c>
      <c r="AV8" s="7" t="s">
        <v>15</v>
      </c>
      <c r="AW8" s="153" t="s">
        <v>15</v>
      </c>
      <c r="AX8" s="7" t="s">
        <v>15</v>
      </c>
      <c r="AY8" s="7" t="s">
        <v>15</v>
      </c>
      <c r="AZ8" s="153" t="s">
        <v>15</v>
      </c>
      <c r="BA8" s="7" t="s">
        <v>15</v>
      </c>
      <c r="BB8" s="7" t="s">
        <v>15</v>
      </c>
      <c r="BC8" s="153" t="s">
        <v>15</v>
      </c>
      <c r="BD8" s="7" t="s">
        <v>15</v>
      </c>
      <c r="BE8" s="7" t="s">
        <v>15</v>
      </c>
      <c r="BF8" s="153" t="s">
        <v>15</v>
      </c>
      <c r="BG8" s="7" t="s">
        <v>15</v>
      </c>
      <c r="BH8" s="7" t="s">
        <v>15</v>
      </c>
      <c r="BI8" s="153" t="s">
        <v>15</v>
      </c>
    </row>
    <row r="9" spans="1:68" ht="14.95" customHeight="1" thickBot="1" x14ac:dyDescent="0.3">
      <c r="A9" s="179" t="s">
        <v>888</v>
      </c>
      <c r="B9" s="77">
        <v>0</v>
      </c>
      <c r="C9" s="279">
        <v>0</v>
      </c>
      <c r="D9" s="228">
        <v>0</v>
      </c>
      <c r="E9" s="5">
        <f t="shared" si="2"/>
        <v>0</v>
      </c>
      <c r="F9" s="182" t="s">
        <v>888</v>
      </c>
      <c r="G9" s="78">
        <v>0</v>
      </c>
      <c r="H9" s="265">
        <v>2</v>
      </c>
      <c r="I9" s="230">
        <v>2</v>
      </c>
      <c r="J9" s="63">
        <f t="shared" si="3"/>
        <v>4</v>
      </c>
      <c r="K9" s="55"/>
      <c r="L9" s="52"/>
      <c r="M9" s="51"/>
      <c r="N9" s="51"/>
      <c r="O9" s="52"/>
      <c r="P9" s="51"/>
      <c r="Q9" s="53"/>
      <c r="R9" s="54"/>
      <c r="S9" s="35"/>
      <c r="T9" s="35"/>
      <c r="U9" s="35"/>
      <c r="V9" s="35"/>
      <c r="W9" s="51"/>
      <c r="X9" s="51"/>
      <c r="Y9" s="51"/>
    </row>
    <row r="10" spans="1:68" ht="14.95" customHeight="1" thickBot="1" x14ac:dyDescent="0.3">
      <c r="A10" s="179" t="s">
        <v>1059</v>
      </c>
      <c r="B10" s="77">
        <v>2</v>
      </c>
      <c r="C10" s="279">
        <v>1</v>
      </c>
      <c r="D10" s="228">
        <v>0</v>
      </c>
      <c r="E10" s="5">
        <f t="shared" si="2"/>
        <v>3</v>
      </c>
      <c r="F10" s="182" t="s">
        <v>1059</v>
      </c>
      <c r="G10" s="78">
        <v>10</v>
      </c>
      <c r="H10" s="265">
        <v>5</v>
      </c>
      <c r="I10" s="230">
        <v>0</v>
      </c>
      <c r="J10" s="63">
        <f t="shared" si="3"/>
        <v>15</v>
      </c>
      <c r="K10" s="455" t="s">
        <v>189</v>
      </c>
      <c r="L10" s="457" t="s">
        <v>14</v>
      </c>
      <c r="M10" s="461"/>
      <c r="N10" s="458"/>
      <c r="O10" s="449" t="s">
        <v>226</v>
      </c>
      <c r="P10" s="450"/>
      <c r="Q10" s="451"/>
      <c r="R10" s="449" t="s">
        <v>875</v>
      </c>
      <c r="S10" s="450"/>
      <c r="T10" s="451"/>
      <c r="U10" s="449" t="s">
        <v>581</v>
      </c>
      <c r="V10" s="450"/>
      <c r="W10" s="451"/>
      <c r="X10" s="160"/>
      <c r="Y10" s="160"/>
      <c r="Z10" s="160"/>
      <c r="AC10" s="449" t="s">
        <v>477</v>
      </c>
      <c r="AD10" s="450"/>
      <c r="AE10" s="451"/>
      <c r="AF10" s="449" t="s">
        <v>391</v>
      </c>
      <c r="AG10" s="450"/>
      <c r="AH10" s="451"/>
      <c r="AI10" s="449" t="s">
        <v>300</v>
      </c>
      <c r="AJ10" s="450"/>
      <c r="AK10" s="451"/>
      <c r="AL10" s="449" t="s">
        <v>219</v>
      </c>
      <c r="AM10" s="450"/>
      <c r="AN10" s="451"/>
      <c r="AO10" s="449" t="s">
        <v>165</v>
      </c>
      <c r="AP10" s="450"/>
      <c r="AQ10" s="451"/>
      <c r="AR10" s="449" t="s">
        <v>78</v>
      </c>
      <c r="AS10" s="450"/>
      <c r="AT10" s="451"/>
      <c r="AU10" s="449" t="s">
        <v>54</v>
      </c>
      <c r="AV10" s="450"/>
      <c r="AW10" s="451"/>
      <c r="AX10" s="449" t="s">
        <v>50</v>
      </c>
      <c r="AY10" s="450"/>
      <c r="AZ10" s="451"/>
      <c r="BA10" s="449" t="s">
        <v>60</v>
      </c>
      <c r="BB10" s="450"/>
      <c r="BC10" s="451"/>
    </row>
    <row r="11" spans="1:68" ht="14.95" customHeight="1" thickBot="1" x14ac:dyDescent="0.3">
      <c r="A11" s="179" t="s">
        <v>25</v>
      </c>
      <c r="B11" s="77">
        <v>0</v>
      </c>
      <c r="C11" s="279">
        <v>0</v>
      </c>
      <c r="D11" s="228">
        <v>1</v>
      </c>
      <c r="E11" s="5">
        <f t="shared" si="2"/>
        <v>1</v>
      </c>
      <c r="F11" s="182" t="s">
        <v>25</v>
      </c>
      <c r="G11" s="78">
        <v>0</v>
      </c>
      <c r="H11" s="265">
        <v>0</v>
      </c>
      <c r="I11" s="230">
        <v>5</v>
      </c>
      <c r="J11" s="63">
        <f t="shared" si="3"/>
        <v>5</v>
      </c>
      <c r="K11" s="456"/>
      <c r="L11" s="459"/>
      <c r="M11" s="462"/>
      <c r="N11" s="460"/>
      <c r="O11" s="452"/>
      <c r="P11" s="453"/>
      <c r="Q11" s="454"/>
      <c r="R11" s="452"/>
      <c r="S11" s="453"/>
      <c r="T11" s="454"/>
      <c r="U11" s="452"/>
      <c r="V11" s="453"/>
      <c r="W11" s="454"/>
      <c r="X11" s="160"/>
      <c r="Y11" s="160"/>
      <c r="Z11" s="160"/>
      <c r="AC11" s="452"/>
      <c r="AD11" s="453"/>
      <c r="AE11" s="454"/>
      <c r="AF11" s="452"/>
      <c r="AG11" s="453"/>
      <c r="AH11" s="454"/>
      <c r="AI11" s="452"/>
      <c r="AJ11" s="453"/>
      <c r="AK11" s="454"/>
      <c r="AL11" s="452"/>
      <c r="AM11" s="453"/>
      <c r="AN11" s="454"/>
      <c r="AO11" s="452"/>
      <c r="AP11" s="453"/>
      <c r="AQ11" s="454"/>
      <c r="AR11" s="452"/>
      <c r="AS11" s="453"/>
      <c r="AT11" s="454"/>
      <c r="AU11" s="452"/>
      <c r="AV11" s="453"/>
      <c r="AW11" s="454"/>
      <c r="AX11" s="452"/>
      <c r="AY11" s="453"/>
      <c r="AZ11" s="454"/>
      <c r="BA11" s="452"/>
      <c r="BB11" s="453"/>
      <c r="BC11" s="454"/>
    </row>
    <row r="12" spans="1:68" ht="14.95" customHeight="1" thickBot="1" x14ac:dyDescent="0.3">
      <c r="A12" s="179" t="s">
        <v>61</v>
      </c>
      <c r="B12" s="77">
        <v>1</v>
      </c>
      <c r="C12" s="279">
        <v>0</v>
      </c>
      <c r="D12" s="228">
        <v>0</v>
      </c>
      <c r="E12" s="5">
        <f t="shared" si="2"/>
        <v>1</v>
      </c>
      <c r="F12" s="182" t="s">
        <v>61</v>
      </c>
      <c r="G12" s="78">
        <v>5</v>
      </c>
      <c r="H12" s="265">
        <v>0</v>
      </c>
      <c r="I12" s="230">
        <v>0</v>
      </c>
      <c r="J12" s="63">
        <f t="shared" si="3"/>
        <v>5</v>
      </c>
      <c r="K12" s="246" t="s">
        <v>21</v>
      </c>
      <c r="L12" s="3" t="s">
        <v>46</v>
      </c>
      <c r="M12" s="3" t="s">
        <v>9</v>
      </c>
      <c r="N12" s="3" t="s">
        <v>10</v>
      </c>
      <c r="O12" s="7" t="s">
        <v>46</v>
      </c>
      <c r="P12" s="7" t="s">
        <v>9</v>
      </c>
      <c r="Q12" s="7" t="s">
        <v>10</v>
      </c>
      <c r="R12" s="7" t="s">
        <v>46</v>
      </c>
      <c r="S12" s="7" t="s">
        <v>9</v>
      </c>
      <c r="T12" s="7" t="s">
        <v>10</v>
      </c>
      <c r="U12" s="7" t="s">
        <v>46</v>
      </c>
      <c r="V12" s="7" t="s">
        <v>9</v>
      </c>
      <c r="W12" s="7" t="s">
        <v>10</v>
      </c>
      <c r="AC12" s="148" t="s">
        <v>46</v>
      </c>
      <c r="AD12" s="7" t="s">
        <v>9</v>
      </c>
      <c r="AE12" s="7" t="s">
        <v>10</v>
      </c>
      <c r="AF12" s="148" t="s">
        <v>46</v>
      </c>
      <c r="AG12" s="7" t="s">
        <v>9</v>
      </c>
      <c r="AH12" s="7" t="s">
        <v>10</v>
      </c>
      <c r="AI12" s="84" t="s">
        <v>46</v>
      </c>
      <c r="AJ12" s="79" t="s">
        <v>9</v>
      </c>
      <c r="AK12" s="79" t="s">
        <v>10</v>
      </c>
      <c r="AL12" s="148" t="s">
        <v>46</v>
      </c>
      <c r="AM12" s="7" t="s">
        <v>9</v>
      </c>
      <c r="AN12" s="7" t="s">
        <v>10</v>
      </c>
      <c r="AO12" s="148" t="s">
        <v>46</v>
      </c>
      <c r="AP12" s="7" t="s">
        <v>9</v>
      </c>
      <c r="AQ12" s="7" t="s">
        <v>10</v>
      </c>
      <c r="AR12" s="148" t="s">
        <v>46</v>
      </c>
      <c r="AS12" s="7" t="s">
        <v>9</v>
      </c>
      <c r="AT12" s="7" t="s">
        <v>10</v>
      </c>
      <c r="AU12" s="148" t="s">
        <v>46</v>
      </c>
      <c r="AV12" s="7" t="s">
        <v>9</v>
      </c>
      <c r="AW12" s="7" t="s">
        <v>10</v>
      </c>
      <c r="AX12" s="148" t="s">
        <v>46</v>
      </c>
      <c r="AY12" s="7" t="s">
        <v>9</v>
      </c>
      <c r="AZ12" s="7" t="s">
        <v>10</v>
      </c>
      <c r="BA12" s="148" t="s">
        <v>46</v>
      </c>
      <c r="BB12" s="7" t="s">
        <v>9</v>
      </c>
      <c r="BC12" s="7" t="s">
        <v>10</v>
      </c>
    </row>
    <row r="13" spans="1:68" ht="14.95" customHeight="1" thickBot="1" x14ac:dyDescent="0.3">
      <c r="A13" s="179" t="s">
        <v>532</v>
      </c>
      <c r="B13" s="77">
        <v>1</v>
      </c>
      <c r="C13" s="279">
        <v>0</v>
      </c>
      <c r="D13" s="228">
        <v>0</v>
      </c>
      <c r="E13" s="5">
        <f t="shared" si="2"/>
        <v>1</v>
      </c>
      <c r="F13" s="182" t="s">
        <v>532</v>
      </c>
      <c r="G13" s="78">
        <v>5</v>
      </c>
      <c r="H13" s="265">
        <v>0</v>
      </c>
      <c r="I13" s="230">
        <v>0</v>
      </c>
      <c r="J13" s="63">
        <f t="shared" si="3"/>
        <v>5</v>
      </c>
      <c r="K13" s="179" t="s">
        <v>990</v>
      </c>
      <c r="L13" s="5">
        <v>1</v>
      </c>
      <c r="M13" s="5">
        <v>2</v>
      </c>
      <c r="N13" s="183">
        <f t="shared" ref="N13" si="7">SUM(L13/M13)*100</f>
        <v>50</v>
      </c>
      <c r="O13" s="7" t="s">
        <v>15</v>
      </c>
      <c r="P13" s="7" t="s">
        <v>15</v>
      </c>
      <c r="Q13" s="153" t="s">
        <v>15</v>
      </c>
      <c r="R13" s="7" t="s">
        <v>15</v>
      </c>
      <c r="S13" s="7" t="s">
        <v>15</v>
      </c>
      <c r="T13" s="153" t="s">
        <v>15</v>
      </c>
      <c r="U13" s="7" t="s">
        <v>15</v>
      </c>
      <c r="V13" s="7" t="s">
        <v>15</v>
      </c>
      <c r="W13" s="153" t="s">
        <v>15</v>
      </c>
      <c r="AC13" s="148" t="s">
        <v>15</v>
      </c>
      <c r="AD13" s="7" t="s">
        <v>15</v>
      </c>
      <c r="AE13" s="153" t="s">
        <v>15</v>
      </c>
      <c r="AF13" s="148" t="s">
        <v>15</v>
      </c>
      <c r="AG13" s="7" t="s">
        <v>15</v>
      </c>
      <c r="AH13" s="153" t="s">
        <v>15</v>
      </c>
      <c r="AI13" s="148" t="s">
        <v>15</v>
      </c>
      <c r="AJ13" s="7" t="s">
        <v>15</v>
      </c>
      <c r="AK13" s="7" t="s">
        <v>15</v>
      </c>
      <c r="AL13" s="148" t="s">
        <v>15</v>
      </c>
      <c r="AM13" s="7" t="s">
        <v>15</v>
      </c>
      <c r="AN13" s="7" t="s">
        <v>15</v>
      </c>
      <c r="AO13" s="148" t="s">
        <v>15</v>
      </c>
      <c r="AP13" s="7" t="s">
        <v>15</v>
      </c>
      <c r="AQ13" s="7" t="s">
        <v>15</v>
      </c>
      <c r="AR13" s="148">
        <v>1</v>
      </c>
      <c r="AS13" s="7">
        <v>2</v>
      </c>
      <c r="AT13" s="153">
        <f>SUM(AR13/AS13)*100</f>
        <v>50</v>
      </c>
      <c r="AU13" s="6" t="s">
        <v>15</v>
      </c>
      <c r="AV13" s="7" t="s">
        <v>15</v>
      </c>
      <c r="AW13" s="7" t="s">
        <v>15</v>
      </c>
      <c r="AX13" s="7" t="s">
        <v>15</v>
      </c>
      <c r="AY13" s="7" t="s">
        <v>15</v>
      </c>
      <c r="AZ13" s="7" t="s">
        <v>15</v>
      </c>
      <c r="BA13" s="7" t="s">
        <v>15</v>
      </c>
      <c r="BB13" s="7" t="s">
        <v>15</v>
      </c>
      <c r="BC13" s="7" t="s">
        <v>15</v>
      </c>
    </row>
    <row r="14" spans="1:68" ht="14.95" customHeight="1" thickBot="1" x14ac:dyDescent="0.3">
      <c r="A14" s="179" t="s">
        <v>244</v>
      </c>
      <c r="B14" s="77">
        <v>0</v>
      </c>
      <c r="C14" s="279">
        <v>0</v>
      </c>
      <c r="D14" s="228">
        <v>0</v>
      </c>
      <c r="E14" s="5">
        <f t="shared" si="2"/>
        <v>0</v>
      </c>
      <c r="F14" s="182" t="s">
        <v>244</v>
      </c>
      <c r="G14" s="78">
        <v>61</v>
      </c>
      <c r="H14" s="265">
        <v>18</v>
      </c>
      <c r="I14" s="230">
        <v>25</v>
      </c>
      <c r="J14" s="63">
        <f t="shared" si="3"/>
        <v>104</v>
      </c>
      <c r="K14" s="179" t="s">
        <v>244</v>
      </c>
      <c r="L14" s="5">
        <v>7</v>
      </c>
      <c r="M14" s="5">
        <v>10</v>
      </c>
      <c r="N14" s="183">
        <f t="shared" ref="N14:N15" si="8">SUM(L14/M14)*100</f>
        <v>70</v>
      </c>
      <c r="O14" s="7">
        <v>1</v>
      </c>
      <c r="P14" s="7">
        <v>1</v>
      </c>
      <c r="Q14" s="153">
        <v>100</v>
      </c>
      <c r="R14" s="7">
        <v>6</v>
      </c>
      <c r="S14" s="7">
        <v>8</v>
      </c>
      <c r="T14" s="153">
        <v>75</v>
      </c>
      <c r="U14" s="7" t="s">
        <v>15</v>
      </c>
      <c r="V14" s="7" t="s">
        <v>15</v>
      </c>
      <c r="W14" s="153" t="s">
        <v>15</v>
      </c>
      <c r="AC14" s="148">
        <v>7</v>
      </c>
      <c r="AD14" s="7">
        <v>10</v>
      </c>
      <c r="AE14" s="153">
        <f t="shared" ref="AE14" si="9">SUM(AC14/AD14)*100</f>
        <v>70</v>
      </c>
      <c r="AF14" s="148">
        <v>9</v>
      </c>
      <c r="AG14" s="7">
        <v>13</v>
      </c>
      <c r="AH14" s="153">
        <f>SUM(AF14/AG14)*100</f>
        <v>69.230769230769226</v>
      </c>
      <c r="AI14" s="148" t="s">
        <v>15</v>
      </c>
      <c r="AJ14" s="7" t="s">
        <v>15</v>
      </c>
      <c r="AK14" s="7" t="s">
        <v>15</v>
      </c>
      <c r="AL14" s="148" t="s">
        <v>15</v>
      </c>
      <c r="AM14" s="7" t="s">
        <v>15</v>
      </c>
      <c r="AN14" s="7" t="s">
        <v>15</v>
      </c>
      <c r="AO14" s="148" t="s">
        <v>15</v>
      </c>
      <c r="AP14" s="7" t="s">
        <v>15</v>
      </c>
      <c r="AQ14" s="7" t="s">
        <v>15</v>
      </c>
      <c r="AR14" s="148">
        <v>1</v>
      </c>
      <c r="AS14" s="7">
        <v>2</v>
      </c>
      <c r="AT14" s="153">
        <f>SUM(AR14/AS14)*100</f>
        <v>50</v>
      </c>
      <c r="AU14" s="6" t="s">
        <v>15</v>
      </c>
      <c r="AV14" s="7" t="s">
        <v>15</v>
      </c>
      <c r="AW14" s="7" t="s">
        <v>15</v>
      </c>
      <c r="AX14" s="7" t="s">
        <v>15</v>
      </c>
      <c r="AY14" s="7" t="s">
        <v>15</v>
      </c>
      <c r="AZ14" s="7" t="s">
        <v>15</v>
      </c>
      <c r="BA14" s="7" t="s">
        <v>15</v>
      </c>
      <c r="BB14" s="7" t="s">
        <v>15</v>
      </c>
      <c r="BC14" s="7" t="s">
        <v>15</v>
      </c>
    </row>
    <row r="15" spans="1:68" ht="14.95" customHeight="1" thickBot="1" x14ac:dyDescent="0.3">
      <c r="A15" s="179" t="s">
        <v>672</v>
      </c>
      <c r="B15" s="77">
        <v>0</v>
      </c>
      <c r="C15" s="279">
        <v>0</v>
      </c>
      <c r="D15" s="228">
        <v>0</v>
      </c>
      <c r="E15" s="5">
        <f t="shared" si="2"/>
        <v>0</v>
      </c>
      <c r="F15" s="182" t="s">
        <v>242</v>
      </c>
      <c r="G15" s="78">
        <v>0</v>
      </c>
      <c r="H15" s="265">
        <v>0</v>
      </c>
      <c r="I15" s="230">
        <v>0</v>
      </c>
      <c r="J15" s="63">
        <f t="shared" si="3"/>
        <v>0</v>
      </c>
      <c r="K15" s="179" t="s">
        <v>763</v>
      </c>
      <c r="L15" s="5">
        <v>4</v>
      </c>
      <c r="M15" s="5">
        <v>6</v>
      </c>
      <c r="N15" s="183">
        <f t="shared" si="8"/>
        <v>66.666666666666657</v>
      </c>
      <c r="O15" s="7" t="s">
        <v>15</v>
      </c>
      <c r="P15" s="7" t="s">
        <v>15</v>
      </c>
      <c r="Q15" s="153" t="s">
        <v>15</v>
      </c>
      <c r="R15" s="7" t="s">
        <v>15</v>
      </c>
      <c r="S15" s="7" t="s">
        <v>15</v>
      </c>
      <c r="T15" s="153" t="s">
        <v>15</v>
      </c>
      <c r="U15" s="7" t="s">
        <v>15</v>
      </c>
      <c r="V15" s="7" t="s">
        <v>15</v>
      </c>
      <c r="W15" s="153" t="s">
        <v>15</v>
      </c>
      <c r="AC15" s="148" t="s">
        <v>15</v>
      </c>
      <c r="AD15" s="7" t="s">
        <v>15</v>
      </c>
      <c r="AE15" s="153" t="s">
        <v>15</v>
      </c>
      <c r="AF15" s="148" t="s">
        <v>15</v>
      </c>
      <c r="AG15" s="7" t="s">
        <v>15</v>
      </c>
      <c r="AH15" s="153" t="s">
        <v>15</v>
      </c>
      <c r="AI15" s="148" t="s">
        <v>15</v>
      </c>
      <c r="AJ15" s="7" t="s">
        <v>15</v>
      </c>
      <c r="AK15" s="7" t="s">
        <v>15</v>
      </c>
      <c r="AL15" s="148" t="s">
        <v>15</v>
      </c>
      <c r="AM15" s="7" t="s">
        <v>15</v>
      </c>
      <c r="AN15" s="7" t="s">
        <v>15</v>
      </c>
      <c r="AO15" s="148" t="s">
        <v>15</v>
      </c>
      <c r="AP15" s="7" t="s">
        <v>15</v>
      </c>
      <c r="AQ15" s="7" t="s">
        <v>15</v>
      </c>
      <c r="AR15" s="148">
        <v>1</v>
      </c>
      <c r="AS15" s="7">
        <v>2</v>
      </c>
      <c r="AT15" s="153">
        <f>SUM(AR15/AS15)*100</f>
        <v>50</v>
      </c>
      <c r="AU15" s="6" t="s">
        <v>15</v>
      </c>
      <c r="AV15" s="7" t="s">
        <v>15</v>
      </c>
      <c r="AW15" s="7" t="s">
        <v>15</v>
      </c>
      <c r="AX15" s="7" t="s">
        <v>15</v>
      </c>
      <c r="AY15" s="7" t="s">
        <v>15</v>
      </c>
      <c r="AZ15" s="7" t="s">
        <v>15</v>
      </c>
      <c r="BA15" s="7" t="s">
        <v>15</v>
      </c>
      <c r="BB15" s="7" t="s">
        <v>15</v>
      </c>
      <c r="BC15" s="7" t="s">
        <v>15</v>
      </c>
    </row>
    <row r="16" spans="1:68" ht="14.95" customHeight="1" thickBot="1" x14ac:dyDescent="0.3">
      <c r="A16" s="179" t="s">
        <v>673</v>
      </c>
      <c r="B16" s="77">
        <v>0</v>
      </c>
      <c r="C16" s="279">
        <v>0</v>
      </c>
      <c r="D16" s="228">
        <v>0</v>
      </c>
      <c r="E16" s="5">
        <f t="shared" si="2"/>
        <v>0</v>
      </c>
      <c r="F16" s="182" t="s">
        <v>673</v>
      </c>
      <c r="G16" s="78">
        <v>0</v>
      </c>
      <c r="H16" s="265">
        <v>0</v>
      </c>
      <c r="I16" s="230">
        <v>0</v>
      </c>
      <c r="J16" s="63">
        <f t="shared" si="3"/>
        <v>0</v>
      </c>
    </row>
    <row r="17" spans="1:55" ht="14.95" customHeight="1" thickBot="1" x14ac:dyDescent="0.3">
      <c r="A17" s="179" t="s">
        <v>698</v>
      </c>
      <c r="B17" s="77">
        <v>0</v>
      </c>
      <c r="C17" s="279">
        <v>0</v>
      </c>
      <c r="D17" s="228">
        <v>0</v>
      </c>
      <c r="E17" s="5">
        <f t="shared" si="2"/>
        <v>0</v>
      </c>
      <c r="F17" s="182" t="s">
        <v>698</v>
      </c>
      <c r="G17" s="78">
        <v>0</v>
      </c>
      <c r="H17" s="265">
        <v>0</v>
      </c>
      <c r="I17" s="230">
        <v>0</v>
      </c>
      <c r="J17" s="63">
        <f t="shared" si="3"/>
        <v>0</v>
      </c>
      <c r="K17" s="465" t="s">
        <v>188</v>
      </c>
      <c r="L17" s="449" t="s">
        <v>14</v>
      </c>
      <c r="M17" s="450"/>
      <c r="N17" s="451"/>
      <c r="O17" s="449" t="s">
        <v>226</v>
      </c>
      <c r="P17" s="450"/>
      <c r="Q17" s="451"/>
      <c r="R17" s="449" t="s">
        <v>875</v>
      </c>
      <c r="S17" s="450"/>
      <c r="T17" s="451"/>
      <c r="U17" s="449" t="s">
        <v>581</v>
      </c>
      <c r="V17" s="450"/>
      <c r="W17" s="451"/>
      <c r="AC17" s="449" t="s">
        <v>477</v>
      </c>
      <c r="AD17" s="450"/>
      <c r="AE17" s="451"/>
      <c r="AF17" s="449" t="s">
        <v>391</v>
      </c>
      <c r="AG17" s="450"/>
      <c r="AH17" s="451"/>
      <c r="AI17" s="449" t="s">
        <v>300</v>
      </c>
      <c r="AJ17" s="450"/>
      <c r="AK17" s="451"/>
      <c r="AL17" s="449" t="s">
        <v>219</v>
      </c>
      <c r="AM17" s="450"/>
      <c r="AN17" s="451"/>
      <c r="AO17" s="449" t="s">
        <v>165</v>
      </c>
      <c r="AP17" s="450"/>
      <c r="AQ17" s="451"/>
      <c r="AR17" s="449" t="s">
        <v>78</v>
      </c>
      <c r="AS17" s="450"/>
      <c r="AT17" s="451"/>
      <c r="AU17" s="449" t="s">
        <v>54</v>
      </c>
      <c r="AV17" s="450"/>
      <c r="AW17" s="451"/>
      <c r="AX17" s="449" t="s">
        <v>50</v>
      </c>
      <c r="AY17" s="450"/>
      <c r="AZ17" s="451"/>
      <c r="BA17" s="449" t="s">
        <v>60</v>
      </c>
      <c r="BB17" s="450"/>
      <c r="BC17" s="451"/>
    </row>
    <row r="18" spans="1:55" ht="14.95" customHeight="1" thickBot="1" x14ac:dyDescent="0.3">
      <c r="A18" s="179" t="s">
        <v>491</v>
      </c>
      <c r="B18" s="77">
        <v>0</v>
      </c>
      <c r="C18" s="279">
        <v>0</v>
      </c>
      <c r="D18" s="228">
        <v>0</v>
      </c>
      <c r="E18" s="5">
        <f t="shared" ref="E18:E19" si="10">SUM(B18:D18)</f>
        <v>0</v>
      </c>
      <c r="F18" s="182" t="s">
        <v>491</v>
      </c>
      <c r="G18" s="78">
        <v>0</v>
      </c>
      <c r="H18" s="265">
        <v>0</v>
      </c>
      <c r="I18" s="230">
        <v>0</v>
      </c>
      <c r="J18" s="63">
        <f t="shared" ref="J18:J19" si="11">SUM(G18:I18)</f>
        <v>0</v>
      </c>
      <c r="K18" s="466"/>
      <c r="L18" s="452"/>
      <c r="M18" s="453"/>
      <c r="N18" s="454"/>
      <c r="O18" s="452"/>
      <c r="P18" s="453"/>
      <c r="Q18" s="454"/>
      <c r="R18" s="452"/>
      <c r="S18" s="453"/>
      <c r="T18" s="454"/>
      <c r="U18" s="452"/>
      <c r="V18" s="453"/>
      <c r="W18" s="454"/>
      <c r="AC18" s="452"/>
      <c r="AD18" s="453"/>
      <c r="AE18" s="454"/>
      <c r="AF18" s="452"/>
      <c r="AG18" s="453"/>
      <c r="AH18" s="454"/>
      <c r="AI18" s="452"/>
      <c r="AJ18" s="453"/>
      <c r="AK18" s="454"/>
      <c r="AL18" s="452"/>
      <c r="AM18" s="453"/>
      <c r="AN18" s="454"/>
      <c r="AO18" s="452"/>
      <c r="AP18" s="453"/>
      <c r="AQ18" s="454"/>
      <c r="AR18" s="452"/>
      <c r="AS18" s="453"/>
      <c r="AT18" s="454"/>
      <c r="AU18" s="452"/>
      <c r="AV18" s="453"/>
      <c r="AW18" s="454"/>
      <c r="AX18" s="452"/>
      <c r="AY18" s="453"/>
      <c r="AZ18" s="454"/>
      <c r="BA18" s="452"/>
      <c r="BB18" s="453"/>
      <c r="BC18" s="454"/>
    </row>
    <row r="19" spans="1:55" ht="14.95" customHeight="1" thickBot="1" x14ac:dyDescent="0.3">
      <c r="A19" s="179" t="s">
        <v>536</v>
      </c>
      <c r="B19" s="77">
        <v>0</v>
      </c>
      <c r="C19" s="279">
        <v>0</v>
      </c>
      <c r="D19" s="228">
        <v>0</v>
      </c>
      <c r="E19" s="5">
        <f t="shared" si="10"/>
        <v>0</v>
      </c>
      <c r="F19" s="182" t="s">
        <v>536</v>
      </c>
      <c r="G19" s="78">
        <v>0</v>
      </c>
      <c r="H19" s="265">
        <v>0</v>
      </c>
      <c r="I19" s="230">
        <v>0</v>
      </c>
      <c r="J19" s="63">
        <f t="shared" si="11"/>
        <v>0</v>
      </c>
      <c r="K19" s="251" t="s">
        <v>21</v>
      </c>
      <c r="L19" s="7" t="s">
        <v>46</v>
      </c>
      <c r="M19" s="7" t="s">
        <v>9</v>
      </c>
      <c r="N19" s="7" t="s">
        <v>10</v>
      </c>
      <c r="O19" s="7" t="s">
        <v>46</v>
      </c>
      <c r="P19" s="7" t="s">
        <v>9</v>
      </c>
      <c r="Q19" s="7" t="s">
        <v>10</v>
      </c>
      <c r="R19" s="7" t="s">
        <v>46</v>
      </c>
      <c r="S19" s="7" t="s">
        <v>9</v>
      </c>
      <c r="T19" s="7" t="s">
        <v>10</v>
      </c>
      <c r="U19" s="7" t="s">
        <v>46</v>
      </c>
      <c r="V19" s="7" t="s">
        <v>9</v>
      </c>
      <c r="W19" s="7" t="s">
        <v>10</v>
      </c>
      <c r="AC19" s="148" t="s">
        <v>46</v>
      </c>
      <c r="AD19" s="7" t="s">
        <v>9</v>
      </c>
      <c r="AE19" s="7" t="s">
        <v>10</v>
      </c>
      <c r="AF19" s="148" t="s">
        <v>46</v>
      </c>
      <c r="AG19" s="7" t="s">
        <v>9</v>
      </c>
      <c r="AH19" s="7" t="s">
        <v>10</v>
      </c>
      <c r="AI19" s="84" t="s">
        <v>46</v>
      </c>
      <c r="AJ19" s="79" t="s">
        <v>9</v>
      </c>
      <c r="AK19" s="79" t="s">
        <v>10</v>
      </c>
      <c r="AL19" s="148" t="s">
        <v>46</v>
      </c>
      <c r="AM19" s="7" t="s">
        <v>9</v>
      </c>
      <c r="AN19" s="7" t="s">
        <v>10</v>
      </c>
      <c r="AO19" s="148" t="s">
        <v>46</v>
      </c>
      <c r="AP19" s="7" t="s">
        <v>9</v>
      </c>
      <c r="AQ19" s="7" t="s">
        <v>10</v>
      </c>
      <c r="AR19" s="148" t="s">
        <v>46</v>
      </c>
      <c r="AS19" s="7" t="s">
        <v>9</v>
      </c>
      <c r="AT19" s="7" t="s">
        <v>10</v>
      </c>
      <c r="AU19" s="148" t="s">
        <v>46</v>
      </c>
      <c r="AV19" s="7" t="s">
        <v>9</v>
      </c>
      <c r="AW19" s="7" t="s">
        <v>10</v>
      </c>
      <c r="AX19" s="148" t="s">
        <v>46</v>
      </c>
      <c r="AY19" s="7" t="s">
        <v>9</v>
      </c>
      <c r="AZ19" s="7" t="s">
        <v>10</v>
      </c>
      <c r="BA19" s="148" t="s">
        <v>46</v>
      </c>
      <c r="BB19" s="7" t="s">
        <v>9</v>
      </c>
      <c r="BC19" s="7" t="s">
        <v>10</v>
      </c>
    </row>
    <row r="20" spans="1:55" ht="14.95" customHeight="1" thickBot="1" x14ac:dyDescent="0.3">
      <c r="A20" s="179" t="s">
        <v>433</v>
      </c>
      <c r="B20" s="77">
        <v>0</v>
      </c>
      <c r="C20" s="279">
        <v>0</v>
      </c>
      <c r="D20" s="228">
        <v>0</v>
      </c>
      <c r="E20" s="5">
        <f t="shared" si="2"/>
        <v>0</v>
      </c>
      <c r="F20" s="182" t="s">
        <v>433</v>
      </c>
      <c r="G20" s="78">
        <v>0</v>
      </c>
      <c r="H20" s="265">
        <v>0</v>
      </c>
      <c r="I20" s="230">
        <v>0</v>
      </c>
      <c r="J20" s="63">
        <f t="shared" si="3"/>
        <v>0</v>
      </c>
      <c r="K20" s="179" t="s">
        <v>990</v>
      </c>
      <c r="L20" s="7" t="s">
        <v>15</v>
      </c>
      <c r="M20" s="7" t="s">
        <v>15</v>
      </c>
      <c r="N20" s="153" t="s">
        <v>15</v>
      </c>
      <c r="O20" s="7">
        <v>4</v>
      </c>
      <c r="P20" s="7">
        <v>6</v>
      </c>
      <c r="Q20" s="153">
        <v>66.666666666666657</v>
      </c>
      <c r="R20" s="7" t="s">
        <v>15</v>
      </c>
      <c r="S20" s="7" t="s">
        <v>15</v>
      </c>
      <c r="T20" s="153" t="s">
        <v>15</v>
      </c>
      <c r="U20" s="7">
        <v>0</v>
      </c>
      <c r="V20" s="7">
        <v>1</v>
      </c>
      <c r="W20" s="153">
        <v>0</v>
      </c>
      <c r="AC20" s="148" t="s">
        <v>15</v>
      </c>
      <c r="AD20" s="7" t="s">
        <v>15</v>
      </c>
      <c r="AE20" s="153" t="s">
        <v>15</v>
      </c>
      <c r="AF20" s="148" t="s">
        <v>15</v>
      </c>
      <c r="AG20" s="7" t="s">
        <v>15</v>
      </c>
      <c r="AH20" s="7" t="s">
        <v>15</v>
      </c>
      <c r="AI20" s="148" t="s">
        <v>15</v>
      </c>
      <c r="AJ20" s="7" t="s">
        <v>15</v>
      </c>
      <c r="AK20" s="7" t="s">
        <v>15</v>
      </c>
      <c r="AL20" s="148">
        <v>3</v>
      </c>
      <c r="AM20" s="7">
        <v>3</v>
      </c>
      <c r="AN20" s="153">
        <v>100</v>
      </c>
      <c r="AO20" s="148" t="s">
        <v>15</v>
      </c>
      <c r="AP20" s="7" t="s">
        <v>15</v>
      </c>
      <c r="AQ20" s="7" t="s">
        <v>15</v>
      </c>
      <c r="AR20" s="7" t="s">
        <v>15</v>
      </c>
      <c r="AS20" s="7" t="s">
        <v>15</v>
      </c>
      <c r="AT20" s="7" t="s">
        <v>15</v>
      </c>
      <c r="AU20" s="7" t="s">
        <v>15</v>
      </c>
      <c r="AV20" s="7" t="s">
        <v>15</v>
      </c>
      <c r="AW20" s="7" t="s">
        <v>15</v>
      </c>
      <c r="AX20" s="7" t="s">
        <v>15</v>
      </c>
      <c r="AY20" s="7" t="s">
        <v>15</v>
      </c>
      <c r="AZ20" s="7" t="s">
        <v>15</v>
      </c>
      <c r="BA20" s="7" t="s">
        <v>15</v>
      </c>
      <c r="BB20" s="7" t="s">
        <v>15</v>
      </c>
      <c r="BC20" s="7" t="s">
        <v>15</v>
      </c>
    </row>
    <row r="21" spans="1:55" ht="14.95" customHeight="1" thickBot="1" x14ac:dyDescent="0.3">
      <c r="A21" s="179" t="s">
        <v>456</v>
      </c>
      <c r="B21" s="77">
        <v>0</v>
      </c>
      <c r="C21" s="279">
        <v>0</v>
      </c>
      <c r="D21" s="228">
        <v>2</v>
      </c>
      <c r="E21" s="5">
        <f t="shared" si="2"/>
        <v>2</v>
      </c>
      <c r="F21" s="182" t="s">
        <v>456</v>
      </c>
      <c r="G21" s="78">
        <v>0</v>
      </c>
      <c r="H21" s="265">
        <v>0</v>
      </c>
      <c r="I21" s="230">
        <v>10</v>
      </c>
      <c r="J21" s="63">
        <f t="shared" si="3"/>
        <v>10</v>
      </c>
      <c r="K21" s="179" t="s">
        <v>244</v>
      </c>
      <c r="L21" s="7" t="s">
        <v>15</v>
      </c>
      <c r="M21" s="7" t="s">
        <v>15</v>
      </c>
      <c r="N21" s="153" t="s">
        <v>15</v>
      </c>
      <c r="O21" s="7" t="s">
        <v>15</v>
      </c>
      <c r="P21" s="7" t="s">
        <v>15</v>
      </c>
      <c r="Q21" s="153" t="s">
        <v>15</v>
      </c>
      <c r="R21" s="7" t="s">
        <v>15</v>
      </c>
      <c r="S21" s="7" t="s">
        <v>15</v>
      </c>
      <c r="T21" s="153" t="s">
        <v>15</v>
      </c>
      <c r="U21" s="7" t="s">
        <v>15</v>
      </c>
      <c r="V21" s="7" t="s">
        <v>15</v>
      </c>
      <c r="W21" s="153" t="s">
        <v>15</v>
      </c>
      <c r="AC21" s="148" t="s">
        <v>15</v>
      </c>
      <c r="AD21" s="7" t="s">
        <v>15</v>
      </c>
      <c r="AE21" s="153" t="s">
        <v>15</v>
      </c>
      <c r="AF21" s="148" t="s">
        <v>15</v>
      </c>
      <c r="AG21" s="7" t="s">
        <v>15</v>
      </c>
      <c r="AH21" s="7" t="s">
        <v>15</v>
      </c>
      <c r="AI21" s="148" t="s">
        <v>15</v>
      </c>
      <c r="AJ21" s="7" t="s">
        <v>15</v>
      </c>
      <c r="AK21" s="7" t="s">
        <v>15</v>
      </c>
      <c r="AL21" s="148">
        <v>3</v>
      </c>
      <c r="AM21" s="7">
        <v>3</v>
      </c>
      <c r="AN21" s="153">
        <v>100</v>
      </c>
      <c r="AO21" s="148" t="s">
        <v>15</v>
      </c>
      <c r="AP21" s="7" t="s">
        <v>15</v>
      </c>
      <c r="AQ21" s="7" t="s">
        <v>15</v>
      </c>
      <c r="AR21" s="7" t="s">
        <v>15</v>
      </c>
      <c r="AS21" s="7" t="s">
        <v>15</v>
      </c>
      <c r="AT21" s="7" t="s">
        <v>15</v>
      </c>
      <c r="AU21" s="7" t="s">
        <v>15</v>
      </c>
      <c r="AV21" s="7" t="s">
        <v>15</v>
      </c>
      <c r="AW21" s="7" t="s">
        <v>15</v>
      </c>
      <c r="AX21" s="7" t="s">
        <v>15</v>
      </c>
      <c r="AY21" s="7" t="s">
        <v>15</v>
      </c>
      <c r="AZ21" s="7" t="s">
        <v>15</v>
      </c>
      <c r="BA21" s="7" t="s">
        <v>15</v>
      </c>
      <c r="BB21" s="7" t="s">
        <v>15</v>
      </c>
      <c r="BC21" s="7" t="s">
        <v>15</v>
      </c>
    </row>
    <row r="22" spans="1:55" ht="14.95" customHeight="1" thickBot="1" x14ac:dyDescent="0.3">
      <c r="A22" s="179" t="s">
        <v>702</v>
      </c>
      <c r="B22" s="77">
        <v>0</v>
      </c>
      <c r="C22" s="279">
        <v>0</v>
      </c>
      <c r="D22" s="228">
        <v>0</v>
      </c>
      <c r="E22" s="5">
        <f t="shared" si="2"/>
        <v>0</v>
      </c>
      <c r="F22" s="182" t="s">
        <v>702</v>
      </c>
      <c r="G22" s="78">
        <v>0</v>
      </c>
      <c r="H22" s="265">
        <v>0</v>
      </c>
      <c r="I22" s="230">
        <v>0</v>
      </c>
      <c r="J22" s="63">
        <f t="shared" si="3"/>
        <v>0</v>
      </c>
    </row>
    <row r="23" spans="1:55" ht="14.95" customHeight="1" thickBot="1" x14ac:dyDescent="0.3">
      <c r="A23" s="179" t="s">
        <v>763</v>
      </c>
      <c r="B23" s="77">
        <v>1</v>
      </c>
      <c r="C23" s="279">
        <v>0</v>
      </c>
      <c r="D23" s="228">
        <v>0</v>
      </c>
      <c r="E23" s="5">
        <f t="shared" si="2"/>
        <v>1</v>
      </c>
      <c r="F23" s="182" t="s">
        <v>763</v>
      </c>
      <c r="G23" s="78">
        <v>5</v>
      </c>
      <c r="H23" s="265">
        <v>8</v>
      </c>
      <c r="I23" s="230">
        <v>4</v>
      </c>
      <c r="J23" s="63">
        <f t="shared" si="3"/>
        <v>17</v>
      </c>
      <c r="K23" s="472" t="s">
        <v>1003</v>
      </c>
      <c r="L23" s="457" t="s">
        <v>14</v>
      </c>
      <c r="M23" s="461"/>
      <c r="N23" s="458"/>
      <c r="O23" s="449" t="s">
        <v>226</v>
      </c>
      <c r="P23" s="450"/>
      <c r="Q23" s="451"/>
      <c r="R23" s="449" t="s">
        <v>875</v>
      </c>
      <c r="S23" s="450"/>
      <c r="T23" s="451"/>
      <c r="U23" s="449" t="s">
        <v>581</v>
      </c>
      <c r="V23" s="450"/>
      <c r="W23" s="451"/>
      <c r="AC23" s="449" t="s">
        <v>300</v>
      </c>
      <c r="AD23" s="450"/>
      <c r="AE23" s="451"/>
      <c r="AF23" s="449" t="s">
        <v>219</v>
      </c>
      <c r="AG23" s="450"/>
      <c r="AH23" s="451"/>
      <c r="AI23" s="449" t="s">
        <v>165</v>
      </c>
      <c r="AJ23" s="450"/>
      <c r="AK23" s="451"/>
      <c r="AL23" s="449" t="s">
        <v>78</v>
      </c>
      <c r="AM23" s="450"/>
      <c r="AN23" s="451"/>
      <c r="AO23" s="449" t="s">
        <v>54</v>
      </c>
      <c r="AP23" s="450"/>
      <c r="AQ23" s="451"/>
      <c r="AR23" s="449" t="s">
        <v>50</v>
      </c>
      <c r="AS23" s="450"/>
      <c r="AT23" s="451"/>
      <c r="AU23" s="449" t="s">
        <v>37</v>
      </c>
      <c r="AV23" s="450"/>
      <c r="AW23" s="451"/>
    </row>
    <row r="24" spans="1:55" ht="14.95" customHeight="1" thickBot="1" x14ac:dyDescent="0.3">
      <c r="A24" s="179" t="s">
        <v>677</v>
      </c>
      <c r="B24" s="77">
        <v>0</v>
      </c>
      <c r="C24" s="279">
        <v>0</v>
      </c>
      <c r="D24" s="228">
        <v>1</v>
      </c>
      <c r="E24" s="5">
        <f t="shared" si="2"/>
        <v>1</v>
      </c>
      <c r="F24" s="182" t="s">
        <v>677</v>
      </c>
      <c r="G24" s="78">
        <v>0</v>
      </c>
      <c r="H24" s="265">
        <v>0</v>
      </c>
      <c r="I24" s="230">
        <v>5</v>
      </c>
      <c r="J24" s="63">
        <f t="shared" si="3"/>
        <v>5</v>
      </c>
      <c r="K24" s="473"/>
      <c r="L24" s="459"/>
      <c r="M24" s="462"/>
      <c r="N24" s="460"/>
      <c r="O24" s="452"/>
      <c r="P24" s="453"/>
      <c r="Q24" s="454"/>
      <c r="R24" s="452"/>
      <c r="S24" s="453"/>
      <c r="T24" s="454"/>
      <c r="U24" s="452"/>
      <c r="V24" s="453"/>
      <c r="W24" s="454"/>
      <c r="AC24" s="452"/>
      <c r="AD24" s="453"/>
      <c r="AE24" s="454"/>
      <c r="AF24" s="452"/>
      <c r="AG24" s="453"/>
      <c r="AH24" s="454"/>
      <c r="AI24" s="452"/>
      <c r="AJ24" s="453"/>
      <c r="AK24" s="454"/>
      <c r="AL24" s="452"/>
      <c r="AM24" s="453"/>
      <c r="AN24" s="454"/>
      <c r="AO24" s="452"/>
      <c r="AP24" s="453"/>
      <c r="AQ24" s="454"/>
      <c r="AR24" s="452"/>
      <c r="AS24" s="453"/>
      <c r="AT24" s="454"/>
      <c r="AU24" s="452"/>
      <c r="AV24" s="453"/>
      <c r="AW24" s="454"/>
    </row>
    <row r="25" spans="1:55" ht="14.95" customHeight="1" thickBot="1" x14ac:dyDescent="0.3">
      <c r="A25" s="179" t="s">
        <v>1121</v>
      </c>
      <c r="B25" s="77">
        <v>1</v>
      </c>
      <c r="C25" s="279">
        <v>0</v>
      </c>
      <c r="D25" s="228">
        <v>0</v>
      </c>
      <c r="E25" s="5">
        <f t="shared" si="2"/>
        <v>1</v>
      </c>
      <c r="F25" s="182" t="s">
        <v>1121</v>
      </c>
      <c r="G25" s="78">
        <v>5</v>
      </c>
      <c r="H25" s="265">
        <v>0</v>
      </c>
      <c r="I25" s="230">
        <v>0</v>
      </c>
      <c r="J25" s="63">
        <f t="shared" si="3"/>
        <v>5</v>
      </c>
      <c r="K25" s="359" t="s">
        <v>21</v>
      </c>
      <c r="L25" s="3" t="s">
        <v>46</v>
      </c>
      <c r="M25" s="3" t="s">
        <v>9</v>
      </c>
      <c r="N25" s="3" t="s">
        <v>10</v>
      </c>
      <c r="O25" s="7" t="s">
        <v>46</v>
      </c>
      <c r="P25" s="7" t="s">
        <v>9</v>
      </c>
      <c r="Q25" s="7" t="s">
        <v>10</v>
      </c>
      <c r="R25" s="79" t="s">
        <v>46</v>
      </c>
      <c r="S25" s="79" t="s">
        <v>9</v>
      </c>
      <c r="T25" s="79" t="s">
        <v>10</v>
      </c>
      <c r="U25" s="79" t="s">
        <v>46</v>
      </c>
      <c r="V25" s="79" t="s">
        <v>9</v>
      </c>
      <c r="W25" s="79" t="s">
        <v>10</v>
      </c>
      <c r="AC25" s="84" t="s">
        <v>46</v>
      </c>
      <c r="AD25" s="79" t="s">
        <v>9</v>
      </c>
      <c r="AE25" s="79" t="s">
        <v>10</v>
      </c>
      <c r="AF25" s="148" t="s">
        <v>46</v>
      </c>
      <c r="AG25" s="7" t="s">
        <v>9</v>
      </c>
      <c r="AH25" s="7" t="s">
        <v>10</v>
      </c>
      <c r="AI25" s="148" t="s">
        <v>46</v>
      </c>
      <c r="AJ25" s="7" t="s">
        <v>9</v>
      </c>
      <c r="AK25" s="7" t="s">
        <v>10</v>
      </c>
      <c r="AL25" s="148" t="s">
        <v>46</v>
      </c>
      <c r="AM25" s="7" t="s">
        <v>9</v>
      </c>
      <c r="AN25" s="7" t="s">
        <v>10</v>
      </c>
      <c r="AO25" s="148" t="s">
        <v>46</v>
      </c>
      <c r="AP25" s="7" t="s">
        <v>9</v>
      </c>
      <c r="AQ25" s="7" t="s">
        <v>10</v>
      </c>
      <c r="AR25" s="148" t="s">
        <v>46</v>
      </c>
      <c r="AS25" s="7" t="s">
        <v>9</v>
      </c>
      <c r="AT25" s="7" t="s">
        <v>10</v>
      </c>
      <c r="AU25" s="148" t="s">
        <v>46</v>
      </c>
      <c r="AV25" s="7" t="s">
        <v>9</v>
      </c>
      <c r="AW25" s="7" t="s">
        <v>10</v>
      </c>
    </row>
    <row r="26" spans="1:55" ht="14.95" customHeight="1" thickBot="1" x14ac:dyDescent="0.3">
      <c r="A26" s="179" t="s">
        <v>678</v>
      </c>
      <c r="B26" s="77">
        <v>0</v>
      </c>
      <c r="C26" s="279">
        <v>0</v>
      </c>
      <c r="D26" s="228">
        <v>0</v>
      </c>
      <c r="E26" s="5">
        <f t="shared" si="2"/>
        <v>0</v>
      </c>
      <c r="F26" s="182" t="s">
        <v>678</v>
      </c>
      <c r="G26" s="78">
        <v>0</v>
      </c>
      <c r="H26" s="265">
        <v>0</v>
      </c>
      <c r="I26" s="230">
        <v>0</v>
      </c>
      <c r="J26" s="63">
        <f t="shared" si="3"/>
        <v>0</v>
      </c>
      <c r="K26" s="179" t="s">
        <v>990</v>
      </c>
      <c r="L26" s="5">
        <v>1</v>
      </c>
      <c r="M26" s="5">
        <v>1</v>
      </c>
      <c r="N26" s="183">
        <f t="shared" ref="N26" si="12">SUM(L26/M26)*100</f>
        <v>100</v>
      </c>
      <c r="O26" s="7" t="s">
        <v>15</v>
      </c>
      <c r="P26" s="7" t="s">
        <v>15</v>
      </c>
      <c r="Q26" s="7" t="s">
        <v>15</v>
      </c>
      <c r="R26" s="7" t="s">
        <v>15</v>
      </c>
      <c r="S26" s="7" t="s">
        <v>15</v>
      </c>
      <c r="T26" s="7" t="s">
        <v>15</v>
      </c>
      <c r="U26" s="7" t="s">
        <v>15</v>
      </c>
      <c r="V26" s="7" t="s">
        <v>15</v>
      </c>
      <c r="W26" s="7" t="s">
        <v>15</v>
      </c>
      <c r="AC26" s="148" t="s">
        <v>15</v>
      </c>
      <c r="AD26" s="7" t="s">
        <v>15</v>
      </c>
      <c r="AE26" s="153" t="s">
        <v>15</v>
      </c>
      <c r="AF26" s="148" t="s">
        <v>15</v>
      </c>
      <c r="AG26" s="7" t="s">
        <v>15</v>
      </c>
      <c r="AH26" s="7" t="s">
        <v>15</v>
      </c>
      <c r="AI26" s="148" t="s">
        <v>15</v>
      </c>
      <c r="AJ26" s="7" t="s">
        <v>15</v>
      </c>
      <c r="AK26" s="7" t="s">
        <v>15</v>
      </c>
      <c r="AL26" s="7" t="s">
        <v>15</v>
      </c>
      <c r="AM26" s="7" t="s">
        <v>15</v>
      </c>
      <c r="AN26" s="7" t="s">
        <v>15</v>
      </c>
      <c r="AO26" s="148" t="s">
        <v>15</v>
      </c>
      <c r="AP26" s="7" t="s">
        <v>15</v>
      </c>
      <c r="AQ26" s="7" t="s">
        <v>15</v>
      </c>
      <c r="AR26" s="7" t="s">
        <v>15</v>
      </c>
      <c r="AS26" s="7" t="s">
        <v>15</v>
      </c>
      <c r="AT26" s="7" t="s">
        <v>15</v>
      </c>
      <c r="AU26" s="7" t="s">
        <v>15</v>
      </c>
      <c r="AV26" s="7" t="s">
        <v>15</v>
      </c>
      <c r="AW26" s="6" t="s">
        <v>15</v>
      </c>
      <c r="AX26" s="86"/>
      <c r="AY26" s="86"/>
      <c r="AZ26" s="86"/>
      <c r="BA26" s="86"/>
      <c r="BB26" s="86"/>
      <c r="BC26" s="86"/>
    </row>
    <row r="27" spans="1:55" ht="14.95" customHeight="1" thickBot="1" x14ac:dyDescent="0.3">
      <c r="A27" s="179" t="s">
        <v>1122</v>
      </c>
      <c r="B27" s="77">
        <v>0</v>
      </c>
      <c r="C27" s="279">
        <v>0</v>
      </c>
      <c r="D27" s="228">
        <v>0</v>
      </c>
      <c r="E27" s="5">
        <f t="shared" si="2"/>
        <v>0</v>
      </c>
      <c r="F27" s="182" t="s">
        <v>1122</v>
      </c>
      <c r="G27" s="78">
        <v>2</v>
      </c>
      <c r="H27" s="265">
        <v>0</v>
      </c>
      <c r="I27" s="230">
        <v>0</v>
      </c>
      <c r="J27" s="63">
        <f t="shared" si="3"/>
        <v>2</v>
      </c>
      <c r="K27" s="179" t="s">
        <v>244</v>
      </c>
      <c r="L27" s="5">
        <v>12</v>
      </c>
      <c r="M27" s="5">
        <v>16</v>
      </c>
      <c r="N27" s="183">
        <f t="shared" ref="N27:N29" si="13">SUM(L27/M27)*100</f>
        <v>75</v>
      </c>
      <c r="O27" s="7">
        <v>32</v>
      </c>
      <c r="P27" s="7">
        <v>41</v>
      </c>
      <c r="Q27" s="153">
        <f t="shared" ref="Q27" si="14">SUM(O27/P27)*100</f>
        <v>78.048780487804876</v>
      </c>
      <c r="R27" s="7">
        <v>10</v>
      </c>
      <c r="S27" s="7">
        <v>13</v>
      </c>
      <c r="T27" s="7">
        <v>71</v>
      </c>
      <c r="U27" s="7" t="s">
        <v>15</v>
      </c>
      <c r="V27" s="7" t="s">
        <v>15</v>
      </c>
      <c r="W27" s="7" t="s">
        <v>15</v>
      </c>
      <c r="AC27" s="148" t="s">
        <v>15</v>
      </c>
      <c r="AD27" s="7" t="s">
        <v>15</v>
      </c>
      <c r="AE27" s="7" t="s">
        <v>15</v>
      </c>
      <c r="AF27" s="148">
        <v>12</v>
      </c>
      <c r="AG27" s="7">
        <v>15</v>
      </c>
      <c r="AH27" s="153">
        <f>SUM(AF27/AG27)*100</f>
        <v>80</v>
      </c>
      <c r="AI27" s="148" t="s">
        <v>15</v>
      </c>
      <c r="AJ27" s="7" t="s">
        <v>15</v>
      </c>
      <c r="AK27" s="7" t="s">
        <v>15</v>
      </c>
      <c r="AL27" s="7">
        <v>3</v>
      </c>
      <c r="AM27" s="7">
        <v>4</v>
      </c>
      <c r="AN27" s="153">
        <f>SUM(AL27/AM27)*100</f>
        <v>75</v>
      </c>
      <c r="AO27" s="7" t="s">
        <v>15</v>
      </c>
      <c r="AP27" s="7" t="s">
        <v>15</v>
      </c>
      <c r="AQ27" s="7" t="s">
        <v>15</v>
      </c>
      <c r="AR27" s="148" t="s">
        <v>15</v>
      </c>
      <c r="AS27" s="7" t="s">
        <v>15</v>
      </c>
      <c r="AT27" s="7" t="s">
        <v>15</v>
      </c>
      <c r="AU27" s="7" t="s">
        <v>15</v>
      </c>
      <c r="AV27" s="7" t="s">
        <v>15</v>
      </c>
      <c r="AW27" s="7" t="s">
        <v>15</v>
      </c>
    </row>
    <row r="28" spans="1:55" ht="14.95" customHeight="1" thickBot="1" x14ac:dyDescent="0.3">
      <c r="A28" s="179" t="s">
        <v>692</v>
      </c>
      <c r="B28" s="77">
        <v>2</v>
      </c>
      <c r="C28" s="279">
        <v>1</v>
      </c>
      <c r="D28" s="228">
        <v>1</v>
      </c>
      <c r="E28" s="5">
        <f t="shared" si="2"/>
        <v>4</v>
      </c>
      <c r="F28" s="182" t="s">
        <v>692</v>
      </c>
      <c r="G28" s="78">
        <v>10</v>
      </c>
      <c r="H28" s="265">
        <v>5</v>
      </c>
      <c r="I28" s="230">
        <v>5</v>
      </c>
      <c r="J28" s="63">
        <f t="shared" si="3"/>
        <v>20</v>
      </c>
      <c r="K28" s="179" t="s">
        <v>763</v>
      </c>
      <c r="L28" s="5">
        <v>2</v>
      </c>
      <c r="M28" s="5">
        <v>4</v>
      </c>
      <c r="N28" s="183">
        <f t="shared" ref="N28" si="15">SUM(L28/M28)*100</f>
        <v>50</v>
      </c>
      <c r="O28" s="7" t="s">
        <v>15</v>
      </c>
      <c r="P28" s="7" t="s">
        <v>15</v>
      </c>
      <c r="Q28" s="7" t="s">
        <v>15</v>
      </c>
      <c r="R28" s="7" t="s">
        <v>15</v>
      </c>
      <c r="S28" s="7" t="s">
        <v>15</v>
      </c>
      <c r="T28" s="7" t="s">
        <v>15</v>
      </c>
      <c r="U28" s="7" t="s">
        <v>15</v>
      </c>
      <c r="V28" s="7" t="s">
        <v>15</v>
      </c>
      <c r="W28" s="7" t="s">
        <v>15</v>
      </c>
      <c r="AC28" s="148" t="s">
        <v>15</v>
      </c>
      <c r="AD28" s="7" t="s">
        <v>15</v>
      </c>
      <c r="AE28" s="7" t="s">
        <v>15</v>
      </c>
      <c r="AF28" s="7" t="s">
        <v>15</v>
      </c>
      <c r="AG28" s="7" t="s">
        <v>15</v>
      </c>
      <c r="AH28" s="7" t="s">
        <v>15</v>
      </c>
      <c r="AI28" s="148" t="s">
        <v>15</v>
      </c>
      <c r="AJ28" s="7" t="s">
        <v>15</v>
      </c>
      <c r="AK28" s="7" t="s">
        <v>15</v>
      </c>
      <c r="AL28" s="148" t="s">
        <v>15</v>
      </c>
      <c r="AM28" s="7" t="s">
        <v>15</v>
      </c>
      <c r="AN28" s="7" t="s">
        <v>15</v>
      </c>
      <c r="AO28" s="7" t="s">
        <v>15</v>
      </c>
      <c r="AP28" s="7" t="s">
        <v>15</v>
      </c>
      <c r="AQ28" s="7" t="s">
        <v>15</v>
      </c>
      <c r="AR28" s="148" t="s">
        <v>15</v>
      </c>
      <c r="AS28" s="7" t="s">
        <v>15</v>
      </c>
      <c r="AT28" s="7" t="s">
        <v>15</v>
      </c>
      <c r="AU28" s="7" t="s">
        <v>15</v>
      </c>
      <c r="AV28" s="7" t="s">
        <v>15</v>
      </c>
      <c r="AW28" s="7" t="s">
        <v>15</v>
      </c>
      <c r="AX28" s="86"/>
      <c r="AY28" s="86"/>
      <c r="AZ28" s="86"/>
      <c r="BA28" s="86"/>
      <c r="BB28" s="86"/>
      <c r="BC28" s="86"/>
    </row>
    <row r="29" spans="1:55" ht="14.95" customHeight="1" thickBot="1" x14ac:dyDescent="0.3">
      <c r="A29" s="179" t="s">
        <v>899</v>
      </c>
      <c r="B29" s="77">
        <v>0</v>
      </c>
      <c r="C29" s="279">
        <v>0</v>
      </c>
      <c r="D29" s="228">
        <v>1</v>
      </c>
      <c r="E29" s="5">
        <f t="shared" si="2"/>
        <v>1</v>
      </c>
      <c r="F29" s="182" t="s">
        <v>899</v>
      </c>
      <c r="G29" s="78">
        <v>0</v>
      </c>
      <c r="H29" s="265">
        <v>0</v>
      </c>
      <c r="I29" s="230">
        <v>5</v>
      </c>
      <c r="J29" s="63">
        <f t="shared" si="3"/>
        <v>5</v>
      </c>
      <c r="K29" s="179" t="s">
        <v>68</v>
      </c>
      <c r="L29" s="5">
        <v>0</v>
      </c>
      <c r="M29" s="5">
        <v>1</v>
      </c>
      <c r="N29" s="183">
        <f t="shared" si="13"/>
        <v>0</v>
      </c>
      <c r="O29" s="7" t="s">
        <v>15</v>
      </c>
      <c r="P29" s="7" t="s">
        <v>15</v>
      </c>
      <c r="Q29" s="7" t="s">
        <v>15</v>
      </c>
      <c r="R29" s="7" t="s">
        <v>15</v>
      </c>
      <c r="S29" s="7" t="s">
        <v>15</v>
      </c>
      <c r="T29" s="7" t="s">
        <v>15</v>
      </c>
      <c r="U29" s="7" t="s">
        <v>15</v>
      </c>
      <c r="V29" s="7" t="s">
        <v>15</v>
      </c>
      <c r="W29" s="7" t="s">
        <v>15</v>
      </c>
      <c r="AC29" s="148" t="s">
        <v>15</v>
      </c>
      <c r="AD29" s="7" t="s">
        <v>15</v>
      </c>
      <c r="AE29" s="7" t="s">
        <v>15</v>
      </c>
      <c r="AF29" s="7" t="s">
        <v>15</v>
      </c>
      <c r="AG29" s="7" t="s">
        <v>15</v>
      </c>
      <c r="AH29" s="7" t="s">
        <v>15</v>
      </c>
      <c r="AI29" s="148" t="s">
        <v>15</v>
      </c>
      <c r="AJ29" s="7" t="s">
        <v>15</v>
      </c>
      <c r="AK29" s="7" t="s">
        <v>15</v>
      </c>
      <c r="AL29" s="7">
        <v>3</v>
      </c>
      <c r="AM29" s="7">
        <v>4</v>
      </c>
      <c r="AN29" s="153">
        <f>SUM(AL29/AM29)*100</f>
        <v>75</v>
      </c>
      <c r="AO29" s="7" t="s">
        <v>15</v>
      </c>
      <c r="AP29" s="7" t="s">
        <v>15</v>
      </c>
      <c r="AQ29" s="7" t="s">
        <v>15</v>
      </c>
      <c r="AR29" s="148" t="s">
        <v>15</v>
      </c>
      <c r="AS29" s="7" t="s">
        <v>15</v>
      </c>
      <c r="AT29" s="7" t="s">
        <v>15</v>
      </c>
      <c r="AU29" s="7" t="s">
        <v>15</v>
      </c>
      <c r="AV29" s="7" t="s">
        <v>15</v>
      </c>
      <c r="AW29" s="7" t="s">
        <v>15</v>
      </c>
      <c r="AX29" s="86"/>
      <c r="AY29" s="86"/>
      <c r="AZ29" s="86"/>
      <c r="BA29" s="86"/>
      <c r="BB29" s="86"/>
      <c r="BC29" s="86"/>
    </row>
    <row r="30" spans="1:55" ht="14.95" customHeight="1" thickBot="1" x14ac:dyDescent="0.3">
      <c r="A30" s="179" t="s">
        <v>261</v>
      </c>
      <c r="B30" s="77">
        <v>0</v>
      </c>
      <c r="C30" s="279">
        <v>0</v>
      </c>
      <c r="D30" s="228">
        <v>0</v>
      </c>
      <c r="E30" s="5">
        <f t="shared" si="2"/>
        <v>0</v>
      </c>
      <c r="F30" s="182" t="s">
        <v>261</v>
      </c>
      <c r="G30" s="78">
        <v>0</v>
      </c>
      <c r="H30" s="265">
        <v>0</v>
      </c>
      <c r="I30" s="230">
        <v>0</v>
      </c>
      <c r="J30" s="63">
        <f t="shared" si="3"/>
        <v>0</v>
      </c>
      <c r="K30" s="474" t="s">
        <v>991</v>
      </c>
      <c r="L30" s="475"/>
      <c r="M30" s="475"/>
      <c r="N30" s="475"/>
      <c r="O30" s="475"/>
      <c r="P30" s="475"/>
      <c r="Q30" s="475"/>
      <c r="R30" s="475"/>
      <c r="S30" s="475"/>
      <c r="T30" s="475"/>
      <c r="U30" s="475"/>
      <c r="V30" s="475"/>
      <c r="W30" s="475"/>
      <c r="X30" s="475"/>
      <c r="Y30" s="475"/>
    </row>
    <row r="31" spans="1:55" ht="14.95" customHeight="1" thickBot="1" x14ac:dyDescent="0.3">
      <c r="A31" s="179" t="s">
        <v>679</v>
      </c>
      <c r="B31" s="77">
        <v>4</v>
      </c>
      <c r="C31" s="279">
        <v>0</v>
      </c>
      <c r="D31" s="228">
        <v>0</v>
      </c>
      <c r="E31" s="5">
        <f t="shared" si="2"/>
        <v>4</v>
      </c>
      <c r="F31" s="182" t="s">
        <v>679</v>
      </c>
      <c r="G31" s="78">
        <v>20</v>
      </c>
      <c r="H31" s="265">
        <v>0</v>
      </c>
      <c r="I31" s="230">
        <v>0</v>
      </c>
      <c r="J31" s="63">
        <f t="shared" si="3"/>
        <v>20</v>
      </c>
    </row>
    <row r="32" spans="1:55" ht="14.95" customHeight="1" thickBot="1" x14ac:dyDescent="0.3">
      <c r="A32" s="179" t="s">
        <v>474</v>
      </c>
      <c r="B32" s="77">
        <v>0</v>
      </c>
      <c r="C32" s="279">
        <v>0</v>
      </c>
      <c r="D32" s="228">
        <v>1</v>
      </c>
      <c r="E32" s="5">
        <f t="shared" si="2"/>
        <v>1</v>
      </c>
      <c r="F32" s="182" t="s">
        <v>474</v>
      </c>
      <c r="G32" s="78">
        <v>0</v>
      </c>
      <c r="H32" s="265">
        <v>0</v>
      </c>
      <c r="I32" s="230">
        <v>5</v>
      </c>
      <c r="J32" s="63">
        <f t="shared" si="3"/>
        <v>5</v>
      </c>
    </row>
    <row r="33" spans="1:10" ht="14.95" customHeight="1" thickBot="1" x14ac:dyDescent="0.3">
      <c r="A33" s="179" t="s">
        <v>1012</v>
      </c>
      <c r="B33" s="77">
        <v>2</v>
      </c>
      <c r="C33" s="279">
        <v>0</v>
      </c>
      <c r="D33" s="228">
        <v>0</v>
      </c>
      <c r="E33" s="5">
        <f t="shared" si="2"/>
        <v>2</v>
      </c>
      <c r="F33" s="182" t="s">
        <v>1012</v>
      </c>
      <c r="G33" s="78">
        <v>10</v>
      </c>
      <c r="H33" s="265">
        <v>0</v>
      </c>
      <c r="I33" s="230">
        <v>0</v>
      </c>
      <c r="J33" s="63">
        <f t="shared" si="3"/>
        <v>10</v>
      </c>
    </row>
    <row r="34" spans="1:10" ht="14.95" customHeight="1" thickBot="1" x14ac:dyDescent="0.3">
      <c r="A34" s="179" t="s">
        <v>549</v>
      </c>
      <c r="B34" s="77">
        <v>2</v>
      </c>
      <c r="C34" s="279">
        <v>2</v>
      </c>
      <c r="D34" s="228">
        <v>1</v>
      </c>
      <c r="E34" s="5">
        <f t="shared" si="2"/>
        <v>5</v>
      </c>
      <c r="F34" s="182" t="s">
        <v>549</v>
      </c>
      <c r="G34" s="78">
        <v>10</v>
      </c>
      <c r="H34" s="265">
        <v>10</v>
      </c>
      <c r="I34" s="230">
        <v>5</v>
      </c>
      <c r="J34" s="63">
        <f t="shared" si="3"/>
        <v>25</v>
      </c>
    </row>
    <row r="35" spans="1:10" ht="14.95" customHeight="1" thickBot="1" x14ac:dyDescent="0.3">
      <c r="A35" s="179" t="s">
        <v>27</v>
      </c>
      <c r="B35" s="77">
        <v>2</v>
      </c>
      <c r="C35" s="279">
        <v>1</v>
      </c>
      <c r="D35" s="228">
        <v>1</v>
      </c>
      <c r="E35" s="5">
        <f t="shared" ref="E35:E37" si="16">SUM(B35:D35)</f>
        <v>4</v>
      </c>
      <c r="F35" s="182" t="s">
        <v>27</v>
      </c>
      <c r="G35" s="78">
        <v>10</v>
      </c>
      <c r="H35" s="265">
        <v>5</v>
      </c>
      <c r="I35" s="230">
        <v>5</v>
      </c>
      <c r="J35" s="63">
        <f t="shared" ref="J35:J37" si="17">SUM(G35:I35)</f>
        <v>20</v>
      </c>
    </row>
    <row r="36" spans="1:10" ht="14.95" customHeight="1" thickBot="1" x14ac:dyDescent="0.3">
      <c r="A36" s="179" t="s">
        <v>1037</v>
      </c>
      <c r="B36" s="77">
        <v>0</v>
      </c>
      <c r="C36" s="279">
        <v>0</v>
      </c>
      <c r="D36" s="228">
        <v>3</v>
      </c>
      <c r="E36" s="5">
        <f t="shared" si="16"/>
        <v>3</v>
      </c>
      <c r="F36" s="182" t="s">
        <v>1037</v>
      </c>
      <c r="G36" s="78">
        <v>0</v>
      </c>
      <c r="H36" s="265">
        <v>0</v>
      </c>
      <c r="I36" s="230">
        <v>15</v>
      </c>
      <c r="J36" s="63">
        <f t="shared" si="17"/>
        <v>15</v>
      </c>
    </row>
    <row r="37" spans="1:10" ht="14.95" customHeight="1" thickBot="1" x14ac:dyDescent="0.3">
      <c r="A37" s="179" t="s">
        <v>700</v>
      </c>
      <c r="B37" s="77">
        <v>0</v>
      </c>
      <c r="C37" s="279">
        <v>0</v>
      </c>
      <c r="D37" s="228">
        <v>0</v>
      </c>
      <c r="E37" s="5">
        <f t="shared" si="16"/>
        <v>0</v>
      </c>
      <c r="F37" s="182" t="s">
        <v>700</v>
      </c>
      <c r="G37" s="78">
        <v>0</v>
      </c>
      <c r="H37" s="265">
        <v>0</v>
      </c>
      <c r="I37" s="230">
        <v>0</v>
      </c>
      <c r="J37" s="63">
        <f t="shared" si="17"/>
        <v>0</v>
      </c>
    </row>
    <row r="38" spans="1:10" ht="14.95" customHeight="1" thickBot="1" x14ac:dyDescent="0.3">
      <c r="A38" s="179" t="s">
        <v>684</v>
      </c>
      <c r="B38" s="77">
        <v>0</v>
      </c>
      <c r="C38" s="279">
        <v>0</v>
      </c>
      <c r="D38" s="228">
        <v>0</v>
      </c>
      <c r="E38" s="5">
        <f t="shared" si="2"/>
        <v>0</v>
      </c>
      <c r="F38" s="182" t="s">
        <v>684</v>
      </c>
      <c r="G38" s="78">
        <v>0</v>
      </c>
      <c r="H38" s="265">
        <v>0</v>
      </c>
      <c r="I38" s="230">
        <v>0</v>
      </c>
      <c r="J38" s="63">
        <f t="shared" si="3"/>
        <v>0</v>
      </c>
    </row>
    <row r="39" spans="1:10" ht="14.95" customHeight="1" thickBot="1" x14ac:dyDescent="0.3">
      <c r="A39" s="179" t="s">
        <v>319</v>
      </c>
      <c r="B39" s="77">
        <v>1</v>
      </c>
      <c r="C39" s="279">
        <v>2</v>
      </c>
      <c r="D39" s="228">
        <v>0</v>
      </c>
      <c r="E39" s="5">
        <f t="shared" si="2"/>
        <v>3</v>
      </c>
      <c r="F39" s="182" t="s">
        <v>319</v>
      </c>
      <c r="G39" s="78">
        <v>5</v>
      </c>
      <c r="H39" s="265">
        <v>10</v>
      </c>
      <c r="I39" s="230">
        <v>0</v>
      </c>
      <c r="J39" s="63">
        <f t="shared" si="3"/>
        <v>15</v>
      </c>
    </row>
    <row r="40" spans="1:10" ht="14.95" customHeight="1" thickBot="1" x14ac:dyDescent="0.3">
      <c r="A40" s="179" t="s">
        <v>1058</v>
      </c>
      <c r="B40" s="77">
        <v>1</v>
      </c>
      <c r="C40" s="279">
        <v>1</v>
      </c>
      <c r="D40" s="228">
        <v>2</v>
      </c>
      <c r="E40" s="5">
        <f t="shared" si="2"/>
        <v>4</v>
      </c>
      <c r="F40" s="182" t="s">
        <v>1058</v>
      </c>
      <c r="G40" s="78">
        <v>5</v>
      </c>
      <c r="H40" s="265">
        <v>5</v>
      </c>
      <c r="I40" s="230">
        <v>10</v>
      </c>
      <c r="J40" s="63">
        <f t="shared" si="3"/>
        <v>20</v>
      </c>
    </row>
    <row r="41" spans="1:10" ht="14.95" customHeight="1" thickBot="1" x14ac:dyDescent="0.3">
      <c r="A41" s="179" t="s">
        <v>686</v>
      </c>
      <c r="B41" s="77">
        <v>1</v>
      </c>
      <c r="C41" s="279">
        <v>0</v>
      </c>
      <c r="D41" s="228">
        <v>1</v>
      </c>
      <c r="E41" s="5">
        <f t="shared" si="2"/>
        <v>2</v>
      </c>
      <c r="F41" s="182" t="s">
        <v>686</v>
      </c>
      <c r="G41" s="78">
        <v>5</v>
      </c>
      <c r="H41" s="265">
        <v>0</v>
      </c>
      <c r="I41" s="230">
        <v>5</v>
      </c>
      <c r="J41" s="63">
        <f t="shared" si="3"/>
        <v>10</v>
      </c>
    </row>
    <row r="42" spans="1:10" ht="14.95" customHeight="1" thickBot="1" x14ac:dyDescent="0.3">
      <c r="A42" s="179" t="s">
        <v>851</v>
      </c>
      <c r="B42" s="77">
        <v>1</v>
      </c>
      <c r="C42" s="279">
        <v>0</v>
      </c>
      <c r="D42" s="228">
        <v>1</v>
      </c>
      <c r="E42" s="5">
        <f t="shared" si="2"/>
        <v>2</v>
      </c>
      <c r="F42" s="182" t="s">
        <v>851</v>
      </c>
      <c r="G42" s="78">
        <v>5</v>
      </c>
      <c r="H42" s="265">
        <v>0</v>
      </c>
      <c r="I42" s="230">
        <v>5</v>
      </c>
      <c r="J42" s="63">
        <f t="shared" si="3"/>
        <v>10</v>
      </c>
    </row>
    <row r="43" spans="1:10" ht="14.95" customHeight="1" thickBot="1" x14ac:dyDescent="0.3">
      <c r="A43" s="179" t="s">
        <v>4</v>
      </c>
      <c r="B43" s="77">
        <v>0</v>
      </c>
      <c r="C43" s="279">
        <v>0</v>
      </c>
      <c r="D43" s="228">
        <v>0</v>
      </c>
      <c r="E43" s="5">
        <f t="shared" si="2"/>
        <v>0</v>
      </c>
      <c r="F43" s="182" t="s">
        <v>4</v>
      </c>
      <c r="G43" s="78">
        <v>0</v>
      </c>
      <c r="H43" s="265">
        <v>0</v>
      </c>
      <c r="I43" s="230">
        <v>0</v>
      </c>
      <c r="J43" s="63">
        <f t="shared" si="3"/>
        <v>0</v>
      </c>
    </row>
    <row r="44" spans="1:10" ht="14.95" customHeight="1" thickBot="1" x14ac:dyDescent="0.3">
      <c r="A44" s="179" t="s">
        <v>1082</v>
      </c>
      <c r="B44" s="77">
        <v>0</v>
      </c>
      <c r="C44" s="279">
        <v>0</v>
      </c>
      <c r="D44" s="228">
        <v>1</v>
      </c>
      <c r="E44" s="5">
        <f t="shared" si="2"/>
        <v>1</v>
      </c>
      <c r="F44" s="182" t="s">
        <v>1082</v>
      </c>
      <c r="G44" s="78">
        <v>0</v>
      </c>
      <c r="H44" s="265">
        <v>0</v>
      </c>
      <c r="I44" s="230">
        <v>5</v>
      </c>
      <c r="J44" s="63">
        <f t="shared" si="3"/>
        <v>5</v>
      </c>
    </row>
    <row r="45" spans="1:10" ht="14.95" customHeight="1" thickBot="1" x14ac:dyDescent="0.3">
      <c r="A45" s="179" t="s">
        <v>22</v>
      </c>
      <c r="B45" s="77">
        <v>0</v>
      </c>
      <c r="C45" s="279">
        <v>0</v>
      </c>
      <c r="D45" s="228">
        <v>0</v>
      </c>
      <c r="E45" s="5">
        <f t="shared" si="2"/>
        <v>0</v>
      </c>
      <c r="F45" s="182" t="s">
        <v>22</v>
      </c>
      <c r="G45" s="78">
        <v>0</v>
      </c>
      <c r="H45" s="265">
        <v>0</v>
      </c>
      <c r="I45" s="230">
        <v>0</v>
      </c>
      <c r="J45" s="63">
        <f t="shared" si="3"/>
        <v>0</v>
      </c>
    </row>
    <row r="46" spans="1:10" ht="14.95" thickBot="1" x14ac:dyDescent="0.3">
      <c r="A46" s="179" t="s">
        <v>505</v>
      </c>
      <c r="B46" s="77">
        <v>3</v>
      </c>
      <c r="C46" s="279">
        <v>1</v>
      </c>
      <c r="D46" s="228">
        <v>2</v>
      </c>
      <c r="E46" s="5">
        <f t="shared" si="2"/>
        <v>6</v>
      </c>
      <c r="F46" s="182" t="s">
        <v>505</v>
      </c>
      <c r="G46" s="78">
        <v>15</v>
      </c>
      <c r="H46" s="265">
        <v>5</v>
      </c>
      <c r="I46" s="230">
        <v>10</v>
      </c>
      <c r="J46" s="63">
        <f t="shared" si="3"/>
        <v>30</v>
      </c>
    </row>
    <row r="47" spans="1:10" ht="14.95" thickBot="1" x14ac:dyDescent="0.3">
      <c r="A47" s="179" t="s">
        <v>68</v>
      </c>
      <c r="B47" s="77">
        <v>0</v>
      </c>
      <c r="C47" s="279">
        <v>0</v>
      </c>
      <c r="D47" s="228">
        <v>0</v>
      </c>
      <c r="E47" s="5">
        <f t="shared" si="2"/>
        <v>0</v>
      </c>
      <c r="F47" s="182" t="s">
        <v>68</v>
      </c>
      <c r="G47" s="78">
        <v>0</v>
      </c>
      <c r="H47" s="265">
        <v>0</v>
      </c>
      <c r="I47" s="230">
        <v>0</v>
      </c>
      <c r="J47" s="63">
        <f t="shared" si="3"/>
        <v>0</v>
      </c>
    </row>
    <row r="48" spans="1:10" ht="14.95" customHeight="1" thickBot="1" x14ac:dyDescent="0.3">
      <c r="A48" s="179" t="s">
        <v>389</v>
      </c>
      <c r="B48" s="77">
        <v>0</v>
      </c>
      <c r="C48" s="279">
        <v>0</v>
      </c>
      <c r="D48" s="228">
        <v>0</v>
      </c>
      <c r="E48" s="5">
        <f t="shared" si="2"/>
        <v>0</v>
      </c>
      <c r="F48" s="182" t="s">
        <v>389</v>
      </c>
      <c r="G48" s="78">
        <v>0</v>
      </c>
      <c r="H48" s="265">
        <v>0</v>
      </c>
      <c r="I48" s="230">
        <v>0</v>
      </c>
      <c r="J48" s="63">
        <f t="shared" si="3"/>
        <v>0</v>
      </c>
    </row>
    <row r="49" spans="1:10" ht="14.95" customHeight="1" thickBot="1" x14ac:dyDescent="0.3">
      <c r="A49" s="179" t="s">
        <v>689</v>
      </c>
      <c r="B49" s="77">
        <v>0</v>
      </c>
      <c r="C49" s="279">
        <v>0</v>
      </c>
      <c r="D49" s="228">
        <v>0</v>
      </c>
      <c r="E49" s="5">
        <f t="shared" ref="E49" si="18">SUM(B49:D49)</f>
        <v>0</v>
      </c>
      <c r="F49" s="182" t="s">
        <v>689</v>
      </c>
      <c r="G49" s="78">
        <v>0</v>
      </c>
      <c r="H49" s="265">
        <v>0</v>
      </c>
      <c r="I49" s="230">
        <v>0</v>
      </c>
      <c r="J49" s="63">
        <f t="shared" ref="J49" si="19">SUM(G49:I49)</f>
        <v>0</v>
      </c>
    </row>
    <row r="50" spans="1:10" ht="14.95" thickBot="1" x14ac:dyDescent="0.3">
      <c r="A50" s="179" t="s">
        <v>1071</v>
      </c>
      <c r="B50" s="77">
        <v>1</v>
      </c>
      <c r="C50" s="279">
        <v>0</v>
      </c>
      <c r="D50" s="228">
        <v>0</v>
      </c>
      <c r="E50" s="5">
        <f t="shared" si="2"/>
        <v>1</v>
      </c>
      <c r="F50" s="182" t="s">
        <v>1071</v>
      </c>
      <c r="G50" s="78">
        <v>5</v>
      </c>
      <c r="H50" s="265">
        <v>0</v>
      </c>
      <c r="I50" s="230">
        <v>0</v>
      </c>
      <c r="J50" s="63">
        <f t="shared" si="3"/>
        <v>5</v>
      </c>
    </row>
    <row r="51" spans="1:10" ht="14.95" thickBot="1" x14ac:dyDescent="0.3">
      <c r="A51" s="179" t="s">
        <v>644</v>
      </c>
      <c r="B51" s="77">
        <v>1</v>
      </c>
      <c r="C51" s="279">
        <v>2</v>
      </c>
      <c r="D51" s="228">
        <v>0</v>
      </c>
      <c r="E51" s="5">
        <f t="shared" si="2"/>
        <v>3</v>
      </c>
      <c r="F51" s="182" t="s">
        <v>644</v>
      </c>
      <c r="G51" s="78">
        <v>5</v>
      </c>
      <c r="H51" s="265">
        <v>10</v>
      </c>
      <c r="I51" s="230">
        <v>0</v>
      </c>
      <c r="J51" s="63">
        <f t="shared" si="3"/>
        <v>15</v>
      </c>
    </row>
    <row r="52" spans="1:10" ht="14.95" thickBot="1" x14ac:dyDescent="0.3">
      <c r="A52" s="179" t="s">
        <v>3</v>
      </c>
      <c r="B52" s="77">
        <f>SUM(B3:B51)</f>
        <v>29</v>
      </c>
      <c r="C52" s="279">
        <f>SUM(C3:C51)</f>
        <v>13</v>
      </c>
      <c r="D52" s="228">
        <f>SUM(D3:D51)</f>
        <v>20</v>
      </c>
      <c r="E52" s="5">
        <f>SUM(E3:E51)</f>
        <v>62</v>
      </c>
      <c r="F52" s="181" t="s">
        <v>3</v>
      </c>
      <c r="G52" s="78">
        <f>SUM(G3:G51)</f>
        <v>208</v>
      </c>
      <c r="H52" s="265">
        <f>SUM(H3:H51)</f>
        <v>93</v>
      </c>
      <c r="I52" s="230">
        <f>SUM(I3:I51)</f>
        <v>131</v>
      </c>
      <c r="J52" s="63">
        <f>SUM(J3:J51)</f>
        <v>432</v>
      </c>
    </row>
    <row r="53" spans="1:10" x14ac:dyDescent="0.25">
      <c r="A53" s="463"/>
      <c r="B53" s="464"/>
      <c r="C53" s="464"/>
      <c r="D53" s="464"/>
      <c r="E53" s="464"/>
      <c r="F53" s="464"/>
      <c r="G53" s="464"/>
      <c r="H53" s="464"/>
      <c r="I53" s="36"/>
      <c r="J53" s="34"/>
    </row>
    <row r="54" spans="1:10" ht="14.95" thickBot="1" x14ac:dyDescent="0.3">
      <c r="A54" s="70" t="s">
        <v>12</v>
      </c>
      <c r="B54" s="133"/>
      <c r="C54" s="71"/>
      <c r="D54" s="71"/>
      <c r="E54" s="62"/>
      <c r="F54" s="36"/>
      <c r="G54" s="133"/>
      <c r="H54" s="104"/>
      <c r="I54" s="36"/>
      <c r="J54" s="36"/>
    </row>
    <row r="55" spans="1:10" ht="14.95" thickBot="1" x14ac:dyDescent="0.3">
      <c r="A55" s="178" t="s">
        <v>0</v>
      </c>
      <c r="B55" s="114" t="s">
        <v>218</v>
      </c>
      <c r="C55" s="278" t="s">
        <v>31</v>
      </c>
      <c r="D55" s="227" t="s">
        <v>326</v>
      </c>
      <c r="E55" s="107" t="s">
        <v>1</v>
      </c>
      <c r="F55" s="180" t="s">
        <v>2</v>
      </c>
      <c r="G55" s="109" t="s">
        <v>218</v>
      </c>
      <c r="H55" s="264" t="s">
        <v>31</v>
      </c>
      <c r="I55" s="229" t="s">
        <v>326</v>
      </c>
      <c r="J55" s="110" t="s">
        <v>1</v>
      </c>
    </row>
    <row r="56" spans="1:10" ht="14.95" thickBot="1" x14ac:dyDescent="0.3">
      <c r="A56" s="179" t="s">
        <v>505</v>
      </c>
      <c r="B56" s="77">
        <v>3</v>
      </c>
      <c r="C56" s="279">
        <v>1</v>
      </c>
      <c r="D56" s="228">
        <v>2</v>
      </c>
      <c r="E56" s="5">
        <f t="shared" ref="E56:E87" si="20">SUM(B56:D56)</f>
        <v>6</v>
      </c>
      <c r="F56" s="182" t="s">
        <v>244</v>
      </c>
      <c r="G56" s="78">
        <v>61</v>
      </c>
      <c r="H56" s="265">
        <v>18</v>
      </c>
      <c r="I56" s="230">
        <v>25</v>
      </c>
      <c r="J56" s="63">
        <f t="shared" ref="J56:J87" si="21">SUM(G56:I56)</f>
        <v>104</v>
      </c>
    </row>
    <row r="57" spans="1:10" ht="14.95" thickBot="1" x14ac:dyDescent="0.3">
      <c r="A57" s="179" t="s">
        <v>549</v>
      </c>
      <c r="B57" s="77">
        <v>2</v>
      </c>
      <c r="C57" s="279">
        <v>2</v>
      </c>
      <c r="D57" s="228">
        <v>1</v>
      </c>
      <c r="E57" s="5">
        <f t="shared" si="20"/>
        <v>5</v>
      </c>
      <c r="F57" s="182" t="s">
        <v>505</v>
      </c>
      <c r="G57" s="78">
        <v>15</v>
      </c>
      <c r="H57" s="265">
        <v>5</v>
      </c>
      <c r="I57" s="230">
        <v>10</v>
      </c>
      <c r="J57" s="63">
        <f t="shared" si="21"/>
        <v>30</v>
      </c>
    </row>
    <row r="58" spans="1:10" ht="14.95" thickBot="1" x14ac:dyDescent="0.3">
      <c r="A58" s="179" t="s">
        <v>692</v>
      </c>
      <c r="B58" s="77">
        <v>2</v>
      </c>
      <c r="C58" s="279">
        <v>1</v>
      </c>
      <c r="D58" s="228">
        <v>1</v>
      </c>
      <c r="E58" s="5">
        <f t="shared" si="20"/>
        <v>4</v>
      </c>
      <c r="F58" s="182" t="s">
        <v>549</v>
      </c>
      <c r="G58" s="78">
        <v>10</v>
      </c>
      <c r="H58" s="265">
        <v>10</v>
      </c>
      <c r="I58" s="230">
        <v>5</v>
      </c>
      <c r="J58" s="63">
        <f t="shared" si="21"/>
        <v>25</v>
      </c>
    </row>
    <row r="59" spans="1:10" ht="14.95" thickBot="1" x14ac:dyDescent="0.3">
      <c r="A59" s="179" t="s">
        <v>679</v>
      </c>
      <c r="B59" s="77">
        <v>4</v>
      </c>
      <c r="C59" s="279">
        <v>0</v>
      </c>
      <c r="D59" s="228">
        <v>0</v>
      </c>
      <c r="E59" s="5">
        <f t="shared" si="20"/>
        <v>4</v>
      </c>
      <c r="F59" s="182" t="s">
        <v>692</v>
      </c>
      <c r="G59" s="78">
        <v>10</v>
      </c>
      <c r="H59" s="265">
        <v>5</v>
      </c>
      <c r="I59" s="230">
        <v>5</v>
      </c>
      <c r="J59" s="63">
        <f t="shared" si="21"/>
        <v>20</v>
      </c>
    </row>
    <row r="60" spans="1:10" ht="14.95" thickBot="1" x14ac:dyDescent="0.3">
      <c r="A60" s="179" t="s">
        <v>27</v>
      </c>
      <c r="B60" s="77">
        <v>2</v>
      </c>
      <c r="C60" s="279">
        <v>1</v>
      </c>
      <c r="D60" s="228">
        <v>1</v>
      </c>
      <c r="E60" s="5">
        <f t="shared" si="20"/>
        <v>4</v>
      </c>
      <c r="F60" s="182" t="s">
        <v>679</v>
      </c>
      <c r="G60" s="78">
        <v>20</v>
      </c>
      <c r="H60" s="265">
        <v>0</v>
      </c>
      <c r="I60" s="230">
        <v>0</v>
      </c>
      <c r="J60" s="63">
        <f t="shared" si="21"/>
        <v>20</v>
      </c>
    </row>
    <row r="61" spans="1:10" ht="14.95" thickBot="1" x14ac:dyDescent="0.3">
      <c r="A61" s="179" t="s">
        <v>1058</v>
      </c>
      <c r="B61" s="77">
        <v>1</v>
      </c>
      <c r="C61" s="279">
        <v>1</v>
      </c>
      <c r="D61" s="228">
        <v>2</v>
      </c>
      <c r="E61" s="5">
        <f t="shared" si="20"/>
        <v>4</v>
      </c>
      <c r="F61" s="182" t="s">
        <v>27</v>
      </c>
      <c r="G61" s="78">
        <v>10</v>
      </c>
      <c r="H61" s="265">
        <v>5</v>
      </c>
      <c r="I61" s="230">
        <v>5</v>
      </c>
      <c r="J61" s="63">
        <f t="shared" si="21"/>
        <v>20</v>
      </c>
    </row>
    <row r="62" spans="1:10" ht="14.95" thickBot="1" x14ac:dyDescent="0.3">
      <c r="A62" s="179" t="s">
        <v>1062</v>
      </c>
      <c r="B62" s="77">
        <v>2</v>
      </c>
      <c r="C62" s="279">
        <v>1</v>
      </c>
      <c r="D62" s="228">
        <v>0</v>
      </c>
      <c r="E62" s="5">
        <f t="shared" si="20"/>
        <v>3</v>
      </c>
      <c r="F62" s="182" t="s">
        <v>1058</v>
      </c>
      <c r="G62" s="78">
        <v>5</v>
      </c>
      <c r="H62" s="265">
        <v>5</v>
      </c>
      <c r="I62" s="230">
        <v>10</v>
      </c>
      <c r="J62" s="63">
        <f t="shared" si="21"/>
        <v>20</v>
      </c>
    </row>
    <row r="63" spans="1:10" ht="14.95" thickBot="1" x14ac:dyDescent="0.3">
      <c r="A63" s="179" t="s">
        <v>1059</v>
      </c>
      <c r="B63" s="77">
        <v>2</v>
      </c>
      <c r="C63" s="279">
        <v>1</v>
      </c>
      <c r="D63" s="228">
        <v>0</v>
      </c>
      <c r="E63" s="5">
        <f t="shared" si="20"/>
        <v>3</v>
      </c>
      <c r="F63" s="182" t="s">
        <v>763</v>
      </c>
      <c r="G63" s="78">
        <v>5</v>
      </c>
      <c r="H63" s="265">
        <v>8</v>
      </c>
      <c r="I63" s="230">
        <v>4</v>
      </c>
      <c r="J63" s="63">
        <f t="shared" si="21"/>
        <v>17</v>
      </c>
    </row>
    <row r="64" spans="1:10" ht="14.95" thickBot="1" x14ac:dyDescent="0.3">
      <c r="A64" s="179" t="s">
        <v>1037</v>
      </c>
      <c r="B64" s="77">
        <v>0</v>
      </c>
      <c r="C64" s="279">
        <v>0</v>
      </c>
      <c r="D64" s="228">
        <v>3</v>
      </c>
      <c r="E64" s="5">
        <f t="shared" si="20"/>
        <v>3</v>
      </c>
      <c r="F64" s="182" t="s">
        <v>1062</v>
      </c>
      <c r="G64" s="78">
        <v>10</v>
      </c>
      <c r="H64" s="265">
        <v>5</v>
      </c>
      <c r="I64" s="230">
        <v>0</v>
      </c>
      <c r="J64" s="63">
        <f t="shared" si="21"/>
        <v>15</v>
      </c>
    </row>
    <row r="65" spans="1:10" ht="14.95" thickBot="1" x14ac:dyDescent="0.3">
      <c r="A65" s="179" t="s">
        <v>319</v>
      </c>
      <c r="B65" s="77">
        <v>1</v>
      </c>
      <c r="C65" s="279">
        <v>2</v>
      </c>
      <c r="D65" s="228">
        <v>0</v>
      </c>
      <c r="E65" s="5">
        <f t="shared" si="20"/>
        <v>3</v>
      </c>
      <c r="F65" s="182" t="s">
        <v>1059</v>
      </c>
      <c r="G65" s="78">
        <v>10</v>
      </c>
      <c r="H65" s="265">
        <v>5</v>
      </c>
      <c r="I65" s="230">
        <v>0</v>
      </c>
      <c r="J65" s="63">
        <f t="shared" si="21"/>
        <v>15</v>
      </c>
    </row>
    <row r="66" spans="1:10" ht="14.95" thickBot="1" x14ac:dyDescent="0.3">
      <c r="A66" s="179" t="s">
        <v>644</v>
      </c>
      <c r="B66" s="77">
        <v>1</v>
      </c>
      <c r="C66" s="279">
        <v>2</v>
      </c>
      <c r="D66" s="228">
        <v>0</v>
      </c>
      <c r="E66" s="5">
        <f t="shared" si="20"/>
        <v>3</v>
      </c>
      <c r="F66" s="182" t="s">
        <v>1037</v>
      </c>
      <c r="G66" s="78">
        <v>0</v>
      </c>
      <c r="H66" s="265">
        <v>0</v>
      </c>
      <c r="I66" s="230">
        <v>15</v>
      </c>
      <c r="J66" s="63">
        <f t="shared" si="21"/>
        <v>15</v>
      </c>
    </row>
    <row r="67" spans="1:10" ht="14.95" thickBot="1" x14ac:dyDescent="0.3">
      <c r="A67" s="179" t="s">
        <v>456</v>
      </c>
      <c r="B67" s="77">
        <v>0</v>
      </c>
      <c r="C67" s="279">
        <v>0</v>
      </c>
      <c r="D67" s="228">
        <v>2</v>
      </c>
      <c r="E67" s="5">
        <f t="shared" si="20"/>
        <v>2</v>
      </c>
      <c r="F67" s="182" t="s">
        <v>319</v>
      </c>
      <c r="G67" s="78">
        <v>5</v>
      </c>
      <c r="H67" s="265">
        <v>10</v>
      </c>
      <c r="I67" s="230">
        <v>0</v>
      </c>
      <c r="J67" s="63">
        <f t="shared" si="21"/>
        <v>15</v>
      </c>
    </row>
    <row r="68" spans="1:10" ht="14.95" thickBot="1" x14ac:dyDescent="0.3">
      <c r="A68" s="179" t="s">
        <v>1012</v>
      </c>
      <c r="B68" s="77">
        <v>2</v>
      </c>
      <c r="C68" s="279">
        <v>0</v>
      </c>
      <c r="D68" s="228">
        <v>0</v>
      </c>
      <c r="E68" s="5">
        <f t="shared" si="20"/>
        <v>2</v>
      </c>
      <c r="F68" s="182" t="s">
        <v>644</v>
      </c>
      <c r="G68" s="78">
        <v>5</v>
      </c>
      <c r="H68" s="265">
        <v>10</v>
      </c>
      <c r="I68" s="230">
        <v>0</v>
      </c>
      <c r="J68" s="63">
        <f t="shared" si="21"/>
        <v>15</v>
      </c>
    </row>
    <row r="69" spans="1:10" ht="14.95" thickBot="1" x14ac:dyDescent="0.3">
      <c r="A69" s="179" t="s">
        <v>686</v>
      </c>
      <c r="B69" s="77">
        <v>1</v>
      </c>
      <c r="C69" s="279">
        <v>0</v>
      </c>
      <c r="D69" s="228">
        <v>1</v>
      </c>
      <c r="E69" s="5">
        <f t="shared" si="20"/>
        <v>2</v>
      </c>
      <c r="F69" s="182" t="s">
        <v>456</v>
      </c>
      <c r="G69" s="78">
        <v>0</v>
      </c>
      <c r="H69" s="265">
        <v>0</v>
      </c>
      <c r="I69" s="230">
        <v>10</v>
      </c>
      <c r="J69" s="63">
        <f t="shared" si="21"/>
        <v>10</v>
      </c>
    </row>
    <row r="70" spans="1:10" ht="14.95" thickBot="1" x14ac:dyDescent="0.3">
      <c r="A70" s="179" t="s">
        <v>851</v>
      </c>
      <c r="B70" s="77">
        <v>1</v>
      </c>
      <c r="C70" s="279">
        <v>0</v>
      </c>
      <c r="D70" s="228">
        <v>1</v>
      </c>
      <c r="E70" s="5">
        <f t="shared" si="20"/>
        <v>2</v>
      </c>
      <c r="F70" s="182" t="s">
        <v>1012</v>
      </c>
      <c r="G70" s="78">
        <v>10</v>
      </c>
      <c r="H70" s="265">
        <v>0</v>
      </c>
      <c r="I70" s="230">
        <v>0</v>
      </c>
      <c r="J70" s="63">
        <f t="shared" si="21"/>
        <v>10</v>
      </c>
    </row>
    <row r="71" spans="1:10" ht="14.95" thickBot="1" x14ac:dyDescent="0.3">
      <c r="A71" s="179" t="s">
        <v>694</v>
      </c>
      <c r="B71" s="77">
        <v>0</v>
      </c>
      <c r="C71" s="279">
        <v>1</v>
      </c>
      <c r="D71" s="228">
        <v>0</v>
      </c>
      <c r="E71" s="5">
        <f t="shared" si="20"/>
        <v>1</v>
      </c>
      <c r="F71" s="182" t="s">
        <v>686</v>
      </c>
      <c r="G71" s="78">
        <v>5</v>
      </c>
      <c r="H71" s="265">
        <v>0</v>
      </c>
      <c r="I71" s="230">
        <v>5</v>
      </c>
      <c r="J71" s="63">
        <f t="shared" si="21"/>
        <v>10</v>
      </c>
    </row>
    <row r="72" spans="1:10" ht="14.95" thickBot="1" x14ac:dyDescent="0.3">
      <c r="A72" s="179" t="s">
        <v>566</v>
      </c>
      <c r="B72" s="77">
        <v>0</v>
      </c>
      <c r="C72" s="279">
        <v>0</v>
      </c>
      <c r="D72" s="228">
        <v>1</v>
      </c>
      <c r="E72" s="5">
        <f t="shared" si="20"/>
        <v>1</v>
      </c>
      <c r="F72" s="182" t="s">
        <v>851</v>
      </c>
      <c r="G72" s="78">
        <v>5</v>
      </c>
      <c r="H72" s="265">
        <v>0</v>
      </c>
      <c r="I72" s="230">
        <v>5</v>
      </c>
      <c r="J72" s="63">
        <f t="shared" si="21"/>
        <v>10</v>
      </c>
    </row>
    <row r="73" spans="1:10" ht="14.95" thickBot="1" x14ac:dyDescent="0.3">
      <c r="A73" s="179" t="s">
        <v>25</v>
      </c>
      <c r="B73" s="77">
        <v>0</v>
      </c>
      <c r="C73" s="279">
        <v>0</v>
      </c>
      <c r="D73" s="228">
        <v>1</v>
      </c>
      <c r="E73" s="5">
        <f t="shared" si="20"/>
        <v>1</v>
      </c>
      <c r="F73" s="182" t="s">
        <v>694</v>
      </c>
      <c r="G73" s="78">
        <v>0</v>
      </c>
      <c r="H73" s="265">
        <v>5</v>
      </c>
      <c r="I73" s="230">
        <v>0</v>
      </c>
      <c r="J73" s="63">
        <f t="shared" si="21"/>
        <v>5</v>
      </c>
    </row>
    <row r="74" spans="1:10" ht="14.95" thickBot="1" x14ac:dyDescent="0.3">
      <c r="A74" s="179" t="s">
        <v>61</v>
      </c>
      <c r="B74" s="77">
        <v>1</v>
      </c>
      <c r="C74" s="279">
        <v>0</v>
      </c>
      <c r="D74" s="228">
        <v>0</v>
      </c>
      <c r="E74" s="5">
        <f t="shared" si="20"/>
        <v>1</v>
      </c>
      <c r="F74" s="182" t="s">
        <v>566</v>
      </c>
      <c r="G74" s="78">
        <v>0</v>
      </c>
      <c r="H74" s="265">
        <v>0</v>
      </c>
      <c r="I74" s="230">
        <v>5</v>
      </c>
      <c r="J74" s="63">
        <f t="shared" si="21"/>
        <v>5</v>
      </c>
    </row>
    <row r="75" spans="1:10" ht="14.95" thickBot="1" x14ac:dyDescent="0.3">
      <c r="A75" s="179" t="s">
        <v>532</v>
      </c>
      <c r="B75" s="77">
        <v>1</v>
      </c>
      <c r="C75" s="279">
        <v>0</v>
      </c>
      <c r="D75" s="228">
        <v>0</v>
      </c>
      <c r="E75" s="5">
        <f t="shared" si="20"/>
        <v>1</v>
      </c>
      <c r="F75" s="182" t="s">
        <v>25</v>
      </c>
      <c r="G75" s="78">
        <v>0</v>
      </c>
      <c r="H75" s="265">
        <v>0</v>
      </c>
      <c r="I75" s="230">
        <v>5</v>
      </c>
      <c r="J75" s="63">
        <f t="shared" si="21"/>
        <v>5</v>
      </c>
    </row>
    <row r="76" spans="1:10" ht="14.95" thickBot="1" x14ac:dyDescent="0.3">
      <c r="A76" s="179" t="s">
        <v>763</v>
      </c>
      <c r="B76" s="77">
        <v>1</v>
      </c>
      <c r="C76" s="279">
        <v>0</v>
      </c>
      <c r="D76" s="228">
        <v>0</v>
      </c>
      <c r="E76" s="5">
        <f t="shared" si="20"/>
        <v>1</v>
      </c>
      <c r="F76" s="182" t="s">
        <v>61</v>
      </c>
      <c r="G76" s="78">
        <v>5</v>
      </c>
      <c r="H76" s="265">
        <v>0</v>
      </c>
      <c r="I76" s="230">
        <v>0</v>
      </c>
      <c r="J76" s="63">
        <f t="shared" si="21"/>
        <v>5</v>
      </c>
    </row>
    <row r="77" spans="1:10" ht="14.95" thickBot="1" x14ac:dyDescent="0.3">
      <c r="A77" s="179" t="s">
        <v>677</v>
      </c>
      <c r="B77" s="77">
        <v>0</v>
      </c>
      <c r="C77" s="279">
        <v>0</v>
      </c>
      <c r="D77" s="228">
        <v>1</v>
      </c>
      <c r="E77" s="5">
        <f t="shared" si="20"/>
        <v>1</v>
      </c>
      <c r="F77" s="182" t="s">
        <v>532</v>
      </c>
      <c r="G77" s="78">
        <v>5</v>
      </c>
      <c r="H77" s="265">
        <v>0</v>
      </c>
      <c r="I77" s="230">
        <v>0</v>
      </c>
      <c r="J77" s="63">
        <f t="shared" si="21"/>
        <v>5</v>
      </c>
    </row>
    <row r="78" spans="1:10" ht="14.95" thickBot="1" x14ac:dyDescent="0.3">
      <c r="A78" s="179" t="s">
        <v>1121</v>
      </c>
      <c r="B78" s="77">
        <v>1</v>
      </c>
      <c r="C78" s="279">
        <v>0</v>
      </c>
      <c r="D78" s="228">
        <v>0</v>
      </c>
      <c r="E78" s="5">
        <f t="shared" si="20"/>
        <v>1</v>
      </c>
      <c r="F78" s="182" t="s">
        <v>677</v>
      </c>
      <c r="G78" s="78">
        <v>0</v>
      </c>
      <c r="H78" s="265">
        <v>0</v>
      </c>
      <c r="I78" s="230">
        <v>5</v>
      </c>
      <c r="J78" s="63">
        <f t="shared" si="21"/>
        <v>5</v>
      </c>
    </row>
    <row r="79" spans="1:10" ht="14.95" thickBot="1" x14ac:dyDescent="0.3">
      <c r="A79" s="179" t="s">
        <v>899</v>
      </c>
      <c r="B79" s="77">
        <v>0</v>
      </c>
      <c r="C79" s="279">
        <v>0</v>
      </c>
      <c r="D79" s="228">
        <v>1</v>
      </c>
      <c r="E79" s="5">
        <f t="shared" si="20"/>
        <v>1</v>
      </c>
      <c r="F79" s="182" t="s">
        <v>1121</v>
      </c>
      <c r="G79" s="78">
        <v>5</v>
      </c>
      <c r="H79" s="265">
        <v>0</v>
      </c>
      <c r="I79" s="230">
        <v>0</v>
      </c>
      <c r="J79" s="63">
        <f t="shared" si="21"/>
        <v>5</v>
      </c>
    </row>
    <row r="80" spans="1:10" ht="14.95" thickBot="1" x14ac:dyDescent="0.3">
      <c r="A80" s="179" t="s">
        <v>474</v>
      </c>
      <c r="B80" s="77">
        <v>0</v>
      </c>
      <c r="C80" s="279">
        <v>0</v>
      </c>
      <c r="D80" s="228">
        <v>1</v>
      </c>
      <c r="E80" s="5">
        <f t="shared" si="20"/>
        <v>1</v>
      </c>
      <c r="F80" s="182" t="s">
        <v>899</v>
      </c>
      <c r="G80" s="78">
        <v>0</v>
      </c>
      <c r="H80" s="265">
        <v>0</v>
      </c>
      <c r="I80" s="230">
        <v>5</v>
      </c>
      <c r="J80" s="63">
        <f t="shared" si="21"/>
        <v>5</v>
      </c>
    </row>
    <row r="81" spans="1:10" ht="14.95" thickBot="1" x14ac:dyDescent="0.3">
      <c r="A81" s="179" t="s">
        <v>1082</v>
      </c>
      <c r="B81" s="77">
        <v>0</v>
      </c>
      <c r="C81" s="279">
        <v>0</v>
      </c>
      <c r="D81" s="228">
        <v>1</v>
      </c>
      <c r="E81" s="5">
        <f t="shared" si="20"/>
        <v>1</v>
      </c>
      <c r="F81" s="182" t="s">
        <v>474</v>
      </c>
      <c r="G81" s="78">
        <v>0</v>
      </c>
      <c r="H81" s="265">
        <v>0</v>
      </c>
      <c r="I81" s="230">
        <v>5</v>
      </c>
      <c r="J81" s="63">
        <f t="shared" si="21"/>
        <v>5</v>
      </c>
    </row>
    <row r="82" spans="1:10" ht="14.95" thickBot="1" x14ac:dyDescent="0.3">
      <c r="A82" s="179" t="s">
        <v>1071</v>
      </c>
      <c r="B82" s="77">
        <v>1</v>
      </c>
      <c r="C82" s="279">
        <v>0</v>
      </c>
      <c r="D82" s="228">
        <v>0</v>
      </c>
      <c r="E82" s="5">
        <f t="shared" si="20"/>
        <v>1</v>
      </c>
      <c r="F82" s="182" t="s">
        <v>1082</v>
      </c>
      <c r="G82" s="78">
        <v>0</v>
      </c>
      <c r="H82" s="265">
        <v>0</v>
      </c>
      <c r="I82" s="230">
        <v>5</v>
      </c>
      <c r="J82" s="63">
        <f t="shared" si="21"/>
        <v>5</v>
      </c>
    </row>
    <row r="83" spans="1:10" ht="14.95" thickBot="1" x14ac:dyDescent="0.3">
      <c r="A83" s="179" t="s">
        <v>546</v>
      </c>
      <c r="B83" s="77">
        <v>0</v>
      </c>
      <c r="C83" s="279">
        <v>0</v>
      </c>
      <c r="D83" s="228">
        <v>0</v>
      </c>
      <c r="E83" s="5">
        <f t="shared" si="20"/>
        <v>0</v>
      </c>
      <c r="F83" s="182" t="s">
        <v>1071</v>
      </c>
      <c r="G83" s="78">
        <v>5</v>
      </c>
      <c r="H83" s="265">
        <v>0</v>
      </c>
      <c r="I83" s="230">
        <v>0</v>
      </c>
      <c r="J83" s="63">
        <f t="shared" si="21"/>
        <v>5</v>
      </c>
    </row>
    <row r="84" spans="1:10" ht="14.95" thickBot="1" x14ac:dyDescent="0.3">
      <c r="A84" s="179" t="s">
        <v>239</v>
      </c>
      <c r="B84" s="77">
        <v>0</v>
      </c>
      <c r="C84" s="279">
        <v>0</v>
      </c>
      <c r="D84" s="228">
        <v>0</v>
      </c>
      <c r="E84" s="5">
        <f t="shared" si="20"/>
        <v>0</v>
      </c>
      <c r="F84" s="182" t="s">
        <v>888</v>
      </c>
      <c r="G84" s="78">
        <v>0</v>
      </c>
      <c r="H84" s="265">
        <v>2</v>
      </c>
      <c r="I84" s="230">
        <v>2</v>
      </c>
      <c r="J84" s="63">
        <f t="shared" si="21"/>
        <v>4</v>
      </c>
    </row>
    <row r="85" spans="1:10" ht="14.95" thickBot="1" x14ac:dyDescent="0.3">
      <c r="A85" s="179" t="s">
        <v>215</v>
      </c>
      <c r="B85" s="77">
        <v>0</v>
      </c>
      <c r="C85" s="279">
        <v>0</v>
      </c>
      <c r="D85" s="228">
        <v>0</v>
      </c>
      <c r="E85" s="5">
        <f t="shared" si="20"/>
        <v>0</v>
      </c>
      <c r="F85" s="182" t="s">
        <v>1122</v>
      </c>
      <c r="G85" s="78">
        <v>2</v>
      </c>
      <c r="H85" s="265">
        <v>0</v>
      </c>
      <c r="I85" s="230">
        <v>0</v>
      </c>
      <c r="J85" s="63">
        <f t="shared" si="21"/>
        <v>2</v>
      </c>
    </row>
    <row r="86" spans="1:10" ht="14.95" thickBot="1" x14ac:dyDescent="0.3">
      <c r="A86" s="179" t="s">
        <v>888</v>
      </c>
      <c r="B86" s="77">
        <v>0</v>
      </c>
      <c r="C86" s="279">
        <v>0</v>
      </c>
      <c r="D86" s="228">
        <v>0</v>
      </c>
      <c r="E86" s="5">
        <f t="shared" si="20"/>
        <v>0</v>
      </c>
      <c r="F86" s="182" t="s">
        <v>547</v>
      </c>
      <c r="G86" s="78">
        <v>0</v>
      </c>
      <c r="H86" s="265">
        <v>0</v>
      </c>
      <c r="I86" s="230">
        <v>0</v>
      </c>
      <c r="J86" s="63">
        <f t="shared" si="21"/>
        <v>0</v>
      </c>
    </row>
    <row r="87" spans="1:10" ht="14.95" thickBot="1" x14ac:dyDescent="0.3">
      <c r="A87" s="179" t="s">
        <v>244</v>
      </c>
      <c r="B87" s="77">
        <v>0</v>
      </c>
      <c r="C87" s="279">
        <v>0</v>
      </c>
      <c r="D87" s="228">
        <v>0</v>
      </c>
      <c r="E87" s="5">
        <f t="shared" si="20"/>
        <v>0</v>
      </c>
      <c r="F87" s="182" t="s">
        <v>239</v>
      </c>
      <c r="G87" s="78">
        <v>0</v>
      </c>
      <c r="H87" s="265">
        <v>0</v>
      </c>
      <c r="I87" s="230">
        <v>0</v>
      </c>
      <c r="J87" s="63">
        <f t="shared" si="21"/>
        <v>0</v>
      </c>
    </row>
    <row r="88" spans="1:10" ht="14.95" thickBot="1" x14ac:dyDescent="0.3">
      <c r="A88" s="179" t="s">
        <v>672</v>
      </c>
      <c r="B88" s="77">
        <v>0</v>
      </c>
      <c r="C88" s="279">
        <v>0</v>
      </c>
      <c r="D88" s="228">
        <v>0</v>
      </c>
      <c r="E88" s="5">
        <f t="shared" ref="E88:E119" si="22">SUM(B88:D88)</f>
        <v>0</v>
      </c>
      <c r="F88" s="182" t="s">
        <v>215</v>
      </c>
      <c r="G88" s="78">
        <v>0</v>
      </c>
      <c r="H88" s="265">
        <v>0</v>
      </c>
      <c r="I88" s="230">
        <v>0</v>
      </c>
      <c r="J88" s="63">
        <f t="shared" ref="J88:J119" si="23">SUM(G88:I88)</f>
        <v>0</v>
      </c>
    </row>
    <row r="89" spans="1:10" ht="14.95" thickBot="1" x14ac:dyDescent="0.3">
      <c r="A89" s="179" t="s">
        <v>673</v>
      </c>
      <c r="B89" s="77">
        <v>0</v>
      </c>
      <c r="C89" s="279">
        <v>0</v>
      </c>
      <c r="D89" s="228">
        <v>0</v>
      </c>
      <c r="E89" s="5">
        <f t="shared" si="22"/>
        <v>0</v>
      </c>
      <c r="F89" s="182" t="s">
        <v>242</v>
      </c>
      <c r="G89" s="78">
        <v>0</v>
      </c>
      <c r="H89" s="265">
        <v>0</v>
      </c>
      <c r="I89" s="230">
        <v>0</v>
      </c>
      <c r="J89" s="63">
        <f t="shared" si="23"/>
        <v>0</v>
      </c>
    </row>
    <row r="90" spans="1:10" ht="14.95" thickBot="1" x14ac:dyDescent="0.3">
      <c r="A90" s="179" t="s">
        <v>698</v>
      </c>
      <c r="B90" s="77">
        <v>0</v>
      </c>
      <c r="C90" s="279">
        <v>0</v>
      </c>
      <c r="D90" s="228">
        <v>0</v>
      </c>
      <c r="E90" s="5">
        <f t="shared" si="22"/>
        <v>0</v>
      </c>
      <c r="F90" s="182" t="s">
        <v>673</v>
      </c>
      <c r="G90" s="78">
        <v>0</v>
      </c>
      <c r="H90" s="265">
        <v>0</v>
      </c>
      <c r="I90" s="230">
        <v>0</v>
      </c>
      <c r="J90" s="63">
        <f t="shared" si="23"/>
        <v>0</v>
      </c>
    </row>
    <row r="91" spans="1:10" ht="14.95" thickBot="1" x14ac:dyDescent="0.3">
      <c r="A91" s="179" t="s">
        <v>491</v>
      </c>
      <c r="B91" s="77">
        <v>0</v>
      </c>
      <c r="C91" s="279">
        <v>0</v>
      </c>
      <c r="D91" s="228">
        <v>0</v>
      </c>
      <c r="E91" s="5">
        <f t="shared" si="22"/>
        <v>0</v>
      </c>
      <c r="F91" s="182" t="s">
        <v>698</v>
      </c>
      <c r="G91" s="78">
        <v>0</v>
      </c>
      <c r="H91" s="265">
        <v>0</v>
      </c>
      <c r="I91" s="230">
        <v>0</v>
      </c>
      <c r="J91" s="63">
        <f t="shared" si="23"/>
        <v>0</v>
      </c>
    </row>
    <row r="92" spans="1:10" ht="14.95" thickBot="1" x14ac:dyDescent="0.3">
      <c r="A92" s="179" t="s">
        <v>536</v>
      </c>
      <c r="B92" s="77">
        <v>0</v>
      </c>
      <c r="C92" s="279">
        <v>0</v>
      </c>
      <c r="D92" s="228">
        <v>0</v>
      </c>
      <c r="E92" s="5">
        <f t="shared" si="22"/>
        <v>0</v>
      </c>
      <c r="F92" s="182" t="s">
        <v>491</v>
      </c>
      <c r="G92" s="78">
        <v>0</v>
      </c>
      <c r="H92" s="265">
        <v>0</v>
      </c>
      <c r="I92" s="230">
        <v>0</v>
      </c>
      <c r="J92" s="63">
        <f t="shared" si="23"/>
        <v>0</v>
      </c>
    </row>
    <row r="93" spans="1:10" ht="14.95" thickBot="1" x14ac:dyDescent="0.3">
      <c r="A93" s="179" t="s">
        <v>433</v>
      </c>
      <c r="B93" s="77">
        <v>0</v>
      </c>
      <c r="C93" s="279">
        <v>0</v>
      </c>
      <c r="D93" s="228">
        <v>0</v>
      </c>
      <c r="E93" s="5">
        <f t="shared" si="22"/>
        <v>0</v>
      </c>
      <c r="F93" s="182" t="s">
        <v>536</v>
      </c>
      <c r="G93" s="78">
        <v>0</v>
      </c>
      <c r="H93" s="265">
        <v>0</v>
      </c>
      <c r="I93" s="230">
        <v>0</v>
      </c>
      <c r="J93" s="63">
        <f t="shared" si="23"/>
        <v>0</v>
      </c>
    </row>
    <row r="94" spans="1:10" ht="14.95" thickBot="1" x14ac:dyDescent="0.3">
      <c r="A94" s="179" t="s">
        <v>702</v>
      </c>
      <c r="B94" s="77">
        <v>0</v>
      </c>
      <c r="C94" s="279">
        <v>0</v>
      </c>
      <c r="D94" s="228">
        <v>0</v>
      </c>
      <c r="E94" s="5">
        <f t="shared" si="22"/>
        <v>0</v>
      </c>
      <c r="F94" s="182" t="s">
        <v>433</v>
      </c>
      <c r="G94" s="78">
        <v>0</v>
      </c>
      <c r="H94" s="265">
        <v>0</v>
      </c>
      <c r="I94" s="230">
        <v>0</v>
      </c>
      <c r="J94" s="63">
        <f t="shared" si="23"/>
        <v>0</v>
      </c>
    </row>
    <row r="95" spans="1:10" ht="14.95" thickBot="1" x14ac:dyDescent="0.3">
      <c r="A95" s="179" t="s">
        <v>678</v>
      </c>
      <c r="B95" s="77">
        <v>0</v>
      </c>
      <c r="C95" s="279">
        <v>0</v>
      </c>
      <c r="D95" s="228">
        <v>0</v>
      </c>
      <c r="E95" s="5">
        <f t="shared" si="22"/>
        <v>0</v>
      </c>
      <c r="F95" s="182" t="s">
        <v>702</v>
      </c>
      <c r="G95" s="78">
        <v>0</v>
      </c>
      <c r="H95" s="265">
        <v>0</v>
      </c>
      <c r="I95" s="230">
        <v>0</v>
      </c>
      <c r="J95" s="63">
        <f t="shared" si="23"/>
        <v>0</v>
      </c>
    </row>
    <row r="96" spans="1:10" ht="14.95" thickBot="1" x14ac:dyDescent="0.3">
      <c r="A96" s="179" t="s">
        <v>1122</v>
      </c>
      <c r="B96" s="77">
        <v>0</v>
      </c>
      <c r="C96" s="279">
        <v>0</v>
      </c>
      <c r="D96" s="228">
        <v>0</v>
      </c>
      <c r="E96" s="5">
        <f t="shared" si="22"/>
        <v>0</v>
      </c>
      <c r="F96" s="182" t="s">
        <v>678</v>
      </c>
      <c r="G96" s="78">
        <v>0</v>
      </c>
      <c r="H96" s="265">
        <v>0</v>
      </c>
      <c r="I96" s="230">
        <v>0</v>
      </c>
      <c r="J96" s="63">
        <f t="shared" si="23"/>
        <v>0</v>
      </c>
    </row>
    <row r="97" spans="1:10" ht="14.95" thickBot="1" x14ac:dyDescent="0.3">
      <c r="A97" s="179" t="s">
        <v>261</v>
      </c>
      <c r="B97" s="77">
        <v>0</v>
      </c>
      <c r="C97" s="279">
        <v>0</v>
      </c>
      <c r="D97" s="228">
        <v>0</v>
      </c>
      <c r="E97" s="5">
        <f t="shared" si="22"/>
        <v>0</v>
      </c>
      <c r="F97" s="182" t="s">
        <v>261</v>
      </c>
      <c r="G97" s="78">
        <v>0</v>
      </c>
      <c r="H97" s="265">
        <v>0</v>
      </c>
      <c r="I97" s="230">
        <v>0</v>
      </c>
      <c r="J97" s="63">
        <f t="shared" si="23"/>
        <v>0</v>
      </c>
    </row>
    <row r="98" spans="1:10" ht="14.95" thickBot="1" x14ac:dyDescent="0.3">
      <c r="A98" s="179" t="s">
        <v>700</v>
      </c>
      <c r="B98" s="77">
        <v>0</v>
      </c>
      <c r="C98" s="279">
        <v>0</v>
      </c>
      <c r="D98" s="228">
        <v>0</v>
      </c>
      <c r="E98" s="5">
        <f t="shared" si="22"/>
        <v>0</v>
      </c>
      <c r="F98" s="182" t="s">
        <v>700</v>
      </c>
      <c r="G98" s="78">
        <v>0</v>
      </c>
      <c r="H98" s="265">
        <v>0</v>
      </c>
      <c r="I98" s="230">
        <v>0</v>
      </c>
      <c r="J98" s="63">
        <f t="shared" si="23"/>
        <v>0</v>
      </c>
    </row>
    <row r="99" spans="1:10" ht="14.95" thickBot="1" x14ac:dyDescent="0.3">
      <c r="A99" s="179" t="s">
        <v>684</v>
      </c>
      <c r="B99" s="77">
        <v>0</v>
      </c>
      <c r="C99" s="279">
        <v>0</v>
      </c>
      <c r="D99" s="228">
        <v>0</v>
      </c>
      <c r="E99" s="5">
        <f t="shared" si="22"/>
        <v>0</v>
      </c>
      <c r="F99" s="182" t="s">
        <v>684</v>
      </c>
      <c r="G99" s="78">
        <v>0</v>
      </c>
      <c r="H99" s="265">
        <v>0</v>
      </c>
      <c r="I99" s="230">
        <v>0</v>
      </c>
      <c r="J99" s="63">
        <f t="shared" si="23"/>
        <v>0</v>
      </c>
    </row>
    <row r="100" spans="1:10" ht="14.95" thickBot="1" x14ac:dyDescent="0.3">
      <c r="A100" s="179" t="s">
        <v>4</v>
      </c>
      <c r="B100" s="77">
        <v>0</v>
      </c>
      <c r="C100" s="279">
        <v>0</v>
      </c>
      <c r="D100" s="228">
        <v>0</v>
      </c>
      <c r="E100" s="5">
        <f t="shared" si="22"/>
        <v>0</v>
      </c>
      <c r="F100" s="182" t="s">
        <v>4</v>
      </c>
      <c r="G100" s="78">
        <v>0</v>
      </c>
      <c r="H100" s="265">
        <v>0</v>
      </c>
      <c r="I100" s="230">
        <v>0</v>
      </c>
      <c r="J100" s="63">
        <f t="shared" si="23"/>
        <v>0</v>
      </c>
    </row>
    <row r="101" spans="1:10" ht="14.95" thickBot="1" x14ac:dyDescent="0.3">
      <c r="A101" s="179" t="s">
        <v>22</v>
      </c>
      <c r="B101" s="77">
        <v>0</v>
      </c>
      <c r="C101" s="279">
        <v>0</v>
      </c>
      <c r="D101" s="228">
        <v>0</v>
      </c>
      <c r="E101" s="5">
        <f t="shared" si="22"/>
        <v>0</v>
      </c>
      <c r="F101" s="182" t="s">
        <v>22</v>
      </c>
      <c r="G101" s="78">
        <v>0</v>
      </c>
      <c r="H101" s="265">
        <v>0</v>
      </c>
      <c r="I101" s="230">
        <v>0</v>
      </c>
      <c r="J101" s="63">
        <f t="shared" si="23"/>
        <v>0</v>
      </c>
    </row>
    <row r="102" spans="1:10" ht="14.95" thickBot="1" x14ac:dyDescent="0.3">
      <c r="A102" s="179" t="s">
        <v>68</v>
      </c>
      <c r="B102" s="77">
        <v>0</v>
      </c>
      <c r="C102" s="279">
        <v>0</v>
      </c>
      <c r="D102" s="228">
        <v>0</v>
      </c>
      <c r="E102" s="5">
        <f t="shared" si="22"/>
        <v>0</v>
      </c>
      <c r="F102" s="182" t="s">
        <v>68</v>
      </c>
      <c r="G102" s="78">
        <v>0</v>
      </c>
      <c r="H102" s="265">
        <v>0</v>
      </c>
      <c r="I102" s="230">
        <v>0</v>
      </c>
      <c r="J102" s="63">
        <f t="shared" si="23"/>
        <v>0</v>
      </c>
    </row>
    <row r="103" spans="1:10" ht="14.95" thickBot="1" x14ac:dyDescent="0.3">
      <c r="A103" s="179" t="s">
        <v>389</v>
      </c>
      <c r="B103" s="77">
        <v>0</v>
      </c>
      <c r="C103" s="279">
        <v>0</v>
      </c>
      <c r="D103" s="228">
        <v>0</v>
      </c>
      <c r="E103" s="5">
        <f t="shared" si="22"/>
        <v>0</v>
      </c>
      <c r="F103" s="182" t="s">
        <v>389</v>
      </c>
      <c r="G103" s="78">
        <v>0</v>
      </c>
      <c r="H103" s="265">
        <v>0</v>
      </c>
      <c r="I103" s="230">
        <v>0</v>
      </c>
      <c r="J103" s="63">
        <f t="shared" si="23"/>
        <v>0</v>
      </c>
    </row>
    <row r="104" spans="1:10" ht="14.95" thickBot="1" x14ac:dyDescent="0.3">
      <c r="A104" s="179" t="s">
        <v>689</v>
      </c>
      <c r="B104" s="77">
        <v>0</v>
      </c>
      <c r="C104" s="279">
        <v>0</v>
      </c>
      <c r="D104" s="228">
        <v>0</v>
      </c>
      <c r="E104" s="5">
        <f t="shared" si="22"/>
        <v>0</v>
      </c>
      <c r="F104" s="182" t="s">
        <v>689</v>
      </c>
      <c r="G104" s="78">
        <v>0</v>
      </c>
      <c r="H104" s="265">
        <v>0</v>
      </c>
      <c r="I104" s="230">
        <v>0</v>
      </c>
      <c r="J104" s="63">
        <f t="shared" si="23"/>
        <v>0</v>
      </c>
    </row>
    <row r="105" spans="1:10" ht="14.95" thickBot="1" x14ac:dyDescent="0.3">
      <c r="A105" s="179" t="s">
        <v>3</v>
      </c>
      <c r="B105" s="77">
        <f>SUM(B56:B104)</f>
        <v>29</v>
      </c>
      <c r="C105" s="279">
        <f>SUM(C56:C104)</f>
        <v>13</v>
      </c>
      <c r="D105" s="228">
        <f>SUM(D56:D104)</f>
        <v>20</v>
      </c>
      <c r="E105" s="5">
        <f>SUM(E56:E104)</f>
        <v>62</v>
      </c>
      <c r="F105" s="181" t="s">
        <v>3</v>
      </c>
      <c r="G105" s="78">
        <f>SUM(G56:G104)</f>
        <v>208</v>
      </c>
      <c r="H105" s="265">
        <f>SUM(H56:H104)</f>
        <v>93</v>
      </c>
      <c r="I105" s="230">
        <f>SUM(I56:I104)</f>
        <v>131</v>
      </c>
      <c r="J105" s="63">
        <f>SUM(J56:J104)</f>
        <v>432</v>
      </c>
    </row>
    <row r="106" spans="1:10" ht="14.3" customHeight="1" x14ac:dyDescent="0.3">
      <c r="A106" s="447" t="s">
        <v>34</v>
      </c>
      <c r="B106" s="448"/>
      <c r="C106" s="448"/>
      <c r="D106" s="448"/>
      <c r="E106" s="448"/>
      <c r="F106" s="448"/>
      <c r="G106" s="448"/>
      <c r="H106" s="448"/>
      <c r="I106" s="448"/>
      <c r="J106" s="448"/>
    </row>
  </sheetData>
  <sortState xmlns:xlrd2="http://schemas.microsoft.com/office/spreadsheetml/2017/richdata2" ref="F56:J104">
    <sortCondition descending="1" ref="J56:J104"/>
  </sortState>
  <mergeCells count="61">
    <mergeCell ref="O1:Q2"/>
    <mergeCell ref="A53:H53"/>
    <mergeCell ref="K17:K18"/>
    <mergeCell ref="L17:N18"/>
    <mergeCell ref="K1:K2"/>
    <mergeCell ref="L1:N2"/>
    <mergeCell ref="L10:N11"/>
    <mergeCell ref="A1:J1"/>
    <mergeCell ref="K23:K24"/>
    <mergeCell ref="L23:N24"/>
    <mergeCell ref="K30:Y30"/>
    <mergeCell ref="O23:Q24"/>
    <mergeCell ref="R23:T24"/>
    <mergeCell ref="T1:V2"/>
    <mergeCell ref="O10:Q11"/>
    <mergeCell ref="O17:Q18"/>
    <mergeCell ref="AF23:AH24"/>
    <mergeCell ref="AL10:AN11"/>
    <mergeCell ref="AL17:AN18"/>
    <mergeCell ref="U17:W18"/>
    <mergeCell ref="R17:T18"/>
    <mergeCell ref="AI10:AK11"/>
    <mergeCell ref="AI17:AK18"/>
    <mergeCell ref="AF10:AH11"/>
    <mergeCell ref="AF17:AH18"/>
    <mergeCell ref="AC10:AE11"/>
    <mergeCell ref="AC17:AE18"/>
    <mergeCell ref="AC23:AE24"/>
    <mergeCell ref="AI23:AK24"/>
    <mergeCell ref="R10:T11"/>
    <mergeCell ref="U10:W11"/>
    <mergeCell ref="AU17:AW18"/>
    <mergeCell ref="AX17:AZ18"/>
    <mergeCell ref="AL23:AN24"/>
    <mergeCell ref="AO23:AQ24"/>
    <mergeCell ref="AU23:AW24"/>
    <mergeCell ref="AR23:AT24"/>
    <mergeCell ref="AO17:AQ18"/>
    <mergeCell ref="AR17:AT18"/>
    <mergeCell ref="W1:Y2"/>
    <mergeCell ref="AL1:AN2"/>
    <mergeCell ref="AI1:AK2"/>
    <mergeCell ref="AF1:AH2"/>
    <mergeCell ref="R1:S2"/>
    <mergeCell ref="AC1:AE2"/>
    <mergeCell ref="A106:J106"/>
    <mergeCell ref="BA17:BC18"/>
    <mergeCell ref="U23:W24"/>
    <mergeCell ref="K10:K11"/>
    <mergeCell ref="BG1:BI2"/>
    <mergeCell ref="AX1:AZ2"/>
    <mergeCell ref="AX10:AZ11"/>
    <mergeCell ref="BA10:BC11"/>
    <mergeCell ref="AO1:AQ2"/>
    <mergeCell ref="AR10:AT11"/>
    <mergeCell ref="AR1:AT2"/>
    <mergeCell ref="AU1:AW2"/>
    <mergeCell ref="AU10:AW11"/>
    <mergeCell ref="BD1:BF2"/>
    <mergeCell ref="BA1:BC2"/>
    <mergeCell ref="AO10:AQ11"/>
  </mergeCells>
  <pageMargins left="0.7" right="0.7" top="0.75" bottom="0.75" header="0.3" footer="0.3"/>
  <pageSetup paperSize="9" orientation="portrait" r:id="rId1"/>
  <ignoredErrors>
    <ignoredError sqref="E49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BO102"/>
  <sheetViews>
    <sheetView zoomScaleNormal="100" workbookViewId="0">
      <selection activeCell="Y20" sqref="Y20"/>
    </sheetView>
  </sheetViews>
  <sheetFormatPr defaultColWidth="8.875" defaultRowHeight="14.3" x14ac:dyDescent="0.25"/>
  <cols>
    <col min="1" max="1" width="16.625" bestFit="1" customWidth="1"/>
    <col min="2" max="2" width="3.75" customWidth="1"/>
    <col min="3" max="4" width="4.125" customWidth="1"/>
    <col min="5" max="5" width="4.75" customWidth="1"/>
    <col min="6" max="6" width="16.625" bestFit="1" customWidth="1"/>
    <col min="7" max="10" width="5.25" customWidth="1"/>
    <col min="11" max="11" width="16.75" customWidth="1"/>
    <col min="12" max="17" width="5.375" customWidth="1"/>
    <col min="18" max="51" width="5.75" customWidth="1"/>
    <col min="52" max="60" width="5.625" customWidth="1"/>
  </cols>
  <sheetData>
    <row r="1" spans="1:67" ht="14.95" customHeight="1" thickBot="1" x14ac:dyDescent="0.3">
      <c r="A1" s="545" t="s">
        <v>931</v>
      </c>
      <c r="B1" s="546"/>
      <c r="C1" s="546"/>
      <c r="D1" s="546"/>
      <c r="E1" s="546"/>
      <c r="F1" s="546"/>
      <c r="G1" s="546"/>
      <c r="H1" s="546"/>
      <c r="I1" s="546"/>
      <c r="J1" s="547"/>
      <c r="K1" s="467" t="s">
        <v>187</v>
      </c>
      <c r="L1" s="457" t="s">
        <v>14</v>
      </c>
      <c r="M1" s="461"/>
      <c r="N1" s="458"/>
      <c r="O1" s="457" t="s">
        <v>40</v>
      </c>
      <c r="P1" s="461"/>
      <c r="Q1" s="458"/>
      <c r="R1" s="457" t="s">
        <v>186</v>
      </c>
      <c r="S1" s="458"/>
      <c r="T1" s="449" t="s">
        <v>226</v>
      </c>
      <c r="U1" s="450"/>
      <c r="V1" s="451"/>
      <c r="W1" s="449" t="s">
        <v>875</v>
      </c>
      <c r="X1" s="450"/>
      <c r="Y1" s="451"/>
      <c r="Z1" s="195"/>
      <c r="AA1" s="160"/>
      <c r="AB1" s="449" t="s">
        <v>581</v>
      </c>
      <c r="AC1" s="450"/>
      <c r="AD1" s="451"/>
      <c r="AE1" s="449" t="s">
        <v>477</v>
      </c>
      <c r="AF1" s="450"/>
      <c r="AG1" s="451"/>
      <c r="AH1" s="449" t="s">
        <v>391</v>
      </c>
      <c r="AI1" s="450"/>
      <c r="AJ1" s="451"/>
      <c r="AK1" s="449" t="s">
        <v>300</v>
      </c>
      <c r="AL1" s="450"/>
      <c r="AM1" s="451"/>
      <c r="AN1" s="449" t="s">
        <v>219</v>
      </c>
      <c r="AO1" s="450"/>
      <c r="AP1" s="451"/>
      <c r="AQ1" s="449" t="s">
        <v>165</v>
      </c>
      <c r="AR1" s="450"/>
      <c r="AS1" s="451"/>
      <c r="AT1" s="449" t="s">
        <v>78</v>
      </c>
      <c r="AU1" s="450"/>
      <c r="AV1" s="451"/>
      <c r="AW1" s="449" t="s">
        <v>54</v>
      </c>
      <c r="AX1" s="450"/>
      <c r="AY1" s="451"/>
      <c r="AZ1" s="449" t="s">
        <v>50</v>
      </c>
      <c r="BA1" s="450"/>
      <c r="BB1" s="451"/>
      <c r="BC1" s="449" t="s">
        <v>41</v>
      </c>
      <c r="BD1" s="450"/>
      <c r="BE1" s="451"/>
      <c r="BF1" s="449" t="s">
        <v>45</v>
      </c>
      <c r="BG1" s="450"/>
      <c r="BH1" s="451"/>
      <c r="BJ1" s="4"/>
      <c r="BK1" s="4"/>
      <c r="BL1" s="4"/>
      <c r="BO1" s="4"/>
    </row>
    <row r="2" spans="1:67" ht="14.95" customHeight="1" thickBot="1" x14ac:dyDescent="0.3">
      <c r="A2" s="120" t="s">
        <v>0</v>
      </c>
      <c r="B2" s="114" t="s">
        <v>218</v>
      </c>
      <c r="C2" s="257" t="s">
        <v>30</v>
      </c>
      <c r="D2" s="236" t="s">
        <v>326</v>
      </c>
      <c r="E2" s="128" t="s">
        <v>1</v>
      </c>
      <c r="F2" s="122" t="s">
        <v>2</v>
      </c>
      <c r="G2" s="137" t="s">
        <v>218</v>
      </c>
      <c r="H2" s="280" t="s">
        <v>30</v>
      </c>
      <c r="I2" s="213" t="s">
        <v>326</v>
      </c>
      <c r="J2" s="125" t="s">
        <v>1</v>
      </c>
      <c r="K2" s="468"/>
      <c r="L2" s="459"/>
      <c r="M2" s="462"/>
      <c r="N2" s="460"/>
      <c r="O2" s="459"/>
      <c r="P2" s="462"/>
      <c r="Q2" s="460"/>
      <c r="R2" s="459"/>
      <c r="S2" s="460"/>
      <c r="T2" s="452"/>
      <c r="U2" s="453"/>
      <c r="V2" s="454"/>
      <c r="W2" s="452"/>
      <c r="X2" s="453"/>
      <c r="Y2" s="454"/>
      <c r="Z2" s="195"/>
      <c r="AA2" s="160"/>
      <c r="AB2" s="452"/>
      <c r="AC2" s="453"/>
      <c r="AD2" s="454"/>
      <c r="AE2" s="452"/>
      <c r="AF2" s="453"/>
      <c r="AG2" s="454"/>
      <c r="AH2" s="452"/>
      <c r="AI2" s="453"/>
      <c r="AJ2" s="454"/>
      <c r="AK2" s="452"/>
      <c r="AL2" s="453"/>
      <c r="AM2" s="454"/>
      <c r="AN2" s="452"/>
      <c r="AO2" s="453"/>
      <c r="AP2" s="454"/>
      <c r="AQ2" s="452"/>
      <c r="AR2" s="453"/>
      <c r="AS2" s="454"/>
      <c r="AT2" s="452"/>
      <c r="AU2" s="453"/>
      <c r="AV2" s="454"/>
      <c r="AW2" s="452"/>
      <c r="AX2" s="453"/>
      <c r="AY2" s="454"/>
      <c r="AZ2" s="452"/>
      <c r="BA2" s="453"/>
      <c r="BB2" s="454"/>
      <c r="BC2" s="452"/>
      <c r="BD2" s="453"/>
      <c r="BE2" s="454"/>
      <c r="BF2" s="452"/>
      <c r="BG2" s="453"/>
      <c r="BH2" s="454"/>
    </row>
    <row r="3" spans="1:67" ht="14.95" customHeight="1" thickBot="1" x14ac:dyDescent="0.3">
      <c r="A3" s="121" t="s">
        <v>936</v>
      </c>
      <c r="B3" s="77">
        <v>2</v>
      </c>
      <c r="C3" s="258">
        <v>0</v>
      </c>
      <c r="D3" s="237">
        <v>1</v>
      </c>
      <c r="E3" s="129">
        <f t="shared" ref="E3:E49" si="0">SUM(B3:D3)</f>
        <v>3</v>
      </c>
      <c r="F3" s="123" t="s">
        <v>936</v>
      </c>
      <c r="G3" s="135">
        <v>60</v>
      </c>
      <c r="H3" s="281">
        <v>33</v>
      </c>
      <c r="I3" s="214">
        <v>55</v>
      </c>
      <c r="J3" s="126">
        <f t="shared" ref="J3:J49" si="1">SUM(G3:I3)</f>
        <v>148</v>
      </c>
      <c r="K3" s="217" t="s">
        <v>21</v>
      </c>
      <c r="L3" s="3" t="s">
        <v>46</v>
      </c>
      <c r="M3" s="3" t="s">
        <v>9</v>
      </c>
      <c r="N3" s="3" t="s">
        <v>10</v>
      </c>
      <c r="O3" s="3" t="s">
        <v>46</v>
      </c>
      <c r="P3" s="3" t="s">
        <v>9</v>
      </c>
      <c r="Q3" s="3" t="s">
        <v>10</v>
      </c>
      <c r="R3" s="3" t="s">
        <v>187</v>
      </c>
      <c r="S3" s="3" t="s">
        <v>58</v>
      </c>
      <c r="T3" s="7" t="s">
        <v>46</v>
      </c>
      <c r="U3" s="7" t="s">
        <v>9</v>
      </c>
      <c r="V3" s="7" t="s">
        <v>10</v>
      </c>
      <c r="W3" s="7" t="s">
        <v>46</v>
      </c>
      <c r="X3" s="7" t="s">
        <v>9</v>
      </c>
      <c r="Y3" s="7" t="s">
        <v>10</v>
      </c>
      <c r="Z3" s="93"/>
      <c r="AA3" s="94"/>
      <c r="AB3" s="148" t="s">
        <v>46</v>
      </c>
      <c r="AC3" s="7" t="s">
        <v>9</v>
      </c>
      <c r="AD3" s="7" t="s">
        <v>10</v>
      </c>
      <c r="AE3" s="7" t="s">
        <v>46</v>
      </c>
      <c r="AF3" s="7" t="s">
        <v>9</v>
      </c>
      <c r="AG3" s="7" t="s">
        <v>10</v>
      </c>
      <c r="AH3" s="148" t="s">
        <v>46</v>
      </c>
      <c r="AI3" s="7" t="s">
        <v>9</v>
      </c>
      <c r="AJ3" s="7" t="s">
        <v>10</v>
      </c>
      <c r="AK3" s="148" t="s">
        <v>46</v>
      </c>
      <c r="AL3" s="7" t="s">
        <v>9</v>
      </c>
      <c r="AM3" s="7" t="s">
        <v>10</v>
      </c>
      <c r="AN3" s="148" t="s">
        <v>46</v>
      </c>
      <c r="AO3" s="7" t="s">
        <v>9</v>
      </c>
      <c r="AP3" s="7" t="s">
        <v>10</v>
      </c>
      <c r="AQ3" s="148" t="s">
        <v>46</v>
      </c>
      <c r="AR3" s="7" t="s">
        <v>9</v>
      </c>
      <c r="AS3" s="7" t="s">
        <v>10</v>
      </c>
      <c r="AT3" s="148" t="s">
        <v>46</v>
      </c>
      <c r="AU3" s="7" t="s">
        <v>9</v>
      </c>
      <c r="AV3" s="7" t="s">
        <v>10</v>
      </c>
      <c r="AW3" s="148" t="s">
        <v>46</v>
      </c>
      <c r="AX3" s="7" t="s">
        <v>9</v>
      </c>
      <c r="AY3" s="7" t="s">
        <v>10</v>
      </c>
      <c r="AZ3" s="7" t="s">
        <v>46</v>
      </c>
      <c r="BA3" s="7" t="s">
        <v>9</v>
      </c>
      <c r="BB3" s="7" t="s">
        <v>10</v>
      </c>
      <c r="BC3" s="7" t="s">
        <v>46</v>
      </c>
      <c r="BD3" s="7" t="s">
        <v>9</v>
      </c>
      <c r="BE3" s="7" t="s">
        <v>10</v>
      </c>
      <c r="BF3" s="7" t="s">
        <v>46</v>
      </c>
      <c r="BG3" s="7" t="s">
        <v>9</v>
      </c>
      <c r="BH3" s="7" t="s">
        <v>10</v>
      </c>
    </row>
    <row r="4" spans="1:67" ht="14.95" customHeight="1" thickBot="1" x14ac:dyDescent="0.3">
      <c r="A4" s="121" t="s">
        <v>345</v>
      </c>
      <c r="B4" s="77">
        <v>0</v>
      </c>
      <c r="C4" s="258">
        <v>0</v>
      </c>
      <c r="D4" s="237">
        <v>1</v>
      </c>
      <c r="E4" s="129">
        <f t="shared" si="0"/>
        <v>1</v>
      </c>
      <c r="F4" s="123" t="s">
        <v>345</v>
      </c>
      <c r="G4" s="135">
        <v>0</v>
      </c>
      <c r="H4" s="281">
        <v>0</v>
      </c>
      <c r="I4" s="214">
        <v>5</v>
      </c>
      <c r="J4" s="126">
        <f t="shared" si="1"/>
        <v>5</v>
      </c>
      <c r="K4" s="121" t="s">
        <v>941</v>
      </c>
      <c r="L4" s="302">
        <v>23</v>
      </c>
      <c r="M4" s="302">
        <v>28</v>
      </c>
      <c r="N4" s="303">
        <f t="shared" ref="N4:N6" si="2">SUM(L4/M4)*100</f>
        <v>82.142857142857139</v>
      </c>
      <c r="O4" s="129" t="s">
        <v>15</v>
      </c>
      <c r="P4" s="129" t="s">
        <v>15</v>
      </c>
      <c r="Q4" s="130" t="s">
        <v>15</v>
      </c>
      <c r="R4" s="129">
        <v>4</v>
      </c>
      <c r="S4" s="129">
        <v>20</v>
      </c>
      <c r="T4" s="7" t="s">
        <v>15</v>
      </c>
      <c r="U4" s="7" t="s">
        <v>15</v>
      </c>
      <c r="V4" s="153" t="s">
        <v>15</v>
      </c>
      <c r="W4" s="7" t="s">
        <v>15</v>
      </c>
      <c r="X4" s="7" t="s">
        <v>15</v>
      </c>
      <c r="Y4" s="153" t="s">
        <v>15</v>
      </c>
      <c r="Z4" s="93"/>
      <c r="AA4" s="94"/>
      <c r="AB4" s="6" t="s">
        <v>15</v>
      </c>
      <c r="AC4" s="7" t="s">
        <v>15</v>
      </c>
      <c r="AD4" s="153" t="s">
        <v>15</v>
      </c>
      <c r="AE4" s="7" t="s">
        <v>15</v>
      </c>
      <c r="AF4" s="7" t="s">
        <v>15</v>
      </c>
      <c r="AG4" s="153" t="s">
        <v>15</v>
      </c>
      <c r="AH4" s="148" t="s">
        <v>15</v>
      </c>
      <c r="AI4" s="7" t="s">
        <v>15</v>
      </c>
      <c r="AJ4" s="7" t="s">
        <v>15</v>
      </c>
      <c r="AK4" s="148" t="s">
        <v>15</v>
      </c>
      <c r="AL4" s="7" t="s">
        <v>15</v>
      </c>
      <c r="AM4" s="7" t="s">
        <v>15</v>
      </c>
      <c r="AN4" s="148" t="s">
        <v>15</v>
      </c>
      <c r="AO4" s="7" t="s">
        <v>15</v>
      </c>
      <c r="AP4" s="7" t="s">
        <v>15</v>
      </c>
      <c r="AQ4" s="148" t="s">
        <v>15</v>
      </c>
      <c r="AR4" s="7" t="s">
        <v>15</v>
      </c>
      <c r="AS4" s="7" t="s">
        <v>15</v>
      </c>
      <c r="AT4" s="148" t="s">
        <v>15</v>
      </c>
      <c r="AU4" s="7" t="s">
        <v>15</v>
      </c>
      <c r="AV4" s="7" t="s">
        <v>15</v>
      </c>
      <c r="AW4" s="6" t="s">
        <v>15</v>
      </c>
      <c r="AX4" s="7" t="s">
        <v>15</v>
      </c>
      <c r="AY4" s="7" t="s">
        <v>15</v>
      </c>
      <c r="AZ4" s="7" t="s">
        <v>15</v>
      </c>
      <c r="BA4" s="7" t="s">
        <v>15</v>
      </c>
      <c r="BB4" s="7" t="s">
        <v>15</v>
      </c>
      <c r="BC4" s="7" t="s">
        <v>15</v>
      </c>
      <c r="BD4" s="7" t="s">
        <v>15</v>
      </c>
      <c r="BE4" s="7" t="s">
        <v>15</v>
      </c>
      <c r="BF4" s="7" t="s">
        <v>15</v>
      </c>
      <c r="BG4" s="7" t="s">
        <v>15</v>
      </c>
      <c r="BH4" s="7" t="s">
        <v>15</v>
      </c>
    </row>
    <row r="5" spans="1:67" ht="14.95" customHeight="1" thickBot="1" x14ac:dyDescent="0.3">
      <c r="A5" s="121" t="s">
        <v>7</v>
      </c>
      <c r="B5" s="77">
        <v>0</v>
      </c>
      <c r="C5" s="258">
        <v>0</v>
      </c>
      <c r="D5" s="237">
        <v>1</v>
      </c>
      <c r="E5" s="129">
        <f t="shared" si="0"/>
        <v>1</v>
      </c>
      <c r="F5" s="123" t="s">
        <v>7</v>
      </c>
      <c r="G5" s="135">
        <v>0</v>
      </c>
      <c r="H5" s="281">
        <v>0</v>
      </c>
      <c r="I5" s="214">
        <v>5</v>
      </c>
      <c r="J5" s="126">
        <f t="shared" si="1"/>
        <v>5</v>
      </c>
      <c r="K5" s="121" t="s">
        <v>69</v>
      </c>
      <c r="L5" s="302">
        <v>1</v>
      </c>
      <c r="M5" s="302">
        <v>2</v>
      </c>
      <c r="N5" s="303">
        <f t="shared" si="2"/>
        <v>50</v>
      </c>
      <c r="O5" s="129" t="s">
        <v>15</v>
      </c>
      <c r="P5" s="129" t="s">
        <v>15</v>
      </c>
      <c r="Q5" s="130" t="s">
        <v>15</v>
      </c>
      <c r="R5" s="129">
        <v>1</v>
      </c>
      <c r="S5" s="129">
        <v>1</v>
      </c>
      <c r="T5" s="7" t="s">
        <v>15</v>
      </c>
      <c r="U5" s="7" t="s">
        <v>15</v>
      </c>
      <c r="V5" s="153" t="s">
        <v>15</v>
      </c>
      <c r="W5" s="7">
        <v>14</v>
      </c>
      <c r="X5" s="7">
        <v>20</v>
      </c>
      <c r="Y5" s="153">
        <v>70</v>
      </c>
      <c r="Z5" s="93"/>
      <c r="AA5" s="94"/>
      <c r="AB5" s="148">
        <v>17</v>
      </c>
      <c r="AC5" s="7">
        <v>21</v>
      </c>
      <c r="AD5" s="153">
        <v>80.952380952380949</v>
      </c>
      <c r="AE5" s="7">
        <v>11</v>
      </c>
      <c r="AF5" s="7">
        <v>16</v>
      </c>
      <c r="AG5" s="153">
        <f t="shared" ref="AG5:AG6" si="3">SUM(AE5/AF5)*100</f>
        <v>68.75</v>
      </c>
      <c r="AH5" s="148" t="s">
        <v>15</v>
      </c>
      <c r="AI5" s="7" t="s">
        <v>15</v>
      </c>
      <c r="AJ5" s="7" t="s">
        <v>15</v>
      </c>
      <c r="AK5" s="148" t="s">
        <v>15</v>
      </c>
      <c r="AL5" s="7" t="s">
        <v>15</v>
      </c>
      <c r="AM5" s="7" t="s">
        <v>15</v>
      </c>
      <c r="AN5" s="148" t="s">
        <v>15</v>
      </c>
      <c r="AO5" s="7" t="s">
        <v>15</v>
      </c>
      <c r="AP5" s="7" t="s">
        <v>15</v>
      </c>
      <c r="AQ5" s="148" t="s">
        <v>15</v>
      </c>
      <c r="AR5" s="7" t="s">
        <v>15</v>
      </c>
      <c r="AS5" s="7" t="s">
        <v>15</v>
      </c>
      <c r="AT5" s="148" t="s">
        <v>15</v>
      </c>
      <c r="AU5" s="7" t="s">
        <v>15</v>
      </c>
      <c r="AV5" s="7" t="s">
        <v>15</v>
      </c>
      <c r="AW5" s="6" t="s">
        <v>15</v>
      </c>
      <c r="AX5" s="7" t="s">
        <v>15</v>
      </c>
      <c r="AY5" s="7" t="s">
        <v>15</v>
      </c>
      <c r="AZ5" s="7" t="s">
        <v>15</v>
      </c>
      <c r="BA5" s="7" t="s">
        <v>15</v>
      </c>
      <c r="BB5" s="7" t="s">
        <v>15</v>
      </c>
      <c r="BC5" s="7" t="s">
        <v>15</v>
      </c>
      <c r="BD5" s="7" t="s">
        <v>15</v>
      </c>
      <c r="BE5" s="7" t="s">
        <v>15</v>
      </c>
      <c r="BF5" s="7" t="s">
        <v>15</v>
      </c>
      <c r="BG5" s="7" t="s">
        <v>15</v>
      </c>
      <c r="BH5" s="7" t="s">
        <v>15</v>
      </c>
    </row>
    <row r="6" spans="1:67" ht="14.95" customHeight="1" thickBot="1" x14ac:dyDescent="0.3">
      <c r="A6" s="121" t="s">
        <v>933</v>
      </c>
      <c r="B6" s="77">
        <v>0</v>
      </c>
      <c r="C6" s="258">
        <v>0</v>
      </c>
      <c r="D6" s="237">
        <v>2</v>
      </c>
      <c r="E6" s="129">
        <f t="shared" si="0"/>
        <v>2</v>
      </c>
      <c r="F6" s="123" t="s">
        <v>933</v>
      </c>
      <c r="G6" s="135">
        <v>0</v>
      </c>
      <c r="H6" s="281">
        <v>0</v>
      </c>
      <c r="I6" s="214">
        <v>10</v>
      </c>
      <c r="J6" s="126">
        <f t="shared" si="1"/>
        <v>10</v>
      </c>
      <c r="K6" s="121" t="s">
        <v>43</v>
      </c>
      <c r="L6" s="129">
        <v>1</v>
      </c>
      <c r="M6" s="129">
        <v>1</v>
      </c>
      <c r="N6" s="130">
        <f t="shared" si="2"/>
        <v>100</v>
      </c>
      <c r="O6" s="129" t="s">
        <v>15</v>
      </c>
      <c r="P6" s="129" t="s">
        <v>15</v>
      </c>
      <c r="Q6" s="130" t="s">
        <v>15</v>
      </c>
      <c r="R6" s="129">
        <v>1</v>
      </c>
      <c r="S6" s="129">
        <v>1</v>
      </c>
      <c r="T6" s="7">
        <v>12</v>
      </c>
      <c r="U6" s="7">
        <v>14</v>
      </c>
      <c r="V6" s="153">
        <v>85.714285714285708</v>
      </c>
      <c r="W6" s="7">
        <v>0</v>
      </c>
      <c r="X6" s="7">
        <v>1</v>
      </c>
      <c r="Y6" s="153">
        <v>0</v>
      </c>
      <c r="Z6" s="93"/>
      <c r="AA6" s="94"/>
      <c r="AB6" s="148">
        <v>3</v>
      </c>
      <c r="AC6" s="7">
        <v>6</v>
      </c>
      <c r="AD6" s="153">
        <v>50</v>
      </c>
      <c r="AE6" s="7">
        <v>2</v>
      </c>
      <c r="AF6" s="7">
        <v>4</v>
      </c>
      <c r="AG6" s="153">
        <f t="shared" si="3"/>
        <v>50</v>
      </c>
      <c r="AH6" s="148">
        <v>3</v>
      </c>
      <c r="AI6" s="7">
        <v>5</v>
      </c>
      <c r="AJ6" s="7">
        <f t="shared" ref="AJ6" si="4">SUM(AH6/AI6)*100</f>
        <v>60</v>
      </c>
      <c r="AK6" s="148" t="s">
        <v>15</v>
      </c>
      <c r="AL6" s="7" t="s">
        <v>15</v>
      </c>
      <c r="AM6" s="7" t="s">
        <v>15</v>
      </c>
      <c r="AN6" s="148">
        <v>3</v>
      </c>
      <c r="AO6" s="7">
        <v>3</v>
      </c>
      <c r="AP6" s="7">
        <v>100</v>
      </c>
      <c r="AQ6" s="148" t="s">
        <v>15</v>
      </c>
      <c r="AR6" s="7" t="s">
        <v>15</v>
      </c>
      <c r="AS6" s="7" t="s">
        <v>15</v>
      </c>
      <c r="AT6" s="148" t="s">
        <v>15</v>
      </c>
      <c r="AU6" s="7" t="s">
        <v>15</v>
      </c>
      <c r="AV6" s="7" t="s">
        <v>15</v>
      </c>
      <c r="AW6" s="6" t="s">
        <v>15</v>
      </c>
      <c r="AX6" s="7" t="s">
        <v>15</v>
      </c>
      <c r="AY6" s="7" t="s">
        <v>15</v>
      </c>
      <c r="AZ6" s="7" t="s">
        <v>15</v>
      </c>
      <c r="BA6" s="7" t="s">
        <v>15</v>
      </c>
      <c r="BB6" s="7" t="s">
        <v>15</v>
      </c>
      <c r="BC6" s="7" t="s">
        <v>15</v>
      </c>
      <c r="BD6" s="7" t="s">
        <v>15</v>
      </c>
      <c r="BE6" s="7" t="s">
        <v>15</v>
      </c>
      <c r="BF6" s="7" t="s">
        <v>15</v>
      </c>
      <c r="BG6" s="7" t="s">
        <v>15</v>
      </c>
      <c r="BH6" s="7" t="s">
        <v>15</v>
      </c>
    </row>
    <row r="7" spans="1:67" ht="14.95" customHeight="1" thickBot="1" x14ac:dyDescent="0.3">
      <c r="A7" s="121" t="s">
        <v>935</v>
      </c>
      <c r="B7" s="77">
        <v>0</v>
      </c>
      <c r="C7" s="258">
        <v>1</v>
      </c>
      <c r="D7" s="237">
        <v>3</v>
      </c>
      <c r="E7" s="129">
        <f t="shared" si="0"/>
        <v>4</v>
      </c>
      <c r="F7" s="123" t="s">
        <v>935</v>
      </c>
      <c r="G7" s="135">
        <v>0</v>
      </c>
      <c r="H7" s="281">
        <v>5</v>
      </c>
      <c r="I7" s="214">
        <v>15</v>
      </c>
      <c r="J7" s="126">
        <f t="shared" si="1"/>
        <v>20</v>
      </c>
      <c r="K7" s="301" t="s">
        <v>259</v>
      </c>
      <c r="L7" s="129" t="s">
        <v>15</v>
      </c>
      <c r="M7" s="129" t="s">
        <v>15</v>
      </c>
      <c r="N7" s="130" t="s">
        <v>15</v>
      </c>
      <c r="O7" s="129" t="s">
        <v>15</v>
      </c>
      <c r="P7" s="129" t="s">
        <v>15</v>
      </c>
      <c r="Q7" s="130" t="s">
        <v>15</v>
      </c>
      <c r="R7" s="302">
        <v>2</v>
      </c>
      <c r="S7" s="302">
        <v>2</v>
      </c>
      <c r="T7" s="7">
        <v>2</v>
      </c>
      <c r="U7" s="7">
        <v>2</v>
      </c>
      <c r="V7" s="153">
        <v>100</v>
      </c>
      <c r="W7" s="7" t="s">
        <v>15</v>
      </c>
      <c r="X7" s="7" t="s">
        <v>15</v>
      </c>
      <c r="Y7" s="153" t="s">
        <v>15</v>
      </c>
      <c r="Z7" s="94"/>
      <c r="AA7" s="94"/>
      <c r="AB7" s="6" t="s">
        <v>15</v>
      </c>
      <c r="AC7" s="7" t="s">
        <v>15</v>
      </c>
      <c r="AD7" s="153" t="s">
        <v>15</v>
      </c>
      <c r="AE7" s="7" t="s">
        <v>15</v>
      </c>
      <c r="AF7" s="7" t="s">
        <v>15</v>
      </c>
      <c r="AG7" s="153" t="s">
        <v>15</v>
      </c>
      <c r="AH7" s="7" t="s">
        <v>15</v>
      </c>
      <c r="AI7" s="7" t="s">
        <v>15</v>
      </c>
      <c r="AJ7" s="153" t="s">
        <v>15</v>
      </c>
      <c r="AK7" s="7" t="s">
        <v>15</v>
      </c>
      <c r="AL7" s="7" t="s">
        <v>15</v>
      </c>
      <c r="AM7" s="153" t="s">
        <v>15</v>
      </c>
      <c r="AN7" s="7" t="s">
        <v>15</v>
      </c>
      <c r="AO7" s="7" t="s">
        <v>15</v>
      </c>
      <c r="AP7" s="153" t="s">
        <v>15</v>
      </c>
      <c r="AQ7" s="7" t="s">
        <v>15</v>
      </c>
      <c r="AR7" s="7" t="s">
        <v>15</v>
      </c>
      <c r="AS7" s="153" t="s">
        <v>15</v>
      </c>
      <c r="AT7" s="7" t="s">
        <v>15</v>
      </c>
      <c r="AU7" s="7" t="s">
        <v>15</v>
      </c>
      <c r="AV7" s="153" t="s">
        <v>15</v>
      </c>
      <c r="AW7" s="7" t="s">
        <v>15</v>
      </c>
      <c r="AX7" s="7" t="s">
        <v>15</v>
      </c>
      <c r="AY7" s="153" t="s">
        <v>15</v>
      </c>
      <c r="AZ7" s="7" t="s">
        <v>15</v>
      </c>
      <c r="BA7" s="7" t="s">
        <v>15</v>
      </c>
      <c r="BB7" s="153" t="s">
        <v>15</v>
      </c>
      <c r="BC7" s="7" t="s">
        <v>15</v>
      </c>
      <c r="BD7" s="7" t="s">
        <v>15</v>
      </c>
      <c r="BE7" s="153" t="s">
        <v>15</v>
      </c>
      <c r="BF7" s="7" t="s">
        <v>15</v>
      </c>
      <c r="BG7" s="7" t="s">
        <v>15</v>
      </c>
      <c r="BH7" s="153" t="s">
        <v>15</v>
      </c>
    </row>
    <row r="8" spans="1:67" ht="14.95" customHeight="1" thickBot="1" x14ac:dyDescent="0.3">
      <c r="A8" s="121" t="s">
        <v>161</v>
      </c>
      <c r="B8" s="77">
        <v>6</v>
      </c>
      <c r="C8" s="258">
        <v>1</v>
      </c>
      <c r="D8" s="237">
        <v>0</v>
      </c>
      <c r="E8" s="129">
        <f t="shared" si="0"/>
        <v>7</v>
      </c>
      <c r="F8" s="124" t="s">
        <v>161</v>
      </c>
      <c r="G8" s="135">
        <v>30</v>
      </c>
      <c r="H8" s="281">
        <v>5</v>
      </c>
      <c r="I8" s="214">
        <v>0</v>
      </c>
      <c r="J8" s="126">
        <f t="shared" si="1"/>
        <v>35</v>
      </c>
      <c r="K8" s="301" t="s">
        <v>71</v>
      </c>
      <c r="L8" s="129" t="s">
        <v>15</v>
      </c>
      <c r="M8" s="129" t="s">
        <v>15</v>
      </c>
      <c r="N8" s="130" t="s">
        <v>15</v>
      </c>
      <c r="O8" s="129" t="s">
        <v>15</v>
      </c>
      <c r="P8" s="129" t="s">
        <v>15</v>
      </c>
      <c r="Q8" s="130" t="s">
        <v>15</v>
      </c>
      <c r="R8" s="302">
        <v>1</v>
      </c>
      <c r="S8" s="302">
        <v>1</v>
      </c>
      <c r="T8" s="7">
        <v>2</v>
      </c>
      <c r="U8" s="7">
        <v>5</v>
      </c>
      <c r="V8" s="153">
        <v>40</v>
      </c>
      <c r="W8" s="7" t="s">
        <v>15</v>
      </c>
      <c r="X8" s="7" t="s">
        <v>15</v>
      </c>
      <c r="Y8" s="153" t="s">
        <v>15</v>
      </c>
      <c r="Z8" s="94"/>
      <c r="AA8" s="94"/>
      <c r="AB8" s="148" t="s">
        <v>15</v>
      </c>
      <c r="AC8" s="7" t="s">
        <v>15</v>
      </c>
      <c r="AD8" s="153" t="s">
        <v>15</v>
      </c>
      <c r="AE8" s="6" t="s">
        <v>15</v>
      </c>
      <c r="AF8" s="7" t="s">
        <v>15</v>
      </c>
      <c r="AG8" s="153" t="s">
        <v>15</v>
      </c>
      <c r="AH8" s="7" t="s">
        <v>15</v>
      </c>
      <c r="AI8" s="7" t="s">
        <v>15</v>
      </c>
      <c r="AJ8" s="153" t="s">
        <v>15</v>
      </c>
      <c r="AK8" s="7" t="s">
        <v>15</v>
      </c>
      <c r="AL8" s="7" t="s">
        <v>15</v>
      </c>
      <c r="AM8" s="153" t="s">
        <v>15</v>
      </c>
      <c r="AN8" s="7" t="s">
        <v>15</v>
      </c>
      <c r="AO8" s="7" t="s">
        <v>15</v>
      </c>
      <c r="AP8" s="153" t="s">
        <v>15</v>
      </c>
      <c r="AQ8" s="7" t="s">
        <v>15</v>
      </c>
      <c r="AR8" s="7" t="s">
        <v>15</v>
      </c>
      <c r="AS8" s="153" t="s">
        <v>15</v>
      </c>
      <c r="AT8" s="7" t="s">
        <v>15</v>
      </c>
      <c r="AU8" s="7" t="s">
        <v>15</v>
      </c>
      <c r="AV8" s="153" t="s">
        <v>15</v>
      </c>
      <c r="AW8" s="7" t="s">
        <v>15</v>
      </c>
      <c r="AX8" s="7" t="s">
        <v>15</v>
      </c>
      <c r="AY8" s="153" t="s">
        <v>15</v>
      </c>
      <c r="AZ8" s="7" t="s">
        <v>15</v>
      </c>
      <c r="BA8" s="7" t="s">
        <v>15</v>
      </c>
      <c r="BB8" s="153" t="s">
        <v>15</v>
      </c>
      <c r="BC8" s="7" t="s">
        <v>15</v>
      </c>
      <c r="BD8" s="7" t="s">
        <v>15</v>
      </c>
      <c r="BE8" s="153" t="s">
        <v>15</v>
      </c>
      <c r="BF8" s="7" t="s">
        <v>15</v>
      </c>
      <c r="BG8" s="7" t="s">
        <v>15</v>
      </c>
      <c r="BH8" s="153" t="s">
        <v>15</v>
      </c>
    </row>
    <row r="9" spans="1:67" ht="14.95" customHeight="1" thickBot="1" x14ac:dyDescent="0.3">
      <c r="A9" s="121" t="s">
        <v>278</v>
      </c>
      <c r="B9" s="77">
        <v>0</v>
      </c>
      <c r="C9" s="258">
        <v>0</v>
      </c>
      <c r="D9" s="237">
        <v>0</v>
      </c>
      <c r="E9" s="129">
        <f t="shared" si="0"/>
        <v>0</v>
      </c>
      <c r="F9" s="124" t="s">
        <v>278</v>
      </c>
      <c r="G9" s="135">
        <v>0</v>
      </c>
      <c r="H9" s="281">
        <v>0</v>
      </c>
      <c r="I9" s="214">
        <v>0</v>
      </c>
      <c r="J9" s="126">
        <f t="shared" si="1"/>
        <v>0</v>
      </c>
      <c r="K9" s="301" t="s">
        <v>1022</v>
      </c>
      <c r="L9" s="302" t="s">
        <v>15</v>
      </c>
      <c r="M9" s="302" t="s">
        <v>15</v>
      </c>
      <c r="N9" s="303" t="s">
        <v>15</v>
      </c>
      <c r="O9" s="129" t="s">
        <v>15</v>
      </c>
      <c r="P9" s="129" t="s">
        <v>15</v>
      </c>
      <c r="Q9" s="130" t="s">
        <v>15</v>
      </c>
      <c r="R9" s="302" t="s">
        <v>19</v>
      </c>
      <c r="S9" s="302">
        <v>6</v>
      </c>
      <c r="T9" s="7"/>
      <c r="U9" s="7"/>
      <c r="V9" s="153"/>
      <c r="W9" s="7"/>
      <c r="X9" s="7"/>
      <c r="Y9" s="153"/>
      <c r="Z9" s="94"/>
      <c r="AA9" s="94"/>
      <c r="AB9" s="148"/>
      <c r="AC9" s="7"/>
      <c r="AD9" s="153"/>
      <c r="AE9" s="6"/>
      <c r="AF9" s="7"/>
      <c r="AG9" s="153"/>
      <c r="AH9" s="7"/>
      <c r="AI9" s="7"/>
      <c r="AJ9" s="153"/>
      <c r="AK9" s="7"/>
      <c r="AL9" s="7"/>
      <c r="AM9" s="153"/>
      <c r="AN9" s="7"/>
      <c r="AO9" s="7"/>
      <c r="AP9" s="153"/>
      <c r="AQ9" s="7"/>
      <c r="AR9" s="7"/>
      <c r="AS9" s="153"/>
      <c r="AT9" s="7"/>
      <c r="AU9" s="7"/>
      <c r="AV9" s="153"/>
      <c r="AW9" s="7"/>
      <c r="AX9" s="7"/>
      <c r="AY9" s="153"/>
      <c r="AZ9" s="7"/>
      <c r="BA9" s="7"/>
      <c r="BB9" s="153"/>
      <c r="BC9" s="7"/>
      <c r="BD9" s="7"/>
      <c r="BE9" s="153"/>
      <c r="BF9" s="7"/>
      <c r="BG9" s="7"/>
      <c r="BH9" s="153"/>
    </row>
    <row r="10" spans="1:67" ht="14.95" customHeight="1" thickBot="1" x14ac:dyDescent="0.3">
      <c r="A10" s="121" t="s">
        <v>155</v>
      </c>
      <c r="B10" s="77">
        <v>0</v>
      </c>
      <c r="C10" s="258">
        <v>3</v>
      </c>
      <c r="D10" s="237">
        <v>0</v>
      </c>
      <c r="E10" s="129">
        <f t="shared" si="0"/>
        <v>3</v>
      </c>
      <c r="F10" s="124" t="s">
        <v>155</v>
      </c>
      <c r="G10" s="135">
        <v>0</v>
      </c>
      <c r="H10" s="281">
        <v>15</v>
      </c>
      <c r="I10" s="214">
        <v>0</v>
      </c>
      <c r="J10" s="126">
        <f t="shared" si="1"/>
        <v>15</v>
      </c>
      <c r="K10" s="301" t="s">
        <v>469</v>
      </c>
      <c r="L10" s="129">
        <v>29</v>
      </c>
      <c r="M10" s="129">
        <v>41</v>
      </c>
      <c r="N10" s="130">
        <f t="shared" ref="N10" si="5">SUM(L10/M10)*100</f>
        <v>70.731707317073173</v>
      </c>
      <c r="O10" s="129">
        <v>7</v>
      </c>
      <c r="P10" s="129">
        <v>7</v>
      </c>
      <c r="Q10" s="130">
        <f t="shared" ref="Q10" si="6">SUM(O10/P10)*100</f>
        <v>100</v>
      </c>
      <c r="R10" s="302">
        <v>3</v>
      </c>
      <c r="S10" s="302">
        <v>10</v>
      </c>
      <c r="T10" s="7">
        <v>43</v>
      </c>
      <c r="U10" s="7">
        <v>53</v>
      </c>
      <c r="V10" s="153">
        <v>81.132075471698116</v>
      </c>
      <c r="W10" s="7">
        <v>65</v>
      </c>
      <c r="X10" s="7">
        <v>80</v>
      </c>
      <c r="Y10" s="153">
        <v>81.25</v>
      </c>
      <c r="Z10" s="94"/>
      <c r="AA10" s="94"/>
      <c r="AB10" s="148">
        <v>47</v>
      </c>
      <c r="AC10" s="7">
        <v>59</v>
      </c>
      <c r="AD10" s="153">
        <v>79.66101694915254</v>
      </c>
      <c r="AE10" s="6">
        <v>39</v>
      </c>
      <c r="AF10" s="7">
        <v>54</v>
      </c>
      <c r="AG10" s="153">
        <f>(AE10/AF10)*100</f>
        <v>72.222222222222214</v>
      </c>
      <c r="AH10" s="148">
        <v>2</v>
      </c>
      <c r="AI10" s="7">
        <v>5</v>
      </c>
      <c r="AJ10" s="153">
        <f>(AH10/AI10)*100</f>
        <v>40</v>
      </c>
      <c r="AK10" s="148" t="s">
        <v>15</v>
      </c>
      <c r="AL10" s="7" t="s">
        <v>15</v>
      </c>
      <c r="AM10" s="7" t="s">
        <v>15</v>
      </c>
      <c r="AN10" s="148" t="s">
        <v>15</v>
      </c>
      <c r="AO10" s="7" t="s">
        <v>15</v>
      </c>
      <c r="AP10" s="7" t="s">
        <v>15</v>
      </c>
      <c r="AQ10" s="148" t="s">
        <v>15</v>
      </c>
      <c r="AR10" s="7" t="s">
        <v>15</v>
      </c>
      <c r="AS10" s="7" t="s">
        <v>15</v>
      </c>
      <c r="AT10" s="148" t="s">
        <v>15</v>
      </c>
      <c r="AU10" s="7" t="s">
        <v>15</v>
      </c>
      <c r="AV10" s="7" t="s">
        <v>15</v>
      </c>
      <c r="AW10" s="6" t="s">
        <v>15</v>
      </c>
      <c r="AX10" s="7" t="s">
        <v>15</v>
      </c>
      <c r="AY10" s="7" t="s">
        <v>15</v>
      </c>
      <c r="AZ10" s="7" t="s">
        <v>15</v>
      </c>
      <c r="BA10" s="7" t="s">
        <v>15</v>
      </c>
      <c r="BB10" s="7" t="s">
        <v>15</v>
      </c>
      <c r="BC10" s="7" t="s">
        <v>15</v>
      </c>
      <c r="BD10" s="7" t="s">
        <v>15</v>
      </c>
      <c r="BE10" s="7" t="s">
        <v>15</v>
      </c>
      <c r="BF10" s="7" t="s">
        <v>15</v>
      </c>
      <c r="BG10" s="7" t="s">
        <v>15</v>
      </c>
      <c r="BH10" s="7" t="s">
        <v>15</v>
      </c>
    </row>
    <row r="11" spans="1:67" ht="14.95" customHeight="1" thickBot="1" x14ac:dyDescent="0.3">
      <c r="A11" s="121" t="s">
        <v>934</v>
      </c>
      <c r="B11" s="77">
        <v>2</v>
      </c>
      <c r="C11" s="258">
        <v>2</v>
      </c>
      <c r="D11" s="237">
        <v>0</v>
      </c>
      <c r="E11" s="129">
        <f t="shared" si="0"/>
        <v>4</v>
      </c>
      <c r="F11" s="123" t="s">
        <v>934</v>
      </c>
      <c r="G11" s="135">
        <v>10</v>
      </c>
      <c r="H11" s="281">
        <v>10</v>
      </c>
      <c r="I11" s="214">
        <v>0</v>
      </c>
      <c r="J11" s="126">
        <f t="shared" si="1"/>
        <v>20</v>
      </c>
    </row>
    <row r="12" spans="1:67" ht="14.95" customHeight="1" thickBot="1" x14ac:dyDescent="0.3">
      <c r="A12" s="121" t="s">
        <v>275</v>
      </c>
      <c r="B12" s="77">
        <v>10</v>
      </c>
      <c r="C12" s="258">
        <v>2</v>
      </c>
      <c r="D12" s="237">
        <v>0</v>
      </c>
      <c r="E12" s="129">
        <f t="shared" si="0"/>
        <v>12</v>
      </c>
      <c r="F12" s="123" t="s">
        <v>275</v>
      </c>
      <c r="G12" s="135">
        <v>50</v>
      </c>
      <c r="H12" s="281">
        <v>10</v>
      </c>
      <c r="I12" s="214">
        <v>0</v>
      </c>
      <c r="J12" s="126">
        <f t="shared" si="1"/>
        <v>60</v>
      </c>
      <c r="K12" s="465" t="s">
        <v>188</v>
      </c>
      <c r="L12" s="457" t="s">
        <v>14</v>
      </c>
      <c r="M12" s="461"/>
      <c r="N12" s="458"/>
      <c r="O12" s="449" t="s">
        <v>226</v>
      </c>
      <c r="P12" s="450"/>
      <c r="Q12" s="451"/>
      <c r="R12" s="449" t="s">
        <v>875</v>
      </c>
      <c r="S12" s="450"/>
      <c r="T12" s="451"/>
      <c r="U12" s="449" t="s">
        <v>581</v>
      </c>
      <c r="V12" s="450"/>
      <c r="W12" s="451"/>
      <c r="X12" s="160"/>
      <c r="Y12" s="160"/>
      <c r="Z12" s="160"/>
      <c r="AB12" s="449" t="s">
        <v>477</v>
      </c>
      <c r="AC12" s="450"/>
      <c r="AD12" s="451"/>
      <c r="AE12" s="449" t="s">
        <v>391</v>
      </c>
      <c r="AF12" s="450"/>
      <c r="AG12" s="451"/>
      <c r="AH12" s="449" t="s">
        <v>300</v>
      </c>
      <c r="AI12" s="450"/>
      <c r="AJ12" s="451"/>
      <c r="AK12" s="449" t="s">
        <v>219</v>
      </c>
      <c r="AL12" s="450"/>
      <c r="AM12" s="451"/>
      <c r="AN12" s="449" t="s">
        <v>165</v>
      </c>
      <c r="AO12" s="450"/>
      <c r="AP12" s="451"/>
      <c r="AQ12" s="449" t="s">
        <v>78</v>
      </c>
      <c r="AR12" s="450"/>
      <c r="AS12" s="451"/>
      <c r="AT12" s="449" t="s">
        <v>54</v>
      </c>
      <c r="AU12" s="450"/>
      <c r="AV12" s="451"/>
      <c r="AW12" s="449" t="s">
        <v>50</v>
      </c>
      <c r="AX12" s="450"/>
      <c r="AY12" s="451"/>
      <c r="AZ12" s="449" t="s">
        <v>141</v>
      </c>
      <c r="BA12" s="450"/>
      <c r="BB12" s="451"/>
    </row>
    <row r="13" spans="1:67" ht="14.95" customHeight="1" thickBot="1" x14ac:dyDescent="0.3">
      <c r="A13" s="121" t="s">
        <v>69</v>
      </c>
      <c r="B13" s="77">
        <v>1</v>
      </c>
      <c r="C13" s="258">
        <v>1</v>
      </c>
      <c r="D13" s="237">
        <v>1</v>
      </c>
      <c r="E13" s="129">
        <f t="shared" si="0"/>
        <v>3</v>
      </c>
      <c r="F13" s="123" t="s">
        <v>69</v>
      </c>
      <c r="G13" s="135">
        <v>7</v>
      </c>
      <c r="H13" s="281">
        <v>5</v>
      </c>
      <c r="I13" s="214">
        <v>10</v>
      </c>
      <c r="J13" s="126">
        <f t="shared" si="1"/>
        <v>22</v>
      </c>
      <c r="K13" s="466"/>
      <c r="L13" s="459"/>
      <c r="M13" s="462"/>
      <c r="N13" s="460"/>
      <c r="O13" s="452"/>
      <c r="P13" s="453"/>
      <c r="Q13" s="454"/>
      <c r="R13" s="452"/>
      <c r="S13" s="453"/>
      <c r="T13" s="454"/>
      <c r="U13" s="452"/>
      <c r="V13" s="453"/>
      <c r="W13" s="454"/>
      <c r="X13" s="160"/>
      <c r="Y13" s="160"/>
      <c r="Z13" s="160"/>
      <c r="AB13" s="452"/>
      <c r="AC13" s="453"/>
      <c r="AD13" s="454"/>
      <c r="AE13" s="452"/>
      <c r="AF13" s="453"/>
      <c r="AG13" s="454"/>
      <c r="AH13" s="452"/>
      <c r="AI13" s="453"/>
      <c r="AJ13" s="454"/>
      <c r="AK13" s="452"/>
      <c r="AL13" s="453"/>
      <c r="AM13" s="454"/>
      <c r="AN13" s="452"/>
      <c r="AO13" s="453"/>
      <c r="AP13" s="454"/>
      <c r="AQ13" s="452"/>
      <c r="AR13" s="453"/>
      <c r="AS13" s="454"/>
      <c r="AT13" s="452"/>
      <c r="AU13" s="453"/>
      <c r="AV13" s="454"/>
      <c r="AW13" s="452"/>
      <c r="AX13" s="453"/>
      <c r="AY13" s="454"/>
      <c r="AZ13" s="452"/>
      <c r="BA13" s="453"/>
      <c r="BB13" s="454"/>
    </row>
    <row r="14" spans="1:67" ht="14.95" customHeight="1" thickBot="1" x14ac:dyDescent="0.3">
      <c r="A14" s="121" t="s">
        <v>494</v>
      </c>
      <c r="B14" s="77">
        <v>0</v>
      </c>
      <c r="C14" s="258">
        <v>0</v>
      </c>
      <c r="D14" s="237">
        <v>0</v>
      </c>
      <c r="E14" s="129">
        <f t="shared" si="0"/>
        <v>0</v>
      </c>
      <c r="F14" s="123" t="s">
        <v>494</v>
      </c>
      <c r="G14" s="135">
        <v>0</v>
      </c>
      <c r="H14" s="281">
        <v>0</v>
      </c>
      <c r="I14" s="214">
        <v>0</v>
      </c>
      <c r="J14" s="126">
        <f t="shared" si="1"/>
        <v>0</v>
      </c>
      <c r="K14" s="251" t="s">
        <v>21</v>
      </c>
      <c r="L14" s="3" t="s">
        <v>46</v>
      </c>
      <c r="M14" s="3" t="s">
        <v>9</v>
      </c>
      <c r="N14" s="3" t="s">
        <v>10</v>
      </c>
      <c r="O14" s="7" t="s">
        <v>46</v>
      </c>
      <c r="P14" s="7" t="s">
        <v>9</v>
      </c>
      <c r="Q14" s="7" t="s">
        <v>10</v>
      </c>
      <c r="R14" s="7" t="s">
        <v>46</v>
      </c>
      <c r="S14" s="7" t="s">
        <v>9</v>
      </c>
      <c r="T14" s="7" t="s">
        <v>10</v>
      </c>
      <c r="U14" s="7" t="s">
        <v>46</v>
      </c>
      <c r="V14" s="7" t="s">
        <v>9</v>
      </c>
      <c r="W14" s="7" t="s">
        <v>10</v>
      </c>
      <c r="AB14" s="148" t="s">
        <v>46</v>
      </c>
      <c r="AC14" s="7" t="s">
        <v>9</v>
      </c>
      <c r="AD14" s="7" t="s">
        <v>10</v>
      </c>
      <c r="AE14" s="148" t="s">
        <v>46</v>
      </c>
      <c r="AF14" s="7" t="s">
        <v>9</v>
      </c>
      <c r="AG14" s="7" t="s">
        <v>10</v>
      </c>
      <c r="AH14" s="148" t="s">
        <v>46</v>
      </c>
      <c r="AI14" s="7" t="s">
        <v>9</v>
      </c>
      <c r="AJ14" s="7" t="s">
        <v>10</v>
      </c>
      <c r="AK14" s="148" t="s">
        <v>46</v>
      </c>
      <c r="AL14" s="7" t="s">
        <v>9</v>
      </c>
      <c r="AM14" s="7" t="s">
        <v>10</v>
      </c>
      <c r="AN14" s="148" t="s">
        <v>46</v>
      </c>
      <c r="AO14" s="7" t="s">
        <v>9</v>
      </c>
      <c r="AP14" s="7" t="s">
        <v>10</v>
      </c>
      <c r="AQ14" s="148" t="s">
        <v>46</v>
      </c>
      <c r="AR14" s="7" t="s">
        <v>9</v>
      </c>
      <c r="AS14" s="7" t="s">
        <v>10</v>
      </c>
      <c r="AT14" s="148" t="s">
        <v>46</v>
      </c>
      <c r="AU14" s="7" t="s">
        <v>9</v>
      </c>
      <c r="AV14" s="7" t="s">
        <v>10</v>
      </c>
      <c r="AW14" s="148" t="s">
        <v>46</v>
      </c>
      <c r="AX14" s="7" t="s">
        <v>9</v>
      </c>
      <c r="AY14" s="7" t="s">
        <v>10</v>
      </c>
      <c r="AZ14" s="148" t="s">
        <v>46</v>
      </c>
      <c r="BA14" s="7" t="s">
        <v>9</v>
      </c>
      <c r="BB14" s="7" t="s">
        <v>10</v>
      </c>
    </row>
    <row r="15" spans="1:67" ht="14.95" customHeight="1" thickBot="1" x14ac:dyDescent="0.3">
      <c r="A15" s="121" t="s">
        <v>254</v>
      </c>
      <c r="B15" s="77">
        <v>0</v>
      </c>
      <c r="C15" s="258">
        <v>0</v>
      </c>
      <c r="D15" s="237">
        <v>1</v>
      </c>
      <c r="E15" s="129">
        <f t="shared" si="0"/>
        <v>1</v>
      </c>
      <c r="F15" s="123" t="s">
        <v>254</v>
      </c>
      <c r="G15" s="135">
        <v>0</v>
      </c>
      <c r="H15" s="281">
        <v>0</v>
      </c>
      <c r="I15" s="214">
        <v>5</v>
      </c>
      <c r="J15" s="126">
        <f t="shared" si="1"/>
        <v>5</v>
      </c>
      <c r="K15" s="121" t="s">
        <v>936</v>
      </c>
      <c r="L15" s="129">
        <v>16</v>
      </c>
      <c r="M15" s="129">
        <v>17</v>
      </c>
      <c r="N15" s="130">
        <f t="shared" ref="N15" si="7">SUM(L15/M15)*100</f>
        <v>94.117647058823522</v>
      </c>
      <c r="O15" s="7" t="s">
        <v>15</v>
      </c>
      <c r="P15" s="7" t="s">
        <v>15</v>
      </c>
      <c r="Q15" s="153" t="s">
        <v>15</v>
      </c>
      <c r="R15" s="7" t="s">
        <v>15</v>
      </c>
      <c r="S15" s="7" t="s">
        <v>15</v>
      </c>
      <c r="T15" s="153" t="s">
        <v>15</v>
      </c>
      <c r="U15" s="7">
        <v>11</v>
      </c>
      <c r="V15" s="7">
        <v>12</v>
      </c>
      <c r="W15" s="153">
        <v>91.666666666666657</v>
      </c>
      <c r="AB15" s="148">
        <v>6</v>
      </c>
      <c r="AC15" s="7">
        <v>8</v>
      </c>
      <c r="AD15" s="153">
        <f t="shared" ref="AD15" si="8">SUM(AB15/AC15)*100</f>
        <v>75</v>
      </c>
      <c r="AE15" s="148" t="s">
        <v>15</v>
      </c>
      <c r="AF15" s="7" t="s">
        <v>15</v>
      </c>
      <c r="AG15" s="7" t="s">
        <v>15</v>
      </c>
      <c r="AH15" s="148">
        <v>16</v>
      </c>
      <c r="AI15" s="7">
        <v>23</v>
      </c>
      <c r="AJ15" s="7">
        <v>70</v>
      </c>
      <c r="AK15" s="6">
        <v>9</v>
      </c>
      <c r="AL15" s="152">
        <v>13</v>
      </c>
      <c r="AM15" s="152">
        <v>69</v>
      </c>
      <c r="AN15" s="6">
        <v>13</v>
      </c>
      <c r="AO15" s="152">
        <v>17</v>
      </c>
      <c r="AP15" s="152">
        <v>76</v>
      </c>
      <c r="AQ15" s="6" t="s">
        <v>15</v>
      </c>
      <c r="AR15" s="152" t="s">
        <v>15</v>
      </c>
      <c r="AS15" s="152" t="s">
        <v>15</v>
      </c>
      <c r="AT15" s="6" t="s">
        <v>15</v>
      </c>
      <c r="AU15" s="152" t="s">
        <v>15</v>
      </c>
      <c r="AV15" s="152" t="s">
        <v>15</v>
      </c>
      <c r="AW15" s="6" t="s">
        <v>15</v>
      </c>
      <c r="AX15" s="152" t="s">
        <v>15</v>
      </c>
      <c r="AY15" s="152" t="s">
        <v>15</v>
      </c>
      <c r="AZ15" s="152" t="s">
        <v>15</v>
      </c>
      <c r="BA15" s="152" t="s">
        <v>15</v>
      </c>
      <c r="BB15" s="152" t="s">
        <v>15</v>
      </c>
    </row>
    <row r="16" spans="1:67" ht="14.95" customHeight="1" thickBot="1" x14ac:dyDescent="0.3">
      <c r="A16" s="121" t="s">
        <v>788</v>
      </c>
      <c r="B16" s="77">
        <v>0</v>
      </c>
      <c r="C16" s="258">
        <v>0</v>
      </c>
      <c r="D16" s="237">
        <v>1</v>
      </c>
      <c r="E16" s="129">
        <f t="shared" si="0"/>
        <v>1</v>
      </c>
      <c r="F16" s="123" t="s">
        <v>788</v>
      </c>
      <c r="G16" s="135">
        <v>0</v>
      </c>
      <c r="H16" s="281">
        <v>0</v>
      </c>
      <c r="I16" s="214">
        <v>5</v>
      </c>
      <c r="J16" s="126">
        <f t="shared" si="1"/>
        <v>5</v>
      </c>
      <c r="K16" s="121" t="s">
        <v>69</v>
      </c>
      <c r="L16" s="129" t="s">
        <v>15</v>
      </c>
      <c r="M16" s="129" t="s">
        <v>15</v>
      </c>
      <c r="N16" s="130" t="s">
        <v>15</v>
      </c>
      <c r="O16" s="7" t="s">
        <v>15</v>
      </c>
      <c r="P16" s="7" t="s">
        <v>15</v>
      </c>
      <c r="Q16" s="153" t="s">
        <v>15</v>
      </c>
      <c r="R16" s="7" t="s">
        <v>15</v>
      </c>
      <c r="S16" s="7" t="s">
        <v>15</v>
      </c>
      <c r="T16" s="153" t="s">
        <v>15</v>
      </c>
      <c r="U16" s="7" t="s">
        <v>15</v>
      </c>
      <c r="V16" s="7" t="s">
        <v>15</v>
      </c>
      <c r="W16" s="153" t="s">
        <v>15</v>
      </c>
      <c r="AB16" s="148">
        <v>6</v>
      </c>
      <c r="AC16" s="7">
        <v>8</v>
      </c>
      <c r="AD16" s="153">
        <f t="shared" ref="AD16" si="9">SUM(AB16/AC16)*100</f>
        <v>75</v>
      </c>
      <c r="AE16" s="148" t="s">
        <v>15</v>
      </c>
      <c r="AF16" s="7" t="s">
        <v>15</v>
      </c>
      <c r="AG16" s="7" t="s">
        <v>15</v>
      </c>
      <c r="AH16" s="148" t="s">
        <v>15</v>
      </c>
      <c r="AI16" s="7" t="s">
        <v>15</v>
      </c>
      <c r="AJ16" s="7" t="s">
        <v>15</v>
      </c>
      <c r="AK16" s="6" t="s">
        <v>15</v>
      </c>
      <c r="AL16" s="152" t="s">
        <v>15</v>
      </c>
      <c r="AM16" s="152" t="s">
        <v>15</v>
      </c>
      <c r="AN16" s="6" t="s">
        <v>15</v>
      </c>
      <c r="AO16" s="152" t="s">
        <v>15</v>
      </c>
      <c r="AP16" s="152" t="s">
        <v>15</v>
      </c>
      <c r="AQ16" s="6" t="s">
        <v>15</v>
      </c>
      <c r="AR16" s="152" t="s">
        <v>15</v>
      </c>
      <c r="AS16" s="152" t="s">
        <v>15</v>
      </c>
      <c r="AT16" s="6" t="s">
        <v>15</v>
      </c>
      <c r="AU16" s="152" t="s">
        <v>15</v>
      </c>
      <c r="AV16" s="152" t="s">
        <v>15</v>
      </c>
      <c r="AW16" s="6" t="s">
        <v>15</v>
      </c>
      <c r="AX16" s="152" t="s">
        <v>15</v>
      </c>
      <c r="AY16" s="152" t="s">
        <v>15</v>
      </c>
      <c r="AZ16" s="152" t="s">
        <v>15</v>
      </c>
      <c r="BA16" s="152" t="s">
        <v>15</v>
      </c>
      <c r="BB16" s="152" t="s">
        <v>15</v>
      </c>
    </row>
    <row r="17" spans="1:57" ht="14.95" customHeight="1" thickBot="1" x14ac:dyDescent="0.3">
      <c r="A17" s="121" t="s">
        <v>350</v>
      </c>
      <c r="B17" s="77">
        <v>4</v>
      </c>
      <c r="C17" s="258">
        <v>4</v>
      </c>
      <c r="D17" s="237">
        <v>2</v>
      </c>
      <c r="E17" s="129">
        <f t="shared" si="0"/>
        <v>10</v>
      </c>
      <c r="F17" s="123" t="s">
        <v>350</v>
      </c>
      <c r="G17" s="135">
        <v>20</v>
      </c>
      <c r="H17" s="281">
        <v>20</v>
      </c>
      <c r="I17" s="214">
        <v>10</v>
      </c>
      <c r="J17" s="127">
        <f t="shared" si="1"/>
        <v>50</v>
      </c>
      <c r="K17" s="121" t="s">
        <v>43</v>
      </c>
      <c r="L17" s="129" t="s">
        <v>15</v>
      </c>
      <c r="M17" s="129" t="s">
        <v>15</v>
      </c>
      <c r="N17" s="130" t="s">
        <v>15</v>
      </c>
      <c r="O17" s="7">
        <v>5</v>
      </c>
      <c r="P17" s="7">
        <v>5</v>
      </c>
      <c r="Q17" s="153">
        <v>100</v>
      </c>
      <c r="R17" s="7" t="s">
        <v>15</v>
      </c>
      <c r="S17" s="7" t="s">
        <v>15</v>
      </c>
      <c r="T17" s="153" t="s">
        <v>15</v>
      </c>
      <c r="U17" s="7" t="s">
        <v>15</v>
      </c>
      <c r="V17" s="7" t="s">
        <v>15</v>
      </c>
      <c r="W17" s="153" t="s">
        <v>15</v>
      </c>
      <c r="AB17" s="148" t="s">
        <v>15</v>
      </c>
      <c r="AC17" s="7" t="s">
        <v>15</v>
      </c>
      <c r="AD17" s="153" t="s">
        <v>15</v>
      </c>
      <c r="AE17" s="148">
        <v>2</v>
      </c>
      <c r="AF17" s="7">
        <v>3</v>
      </c>
      <c r="AG17" s="153">
        <f t="shared" ref="AG17" si="10">SUM(AE17/AF17)*100</f>
        <v>66.666666666666657</v>
      </c>
      <c r="AH17" s="148" t="s">
        <v>15</v>
      </c>
      <c r="AI17" s="7" t="s">
        <v>15</v>
      </c>
      <c r="AJ17" s="153" t="s">
        <v>15</v>
      </c>
      <c r="AK17" s="6" t="s">
        <v>15</v>
      </c>
      <c r="AL17" s="152" t="s">
        <v>15</v>
      </c>
      <c r="AM17" s="152" t="s">
        <v>15</v>
      </c>
      <c r="AN17" s="6" t="s">
        <v>15</v>
      </c>
      <c r="AO17" s="152" t="s">
        <v>15</v>
      </c>
      <c r="AP17" s="152" t="s">
        <v>15</v>
      </c>
      <c r="AQ17" s="6" t="s">
        <v>15</v>
      </c>
      <c r="AR17" s="152" t="s">
        <v>15</v>
      </c>
      <c r="AS17" s="152" t="s">
        <v>15</v>
      </c>
      <c r="AT17" s="6" t="s">
        <v>15</v>
      </c>
      <c r="AU17" s="152" t="s">
        <v>15</v>
      </c>
      <c r="AV17" s="152" t="s">
        <v>15</v>
      </c>
      <c r="AW17" s="6" t="s">
        <v>15</v>
      </c>
      <c r="AX17" s="152" t="s">
        <v>15</v>
      </c>
      <c r="AY17" s="152" t="s">
        <v>15</v>
      </c>
      <c r="AZ17" s="152" t="s">
        <v>15</v>
      </c>
      <c r="BA17" s="152" t="s">
        <v>15</v>
      </c>
      <c r="BB17" s="152" t="s">
        <v>15</v>
      </c>
    </row>
    <row r="18" spans="1:57" ht="14.95" customHeight="1" thickBot="1" x14ac:dyDescent="0.3">
      <c r="A18" s="121" t="s">
        <v>43</v>
      </c>
      <c r="B18" s="77">
        <v>1</v>
      </c>
      <c r="C18" s="258">
        <v>0</v>
      </c>
      <c r="D18" s="237">
        <v>1</v>
      </c>
      <c r="E18" s="129">
        <f t="shared" si="0"/>
        <v>2</v>
      </c>
      <c r="F18" s="123" t="s">
        <v>43</v>
      </c>
      <c r="G18" s="135">
        <v>7</v>
      </c>
      <c r="H18" s="281">
        <v>0</v>
      </c>
      <c r="I18" s="214">
        <v>5</v>
      </c>
      <c r="J18" s="126">
        <f t="shared" si="1"/>
        <v>12</v>
      </c>
      <c r="K18" s="221" t="s">
        <v>469</v>
      </c>
      <c r="L18" s="129">
        <v>16</v>
      </c>
      <c r="M18" s="129">
        <v>22</v>
      </c>
      <c r="N18" s="130">
        <f t="shared" ref="N18" si="11">SUM(L18/M18)*100</f>
        <v>72.727272727272734</v>
      </c>
      <c r="O18" s="7">
        <v>33</v>
      </c>
      <c r="P18" s="7">
        <v>46</v>
      </c>
      <c r="Q18" s="153">
        <v>71.739130434782609</v>
      </c>
      <c r="R18" s="7">
        <v>31</v>
      </c>
      <c r="S18" s="7">
        <v>42</v>
      </c>
      <c r="T18" s="153">
        <v>73.80952380952381</v>
      </c>
      <c r="U18" s="7">
        <v>11</v>
      </c>
      <c r="V18" s="7">
        <v>13</v>
      </c>
      <c r="W18" s="153">
        <v>84.615384615384613</v>
      </c>
      <c r="AB18" s="148" t="s">
        <v>15</v>
      </c>
      <c r="AC18" s="7" t="s">
        <v>15</v>
      </c>
      <c r="AD18" s="153" t="s">
        <v>15</v>
      </c>
      <c r="AE18" s="148" t="s">
        <v>15</v>
      </c>
      <c r="AF18" s="7" t="s">
        <v>15</v>
      </c>
      <c r="AG18" s="7" t="s">
        <v>15</v>
      </c>
      <c r="AH18" s="148" t="s">
        <v>15</v>
      </c>
      <c r="AI18" s="7" t="s">
        <v>15</v>
      </c>
      <c r="AJ18" s="7" t="s">
        <v>15</v>
      </c>
      <c r="AK18" s="6" t="s">
        <v>15</v>
      </c>
      <c r="AL18" s="152" t="s">
        <v>15</v>
      </c>
      <c r="AM18" s="152" t="s">
        <v>15</v>
      </c>
      <c r="AN18" s="148" t="s">
        <v>15</v>
      </c>
      <c r="AO18" s="7" t="s">
        <v>15</v>
      </c>
      <c r="AP18" s="7" t="s">
        <v>15</v>
      </c>
      <c r="AQ18" s="148" t="s">
        <v>15</v>
      </c>
      <c r="AR18" s="7" t="s">
        <v>15</v>
      </c>
      <c r="AS18" s="7" t="s">
        <v>15</v>
      </c>
      <c r="AT18" s="148" t="s">
        <v>15</v>
      </c>
      <c r="AU18" s="7" t="s">
        <v>15</v>
      </c>
      <c r="AV18" s="7" t="s">
        <v>15</v>
      </c>
      <c r="AW18" s="148" t="s">
        <v>15</v>
      </c>
      <c r="AX18" s="7" t="s">
        <v>15</v>
      </c>
      <c r="AY18" s="7" t="s">
        <v>15</v>
      </c>
      <c r="AZ18" s="148" t="s">
        <v>15</v>
      </c>
      <c r="BA18" s="7" t="s">
        <v>15</v>
      </c>
      <c r="BB18" s="7" t="s">
        <v>15</v>
      </c>
    </row>
    <row r="19" spans="1:57" ht="14.95" customHeight="1" thickBot="1" x14ac:dyDescent="0.3">
      <c r="A19" s="121" t="s">
        <v>574</v>
      </c>
      <c r="B19" s="77">
        <v>0</v>
      </c>
      <c r="C19" s="258">
        <v>0</v>
      </c>
      <c r="D19" s="237">
        <v>0</v>
      </c>
      <c r="E19" s="129">
        <f t="shared" si="0"/>
        <v>0</v>
      </c>
      <c r="F19" s="123" t="s">
        <v>574</v>
      </c>
      <c r="G19" s="135">
        <v>0</v>
      </c>
      <c r="H19" s="281">
        <v>0</v>
      </c>
      <c r="I19" s="214">
        <v>0</v>
      </c>
      <c r="J19" s="126">
        <f t="shared" si="1"/>
        <v>0</v>
      </c>
    </row>
    <row r="20" spans="1:57" ht="14.95" customHeight="1" thickBot="1" x14ac:dyDescent="0.3">
      <c r="A20" s="121" t="s">
        <v>259</v>
      </c>
      <c r="B20" s="77">
        <v>0</v>
      </c>
      <c r="C20" s="258">
        <v>0</v>
      </c>
      <c r="D20" s="237">
        <v>1</v>
      </c>
      <c r="E20" s="129">
        <f t="shared" si="0"/>
        <v>1</v>
      </c>
      <c r="F20" s="123" t="s">
        <v>259</v>
      </c>
      <c r="G20" s="135">
        <v>0</v>
      </c>
      <c r="H20" s="281">
        <v>0</v>
      </c>
      <c r="I20" s="214">
        <v>5</v>
      </c>
      <c r="J20" s="126">
        <f t="shared" si="1"/>
        <v>5</v>
      </c>
      <c r="K20" s="528" t="s">
        <v>189</v>
      </c>
      <c r="L20" s="449" t="s">
        <v>14</v>
      </c>
      <c r="M20" s="450"/>
      <c r="N20" s="451"/>
      <c r="O20" s="449" t="s">
        <v>226</v>
      </c>
      <c r="P20" s="450"/>
      <c r="Q20" s="451"/>
      <c r="R20" s="449" t="s">
        <v>875</v>
      </c>
      <c r="S20" s="450"/>
      <c r="T20" s="451"/>
      <c r="U20" s="449" t="s">
        <v>581</v>
      </c>
      <c r="V20" s="450"/>
      <c r="W20" s="451"/>
      <c r="AB20" s="449" t="s">
        <v>477</v>
      </c>
      <c r="AC20" s="450"/>
      <c r="AD20" s="451"/>
      <c r="AE20" s="449" t="s">
        <v>391</v>
      </c>
      <c r="AF20" s="450"/>
      <c r="AG20" s="451"/>
      <c r="AH20" s="449" t="s">
        <v>300</v>
      </c>
      <c r="AI20" s="450"/>
      <c r="AJ20" s="451"/>
      <c r="AK20" s="449" t="s">
        <v>219</v>
      </c>
      <c r="AL20" s="450"/>
      <c r="AM20" s="451"/>
      <c r="AN20" s="449" t="s">
        <v>165</v>
      </c>
      <c r="AO20" s="450"/>
      <c r="AP20" s="451"/>
      <c r="AQ20" s="449" t="s">
        <v>78</v>
      </c>
      <c r="AR20" s="450"/>
      <c r="AS20" s="451"/>
      <c r="AT20" s="449" t="s">
        <v>54</v>
      </c>
      <c r="AU20" s="450"/>
      <c r="AV20" s="451"/>
      <c r="AW20" s="449" t="s">
        <v>50</v>
      </c>
      <c r="AX20" s="450"/>
      <c r="AY20" s="451"/>
      <c r="AZ20" s="449" t="s">
        <v>37</v>
      </c>
      <c r="BA20" s="450"/>
      <c r="BB20" s="451"/>
    </row>
    <row r="21" spans="1:57" ht="14.95" customHeight="1" thickBot="1" x14ac:dyDescent="0.3">
      <c r="A21" s="121" t="s">
        <v>761</v>
      </c>
      <c r="B21" s="77">
        <v>2</v>
      </c>
      <c r="C21" s="258">
        <v>3</v>
      </c>
      <c r="D21" s="237">
        <v>0</v>
      </c>
      <c r="E21" s="129">
        <f t="shared" si="0"/>
        <v>5</v>
      </c>
      <c r="F21" s="123" t="s">
        <v>761</v>
      </c>
      <c r="G21" s="135">
        <v>10</v>
      </c>
      <c r="H21" s="281">
        <v>15</v>
      </c>
      <c r="I21" s="214">
        <v>0</v>
      </c>
      <c r="J21" s="126">
        <f t="shared" si="1"/>
        <v>25</v>
      </c>
      <c r="K21" s="529"/>
      <c r="L21" s="452"/>
      <c r="M21" s="453"/>
      <c r="N21" s="454"/>
      <c r="O21" s="452"/>
      <c r="P21" s="453"/>
      <c r="Q21" s="454"/>
      <c r="R21" s="452"/>
      <c r="S21" s="453"/>
      <c r="T21" s="454"/>
      <c r="U21" s="452"/>
      <c r="V21" s="453"/>
      <c r="W21" s="454"/>
      <c r="AB21" s="452"/>
      <c r="AC21" s="453"/>
      <c r="AD21" s="454"/>
      <c r="AE21" s="452"/>
      <c r="AF21" s="453"/>
      <c r="AG21" s="454"/>
      <c r="AH21" s="452"/>
      <c r="AI21" s="453"/>
      <c r="AJ21" s="454"/>
      <c r="AK21" s="452"/>
      <c r="AL21" s="453"/>
      <c r="AM21" s="454"/>
      <c r="AN21" s="452"/>
      <c r="AO21" s="453"/>
      <c r="AP21" s="454"/>
      <c r="AQ21" s="452"/>
      <c r="AR21" s="453"/>
      <c r="AS21" s="454"/>
      <c r="AT21" s="452"/>
      <c r="AU21" s="453"/>
      <c r="AV21" s="454"/>
      <c r="AW21" s="452"/>
      <c r="AX21" s="453"/>
      <c r="AY21" s="454"/>
      <c r="AZ21" s="452"/>
      <c r="BA21" s="453"/>
      <c r="BB21" s="454"/>
    </row>
    <row r="22" spans="1:57" ht="14.95" customHeight="1" thickBot="1" x14ac:dyDescent="0.3">
      <c r="A22" s="121" t="s">
        <v>932</v>
      </c>
      <c r="B22" s="77">
        <v>0</v>
      </c>
      <c r="C22" s="258">
        <v>0</v>
      </c>
      <c r="D22" s="237">
        <v>0</v>
      </c>
      <c r="E22" s="129">
        <f t="shared" si="0"/>
        <v>0</v>
      </c>
      <c r="F22" s="123" t="s">
        <v>932</v>
      </c>
      <c r="G22" s="135">
        <v>0</v>
      </c>
      <c r="H22" s="281">
        <v>0</v>
      </c>
      <c r="I22" s="214">
        <v>0</v>
      </c>
      <c r="J22" s="126">
        <f t="shared" si="1"/>
        <v>0</v>
      </c>
      <c r="K22" s="246" t="s">
        <v>21</v>
      </c>
      <c r="L22" s="7" t="s">
        <v>46</v>
      </c>
      <c r="M22" s="7" t="s">
        <v>9</v>
      </c>
      <c r="N22" s="7" t="s">
        <v>10</v>
      </c>
      <c r="O22" s="7" t="s">
        <v>46</v>
      </c>
      <c r="P22" s="7" t="s">
        <v>9</v>
      </c>
      <c r="Q22" s="7" t="s">
        <v>10</v>
      </c>
      <c r="R22" s="7" t="s">
        <v>46</v>
      </c>
      <c r="S22" s="7" t="s">
        <v>9</v>
      </c>
      <c r="T22" s="7" t="s">
        <v>10</v>
      </c>
      <c r="U22" s="7" t="s">
        <v>46</v>
      </c>
      <c r="V22" s="7" t="s">
        <v>9</v>
      </c>
      <c r="W22" s="7" t="s">
        <v>10</v>
      </c>
      <c r="AB22" s="148" t="s">
        <v>46</v>
      </c>
      <c r="AC22" s="7" t="s">
        <v>9</v>
      </c>
      <c r="AD22" s="7" t="s">
        <v>10</v>
      </c>
      <c r="AE22" s="148" t="s">
        <v>46</v>
      </c>
      <c r="AF22" s="7" t="s">
        <v>9</v>
      </c>
      <c r="AG22" s="7" t="s">
        <v>10</v>
      </c>
      <c r="AH22" s="148" t="s">
        <v>46</v>
      </c>
      <c r="AI22" s="7" t="s">
        <v>9</v>
      </c>
      <c r="AJ22" s="7" t="s">
        <v>10</v>
      </c>
      <c r="AK22" s="148" t="s">
        <v>46</v>
      </c>
      <c r="AL22" s="7" t="s">
        <v>9</v>
      </c>
      <c r="AM22" s="7" t="s">
        <v>10</v>
      </c>
      <c r="AN22" s="148" t="s">
        <v>46</v>
      </c>
      <c r="AO22" s="7" t="s">
        <v>9</v>
      </c>
      <c r="AP22" s="7" t="s">
        <v>10</v>
      </c>
      <c r="AQ22" s="148" t="s">
        <v>46</v>
      </c>
      <c r="AR22" s="7" t="s">
        <v>9</v>
      </c>
      <c r="AS22" s="7" t="s">
        <v>10</v>
      </c>
      <c r="AT22" s="148" t="s">
        <v>46</v>
      </c>
      <c r="AU22" s="7" t="s">
        <v>9</v>
      </c>
      <c r="AV22" s="7" t="s">
        <v>10</v>
      </c>
      <c r="AW22" s="148" t="s">
        <v>46</v>
      </c>
      <c r="AX22" s="7" t="s">
        <v>9</v>
      </c>
      <c r="AY22" s="7" t="s">
        <v>10</v>
      </c>
      <c r="AZ22" s="148" t="s">
        <v>46</v>
      </c>
      <c r="BA22" s="7" t="s">
        <v>9</v>
      </c>
      <c r="BB22" s="7" t="s">
        <v>10</v>
      </c>
    </row>
    <row r="23" spans="1:57" ht="14.95" customHeight="1" thickBot="1" x14ac:dyDescent="0.3">
      <c r="A23" s="121" t="s">
        <v>495</v>
      </c>
      <c r="B23" s="77">
        <v>1</v>
      </c>
      <c r="C23" s="258">
        <v>0</v>
      </c>
      <c r="D23" s="237">
        <v>0</v>
      </c>
      <c r="E23" s="129">
        <f t="shared" ref="E23" si="12">SUM(B23:D23)</f>
        <v>1</v>
      </c>
      <c r="F23" s="123" t="s">
        <v>495</v>
      </c>
      <c r="G23" s="135">
        <v>5</v>
      </c>
      <c r="H23" s="281">
        <v>0</v>
      </c>
      <c r="I23" s="214">
        <v>0</v>
      </c>
      <c r="J23" s="126">
        <f t="shared" ref="J23" si="13">SUM(G23:I23)</f>
        <v>5</v>
      </c>
      <c r="K23" s="121" t="s">
        <v>69</v>
      </c>
      <c r="L23" s="6" t="s">
        <v>15</v>
      </c>
      <c r="M23" s="152" t="s">
        <v>15</v>
      </c>
      <c r="N23" s="151" t="s">
        <v>15</v>
      </c>
      <c r="O23" s="6" t="s">
        <v>15</v>
      </c>
      <c r="P23" s="152" t="s">
        <v>15</v>
      </c>
      <c r="Q23" s="151" t="s">
        <v>15</v>
      </c>
      <c r="R23" s="6" t="s">
        <v>15</v>
      </c>
      <c r="S23" s="152" t="s">
        <v>15</v>
      </c>
      <c r="T23" s="151" t="s">
        <v>15</v>
      </c>
      <c r="U23" s="6" t="s">
        <v>15</v>
      </c>
      <c r="V23" s="152" t="s">
        <v>15</v>
      </c>
      <c r="W23" s="151" t="s">
        <v>15</v>
      </c>
      <c r="AB23" s="6">
        <v>1</v>
      </c>
      <c r="AC23" s="152">
        <v>1</v>
      </c>
      <c r="AD23" s="151">
        <f t="shared" ref="AD23" si="14">SUM(AB23/AC23)*100</f>
        <v>100</v>
      </c>
      <c r="AE23" s="6" t="s">
        <v>15</v>
      </c>
      <c r="AF23" s="152" t="s">
        <v>15</v>
      </c>
      <c r="AG23" s="152" t="s">
        <v>15</v>
      </c>
      <c r="AH23" s="6" t="s">
        <v>15</v>
      </c>
      <c r="AI23" s="152" t="s">
        <v>15</v>
      </c>
      <c r="AJ23" s="152" t="s">
        <v>15</v>
      </c>
      <c r="AK23" s="6" t="s">
        <v>15</v>
      </c>
      <c r="AL23" s="152" t="s">
        <v>15</v>
      </c>
      <c r="AM23" s="152" t="s">
        <v>15</v>
      </c>
      <c r="AN23" s="6" t="s">
        <v>15</v>
      </c>
      <c r="AO23" s="152" t="s">
        <v>15</v>
      </c>
      <c r="AP23" s="152" t="s">
        <v>15</v>
      </c>
      <c r="AQ23" s="6" t="s">
        <v>15</v>
      </c>
      <c r="AR23" s="152" t="s">
        <v>15</v>
      </c>
      <c r="AS23" s="152" t="s">
        <v>15</v>
      </c>
      <c r="AT23" s="6" t="s">
        <v>15</v>
      </c>
      <c r="AU23" s="152" t="s">
        <v>15</v>
      </c>
      <c r="AV23" s="152" t="s">
        <v>15</v>
      </c>
      <c r="AW23" s="6" t="s">
        <v>15</v>
      </c>
      <c r="AX23" s="152" t="s">
        <v>15</v>
      </c>
      <c r="AY23" s="152" t="s">
        <v>15</v>
      </c>
      <c r="AZ23" s="6" t="s">
        <v>15</v>
      </c>
      <c r="BA23" s="152" t="s">
        <v>15</v>
      </c>
      <c r="BB23" s="152" t="s">
        <v>15</v>
      </c>
    </row>
    <row r="24" spans="1:57" ht="14.95" customHeight="1" thickBot="1" x14ac:dyDescent="0.3">
      <c r="A24" s="121" t="s">
        <v>349</v>
      </c>
      <c r="B24" s="77">
        <v>5</v>
      </c>
      <c r="C24" s="258">
        <v>0</v>
      </c>
      <c r="D24" s="237">
        <v>1</v>
      </c>
      <c r="E24" s="129">
        <f t="shared" si="0"/>
        <v>6</v>
      </c>
      <c r="F24" s="123" t="s">
        <v>349</v>
      </c>
      <c r="G24" s="135">
        <v>25</v>
      </c>
      <c r="H24" s="281">
        <v>0</v>
      </c>
      <c r="I24" s="214">
        <v>5</v>
      </c>
      <c r="J24" s="126">
        <f t="shared" si="1"/>
        <v>30</v>
      </c>
      <c r="K24" s="221" t="s">
        <v>43</v>
      </c>
      <c r="L24" s="6" t="s">
        <v>15</v>
      </c>
      <c r="M24" s="152" t="s">
        <v>15</v>
      </c>
      <c r="N24" s="151" t="s">
        <v>15</v>
      </c>
      <c r="O24" s="6" t="s">
        <v>15</v>
      </c>
      <c r="P24" s="152" t="s">
        <v>15</v>
      </c>
      <c r="Q24" s="151" t="s">
        <v>15</v>
      </c>
      <c r="R24" s="6" t="s">
        <v>15</v>
      </c>
      <c r="S24" s="152" t="s">
        <v>15</v>
      </c>
      <c r="T24" s="151" t="s">
        <v>15</v>
      </c>
      <c r="U24" s="6" t="s">
        <v>15</v>
      </c>
      <c r="V24" s="152" t="s">
        <v>15</v>
      </c>
      <c r="W24" s="151" t="s">
        <v>15</v>
      </c>
      <c r="AB24" s="6" t="s">
        <v>15</v>
      </c>
      <c r="AC24" s="152" t="s">
        <v>15</v>
      </c>
      <c r="AD24" s="151" t="s">
        <v>15</v>
      </c>
      <c r="AE24" s="6" t="s">
        <v>15</v>
      </c>
      <c r="AF24" s="152" t="s">
        <v>15</v>
      </c>
      <c r="AG24" s="152" t="s">
        <v>15</v>
      </c>
      <c r="AH24" s="6" t="s">
        <v>15</v>
      </c>
      <c r="AI24" s="152" t="s">
        <v>15</v>
      </c>
      <c r="AJ24" s="152" t="s">
        <v>15</v>
      </c>
      <c r="AK24" s="6">
        <v>7</v>
      </c>
      <c r="AL24" s="7">
        <v>7</v>
      </c>
      <c r="AM24" s="153">
        <f>SUM(AK24/AL24)*100</f>
        <v>100</v>
      </c>
      <c r="AN24" s="6" t="s">
        <v>15</v>
      </c>
      <c r="AO24" s="7" t="s">
        <v>15</v>
      </c>
      <c r="AP24" s="153" t="s">
        <v>15</v>
      </c>
      <c r="AQ24" s="7" t="s">
        <v>15</v>
      </c>
      <c r="AR24" s="7" t="s">
        <v>15</v>
      </c>
      <c r="AS24" s="153" t="s">
        <v>15</v>
      </c>
      <c r="AT24" s="7" t="s">
        <v>15</v>
      </c>
      <c r="AU24" s="7" t="s">
        <v>15</v>
      </c>
      <c r="AV24" s="153" t="s">
        <v>15</v>
      </c>
      <c r="AW24" s="7" t="s">
        <v>15</v>
      </c>
      <c r="AX24" s="7" t="s">
        <v>15</v>
      </c>
      <c r="AY24" s="153" t="s">
        <v>15</v>
      </c>
      <c r="AZ24" s="7" t="s">
        <v>15</v>
      </c>
      <c r="BA24" s="7" t="s">
        <v>15</v>
      </c>
      <c r="BB24" s="153" t="s">
        <v>15</v>
      </c>
    </row>
    <row r="25" spans="1:57" ht="14.95" customHeight="1" thickBot="1" x14ac:dyDescent="0.3">
      <c r="A25" s="121" t="s">
        <v>435</v>
      </c>
      <c r="B25" s="77">
        <v>0</v>
      </c>
      <c r="C25" s="258">
        <v>1</v>
      </c>
      <c r="D25" s="237">
        <v>0</v>
      </c>
      <c r="E25" s="129">
        <f t="shared" si="0"/>
        <v>1</v>
      </c>
      <c r="F25" s="123" t="s">
        <v>435</v>
      </c>
      <c r="G25" s="135">
        <v>0</v>
      </c>
      <c r="H25" s="281">
        <v>5</v>
      </c>
      <c r="I25" s="214">
        <v>0</v>
      </c>
      <c r="J25" s="126">
        <f t="shared" si="1"/>
        <v>5</v>
      </c>
      <c r="K25" s="301" t="s">
        <v>553</v>
      </c>
      <c r="L25" s="6" t="s">
        <v>15</v>
      </c>
      <c r="M25" s="152" t="s">
        <v>15</v>
      </c>
      <c r="N25" s="151" t="s">
        <v>15</v>
      </c>
      <c r="O25" s="6" t="s">
        <v>15</v>
      </c>
      <c r="P25" s="152" t="s">
        <v>15</v>
      </c>
      <c r="Q25" s="151" t="s">
        <v>15</v>
      </c>
      <c r="R25" s="6" t="s">
        <v>15</v>
      </c>
      <c r="S25" s="152" t="s">
        <v>15</v>
      </c>
      <c r="T25" s="151" t="s">
        <v>15</v>
      </c>
      <c r="U25" s="6" t="s">
        <v>15</v>
      </c>
      <c r="V25" s="152" t="s">
        <v>15</v>
      </c>
      <c r="W25" s="151" t="s">
        <v>15</v>
      </c>
      <c r="AB25" s="148">
        <v>3</v>
      </c>
      <c r="AC25" s="7">
        <v>4</v>
      </c>
      <c r="AD25" s="153">
        <v>75</v>
      </c>
      <c r="AE25" s="6" t="s">
        <v>15</v>
      </c>
      <c r="AF25" s="152" t="s">
        <v>15</v>
      </c>
      <c r="AG25" s="152" t="s">
        <v>15</v>
      </c>
      <c r="AH25" s="6" t="s">
        <v>15</v>
      </c>
      <c r="AI25" s="152" t="s">
        <v>15</v>
      </c>
      <c r="AJ25" s="152" t="s">
        <v>15</v>
      </c>
      <c r="AK25" s="6" t="s">
        <v>15</v>
      </c>
      <c r="AL25" s="152" t="s">
        <v>15</v>
      </c>
      <c r="AM25" s="152" t="s">
        <v>15</v>
      </c>
      <c r="AN25" s="6" t="s">
        <v>15</v>
      </c>
      <c r="AO25" s="152" t="s">
        <v>15</v>
      </c>
      <c r="AP25" s="152" t="s">
        <v>15</v>
      </c>
      <c r="AQ25" s="6" t="s">
        <v>15</v>
      </c>
      <c r="AR25" s="152" t="s">
        <v>15</v>
      </c>
      <c r="AS25" s="152" t="s">
        <v>15</v>
      </c>
      <c r="AT25" s="6" t="s">
        <v>15</v>
      </c>
      <c r="AU25" s="152" t="s">
        <v>15</v>
      </c>
      <c r="AV25" s="152" t="s">
        <v>15</v>
      </c>
      <c r="AW25" s="6" t="s">
        <v>15</v>
      </c>
      <c r="AX25" s="152" t="s">
        <v>15</v>
      </c>
      <c r="AY25" s="152" t="s">
        <v>15</v>
      </c>
      <c r="AZ25" s="6" t="s">
        <v>15</v>
      </c>
      <c r="BA25" s="152" t="s">
        <v>15</v>
      </c>
      <c r="BB25" s="152" t="s">
        <v>15</v>
      </c>
      <c r="BC25" s="36"/>
      <c r="BD25" s="36"/>
      <c r="BE25" s="36"/>
    </row>
    <row r="26" spans="1:57" ht="14.95" customHeight="1" thickBot="1" x14ac:dyDescent="0.3">
      <c r="A26" s="121" t="s">
        <v>269</v>
      </c>
      <c r="B26" s="77">
        <v>0</v>
      </c>
      <c r="C26" s="258">
        <v>0</v>
      </c>
      <c r="D26" s="237">
        <v>1</v>
      </c>
      <c r="E26" s="129">
        <f t="shared" si="0"/>
        <v>1</v>
      </c>
      <c r="F26" s="123" t="s">
        <v>269</v>
      </c>
      <c r="G26" s="135">
        <v>0</v>
      </c>
      <c r="H26" s="281">
        <v>0</v>
      </c>
      <c r="I26" s="214">
        <v>5</v>
      </c>
      <c r="J26" s="126">
        <f t="shared" si="1"/>
        <v>5</v>
      </c>
      <c r="K26" s="301" t="s">
        <v>469</v>
      </c>
      <c r="L26" s="6" t="s">
        <v>15</v>
      </c>
      <c r="M26" s="152" t="s">
        <v>15</v>
      </c>
      <c r="N26" s="151" t="s">
        <v>15</v>
      </c>
      <c r="O26" s="6" t="s">
        <v>15</v>
      </c>
      <c r="P26" s="152" t="s">
        <v>15</v>
      </c>
      <c r="Q26" s="151" t="s">
        <v>15</v>
      </c>
      <c r="R26" s="6" t="s">
        <v>15</v>
      </c>
      <c r="S26" s="152" t="s">
        <v>15</v>
      </c>
      <c r="T26" s="151" t="s">
        <v>15</v>
      </c>
      <c r="U26" s="6" t="s">
        <v>15</v>
      </c>
      <c r="V26" s="152" t="s">
        <v>15</v>
      </c>
      <c r="W26" s="151" t="s">
        <v>15</v>
      </c>
      <c r="AB26" s="148">
        <v>9</v>
      </c>
      <c r="AC26" s="7">
        <v>14</v>
      </c>
      <c r="AD26" s="153">
        <v>64.285714285714292</v>
      </c>
      <c r="AE26" s="148" t="s">
        <v>15</v>
      </c>
      <c r="AF26" s="7" t="s">
        <v>15</v>
      </c>
      <c r="AG26" s="7" t="s">
        <v>15</v>
      </c>
      <c r="AH26" s="148" t="s">
        <v>15</v>
      </c>
      <c r="AI26" s="7" t="s">
        <v>15</v>
      </c>
      <c r="AJ26" s="7" t="s">
        <v>15</v>
      </c>
      <c r="AK26" s="6" t="s">
        <v>15</v>
      </c>
      <c r="AL26" s="152" t="s">
        <v>15</v>
      </c>
      <c r="AM26" s="152" t="s">
        <v>15</v>
      </c>
      <c r="AN26" s="148" t="s">
        <v>15</v>
      </c>
      <c r="AO26" s="7" t="s">
        <v>15</v>
      </c>
      <c r="AP26" s="7" t="s">
        <v>15</v>
      </c>
      <c r="AQ26" s="148" t="s">
        <v>15</v>
      </c>
      <c r="AR26" s="7" t="s">
        <v>15</v>
      </c>
      <c r="AS26" s="7" t="s">
        <v>15</v>
      </c>
      <c r="AT26" s="148" t="s">
        <v>15</v>
      </c>
      <c r="AU26" s="7" t="s">
        <v>15</v>
      </c>
      <c r="AV26" s="7" t="s">
        <v>15</v>
      </c>
      <c r="AW26" s="148" t="s">
        <v>15</v>
      </c>
      <c r="AX26" s="7" t="s">
        <v>15</v>
      </c>
      <c r="AY26" s="7" t="s">
        <v>15</v>
      </c>
      <c r="AZ26" s="148" t="s">
        <v>15</v>
      </c>
      <c r="BA26" s="7" t="s">
        <v>15</v>
      </c>
      <c r="BB26" s="7" t="s">
        <v>15</v>
      </c>
    </row>
    <row r="27" spans="1:57" ht="14.95" customHeight="1" thickBot="1" x14ac:dyDescent="0.3">
      <c r="A27" s="121" t="s">
        <v>496</v>
      </c>
      <c r="B27" s="77">
        <v>5</v>
      </c>
      <c r="C27" s="258">
        <v>1</v>
      </c>
      <c r="D27" s="237">
        <v>5</v>
      </c>
      <c r="E27" s="129">
        <f t="shared" si="0"/>
        <v>11</v>
      </c>
      <c r="F27" s="123" t="s">
        <v>496</v>
      </c>
      <c r="G27" s="135">
        <v>25</v>
      </c>
      <c r="H27" s="281">
        <v>5</v>
      </c>
      <c r="I27" s="214">
        <v>25</v>
      </c>
      <c r="J27" s="126">
        <f t="shared" si="1"/>
        <v>55</v>
      </c>
      <c r="K27" s="102"/>
      <c r="L27" s="94"/>
      <c r="M27" s="94"/>
      <c r="N27" s="94"/>
      <c r="AE27" s="36"/>
    </row>
    <row r="28" spans="1:57" ht="14.95" customHeight="1" thickBot="1" x14ac:dyDescent="0.3">
      <c r="A28" s="121" t="s">
        <v>71</v>
      </c>
      <c r="B28" s="77">
        <v>2</v>
      </c>
      <c r="C28" s="258">
        <v>1</v>
      </c>
      <c r="D28" s="237">
        <v>0</v>
      </c>
      <c r="E28" s="129">
        <f t="shared" si="0"/>
        <v>3</v>
      </c>
      <c r="F28" s="123" t="s">
        <v>71</v>
      </c>
      <c r="G28" s="135">
        <v>10</v>
      </c>
      <c r="H28" s="281">
        <v>5</v>
      </c>
      <c r="I28" s="214">
        <v>0</v>
      </c>
      <c r="J28" s="126">
        <f t="shared" si="1"/>
        <v>15</v>
      </c>
      <c r="K28" s="472" t="s">
        <v>1003</v>
      </c>
      <c r="L28" s="511" t="s">
        <v>14</v>
      </c>
      <c r="M28" s="512"/>
      <c r="N28" s="513"/>
      <c r="O28" s="449" t="s">
        <v>226</v>
      </c>
      <c r="P28" s="450"/>
      <c r="Q28" s="451"/>
      <c r="R28" s="449" t="s">
        <v>875</v>
      </c>
      <c r="S28" s="450"/>
      <c r="T28" s="451"/>
      <c r="U28" s="449" t="s">
        <v>581</v>
      </c>
      <c r="V28" s="450"/>
      <c r="W28" s="451"/>
      <c r="AB28" s="449" t="s">
        <v>477</v>
      </c>
      <c r="AC28" s="450"/>
      <c r="AD28" s="451"/>
      <c r="AE28" s="449" t="s">
        <v>300</v>
      </c>
      <c r="AF28" s="450"/>
      <c r="AG28" s="451"/>
      <c r="AH28" s="449" t="s">
        <v>219</v>
      </c>
      <c r="AI28" s="450"/>
      <c r="AJ28" s="451"/>
      <c r="AK28" s="449" t="s">
        <v>165</v>
      </c>
      <c r="AL28" s="450"/>
      <c r="AM28" s="451"/>
      <c r="AN28" s="449" t="s">
        <v>78</v>
      </c>
      <c r="AO28" s="450"/>
      <c r="AP28" s="451"/>
      <c r="AQ28" s="449" t="s">
        <v>50</v>
      </c>
      <c r="AR28" s="450"/>
      <c r="AS28" s="451"/>
      <c r="AT28" s="449" t="s">
        <v>37</v>
      </c>
      <c r="AU28" s="450"/>
      <c r="AV28" s="451"/>
    </row>
    <row r="29" spans="1:57" ht="14.95" customHeight="1" thickBot="1" x14ac:dyDescent="0.3">
      <c r="A29" s="121" t="s">
        <v>497</v>
      </c>
      <c r="B29" s="77">
        <v>0</v>
      </c>
      <c r="C29" s="258">
        <v>0</v>
      </c>
      <c r="D29" s="237">
        <v>1</v>
      </c>
      <c r="E29" s="129">
        <f t="shared" si="0"/>
        <v>1</v>
      </c>
      <c r="F29" s="123" t="s">
        <v>497</v>
      </c>
      <c r="G29" s="135">
        <v>0</v>
      </c>
      <c r="H29" s="281">
        <v>0</v>
      </c>
      <c r="I29" s="214">
        <v>5</v>
      </c>
      <c r="J29" s="126">
        <f t="shared" si="1"/>
        <v>5</v>
      </c>
      <c r="K29" s="473"/>
      <c r="L29" s="514"/>
      <c r="M29" s="515"/>
      <c r="N29" s="516"/>
      <c r="O29" s="452"/>
      <c r="P29" s="453"/>
      <c r="Q29" s="454"/>
      <c r="R29" s="452"/>
      <c r="S29" s="453"/>
      <c r="T29" s="454"/>
      <c r="U29" s="452"/>
      <c r="V29" s="453"/>
      <c r="W29" s="454"/>
      <c r="AB29" s="452"/>
      <c r="AC29" s="453"/>
      <c r="AD29" s="454"/>
      <c r="AE29" s="452"/>
      <c r="AF29" s="453"/>
      <c r="AG29" s="454"/>
      <c r="AH29" s="452"/>
      <c r="AI29" s="453"/>
      <c r="AJ29" s="454"/>
      <c r="AK29" s="452"/>
      <c r="AL29" s="453"/>
      <c r="AM29" s="454"/>
      <c r="AN29" s="452"/>
      <c r="AO29" s="453"/>
      <c r="AP29" s="454"/>
      <c r="AQ29" s="452"/>
      <c r="AR29" s="453"/>
      <c r="AS29" s="454"/>
      <c r="AT29" s="452"/>
      <c r="AU29" s="453"/>
      <c r="AV29" s="454"/>
    </row>
    <row r="30" spans="1:57" ht="14.95" customHeight="1" thickBot="1" x14ac:dyDescent="0.3">
      <c r="A30" s="121" t="s">
        <v>845</v>
      </c>
      <c r="B30" s="77">
        <v>0</v>
      </c>
      <c r="C30" s="258">
        <v>0</v>
      </c>
      <c r="D30" s="237">
        <v>0</v>
      </c>
      <c r="E30" s="129">
        <f t="shared" si="0"/>
        <v>0</v>
      </c>
      <c r="F30" s="123" t="s">
        <v>845</v>
      </c>
      <c r="G30" s="135">
        <v>0</v>
      </c>
      <c r="H30" s="281">
        <v>0</v>
      </c>
      <c r="I30" s="214">
        <v>0</v>
      </c>
      <c r="J30" s="126">
        <f t="shared" si="1"/>
        <v>0</v>
      </c>
      <c r="K30" s="398" t="s">
        <v>21</v>
      </c>
      <c r="L30" s="163" t="s">
        <v>46</v>
      </c>
      <c r="M30" s="163" t="s">
        <v>9</v>
      </c>
      <c r="N30" s="163" t="s">
        <v>10</v>
      </c>
      <c r="O30" s="7" t="s">
        <v>46</v>
      </c>
      <c r="P30" s="7" t="s">
        <v>9</v>
      </c>
      <c r="Q30" s="7" t="s">
        <v>10</v>
      </c>
      <c r="R30" s="7" t="s">
        <v>46</v>
      </c>
      <c r="S30" s="7" t="s">
        <v>9</v>
      </c>
      <c r="T30" s="7" t="s">
        <v>10</v>
      </c>
      <c r="U30" s="7" t="s">
        <v>46</v>
      </c>
      <c r="V30" s="7" t="s">
        <v>9</v>
      </c>
      <c r="W30" s="7" t="s">
        <v>10</v>
      </c>
      <c r="AB30" s="148" t="s">
        <v>46</v>
      </c>
      <c r="AC30" s="7" t="s">
        <v>9</v>
      </c>
      <c r="AD30" s="7" t="s">
        <v>10</v>
      </c>
      <c r="AE30" s="148" t="s">
        <v>46</v>
      </c>
      <c r="AF30" s="7" t="s">
        <v>9</v>
      </c>
      <c r="AG30" s="7" t="s">
        <v>10</v>
      </c>
      <c r="AH30" s="148" t="s">
        <v>46</v>
      </c>
      <c r="AI30" s="7" t="s">
        <v>9</v>
      </c>
      <c r="AJ30" s="7" t="s">
        <v>10</v>
      </c>
      <c r="AK30" s="148" t="s">
        <v>46</v>
      </c>
      <c r="AL30" s="7" t="s">
        <v>9</v>
      </c>
      <c r="AM30" s="7" t="s">
        <v>10</v>
      </c>
      <c r="AN30" s="148" t="s">
        <v>46</v>
      </c>
      <c r="AO30" s="7" t="s">
        <v>9</v>
      </c>
      <c r="AP30" s="7" t="s">
        <v>10</v>
      </c>
      <c r="AQ30" s="148" t="s">
        <v>46</v>
      </c>
      <c r="AR30" s="7" t="s">
        <v>9</v>
      </c>
      <c r="AS30" s="7" t="s">
        <v>10</v>
      </c>
      <c r="AT30" s="148" t="s">
        <v>46</v>
      </c>
      <c r="AU30" s="7" t="s">
        <v>9</v>
      </c>
      <c r="AV30" s="7" t="s">
        <v>10</v>
      </c>
    </row>
    <row r="31" spans="1:57" ht="14.95" customHeight="1" thickBot="1" x14ac:dyDescent="0.3">
      <c r="A31" s="121" t="s">
        <v>1022</v>
      </c>
      <c r="B31" s="77">
        <v>0</v>
      </c>
      <c r="C31" s="258">
        <v>0</v>
      </c>
      <c r="D31" s="237">
        <v>2</v>
      </c>
      <c r="E31" s="129">
        <f t="shared" si="0"/>
        <v>2</v>
      </c>
      <c r="F31" s="123" t="s">
        <v>1022</v>
      </c>
      <c r="G31" s="135">
        <v>0</v>
      </c>
      <c r="H31" s="281">
        <v>0</v>
      </c>
      <c r="I31" s="214">
        <v>32</v>
      </c>
      <c r="J31" s="126">
        <f t="shared" si="1"/>
        <v>32</v>
      </c>
      <c r="K31" s="131" t="s">
        <v>941</v>
      </c>
      <c r="L31" s="129">
        <v>25</v>
      </c>
      <c r="M31" s="129">
        <v>27</v>
      </c>
      <c r="N31" s="130">
        <f t="shared" ref="N31:N34" si="15">SUM(L31/M31)*100</f>
        <v>92.592592592592595</v>
      </c>
      <c r="O31" s="7" t="s">
        <v>15</v>
      </c>
      <c r="P31" s="7" t="s">
        <v>15</v>
      </c>
      <c r="Q31" s="153" t="s">
        <v>15</v>
      </c>
      <c r="R31" s="7" t="s">
        <v>15</v>
      </c>
      <c r="S31" s="7" t="s">
        <v>15</v>
      </c>
      <c r="T31" s="153" t="s">
        <v>15</v>
      </c>
      <c r="U31" s="7" t="s">
        <v>15</v>
      </c>
      <c r="V31" s="7" t="s">
        <v>15</v>
      </c>
      <c r="W31" s="153" t="s">
        <v>15</v>
      </c>
      <c r="AB31" s="148" t="s">
        <v>15</v>
      </c>
      <c r="AC31" s="7" t="s">
        <v>15</v>
      </c>
      <c r="AD31" s="153" t="s">
        <v>15</v>
      </c>
      <c r="AE31" s="6" t="s">
        <v>15</v>
      </c>
      <c r="AF31" s="7" t="s">
        <v>15</v>
      </c>
      <c r="AG31" s="153" t="s">
        <v>15</v>
      </c>
      <c r="AH31" s="7" t="s">
        <v>15</v>
      </c>
      <c r="AI31" s="7" t="s">
        <v>15</v>
      </c>
      <c r="AJ31" s="153" t="s">
        <v>15</v>
      </c>
      <c r="AK31" s="7" t="s">
        <v>15</v>
      </c>
      <c r="AL31" s="7" t="s">
        <v>15</v>
      </c>
      <c r="AM31" s="153" t="s">
        <v>15</v>
      </c>
      <c r="AN31" s="7" t="s">
        <v>15</v>
      </c>
      <c r="AO31" s="7" t="s">
        <v>15</v>
      </c>
      <c r="AP31" s="153" t="s">
        <v>15</v>
      </c>
      <c r="AQ31" s="7" t="s">
        <v>15</v>
      </c>
      <c r="AR31" s="7" t="s">
        <v>15</v>
      </c>
      <c r="AS31" s="153" t="s">
        <v>15</v>
      </c>
      <c r="AT31" s="7" t="s">
        <v>15</v>
      </c>
      <c r="AU31" s="7" t="s">
        <v>15</v>
      </c>
      <c r="AV31" s="153" t="s">
        <v>15</v>
      </c>
    </row>
    <row r="32" spans="1:57" ht="14.95" customHeight="1" thickBot="1" x14ac:dyDescent="0.3">
      <c r="A32" s="121" t="s">
        <v>366</v>
      </c>
      <c r="B32" s="77">
        <v>6</v>
      </c>
      <c r="C32" s="258">
        <v>0</v>
      </c>
      <c r="D32" s="237">
        <v>0</v>
      </c>
      <c r="E32" s="129">
        <f t="shared" si="0"/>
        <v>6</v>
      </c>
      <c r="F32" s="123" t="s">
        <v>366</v>
      </c>
      <c r="G32" s="135">
        <v>30</v>
      </c>
      <c r="H32" s="281">
        <v>0</v>
      </c>
      <c r="I32" s="214">
        <v>0</v>
      </c>
      <c r="J32" s="126">
        <f t="shared" si="1"/>
        <v>30</v>
      </c>
      <c r="K32" s="131" t="s">
        <v>43</v>
      </c>
      <c r="L32" s="129" t="s">
        <v>15</v>
      </c>
      <c r="M32" s="129" t="s">
        <v>15</v>
      </c>
      <c r="N32" s="130" t="s">
        <v>15</v>
      </c>
      <c r="O32" s="7">
        <v>3</v>
      </c>
      <c r="P32" s="7">
        <v>4</v>
      </c>
      <c r="Q32" s="153">
        <v>75</v>
      </c>
      <c r="R32" s="7">
        <v>2</v>
      </c>
      <c r="S32" s="7">
        <v>3</v>
      </c>
      <c r="T32" s="153">
        <v>66.666666666666657</v>
      </c>
      <c r="U32" s="7" t="s">
        <v>15</v>
      </c>
      <c r="V32" s="7" t="s">
        <v>15</v>
      </c>
      <c r="W32" s="153" t="s">
        <v>15</v>
      </c>
      <c r="AB32" s="148" t="s">
        <v>15</v>
      </c>
      <c r="AC32" s="7" t="s">
        <v>15</v>
      </c>
      <c r="AD32" s="153" t="s">
        <v>15</v>
      </c>
      <c r="AE32" s="6" t="s">
        <v>15</v>
      </c>
      <c r="AF32" s="7" t="s">
        <v>15</v>
      </c>
      <c r="AG32" s="153" t="s">
        <v>15</v>
      </c>
      <c r="AH32" s="7" t="s">
        <v>15</v>
      </c>
      <c r="AI32" s="7" t="s">
        <v>15</v>
      </c>
      <c r="AJ32" s="153" t="s">
        <v>15</v>
      </c>
      <c r="AK32" s="7" t="s">
        <v>15</v>
      </c>
      <c r="AL32" s="7" t="s">
        <v>15</v>
      </c>
      <c r="AM32" s="153" t="s">
        <v>15</v>
      </c>
      <c r="AN32" s="7" t="s">
        <v>15</v>
      </c>
      <c r="AO32" s="7" t="s">
        <v>15</v>
      </c>
      <c r="AP32" s="153" t="s">
        <v>15</v>
      </c>
      <c r="AQ32" s="7" t="s">
        <v>15</v>
      </c>
      <c r="AR32" s="7" t="s">
        <v>15</v>
      </c>
      <c r="AS32" s="153" t="s">
        <v>15</v>
      </c>
      <c r="AT32" s="7" t="s">
        <v>15</v>
      </c>
      <c r="AU32" s="7" t="s">
        <v>15</v>
      </c>
      <c r="AV32" s="153" t="s">
        <v>15</v>
      </c>
    </row>
    <row r="33" spans="1:54" ht="14.95" customHeight="1" thickBot="1" x14ac:dyDescent="0.3">
      <c r="A33" s="121" t="s">
        <v>4</v>
      </c>
      <c r="B33" s="77">
        <v>0</v>
      </c>
      <c r="C33" s="258">
        <v>1</v>
      </c>
      <c r="D33" s="237">
        <v>1</v>
      </c>
      <c r="E33" s="129">
        <f t="shared" si="0"/>
        <v>2</v>
      </c>
      <c r="F33" s="123" t="s">
        <v>4</v>
      </c>
      <c r="G33" s="135">
        <v>0</v>
      </c>
      <c r="H33" s="281">
        <v>7</v>
      </c>
      <c r="I33" s="214">
        <v>7</v>
      </c>
      <c r="J33" s="126">
        <f t="shared" si="1"/>
        <v>14</v>
      </c>
      <c r="K33" s="131" t="s">
        <v>69</v>
      </c>
      <c r="L33" s="129">
        <v>1</v>
      </c>
      <c r="M33" s="129">
        <v>2</v>
      </c>
      <c r="N33" s="130">
        <f t="shared" si="15"/>
        <v>50</v>
      </c>
      <c r="O33" s="7" t="s">
        <v>15</v>
      </c>
      <c r="P33" s="7" t="s">
        <v>15</v>
      </c>
      <c r="Q33" s="153" t="s">
        <v>15</v>
      </c>
      <c r="R33" s="7">
        <v>4</v>
      </c>
      <c r="S33" s="7">
        <v>4</v>
      </c>
      <c r="T33" s="153">
        <v>100</v>
      </c>
      <c r="U33" s="7" t="s">
        <v>15</v>
      </c>
      <c r="V33" s="7" t="s">
        <v>15</v>
      </c>
      <c r="W33" s="153" t="s">
        <v>15</v>
      </c>
      <c r="AB33" s="148" t="s">
        <v>15</v>
      </c>
      <c r="AC33" s="7" t="s">
        <v>15</v>
      </c>
      <c r="AD33" s="153" t="s">
        <v>15</v>
      </c>
      <c r="AE33" s="148" t="s">
        <v>15</v>
      </c>
      <c r="AF33" s="7" t="s">
        <v>15</v>
      </c>
      <c r="AG33" s="153" t="s">
        <v>15</v>
      </c>
      <c r="AH33" s="148">
        <v>1</v>
      </c>
      <c r="AI33" s="7">
        <v>1</v>
      </c>
      <c r="AJ33" s="153">
        <f t="shared" ref="AJ33" si="16">SUM(AH33/AI33)*100</f>
        <v>100</v>
      </c>
      <c r="AK33" s="148" t="s">
        <v>15</v>
      </c>
      <c r="AL33" s="7" t="s">
        <v>15</v>
      </c>
      <c r="AM33" s="7" t="s">
        <v>15</v>
      </c>
      <c r="AN33" s="148" t="s">
        <v>15</v>
      </c>
      <c r="AO33" s="7" t="s">
        <v>15</v>
      </c>
      <c r="AP33" s="7" t="s">
        <v>15</v>
      </c>
      <c r="AQ33" s="148" t="s">
        <v>15</v>
      </c>
      <c r="AR33" s="7" t="s">
        <v>15</v>
      </c>
      <c r="AS33" s="7" t="s">
        <v>15</v>
      </c>
      <c r="AT33" s="148" t="s">
        <v>15</v>
      </c>
      <c r="AU33" s="7" t="s">
        <v>15</v>
      </c>
      <c r="AV33" s="7" t="s">
        <v>15</v>
      </c>
    </row>
    <row r="34" spans="1:54" ht="14.95" customHeight="1" thickBot="1" x14ac:dyDescent="0.3">
      <c r="A34" s="121" t="s">
        <v>430</v>
      </c>
      <c r="B34" s="77">
        <v>4</v>
      </c>
      <c r="C34" s="258">
        <v>4</v>
      </c>
      <c r="D34" s="237">
        <v>0</v>
      </c>
      <c r="E34" s="129">
        <f t="shared" si="0"/>
        <v>8</v>
      </c>
      <c r="F34" s="123" t="s">
        <v>430</v>
      </c>
      <c r="G34" s="135">
        <v>20</v>
      </c>
      <c r="H34" s="281">
        <v>20</v>
      </c>
      <c r="I34" s="214">
        <v>0</v>
      </c>
      <c r="J34" s="126">
        <f t="shared" si="1"/>
        <v>40</v>
      </c>
      <c r="K34" s="422" t="s">
        <v>1022</v>
      </c>
      <c r="L34" s="129">
        <v>11</v>
      </c>
      <c r="M34" s="129">
        <v>12</v>
      </c>
      <c r="N34" s="130">
        <f t="shared" si="15"/>
        <v>91.666666666666657</v>
      </c>
      <c r="O34" s="7"/>
      <c r="P34" s="7"/>
      <c r="Q34" s="153"/>
      <c r="R34" s="7"/>
      <c r="S34" s="7"/>
      <c r="T34" s="153"/>
      <c r="U34" s="7"/>
      <c r="V34" s="7"/>
      <c r="W34" s="153"/>
      <c r="AB34" s="148"/>
      <c r="AC34" s="7"/>
      <c r="AD34" s="153"/>
      <c r="AE34" s="148"/>
      <c r="AF34" s="7"/>
      <c r="AG34" s="153"/>
      <c r="AH34" s="148"/>
      <c r="AI34" s="7"/>
      <c r="AJ34" s="153"/>
      <c r="AK34" s="148"/>
      <c r="AL34" s="7"/>
      <c r="AM34" s="7"/>
      <c r="AN34" s="148"/>
      <c r="AO34" s="7"/>
      <c r="AP34" s="7"/>
      <c r="AQ34" s="148"/>
      <c r="AR34" s="7"/>
      <c r="AS34" s="7"/>
      <c r="AT34" s="148"/>
      <c r="AU34" s="7"/>
      <c r="AV34" s="7"/>
    </row>
    <row r="35" spans="1:54" ht="14.95" customHeight="1" thickBot="1" x14ac:dyDescent="0.3">
      <c r="A35" s="121" t="s">
        <v>940</v>
      </c>
      <c r="B35" s="77">
        <v>0</v>
      </c>
      <c r="C35" s="258">
        <v>0</v>
      </c>
      <c r="D35" s="237">
        <v>0</v>
      </c>
      <c r="E35" s="129">
        <f t="shared" si="0"/>
        <v>0</v>
      </c>
      <c r="F35" s="123" t="s">
        <v>940</v>
      </c>
      <c r="G35" s="135">
        <v>0</v>
      </c>
      <c r="H35" s="281">
        <v>0</v>
      </c>
      <c r="I35" s="214">
        <v>0</v>
      </c>
      <c r="J35" s="126">
        <f t="shared" si="1"/>
        <v>0</v>
      </c>
      <c r="K35" s="301" t="s">
        <v>469</v>
      </c>
      <c r="L35" s="129" t="s">
        <v>15</v>
      </c>
      <c r="M35" s="129" t="s">
        <v>15</v>
      </c>
      <c r="N35" s="130" t="s">
        <v>15</v>
      </c>
      <c r="O35" s="7" t="s">
        <v>15</v>
      </c>
      <c r="P35" s="7" t="s">
        <v>15</v>
      </c>
      <c r="Q35" s="153" t="s">
        <v>15</v>
      </c>
      <c r="R35" s="7">
        <v>13</v>
      </c>
      <c r="S35" s="7">
        <v>18</v>
      </c>
      <c r="T35" s="153">
        <v>72.222222222222214</v>
      </c>
      <c r="U35" s="7" t="s">
        <v>15</v>
      </c>
      <c r="V35" s="7" t="s">
        <v>15</v>
      </c>
      <c r="W35" s="153" t="s">
        <v>15</v>
      </c>
      <c r="AB35" s="148">
        <v>2</v>
      </c>
      <c r="AC35" s="7">
        <v>4</v>
      </c>
      <c r="AD35" s="153">
        <v>50</v>
      </c>
      <c r="AE35" s="148" t="s">
        <v>15</v>
      </c>
      <c r="AF35" s="7" t="s">
        <v>15</v>
      </c>
      <c r="AG35" s="7" t="s">
        <v>15</v>
      </c>
      <c r="AH35" s="148" t="s">
        <v>15</v>
      </c>
      <c r="AI35" s="7" t="s">
        <v>15</v>
      </c>
      <c r="AJ35" s="7" t="s">
        <v>15</v>
      </c>
      <c r="AK35" s="6" t="s">
        <v>15</v>
      </c>
      <c r="AL35" s="152" t="s">
        <v>15</v>
      </c>
      <c r="AM35" s="152" t="s">
        <v>15</v>
      </c>
      <c r="AN35" s="148" t="s">
        <v>15</v>
      </c>
      <c r="AO35" s="7" t="s">
        <v>15</v>
      </c>
      <c r="AP35" s="7" t="s">
        <v>15</v>
      </c>
      <c r="AQ35" s="148" t="s">
        <v>15</v>
      </c>
      <c r="AR35" s="7" t="s">
        <v>15</v>
      </c>
      <c r="AS35" s="7" t="s">
        <v>15</v>
      </c>
      <c r="AT35" s="148" t="s">
        <v>15</v>
      </c>
      <c r="AU35" s="7" t="s">
        <v>15</v>
      </c>
      <c r="AV35" s="6" t="s">
        <v>15</v>
      </c>
      <c r="AW35" s="86"/>
      <c r="AX35" s="86"/>
      <c r="AY35" s="86"/>
      <c r="AZ35" s="86"/>
      <c r="BA35" s="86"/>
      <c r="BB35" s="86"/>
    </row>
    <row r="36" spans="1:54" ht="14.95" customHeight="1" thickBot="1" x14ac:dyDescent="0.3">
      <c r="A36" s="121" t="s">
        <v>418</v>
      </c>
      <c r="B36" s="77">
        <v>0</v>
      </c>
      <c r="C36" s="258">
        <v>2</v>
      </c>
      <c r="D36" s="237">
        <v>3</v>
      </c>
      <c r="E36" s="129">
        <f t="shared" si="0"/>
        <v>5</v>
      </c>
      <c r="F36" s="123" t="s">
        <v>418</v>
      </c>
      <c r="G36" s="135">
        <v>0</v>
      </c>
      <c r="H36" s="281">
        <v>10</v>
      </c>
      <c r="I36" s="214">
        <v>15</v>
      </c>
      <c r="J36" s="126">
        <f t="shared" si="1"/>
        <v>25</v>
      </c>
      <c r="K36" s="544" t="s">
        <v>942</v>
      </c>
      <c r="L36" s="485"/>
      <c r="M36" s="485"/>
      <c r="N36" s="485"/>
      <c r="O36" s="485"/>
      <c r="P36" s="485"/>
      <c r="Q36" s="485"/>
      <c r="R36" s="485"/>
      <c r="S36" s="485"/>
      <c r="T36" s="485"/>
      <c r="U36" s="485"/>
      <c r="V36" s="485"/>
      <c r="W36" s="485"/>
    </row>
    <row r="37" spans="1:54" ht="14.95" customHeight="1" thickBot="1" x14ac:dyDescent="0.3">
      <c r="A37" s="121" t="s">
        <v>1023</v>
      </c>
      <c r="B37" s="77">
        <v>0</v>
      </c>
      <c r="C37" s="258">
        <v>0</v>
      </c>
      <c r="D37" s="237">
        <v>1</v>
      </c>
      <c r="E37" s="129">
        <f t="shared" si="0"/>
        <v>1</v>
      </c>
      <c r="F37" s="123" t="s">
        <v>1023</v>
      </c>
      <c r="G37" s="135">
        <v>0</v>
      </c>
      <c r="H37" s="281">
        <v>0</v>
      </c>
      <c r="I37" s="214">
        <v>5</v>
      </c>
      <c r="J37" s="126">
        <f t="shared" si="1"/>
        <v>5</v>
      </c>
      <c r="K37" s="494" t="s">
        <v>943</v>
      </c>
      <c r="L37" s="475"/>
      <c r="M37" s="475"/>
      <c r="N37" s="475"/>
      <c r="O37" s="475"/>
      <c r="P37" s="475"/>
      <c r="Q37" s="475"/>
      <c r="R37" s="475"/>
      <c r="S37" s="475"/>
      <c r="T37" s="475"/>
      <c r="U37" s="475"/>
      <c r="V37" s="475"/>
      <c r="W37" s="475"/>
      <c r="X37" s="475"/>
      <c r="Y37" s="475"/>
    </row>
    <row r="38" spans="1:54" ht="14.95" customHeight="1" thickBot="1" x14ac:dyDescent="0.3">
      <c r="A38" s="121" t="s">
        <v>1046</v>
      </c>
      <c r="B38" s="77">
        <v>0</v>
      </c>
      <c r="C38" s="258">
        <v>0</v>
      </c>
      <c r="D38" s="237">
        <v>1</v>
      </c>
      <c r="E38" s="129">
        <f t="shared" si="0"/>
        <v>1</v>
      </c>
      <c r="F38" s="123" t="s">
        <v>1046</v>
      </c>
      <c r="G38" s="135">
        <v>0</v>
      </c>
      <c r="H38" s="281">
        <v>0</v>
      </c>
      <c r="I38" s="214">
        <v>5</v>
      </c>
      <c r="J38" s="126">
        <f t="shared" si="1"/>
        <v>5</v>
      </c>
      <c r="K38" s="463"/>
      <c r="L38" s="464"/>
      <c r="M38" s="464"/>
      <c r="N38" s="464"/>
      <c r="O38" s="464"/>
      <c r="P38" s="464"/>
      <c r="Q38" s="464"/>
      <c r="R38" s="464"/>
    </row>
    <row r="39" spans="1:54" ht="14.95" customHeight="1" thickBot="1" x14ac:dyDescent="0.3">
      <c r="A39" s="121" t="s">
        <v>528</v>
      </c>
      <c r="B39" s="77">
        <v>1</v>
      </c>
      <c r="C39" s="258">
        <v>4</v>
      </c>
      <c r="D39" s="237">
        <v>3</v>
      </c>
      <c r="E39" s="129">
        <f t="shared" si="0"/>
        <v>8</v>
      </c>
      <c r="F39" s="123" t="s">
        <v>528</v>
      </c>
      <c r="G39" s="135">
        <v>5</v>
      </c>
      <c r="H39" s="281">
        <v>20</v>
      </c>
      <c r="I39" s="214">
        <v>15</v>
      </c>
      <c r="J39" s="126">
        <f t="shared" si="1"/>
        <v>40</v>
      </c>
    </row>
    <row r="40" spans="1:54" ht="14.95" customHeight="1" thickBot="1" x14ac:dyDescent="0.3">
      <c r="A40" s="121" t="s">
        <v>283</v>
      </c>
      <c r="B40" s="77">
        <v>2</v>
      </c>
      <c r="C40" s="258">
        <v>0</v>
      </c>
      <c r="D40" s="237">
        <v>0</v>
      </c>
      <c r="E40" s="129">
        <f t="shared" si="0"/>
        <v>2</v>
      </c>
      <c r="F40" s="123" t="s">
        <v>283</v>
      </c>
      <c r="G40" s="135">
        <v>70</v>
      </c>
      <c r="H40" s="281">
        <v>36</v>
      </c>
      <c r="I40" s="214">
        <v>0</v>
      </c>
      <c r="J40" s="126">
        <f t="shared" si="1"/>
        <v>106</v>
      </c>
    </row>
    <row r="41" spans="1:54" ht="14.95" customHeight="1" thickBot="1" x14ac:dyDescent="0.3">
      <c r="A41" s="121" t="s">
        <v>378</v>
      </c>
      <c r="B41" s="77">
        <v>1</v>
      </c>
      <c r="C41" s="258">
        <v>0</v>
      </c>
      <c r="D41" s="237">
        <v>0</v>
      </c>
      <c r="E41" s="129">
        <f t="shared" si="0"/>
        <v>1</v>
      </c>
      <c r="F41" s="123" t="s">
        <v>378</v>
      </c>
      <c r="G41" s="135">
        <v>5</v>
      </c>
      <c r="H41" s="281">
        <v>0</v>
      </c>
      <c r="I41" s="214">
        <v>0</v>
      </c>
      <c r="J41" s="126">
        <f t="shared" si="1"/>
        <v>5</v>
      </c>
    </row>
    <row r="42" spans="1:54" ht="14.95" customHeight="1" thickBot="1" x14ac:dyDescent="0.3">
      <c r="A42" s="121" t="s">
        <v>998</v>
      </c>
      <c r="B42" s="77">
        <v>7</v>
      </c>
      <c r="C42" s="258">
        <v>3</v>
      </c>
      <c r="D42" s="237">
        <v>0</v>
      </c>
      <c r="E42" s="129">
        <f t="shared" si="0"/>
        <v>10</v>
      </c>
      <c r="F42" s="123" t="s">
        <v>998</v>
      </c>
      <c r="G42" s="135">
        <v>35</v>
      </c>
      <c r="H42" s="281">
        <v>15</v>
      </c>
      <c r="I42" s="214">
        <v>0</v>
      </c>
      <c r="J42" s="126">
        <f t="shared" si="1"/>
        <v>50</v>
      </c>
    </row>
    <row r="43" spans="1:54" ht="14.95" customHeight="1" thickBot="1" x14ac:dyDescent="0.3">
      <c r="A43" s="121" t="s">
        <v>498</v>
      </c>
      <c r="B43" s="77">
        <v>1</v>
      </c>
      <c r="C43" s="258">
        <v>0</v>
      </c>
      <c r="D43" s="237">
        <v>2</v>
      </c>
      <c r="E43" s="129">
        <f t="shared" si="0"/>
        <v>3</v>
      </c>
      <c r="F43" s="123" t="s">
        <v>498</v>
      </c>
      <c r="G43" s="135">
        <v>5</v>
      </c>
      <c r="H43" s="281">
        <v>0</v>
      </c>
      <c r="I43" s="214">
        <v>10</v>
      </c>
      <c r="J43" s="126">
        <f t="shared" si="1"/>
        <v>15</v>
      </c>
    </row>
    <row r="44" spans="1:54" ht="14.95" customHeight="1" thickBot="1" x14ac:dyDescent="0.3">
      <c r="A44" s="121" t="s">
        <v>1102</v>
      </c>
      <c r="B44" s="77">
        <v>0</v>
      </c>
      <c r="C44" s="258">
        <v>0</v>
      </c>
      <c r="D44" s="237">
        <v>1</v>
      </c>
      <c r="E44" s="129">
        <f t="shared" si="0"/>
        <v>1</v>
      </c>
      <c r="F44" s="123" t="s">
        <v>1102</v>
      </c>
      <c r="G44" s="135">
        <v>0</v>
      </c>
      <c r="H44" s="281">
        <v>0</v>
      </c>
      <c r="I44" s="214">
        <v>5</v>
      </c>
      <c r="J44" s="126">
        <f t="shared" si="1"/>
        <v>5</v>
      </c>
    </row>
    <row r="45" spans="1:54" ht="14.95" thickBot="1" x14ac:dyDescent="0.3">
      <c r="A45" s="121" t="s">
        <v>938</v>
      </c>
      <c r="B45" s="77">
        <v>2</v>
      </c>
      <c r="C45" s="258">
        <v>0</v>
      </c>
      <c r="D45" s="237">
        <v>3</v>
      </c>
      <c r="E45" s="129">
        <f t="shared" si="0"/>
        <v>5</v>
      </c>
      <c r="F45" s="123" t="s">
        <v>938</v>
      </c>
      <c r="G45" s="135">
        <v>10</v>
      </c>
      <c r="H45" s="281">
        <v>0</v>
      </c>
      <c r="I45" s="214">
        <v>15</v>
      </c>
      <c r="J45" s="126">
        <f t="shared" si="1"/>
        <v>25</v>
      </c>
    </row>
    <row r="46" spans="1:54" ht="14.95" thickBot="1" x14ac:dyDescent="0.3">
      <c r="A46" s="121" t="s">
        <v>20</v>
      </c>
      <c r="B46" s="77">
        <v>0</v>
      </c>
      <c r="C46" s="258">
        <v>0</v>
      </c>
      <c r="D46" s="237">
        <v>1</v>
      </c>
      <c r="E46" s="129">
        <f t="shared" si="0"/>
        <v>1</v>
      </c>
      <c r="F46" s="123" t="s">
        <v>20</v>
      </c>
      <c r="G46" s="135">
        <v>0</v>
      </c>
      <c r="H46" s="281">
        <v>0</v>
      </c>
      <c r="I46" s="214">
        <v>5</v>
      </c>
      <c r="J46" s="126">
        <f t="shared" si="1"/>
        <v>5</v>
      </c>
    </row>
    <row r="47" spans="1:54" ht="14.95" thickBot="1" x14ac:dyDescent="0.3">
      <c r="A47" s="121" t="s">
        <v>872</v>
      </c>
      <c r="B47" s="77">
        <v>0</v>
      </c>
      <c r="C47" s="258">
        <v>0</v>
      </c>
      <c r="D47" s="237">
        <v>0</v>
      </c>
      <c r="E47" s="129">
        <f t="shared" si="0"/>
        <v>0</v>
      </c>
      <c r="F47" s="123" t="s">
        <v>872</v>
      </c>
      <c r="G47" s="135">
        <v>0</v>
      </c>
      <c r="H47" s="281">
        <v>0</v>
      </c>
      <c r="I47" s="214">
        <v>0</v>
      </c>
      <c r="J47" s="126">
        <f t="shared" si="1"/>
        <v>0</v>
      </c>
    </row>
    <row r="48" spans="1:54" ht="14.95" thickBot="1" x14ac:dyDescent="0.3">
      <c r="A48" s="121" t="s">
        <v>711</v>
      </c>
      <c r="B48" s="77">
        <v>0</v>
      </c>
      <c r="C48" s="258">
        <v>0</v>
      </c>
      <c r="D48" s="237">
        <v>0</v>
      </c>
      <c r="E48" s="129">
        <f t="shared" si="0"/>
        <v>0</v>
      </c>
      <c r="F48" s="123" t="s">
        <v>711</v>
      </c>
      <c r="G48" s="135">
        <v>0</v>
      </c>
      <c r="H48" s="281">
        <v>0</v>
      </c>
      <c r="I48" s="214">
        <v>0</v>
      </c>
      <c r="J48" s="126">
        <f t="shared" si="1"/>
        <v>0</v>
      </c>
    </row>
    <row r="49" spans="1:10" ht="14.95" thickBot="1" x14ac:dyDescent="0.3">
      <c r="A49" s="121" t="s">
        <v>712</v>
      </c>
      <c r="B49" s="77">
        <v>0</v>
      </c>
      <c r="C49" s="258">
        <v>1</v>
      </c>
      <c r="D49" s="237">
        <v>1</v>
      </c>
      <c r="E49" s="129">
        <f t="shared" si="0"/>
        <v>2</v>
      </c>
      <c r="F49" s="123" t="s">
        <v>712</v>
      </c>
      <c r="G49" s="135">
        <v>0</v>
      </c>
      <c r="H49" s="281">
        <v>5</v>
      </c>
      <c r="I49" s="214">
        <v>5</v>
      </c>
      <c r="J49" s="126">
        <f t="shared" si="1"/>
        <v>10</v>
      </c>
    </row>
    <row r="50" spans="1:10" ht="14.95" thickBot="1" x14ac:dyDescent="0.3">
      <c r="A50" s="121" t="s">
        <v>3</v>
      </c>
      <c r="B50" s="77">
        <f>SUM(B3:B49)</f>
        <v>65</v>
      </c>
      <c r="C50" s="258">
        <f>SUM(C3:C49)</f>
        <v>35</v>
      </c>
      <c r="D50" s="237">
        <f>SUM(D3:D49)</f>
        <v>42</v>
      </c>
      <c r="E50" s="129">
        <f>SUM(E3:E49)</f>
        <v>142</v>
      </c>
      <c r="F50" s="123" t="s">
        <v>3</v>
      </c>
      <c r="G50" s="135">
        <f>SUM(G3:G49)</f>
        <v>439</v>
      </c>
      <c r="H50" s="281">
        <f>SUM(H3:H49)</f>
        <v>246</v>
      </c>
      <c r="I50" s="214">
        <f>SUM(I3:I49)</f>
        <v>289</v>
      </c>
      <c r="J50" s="126">
        <f>SUM(J3:J49)</f>
        <v>974</v>
      </c>
    </row>
    <row r="51" spans="1:10" x14ac:dyDescent="0.25">
      <c r="A51" s="463"/>
      <c r="B51" s="464"/>
      <c r="C51" s="464"/>
      <c r="D51" s="464"/>
      <c r="E51" s="464"/>
      <c r="F51" s="464"/>
      <c r="G51" s="464"/>
      <c r="H51" s="464"/>
      <c r="I51" s="304"/>
      <c r="J51" s="305"/>
    </row>
    <row r="52" spans="1:10" ht="14.95" thickBot="1" x14ac:dyDescent="0.3">
      <c r="A52" s="70" t="s">
        <v>12</v>
      </c>
      <c r="B52" s="132"/>
      <c r="E52" s="146"/>
      <c r="G52" s="132"/>
    </row>
    <row r="53" spans="1:10" ht="14.95" thickBot="1" x14ac:dyDescent="0.3">
      <c r="A53" s="120" t="s">
        <v>0</v>
      </c>
      <c r="B53" s="114" t="s">
        <v>218</v>
      </c>
      <c r="C53" s="257" t="s">
        <v>30</v>
      </c>
      <c r="D53" s="236" t="s">
        <v>326</v>
      </c>
      <c r="E53" s="128" t="s">
        <v>1</v>
      </c>
      <c r="F53" s="122" t="s">
        <v>2</v>
      </c>
      <c r="G53" s="137" t="s">
        <v>218</v>
      </c>
      <c r="H53" s="280" t="s">
        <v>30</v>
      </c>
      <c r="I53" s="213" t="s">
        <v>326</v>
      </c>
      <c r="J53" s="125" t="s">
        <v>1</v>
      </c>
    </row>
    <row r="54" spans="1:10" ht="14.95" thickBot="1" x14ac:dyDescent="0.3">
      <c r="A54" s="121" t="s">
        <v>275</v>
      </c>
      <c r="B54" s="77">
        <v>10</v>
      </c>
      <c r="C54" s="258">
        <v>2</v>
      </c>
      <c r="D54" s="237">
        <v>0</v>
      </c>
      <c r="E54" s="129">
        <f>SUM(B54:D54)</f>
        <v>12</v>
      </c>
      <c r="F54" s="123" t="s">
        <v>936</v>
      </c>
      <c r="G54" s="135">
        <v>60</v>
      </c>
      <c r="H54" s="281">
        <v>33</v>
      </c>
      <c r="I54" s="214">
        <v>55</v>
      </c>
      <c r="J54" s="126">
        <f>SUM(G54:I54)</f>
        <v>148</v>
      </c>
    </row>
    <row r="55" spans="1:10" ht="14.95" thickBot="1" x14ac:dyDescent="0.3">
      <c r="A55" s="121" t="s">
        <v>496</v>
      </c>
      <c r="B55" s="77">
        <v>5</v>
      </c>
      <c r="C55" s="258">
        <v>1</v>
      </c>
      <c r="D55" s="237">
        <v>5</v>
      </c>
      <c r="E55" s="129">
        <f>SUM(B55:D55)</f>
        <v>11</v>
      </c>
      <c r="F55" s="123" t="s">
        <v>283</v>
      </c>
      <c r="G55" s="135">
        <v>70</v>
      </c>
      <c r="H55" s="281">
        <v>36</v>
      </c>
      <c r="I55" s="214">
        <v>0</v>
      </c>
      <c r="J55" s="126">
        <f>SUM(G55:I55)</f>
        <v>106</v>
      </c>
    </row>
    <row r="56" spans="1:10" ht="14.95" thickBot="1" x14ac:dyDescent="0.3">
      <c r="A56" s="121" t="s">
        <v>350</v>
      </c>
      <c r="B56" s="77">
        <v>4</v>
      </c>
      <c r="C56" s="258">
        <v>4</v>
      </c>
      <c r="D56" s="237">
        <v>2</v>
      </c>
      <c r="E56" s="129">
        <f>SUM(B56:D56)</f>
        <v>10</v>
      </c>
      <c r="F56" s="123" t="s">
        <v>275</v>
      </c>
      <c r="G56" s="135">
        <v>50</v>
      </c>
      <c r="H56" s="281">
        <v>10</v>
      </c>
      <c r="I56" s="214">
        <v>0</v>
      </c>
      <c r="J56" s="126">
        <f>SUM(G56:I56)</f>
        <v>60</v>
      </c>
    </row>
    <row r="57" spans="1:10" ht="14.95" thickBot="1" x14ac:dyDescent="0.3">
      <c r="A57" s="121" t="s">
        <v>998</v>
      </c>
      <c r="B57" s="77">
        <v>7</v>
      </c>
      <c r="C57" s="258">
        <v>3</v>
      </c>
      <c r="D57" s="237">
        <v>0</v>
      </c>
      <c r="E57" s="129">
        <f>SUM(B57:D57)</f>
        <v>10</v>
      </c>
      <c r="F57" s="123" t="s">
        <v>496</v>
      </c>
      <c r="G57" s="135">
        <v>25</v>
      </c>
      <c r="H57" s="281">
        <v>5</v>
      </c>
      <c r="I57" s="214">
        <v>25</v>
      </c>
      <c r="J57" s="126">
        <f>SUM(G57:I57)</f>
        <v>55</v>
      </c>
    </row>
    <row r="58" spans="1:10" ht="14.95" thickBot="1" x14ac:dyDescent="0.3">
      <c r="A58" s="121" t="s">
        <v>430</v>
      </c>
      <c r="B58" s="77">
        <v>4</v>
      </c>
      <c r="C58" s="258">
        <v>4</v>
      </c>
      <c r="D58" s="237">
        <v>0</v>
      </c>
      <c r="E58" s="129">
        <f>SUM(B58:D58)</f>
        <v>8</v>
      </c>
      <c r="F58" s="123" t="s">
        <v>350</v>
      </c>
      <c r="G58" s="135">
        <v>20</v>
      </c>
      <c r="H58" s="281">
        <v>20</v>
      </c>
      <c r="I58" s="214">
        <v>10</v>
      </c>
      <c r="J58" s="126">
        <f>SUM(G58:I58)</f>
        <v>50</v>
      </c>
    </row>
    <row r="59" spans="1:10" ht="14.95" thickBot="1" x14ac:dyDescent="0.3">
      <c r="A59" s="121" t="s">
        <v>528</v>
      </c>
      <c r="B59" s="77">
        <v>1</v>
      </c>
      <c r="C59" s="258">
        <v>4</v>
      </c>
      <c r="D59" s="237">
        <v>3</v>
      </c>
      <c r="E59" s="129">
        <f>SUM(B59:D59)</f>
        <v>8</v>
      </c>
      <c r="F59" s="124" t="s">
        <v>998</v>
      </c>
      <c r="G59" s="135">
        <v>35</v>
      </c>
      <c r="H59" s="281">
        <v>15</v>
      </c>
      <c r="I59" s="214">
        <v>0</v>
      </c>
      <c r="J59" s="126">
        <f>SUM(G59:I59)</f>
        <v>50</v>
      </c>
    </row>
    <row r="60" spans="1:10" ht="14.95" thickBot="1" x14ac:dyDescent="0.3">
      <c r="A60" s="121" t="s">
        <v>161</v>
      </c>
      <c r="B60" s="77">
        <v>6</v>
      </c>
      <c r="C60" s="258">
        <v>1</v>
      </c>
      <c r="D60" s="237">
        <v>0</v>
      </c>
      <c r="E60" s="129">
        <f>SUM(B60:D60)</f>
        <v>7</v>
      </c>
      <c r="F60" s="124" t="s">
        <v>430</v>
      </c>
      <c r="G60" s="135">
        <v>20</v>
      </c>
      <c r="H60" s="281">
        <v>20</v>
      </c>
      <c r="I60" s="214">
        <v>0</v>
      </c>
      <c r="J60" s="126">
        <f>SUM(G60:I60)</f>
        <v>40</v>
      </c>
    </row>
    <row r="61" spans="1:10" ht="14.95" thickBot="1" x14ac:dyDescent="0.3">
      <c r="A61" s="121" t="s">
        <v>349</v>
      </c>
      <c r="B61" s="77">
        <v>5</v>
      </c>
      <c r="C61" s="258">
        <v>0</v>
      </c>
      <c r="D61" s="237">
        <v>1</v>
      </c>
      <c r="E61" s="129">
        <f>SUM(B61:D61)</f>
        <v>6</v>
      </c>
      <c r="F61" s="124" t="s">
        <v>528</v>
      </c>
      <c r="G61" s="135">
        <v>5</v>
      </c>
      <c r="H61" s="281">
        <v>20</v>
      </c>
      <c r="I61" s="214">
        <v>15</v>
      </c>
      <c r="J61" s="126">
        <f>SUM(G61:I61)</f>
        <v>40</v>
      </c>
    </row>
    <row r="62" spans="1:10" ht="14.95" thickBot="1" x14ac:dyDescent="0.3">
      <c r="A62" s="121" t="s">
        <v>366</v>
      </c>
      <c r="B62" s="77">
        <v>6</v>
      </c>
      <c r="C62" s="258">
        <v>0</v>
      </c>
      <c r="D62" s="237">
        <v>0</v>
      </c>
      <c r="E62" s="129">
        <f>SUM(B62:D62)</f>
        <v>6</v>
      </c>
      <c r="F62" s="123" t="s">
        <v>161</v>
      </c>
      <c r="G62" s="135">
        <v>30</v>
      </c>
      <c r="H62" s="281">
        <v>5</v>
      </c>
      <c r="I62" s="214">
        <v>0</v>
      </c>
      <c r="J62" s="126">
        <f>SUM(G62:I62)</f>
        <v>35</v>
      </c>
    </row>
    <row r="63" spans="1:10" ht="14.95" thickBot="1" x14ac:dyDescent="0.3">
      <c r="A63" s="121" t="s">
        <v>761</v>
      </c>
      <c r="B63" s="77">
        <v>2</v>
      </c>
      <c r="C63" s="258">
        <v>3</v>
      </c>
      <c r="D63" s="237">
        <v>0</v>
      </c>
      <c r="E63" s="129">
        <f>SUM(B63:D63)</f>
        <v>5</v>
      </c>
      <c r="F63" s="123" t="s">
        <v>1022</v>
      </c>
      <c r="G63" s="135">
        <v>0</v>
      </c>
      <c r="H63" s="281">
        <v>0</v>
      </c>
      <c r="I63" s="214">
        <v>32</v>
      </c>
      <c r="J63" s="126">
        <f>SUM(G63:I63)</f>
        <v>32</v>
      </c>
    </row>
    <row r="64" spans="1:10" ht="14.95" thickBot="1" x14ac:dyDescent="0.3">
      <c r="A64" s="121" t="s">
        <v>418</v>
      </c>
      <c r="B64" s="77">
        <v>0</v>
      </c>
      <c r="C64" s="258">
        <v>2</v>
      </c>
      <c r="D64" s="237">
        <v>3</v>
      </c>
      <c r="E64" s="129">
        <f>SUM(B64:D64)</f>
        <v>5</v>
      </c>
      <c r="F64" s="123" t="s">
        <v>349</v>
      </c>
      <c r="G64" s="135">
        <v>25</v>
      </c>
      <c r="H64" s="281">
        <v>0</v>
      </c>
      <c r="I64" s="214">
        <v>5</v>
      </c>
      <c r="J64" s="126">
        <f>SUM(G64:I64)</f>
        <v>30</v>
      </c>
    </row>
    <row r="65" spans="1:10" ht="14.95" thickBot="1" x14ac:dyDescent="0.3">
      <c r="A65" s="121" t="s">
        <v>938</v>
      </c>
      <c r="B65" s="77">
        <v>2</v>
      </c>
      <c r="C65" s="258">
        <v>0</v>
      </c>
      <c r="D65" s="237">
        <v>3</v>
      </c>
      <c r="E65" s="129">
        <f>SUM(B65:D65)</f>
        <v>5</v>
      </c>
      <c r="F65" s="123" t="s">
        <v>366</v>
      </c>
      <c r="G65" s="135">
        <v>30</v>
      </c>
      <c r="H65" s="281">
        <v>0</v>
      </c>
      <c r="I65" s="214">
        <v>0</v>
      </c>
      <c r="J65" s="126">
        <f>SUM(G65:I65)</f>
        <v>30</v>
      </c>
    </row>
    <row r="66" spans="1:10" ht="14.95" thickBot="1" x14ac:dyDescent="0.3">
      <c r="A66" s="121" t="s">
        <v>935</v>
      </c>
      <c r="B66" s="77">
        <v>0</v>
      </c>
      <c r="C66" s="258">
        <v>1</v>
      </c>
      <c r="D66" s="237">
        <v>3</v>
      </c>
      <c r="E66" s="129">
        <f>SUM(B66:D66)</f>
        <v>4</v>
      </c>
      <c r="F66" s="123" t="s">
        <v>761</v>
      </c>
      <c r="G66" s="135">
        <v>10</v>
      </c>
      <c r="H66" s="281">
        <v>15</v>
      </c>
      <c r="I66" s="214">
        <v>0</v>
      </c>
      <c r="J66" s="126">
        <f>SUM(G66:I66)</f>
        <v>25</v>
      </c>
    </row>
    <row r="67" spans="1:10" ht="14.95" thickBot="1" x14ac:dyDescent="0.3">
      <c r="A67" s="121" t="s">
        <v>934</v>
      </c>
      <c r="B67" s="77">
        <v>2</v>
      </c>
      <c r="C67" s="258">
        <v>2</v>
      </c>
      <c r="D67" s="237">
        <v>0</v>
      </c>
      <c r="E67" s="129">
        <f>SUM(B67:D67)</f>
        <v>4</v>
      </c>
      <c r="F67" s="123" t="s">
        <v>418</v>
      </c>
      <c r="G67" s="135">
        <v>0</v>
      </c>
      <c r="H67" s="281">
        <v>10</v>
      </c>
      <c r="I67" s="214">
        <v>15</v>
      </c>
      <c r="J67" s="126">
        <f>SUM(G67:I67)</f>
        <v>25</v>
      </c>
    </row>
    <row r="68" spans="1:10" ht="14.95" thickBot="1" x14ac:dyDescent="0.3">
      <c r="A68" s="121" t="s">
        <v>936</v>
      </c>
      <c r="B68" s="77">
        <v>2</v>
      </c>
      <c r="C68" s="258">
        <v>0</v>
      </c>
      <c r="D68" s="237">
        <v>1</v>
      </c>
      <c r="E68" s="129">
        <f>SUM(B68:D68)</f>
        <v>3</v>
      </c>
      <c r="F68" s="123" t="s">
        <v>938</v>
      </c>
      <c r="G68" s="135">
        <v>10</v>
      </c>
      <c r="H68" s="281">
        <v>0</v>
      </c>
      <c r="I68" s="214">
        <v>15</v>
      </c>
      <c r="J68" s="127">
        <f>SUM(G68:I68)</f>
        <v>25</v>
      </c>
    </row>
    <row r="69" spans="1:10" ht="14.95" thickBot="1" x14ac:dyDescent="0.3">
      <c r="A69" s="121" t="s">
        <v>155</v>
      </c>
      <c r="B69" s="77">
        <v>0</v>
      </c>
      <c r="C69" s="258">
        <v>3</v>
      </c>
      <c r="D69" s="237">
        <v>0</v>
      </c>
      <c r="E69" s="129">
        <f>SUM(B69:D69)</f>
        <v>3</v>
      </c>
      <c r="F69" s="123" t="s">
        <v>69</v>
      </c>
      <c r="G69" s="135">
        <v>7</v>
      </c>
      <c r="H69" s="281">
        <v>5</v>
      </c>
      <c r="I69" s="214">
        <v>10</v>
      </c>
      <c r="J69" s="126">
        <f>SUM(G69:I69)</f>
        <v>22</v>
      </c>
    </row>
    <row r="70" spans="1:10" ht="14.95" thickBot="1" x14ac:dyDescent="0.3">
      <c r="A70" s="121" t="s">
        <v>69</v>
      </c>
      <c r="B70" s="77">
        <v>1</v>
      </c>
      <c r="C70" s="258">
        <v>1</v>
      </c>
      <c r="D70" s="237">
        <v>1</v>
      </c>
      <c r="E70" s="129">
        <f>SUM(B70:D70)</f>
        <v>3</v>
      </c>
      <c r="F70" s="123" t="s">
        <v>935</v>
      </c>
      <c r="G70" s="135">
        <v>0</v>
      </c>
      <c r="H70" s="281">
        <v>5</v>
      </c>
      <c r="I70" s="214">
        <v>15</v>
      </c>
      <c r="J70" s="126">
        <f>SUM(G70:I70)</f>
        <v>20</v>
      </c>
    </row>
    <row r="71" spans="1:10" ht="14.95" thickBot="1" x14ac:dyDescent="0.3">
      <c r="A71" s="121" t="s">
        <v>71</v>
      </c>
      <c r="B71" s="77">
        <v>2</v>
      </c>
      <c r="C71" s="258">
        <v>1</v>
      </c>
      <c r="D71" s="237">
        <v>0</v>
      </c>
      <c r="E71" s="129">
        <f>SUM(B71:D71)</f>
        <v>3</v>
      </c>
      <c r="F71" s="123" t="s">
        <v>934</v>
      </c>
      <c r="G71" s="135">
        <v>10</v>
      </c>
      <c r="H71" s="281">
        <v>10</v>
      </c>
      <c r="I71" s="214">
        <v>0</v>
      </c>
      <c r="J71" s="126">
        <f>SUM(G71:I71)</f>
        <v>20</v>
      </c>
    </row>
    <row r="72" spans="1:10" ht="14.95" thickBot="1" x14ac:dyDescent="0.3">
      <c r="A72" s="121" t="s">
        <v>498</v>
      </c>
      <c r="B72" s="77">
        <v>1</v>
      </c>
      <c r="C72" s="258">
        <v>0</v>
      </c>
      <c r="D72" s="237">
        <v>2</v>
      </c>
      <c r="E72" s="129">
        <f>SUM(B72:D72)</f>
        <v>3</v>
      </c>
      <c r="F72" s="123" t="s">
        <v>155</v>
      </c>
      <c r="G72" s="135">
        <v>0</v>
      </c>
      <c r="H72" s="281">
        <v>15</v>
      </c>
      <c r="I72" s="214">
        <v>0</v>
      </c>
      <c r="J72" s="126">
        <f>SUM(G72:I72)</f>
        <v>15</v>
      </c>
    </row>
    <row r="73" spans="1:10" ht="14.95" thickBot="1" x14ac:dyDescent="0.3">
      <c r="A73" s="121" t="s">
        <v>933</v>
      </c>
      <c r="B73" s="77">
        <v>0</v>
      </c>
      <c r="C73" s="258">
        <v>0</v>
      </c>
      <c r="D73" s="237">
        <v>2</v>
      </c>
      <c r="E73" s="129">
        <f>SUM(B73:D73)</f>
        <v>2</v>
      </c>
      <c r="F73" s="123" t="s">
        <v>71</v>
      </c>
      <c r="G73" s="135">
        <v>10</v>
      </c>
      <c r="H73" s="281">
        <v>5</v>
      </c>
      <c r="I73" s="214">
        <v>0</v>
      </c>
      <c r="J73" s="126">
        <f>SUM(G73:I73)</f>
        <v>15</v>
      </c>
    </row>
    <row r="74" spans="1:10" ht="14.95" thickBot="1" x14ac:dyDescent="0.3">
      <c r="A74" s="121" t="s">
        <v>43</v>
      </c>
      <c r="B74" s="77">
        <v>1</v>
      </c>
      <c r="C74" s="258">
        <v>0</v>
      </c>
      <c r="D74" s="237">
        <v>1</v>
      </c>
      <c r="E74" s="129">
        <f>SUM(B74:D74)</f>
        <v>2</v>
      </c>
      <c r="F74" s="123" t="s">
        <v>498</v>
      </c>
      <c r="G74" s="135">
        <v>5</v>
      </c>
      <c r="H74" s="281">
        <v>0</v>
      </c>
      <c r="I74" s="214">
        <v>10</v>
      </c>
      <c r="J74" s="126">
        <f>SUM(G74:I74)</f>
        <v>15</v>
      </c>
    </row>
    <row r="75" spans="1:10" ht="14.95" thickBot="1" x14ac:dyDescent="0.3">
      <c r="A75" s="121" t="s">
        <v>1022</v>
      </c>
      <c r="B75" s="77">
        <v>0</v>
      </c>
      <c r="C75" s="258">
        <v>0</v>
      </c>
      <c r="D75" s="237">
        <v>2</v>
      </c>
      <c r="E75" s="129">
        <f>SUM(B75:D75)</f>
        <v>2</v>
      </c>
      <c r="F75" s="123" t="s">
        <v>4</v>
      </c>
      <c r="G75" s="135">
        <v>0</v>
      </c>
      <c r="H75" s="281">
        <v>7</v>
      </c>
      <c r="I75" s="214">
        <v>7</v>
      </c>
      <c r="J75" s="126">
        <f>SUM(G75:I75)</f>
        <v>14</v>
      </c>
    </row>
    <row r="76" spans="1:10" ht="14.95" thickBot="1" x14ac:dyDescent="0.3">
      <c r="A76" s="121" t="s">
        <v>4</v>
      </c>
      <c r="B76" s="77">
        <v>0</v>
      </c>
      <c r="C76" s="258">
        <v>1</v>
      </c>
      <c r="D76" s="237">
        <v>1</v>
      </c>
      <c r="E76" s="129">
        <f>SUM(B76:D76)</f>
        <v>2</v>
      </c>
      <c r="F76" s="123" t="s">
        <v>43</v>
      </c>
      <c r="G76" s="135">
        <v>7</v>
      </c>
      <c r="H76" s="281">
        <v>0</v>
      </c>
      <c r="I76" s="214">
        <v>5</v>
      </c>
      <c r="J76" s="126">
        <f>SUM(G76:I76)</f>
        <v>12</v>
      </c>
    </row>
    <row r="77" spans="1:10" ht="14.95" thickBot="1" x14ac:dyDescent="0.3">
      <c r="A77" s="121" t="s">
        <v>283</v>
      </c>
      <c r="B77" s="77">
        <v>2</v>
      </c>
      <c r="C77" s="258">
        <v>0</v>
      </c>
      <c r="D77" s="237">
        <v>0</v>
      </c>
      <c r="E77" s="129">
        <f>SUM(B77:D77)</f>
        <v>2</v>
      </c>
      <c r="F77" s="123" t="s">
        <v>933</v>
      </c>
      <c r="G77" s="135">
        <v>0</v>
      </c>
      <c r="H77" s="281">
        <v>0</v>
      </c>
      <c r="I77" s="214">
        <v>10</v>
      </c>
      <c r="J77" s="126">
        <f>SUM(G77:I77)</f>
        <v>10</v>
      </c>
    </row>
    <row r="78" spans="1:10" ht="14.95" thickBot="1" x14ac:dyDescent="0.3">
      <c r="A78" s="121" t="s">
        <v>712</v>
      </c>
      <c r="B78" s="77">
        <v>0</v>
      </c>
      <c r="C78" s="258">
        <v>1</v>
      </c>
      <c r="D78" s="237">
        <v>1</v>
      </c>
      <c r="E78" s="129">
        <f>SUM(B78:D78)</f>
        <v>2</v>
      </c>
      <c r="F78" s="123" t="s">
        <v>712</v>
      </c>
      <c r="G78" s="135">
        <v>0</v>
      </c>
      <c r="H78" s="281">
        <v>5</v>
      </c>
      <c r="I78" s="214">
        <v>5</v>
      </c>
      <c r="J78" s="126">
        <f>SUM(G78:I78)</f>
        <v>10</v>
      </c>
    </row>
    <row r="79" spans="1:10" ht="14.95" thickBot="1" x14ac:dyDescent="0.3">
      <c r="A79" s="121" t="s">
        <v>345</v>
      </c>
      <c r="B79" s="77">
        <v>0</v>
      </c>
      <c r="C79" s="258">
        <v>0</v>
      </c>
      <c r="D79" s="237">
        <v>1</v>
      </c>
      <c r="E79" s="129">
        <f>SUM(B79:D79)</f>
        <v>1</v>
      </c>
      <c r="F79" s="123" t="s">
        <v>345</v>
      </c>
      <c r="G79" s="135">
        <v>0</v>
      </c>
      <c r="H79" s="281">
        <v>0</v>
      </c>
      <c r="I79" s="214">
        <v>5</v>
      </c>
      <c r="J79" s="126">
        <f>SUM(G79:I79)</f>
        <v>5</v>
      </c>
    </row>
    <row r="80" spans="1:10" ht="14.95" thickBot="1" x14ac:dyDescent="0.3">
      <c r="A80" s="121" t="s">
        <v>7</v>
      </c>
      <c r="B80" s="77">
        <v>0</v>
      </c>
      <c r="C80" s="258">
        <v>0</v>
      </c>
      <c r="D80" s="237">
        <v>1</v>
      </c>
      <c r="E80" s="129">
        <f>SUM(B80:D80)</f>
        <v>1</v>
      </c>
      <c r="F80" s="123" t="s">
        <v>7</v>
      </c>
      <c r="G80" s="135">
        <v>0</v>
      </c>
      <c r="H80" s="281">
        <v>0</v>
      </c>
      <c r="I80" s="214">
        <v>5</v>
      </c>
      <c r="J80" s="126">
        <f>SUM(G80:I80)</f>
        <v>5</v>
      </c>
    </row>
    <row r="81" spans="1:10" ht="14.95" thickBot="1" x14ac:dyDescent="0.3">
      <c r="A81" s="121" t="s">
        <v>254</v>
      </c>
      <c r="B81" s="77">
        <v>0</v>
      </c>
      <c r="C81" s="258">
        <v>0</v>
      </c>
      <c r="D81" s="237">
        <v>1</v>
      </c>
      <c r="E81" s="129">
        <f>SUM(B81:D81)</f>
        <v>1</v>
      </c>
      <c r="F81" s="123" t="s">
        <v>254</v>
      </c>
      <c r="G81" s="135">
        <v>0</v>
      </c>
      <c r="H81" s="281">
        <v>0</v>
      </c>
      <c r="I81" s="214">
        <v>5</v>
      </c>
      <c r="J81" s="126">
        <f>SUM(G81:I81)</f>
        <v>5</v>
      </c>
    </row>
    <row r="82" spans="1:10" ht="14.95" thickBot="1" x14ac:dyDescent="0.3">
      <c r="A82" s="121" t="s">
        <v>788</v>
      </c>
      <c r="B82" s="77">
        <v>0</v>
      </c>
      <c r="C82" s="258">
        <v>0</v>
      </c>
      <c r="D82" s="237">
        <v>1</v>
      </c>
      <c r="E82" s="129">
        <f>SUM(B82:D82)</f>
        <v>1</v>
      </c>
      <c r="F82" s="123" t="s">
        <v>788</v>
      </c>
      <c r="G82" s="135">
        <v>0</v>
      </c>
      <c r="H82" s="281">
        <v>0</v>
      </c>
      <c r="I82" s="214">
        <v>5</v>
      </c>
      <c r="J82" s="126">
        <f>SUM(G82:I82)</f>
        <v>5</v>
      </c>
    </row>
    <row r="83" spans="1:10" ht="14.95" thickBot="1" x14ac:dyDescent="0.3">
      <c r="A83" s="121" t="s">
        <v>259</v>
      </c>
      <c r="B83" s="77">
        <v>0</v>
      </c>
      <c r="C83" s="258">
        <v>0</v>
      </c>
      <c r="D83" s="237">
        <v>1</v>
      </c>
      <c r="E83" s="129">
        <f>SUM(B83:D83)</f>
        <v>1</v>
      </c>
      <c r="F83" s="123" t="s">
        <v>259</v>
      </c>
      <c r="G83" s="135">
        <v>0</v>
      </c>
      <c r="H83" s="281">
        <v>0</v>
      </c>
      <c r="I83" s="214">
        <v>5</v>
      </c>
      <c r="J83" s="126">
        <f>SUM(G83:I83)</f>
        <v>5</v>
      </c>
    </row>
    <row r="84" spans="1:10" ht="14.95" thickBot="1" x14ac:dyDescent="0.3">
      <c r="A84" s="121" t="s">
        <v>495</v>
      </c>
      <c r="B84" s="77">
        <v>1</v>
      </c>
      <c r="C84" s="258">
        <v>0</v>
      </c>
      <c r="D84" s="237">
        <v>0</v>
      </c>
      <c r="E84" s="129">
        <f>SUM(B84:D84)</f>
        <v>1</v>
      </c>
      <c r="F84" s="123" t="s">
        <v>495</v>
      </c>
      <c r="G84" s="135">
        <v>5</v>
      </c>
      <c r="H84" s="281">
        <v>0</v>
      </c>
      <c r="I84" s="214">
        <v>0</v>
      </c>
      <c r="J84" s="126">
        <f>SUM(G84:I84)</f>
        <v>5</v>
      </c>
    </row>
    <row r="85" spans="1:10" ht="14.95" thickBot="1" x14ac:dyDescent="0.3">
      <c r="A85" s="121" t="s">
        <v>435</v>
      </c>
      <c r="B85" s="77">
        <v>0</v>
      </c>
      <c r="C85" s="258">
        <v>1</v>
      </c>
      <c r="D85" s="237">
        <v>0</v>
      </c>
      <c r="E85" s="129">
        <f>SUM(B85:D85)</f>
        <v>1</v>
      </c>
      <c r="F85" s="123" t="s">
        <v>435</v>
      </c>
      <c r="G85" s="135">
        <v>0</v>
      </c>
      <c r="H85" s="281">
        <v>5</v>
      </c>
      <c r="I85" s="214">
        <v>0</v>
      </c>
      <c r="J85" s="126">
        <f>SUM(G85:I85)</f>
        <v>5</v>
      </c>
    </row>
    <row r="86" spans="1:10" ht="14.95" thickBot="1" x14ac:dyDescent="0.3">
      <c r="A86" s="121" t="s">
        <v>269</v>
      </c>
      <c r="B86" s="77">
        <v>0</v>
      </c>
      <c r="C86" s="258">
        <v>0</v>
      </c>
      <c r="D86" s="237">
        <v>1</v>
      </c>
      <c r="E86" s="129">
        <f>SUM(B86:D86)</f>
        <v>1</v>
      </c>
      <c r="F86" s="123" t="s">
        <v>269</v>
      </c>
      <c r="G86" s="135">
        <v>0</v>
      </c>
      <c r="H86" s="281">
        <v>0</v>
      </c>
      <c r="I86" s="214">
        <v>5</v>
      </c>
      <c r="J86" s="126">
        <f>SUM(G86:I86)</f>
        <v>5</v>
      </c>
    </row>
    <row r="87" spans="1:10" ht="14.95" thickBot="1" x14ac:dyDescent="0.3">
      <c r="A87" s="121" t="s">
        <v>497</v>
      </c>
      <c r="B87" s="77">
        <v>0</v>
      </c>
      <c r="C87" s="258">
        <v>0</v>
      </c>
      <c r="D87" s="237">
        <v>1</v>
      </c>
      <c r="E87" s="129">
        <f>SUM(B87:D87)</f>
        <v>1</v>
      </c>
      <c r="F87" s="123" t="s">
        <v>497</v>
      </c>
      <c r="G87" s="135">
        <v>0</v>
      </c>
      <c r="H87" s="281">
        <v>0</v>
      </c>
      <c r="I87" s="214">
        <v>5</v>
      </c>
      <c r="J87" s="126">
        <f>SUM(G87:I87)</f>
        <v>5</v>
      </c>
    </row>
    <row r="88" spans="1:10" ht="14.95" thickBot="1" x14ac:dyDescent="0.3">
      <c r="A88" s="121" t="s">
        <v>1023</v>
      </c>
      <c r="B88" s="77">
        <v>0</v>
      </c>
      <c r="C88" s="258">
        <v>0</v>
      </c>
      <c r="D88" s="237">
        <v>1</v>
      </c>
      <c r="E88" s="129">
        <f>SUM(B88:D88)</f>
        <v>1</v>
      </c>
      <c r="F88" s="123" t="s">
        <v>1023</v>
      </c>
      <c r="G88" s="135">
        <v>0</v>
      </c>
      <c r="H88" s="281">
        <v>0</v>
      </c>
      <c r="I88" s="214">
        <v>5</v>
      </c>
      <c r="J88" s="126">
        <f>SUM(G88:I88)</f>
        <v>5</v>
      </c>
    </row>
    <row r="89" spans="1:10" ht="14.95" thickBot="1" x14ac:dyDescent="0.3">
      <c r="A89" s="121" t="s">
        <v>1046</v>
      </c>
      <c r="B89" s="77">
        <v>0</v>
      </c>
      <c r="C89" s="258">
        <v>0</v>
      </c>
      <c r="D89" s="237">
        <v>1</v>
      </c>
      <c r="E89" s="129">
        <f>SUM(B89:D89)</f>
        <v>1</v>
      </c>
      <c r="F89" s="123" t="s">
        <v>1046</v>
      </c>
      <c r="G89" s="135">
        <v>0</v>
      </c>
      <c r="H89" s="281">
        <v>0</v>
      </c>
      <c r="I89" s="214">
        <v>5</v>
      </c>
      <c r="J89" s="126">
        <f>SUM(G89:I89)</f>
        <v>5</v>
      </c>
    </row>
    <row r="90" spans="1:10" ht="14.95" thickBot="1" x14ac:dyDescent="0.3">
      <c r="A90" s="121" t="s">
        <v>378</v>
      </c>
      <c r="B90" s="77">
        <v>1</v>
      </c>
      <c r="C90" s="258">
        <v>0</v>
      </c>
      <c r="D90" s="237">
        <v>0</v>
      </c>
      <c r="E90" s="129">
        <f>SUM(B90:D90)</f>
        <v>1</v>
      </c>
      <c r="F90" s="123" t="s">
        <v>378</v>
      </c>
      <c r="G90" s="135">
        <v>5</v>
      </c>
      <c r="H90" s="281">
        <v>0</v>
      </c>
      <c r="I90" s="214">
        <v>0</v>
      </c>
      <c r="J90" s="126">
        <f>SUM(G90:I90)</f>
        <v>5</v>
      </c>
    </row>
    <row r="91" spans="1:10" ht="14.95" thickBot="1" x14ac:dyDescent="0.3">
      <c r="A91" s="121" t="s">
        <v>1102</v>
      </c>
      <c r="B91" s="77">
        <v>0</v>
      </c>
      <c r="C91" s="258">
        <v>0</v>
      </c>
      <c r="D91" s="237">
        <v>1</v>
      </c>
      <c r="E91" s="129">
        <f>SUM(B91:D91)</f>
        <v>1</v>
      </c>
      <c r="F91" s="123" t="s">
        <v>1102</v>
      </c>
      <c r="G91" s="135">
        <v>0</v>
      </c>
      <c r="H91" s="281">
        <v>0</v>
      </c>
      <c r="I91" s="214">
        <v>5</v>
      </c>
      <c r="J91" s="126">
        <f>SUM(G91:I91)</f>
        <v>5</v>
      </c>
    </row>
    <row r="92" spans="1:10" ht="14.95" thickBot="1" x14ac:dyDescent="0.3">
      <c r="A92" s="121" t="s">
        <v>20</v>
      </c>
      <c r="B92" s="77">
        <v>0</v>
      </c>
      <c r="C92" s="258">
        <v>0</v>
      </c>
      <c r="D92" s="237">
        <v>1</v>
      </c>
      <c r="E92" s="129">
        <f>SUM(B92:D92)</f>
        <v>1</v>
      </c>
      <c r="F92" s="123" t="s">
        <v>20</v>
      </c>
      <c r="G92" s="135">
        <v>0</v>
      </c>
      <c r="H92" s="281">
        <v>0</v>
      </c>
      <c r="I92" s="214">
        <v>5</v>
      </c>
      <c r="J92" s="126">
        <f>SUM(G92:I92)</f>
        <v>5</v>
      </c>
    </row>
    <row r="93" spans="1:10" ht="14.95" thickBot="1" x14ac:dyDescent="0.3">
      <c r="A93" s="121" t="s">
        <v>278</v>
      </c>
      <c r="B93" s="77">
        <v>0</v>
      </c>
      <c r="C93" s="258">
        <v>0</v>
      </c>
      <c r="D93" s="237">
        <v>0</v>
      </c>
      <c r="E93" s="129">
        <f>SUM(B93:D93)</f>
        <v>0</v>
      </c>
      <c r="F93" s="123" t="s">
        <v>278</v>
      </c>
      <c r="G93" s="135">
        <v>0</v>
      </c>
      <c r="H93" s="281">
        <v>0</v>
      </c>
      <c r="I93" s="214">
        <v>0</v>
      </c>
      <c r="J93" s="126">
        <f>SUM(G93:I93)</f>
        <v>0</v>
      </c>
    </row>
    <row r="94" spans="1:10" ht="14.95" thickBot="1" x14ac:dyDescent="0.3">
      <c r="A94" s="121" t="s">
        <v>494</v>
      </c>
      <c r="B94" s="77">
        <v>0</v>
      </c>
      <c r="C94" s="258">
        <v>0</v>
      </c>
      <c r="D94" s="237">
        <v>0</v>
      </c>
      <c r="E94" s="129">
        <f>SUM(B94:D94)</f>
        <v>0</v>
      </c>
      <c r="F94" s="123" t="s">
        <v>494</v>
      </c>
      <c r="G94" s="135">
        <v>0</v>
      </c>
      <c r="H94" s="281">
        <v>0</v>
      </c>
      <c r="I94" s="214">
        <v>0</v>
      </c>
      <c r="J94" s="126">
        <f>SUM(G94:I94)</f>
        <v>0</v>
      </c>
    </row>
    <row r="95" spans="1:10" ht="14.95" thickBot="1" x14ac:dyDescent="0.3">
      <c r="A95" s="121" t="s">
        <v>574</v>
      </c>
      <c r="B95" s="77">
        <v>0</v>
      </c>
      <c r="C95" s="258">
        <v>0</v>
      </c>
      <c r="D95" s="237">
        <v>0</v>
      </c>
      <c r="E95" s="129">
        <f>SUM(B95:D95)</f>
        <v>0</v>
      </c>
      <c r="F95" s="123" t="s">
        <v>574</v>
      </c>
      <c r="G95" s="135">
        <v>0</v>
      </c>
      <c r="H95" s="281">
        <v>0</v>
      </c>
      <c r="I95" s="214">
        <v>0</v>
      </c>
      <c r="J95" s="126">
        <f>SUM(G95:I95)</f>
        <v>0</v>
      </c>
    </row>
    <row r="96" spans="1:10" ht="14.95" thickBot="1" x14ac:dyDescent="0.3">
      <c r="A96" s="121" t="s">
        <v>932</v>
      </c>
      <c r="B96" s="77">
        <v>0</v>
      </c>
      <c r="C96" s="258">
        <v>0</v>
      </c>
      <c r="D96" s="237">
        <v>0</v>
      </c>
      <c r="E96" s="129">
        <f>SUM(B96:D96)</f>
        <v>0</v>
      </c>
      <c r="F96" s="123" t="s">
        <v>932</v>
      </c>
      <c r="G96" s="135">
        <v>0</v>
      </c>
      <c r="H96" s="281">
        <v>0</v>
      </c>
      <c r="I96" s="214">
        <v>0</v>
      </c>
      <c r="J96" s="126">
        <f>SUM(G96:I96)</f>
        <v>0</v>
      </c>
    </row>
    <row r="97" spans="1:10" ht="14.95" thickBot="1" x14ac:dyDescent="0.3">
      <c r="A97" s="121" t="s">
        <v>845</v>
      </c>
      <c r="B97" s="77">
        <v>0</v>
      </c>
      <c r="C97" s="258">
        <v>0</v>
      </c>
      <c r="D97" s="237">
        <v>0</v>
      </c>
      <c r="E97" s="129">
        <f>SUM(B97:D97)</f>
        <v>0</v>
      </c>
      <c r="F97" s="123" t="s">
        <v>845</v>
      </c>
      <c r="G97" s="135">
        <v>0</v>
      </c>
      <c r="H97" s="281">
        <v>0</v>
      </c>
      <c r="I97" s="214">
        <v>0</v>
      </c>
      <c r="J97" s="126">
        <f>SUM(G97:I97)</f>
        <v>0</v>
      </c>
    </row>
    <row r="98" spans="1:10" ht="14.95" thickBot="1" x14ac:dyDescent="0.3">
      <c r="A98" s="121" t="s">
        <v>940</v>
      </c>
      <c r="B98" s="77">
        <v>0</v>
      </c>
      <c r="C98" s="258">
        <v>0</v>
      </c>
      <c r="D98" s="237">
        <v>0</v>
      </c>
      <c r="E98" s="129">
        <f>SUM(B98:D98)</f>
        <v>0</v>
      </c>
      <c r="F98" s="123" t="s">
        <v>940</v>
      </c>
      <c r="G98" s="135">
        <v>0</v>
      </c>
      <c r="H98" s="281">
        <v>0</v>
      </c>
      <c r="I98" s="214">
        <v>0</v>
      </c>
      <c r="J98" s="126">
        <f>SUM(G98:I98)</f>
        <v>0</v>
      </c>
    </row>
    <row r="99" spans="1:10" ht="14.95" thickBot="1" x14ac:dyDescent="0.3">
      <c r="A99" s="121" t="s">
        <v>872</v>
      </c>
      <c r="B99" s="77">
        <v>0</v>
      </c>
      <c r="C99" s="258">
        <v>0</v>
      </c>
      <c r="D99" s="237">
        <v>0</v>
      </c>
      <c r="E99" s="129">
        <f>SUM(B99:D99)</f>
        <v>0</v>
      </c>
      <c r="F99" s="123" t="s">
        <v>872</v>
      </c>
      <c r="G99" s="135">
        <v>0</v>
      </c>
      <c r="H99" s="281">
        <v>0</v>
      </c>
      <c r="I99" s="214">
        <v>0</v>
      </c>
      <c r="J99" s="126">
        <f>SUM(G99:I99)</f>
        <v>0</v>
      </c>
    </row>
    <row r="100" spans="1:10" ht="14.95" thickBot="1" x14ac:dyDescent="0.3">
      <c r="A100" s="121" t="s">
        <v>711</v>
      </c>
      <c r="B100" s="77">
        <v>0</v>
      </c>
      <c r="C100" s="258">
        <v>0</v>
      </c>
      <c r="D100" s="237">
        <v>0</v>
      </c>
      <c r="E100" s="129">
        <f>SUM(B100:D100)</f>
        <v>0</v>
      </c>
      <c r="F100" s="123" t="s">
        <v>711</v>
      </c>
      <c r="G100" s="135">
        <v>0</v>
      </c>
      <c r="H100" s="281">
        <v>0</v>
      </c>
      <c r="I100" s="214">
        <v>0</v>
      </c>
      <c r="J100" s="126">
        <f>SUM(G100:I100)</f>
        <v>0</v>
      </c>
    </row>
    <row r="101" spans="1:10" ht="14.95" thickBot="1" x14ac:dyDescent="0.3">
      <c r="A101" s="121" t="s">
        <v>3</v>
      </c>
      <c r="B101" s="77">
        <f>SUM(B54:B100)</f>
        <v>65</v>
      </c>
      <c r="C101" s="258">
        <f>SUM(C54:C100)</f>
        <v>35</v>
      </c>
      <c r="D101" s="237">
        <f>SUM(D54:D100)</f>
        <v>42</v>
      </c>
      <c r="E101" s="129">
        <f>SUM(E54:E100)</f>
        <v>142</v>
      </c>
      <c r="F101" s="123" t="s">
        <v>3</v>
      </c>
      <c r="G101" s="135">
        <f>SUM(G54:G100)</f>
        <v>439</v>
      </c>
      <c r="H101" s="281">
        <f>SUM(H54:H100)</f>
        <v>246</v>
      </c>
      <c r="I101" s="214">
        <f>SUM(I54:I100)</f>
        <v>289</v>
      </c>
      <c r="J101" s="126">
        <f>SUM(J54:J100)</f>
        <v>974</v>
      </c>
    </row>
    <row r="102" spans="1:10" x14ac:dyDescent="0.25">
      <c r="A102" s="447" t="s">
        <v>34</v>
      </c>
      <c r="B102" s="485"/>
      <c r="C102" s="485"/>
    </row>
  </sheetData>
  <sortState xmlns:xlrd2="http://schemas.microsoft.com/office/spreadsheetml/2017/richdata2" ref="F54:J100">
    <sortCondition descending="1" ref="J54:J100"/>
  </sortState>
  <mergeCells count="63">
    <mergeCell ref="A102:C102"/>
    <mergeCell ref="A1:J1"/>
    <mergeCell ref="T1:V2"/>
    <mergeCell ref="K12:K13"/>
    <mergeCell ref="K1:K2"/>
    <mergeCell ref="L1:N2"/>
    <mergeCell ref="O1:Q2"/>
    <mergeCell ref="L12:N13"/>
    <mergeCell ref="AE1:AG2"/>
    <mergeCell ref="AE12:AG13"/>
    <mergeCell ref="AE20:AG21"/>
    <mergeCell ref="AE28:AG29"/>
    <mergeCell ref="R1:S2"/>
    <mergeCell ref="W1:Y2"/>
    <mergeCell ref="AB1:AD2"/>
    <mergeCell ref="BF1:BH2"/>
    <mergeCell ref="AQ20:AS21"/>
    <mergeCell ref="AT20:AV21"/>
    <mergeCell ref="AN20:AP21"/>
    <mergeCell ref="AN1:AP2"/>
    <mergeCell ref="AT1:AV2"/>
    <mergeCell ref="AT12:AV13"/>
    <mergeCell ref="AQ1:AS2"/>
    <mergeCell ref="AQ12:AS13"/>
    <mergeCell ref="AW20:AY21"/>
    <mergeCell ref="AZ20:BB21"/>
    <mergeCell ref="BC1:BE2"/>
    <mergeCell ref="AZ1:BB2"/>
    <mergeCell ref="AW1:AY2"/>
    <mergeCell ref="AZ12:BB13"/>
    <mergeCell ref="AW12:AY13"/>
    <mergeCell ref="AH1:AJ2"/>
    <mergeCell ref="AH12:AJ13"/>
    <mergeCell ref="AH20:AJ21"/>
    <mergeCell ref="AH28:AJ29"/>
    <mergeCell ref="AK28:AM29"/>
    <mergeCell ref="AK1:AM2"/>
    <mergeCell ref="AK12:AM13"/>
    <mergeCell ref="AK20:AM21"/>
    <mergeCell ref="AT28:AV29"/>
    <mergeCell ref="AQ28:AS29"/>
    <mergeCell ref="AN28:AP29"/>
    <mergeCell ref="O20:Q21"/>
    <mergeCell ref="K28:K29"/>
    <mergeCell ref="L28:N29"/>
    <mergeCell ref="AB20:AD21"/>
    <mergeCell ref="AB28:AD29"/>
    <mergeCell ref="AN12:AP13"/>
    <mergeCell ref="K38:R38"/>
    <mergeCell ref="A51:H51"/>
    <mergeCell ref="K36:W36"/>
    <mergeCell ref="K37:Y37"/>
    <mergeCell ref="U28:W29"/>
    <mergeCell ref="R28:T29"/>
    <mergeCell ref="O28:Q29"/>
    <mergeCell ref="R12:T13"/>
    <mergeCell ref="U12:W13"/>
    <mergeCell ref="O12:Q13"/>
    <mergeCell ref="K20:K21"/>
    <mergeCell ref="L20:N21"/>
    <mergeCell ref="U20:W21"/>
    <mergeCell ref="R20:T21"/>
    <mergeCell ref="AB12:AD13"/>
  </mergeCells>
  <pageMargins left="0.7" right="0.7" top="0.75" bottom="0.75" header="0.3" footer="0.3"/>
  <pageSetup paperSize="9" orientation="portrait" r:id="rId1"/>
  <ignoredErrors>
    <ignoredError sqref="E23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BL104"/>
  <sheetViews>
    <sheetView zoomScaleNormal="100" workbookViewId="0">
      <selection activeCell="F12" sqref="F12"/>
    </sheetView>
  </sheetViews>
  <sheetFormatPr defaultColWidth="8.875" defaultRowHeight="14.3" x14ac:dyDescent="0.25"/>
  <cols>
    <col min="1" max="1" width="18.375" bestFit="1" customWidth="1"/>
    <col min="2" max="2" width="3.75" customWidth="1"/>
    <col min="3" max="4" width="4.125" customWidth="1"/>
    <col min="5" max="5" width="4.75" customWidth="1"/>
    <col min="6" max="6" width="18.375" bestFit="1" customWidth="1"/>
    <col min="7" max="10" width="5.25" customWidth="1"/>
    <col min="11" max="11" width="16.75" customWidth="1"/>
    <col min="12" max="49" width="5.75" customWidth="1"/>
    <col min="50" max="52" width="5.625" customWidth="1"/>
  </cols>
  <sheetData>
    <row r="1" spans="1:64" ht="14.95" customHeight="1" thickBot="1" x14ac:dyDescent="0.3">
      <c r="A1" s="548" t="s">
        <v>902</v>
      </c>
      <c r="B1" s="549"/>
      <c r="C1" s="549"/>
      <c r="D1" s="549"/>
      <c r="E1" s="549"/>
      <c r="F1" s="549"/>
      <c r="G1" s="549"/>
      <c r="H1" s="549"/>
      <c r="I1" s="549"/>
      <c r="J1" s="550"/>
      <c r="K1" s="467" t="s">
        <v>187</v>
      </c>
      <c r="L1" s="457" t="s">
        <v>14</v>
      </c>
      <c r="M1" s="461"/>
      <c r="N1" s="458"/>
      <c r="O1" s="457" t="s">
        <v>40</v>
      </c>
      <c r="P1" s="461"/>
      <c r="Q1" s="458"/>
      <c r="R1" s="457" t="s">
        <v>186</v>
      </c>
      <c r="S1" s="458"/>
      <c r="T1" s="449" t="s">
        <v>226</v>
      </c>
      <c r="U1" s="450"/>
      <c r="V1" s="451"/>
      <c r="W1" s="449" t="s">
        <v>875</v>
      </c>
      <c r="X1" s="450"/>
      <c r="Y1" s="451"/>
      <c r="Z1" s="195"/>
      <c r="AA1" s="160"/>
      <c r="AB1" s="196"/>
      <c r="AC1" s="449" t="s">
        <v>581</v>
      </c>
      <c r="AD1" s="450"/>
      <c r="AE1" s="451"/>
      <c r="AF1" s="449" t="s">
        <v>477</v>
      </c>
      <c r="AG1" s="450"/>
      <c r="AH1" s="451"/>
      <c r="AI1" s="449" t="s">
        <v>391</v>
      </c>
      <c r="AJ1" s="450"/>
      <c r="AK1" s="451"/>
      <c r="AL1" s="449" t="s">
        <v>300</v>
      </c>
      <c r="AM1" s="450"/>
      <c r="AN1" s="451"/>
      <c r="AO1" s="449" t="s">
        <v>219</v>
      </c>
      <c r="AP1" s="450"/>
      <c r="AQ1" s="451"/>
      <c r="AR1" s="449" t="s">
        <v>165</v>
      </c>
      <c r="AS1" s="450"/>
      <c r="AT1" s="451"/>
      <c r="AU1" s="449" t="s">
        <v>78</v>
      </c>
      <c r="AV1" s="450"/>
      <c r="AW1" s="451"/>
      <c r="AX1" s="449" t="s">
        <v>54</v>
      </c>
      <c r="AY1" s="450"/>
      <c r="AZ1" s="451"/>
      <c r="BA1" s="449" t="s">
        <v>50</v>
      </c>
      <c r="BB1" s="450"/>
      <c r="BC1" s="451"/>
      <c r="BD1" s="449" t="s">
        <v>37</v>
      </c>
      <c r="BE1" s="450"/>
      <c r="BF1" s="451"/>
      <c r="BG1" s="4"/>
      <c r="BH1" s="4"/>
      <c r="BI1" s="4"/>
      <c r="BL1" s="4"/>
    </row>
    <row r="2" spans="1:64" ht="14.95" customHeight="1" thickBot="1" x14ac:dyDescent="0.3">
      <c r="A2" s="310" t="s">
        <v>0</v>
      </c>
      <c r="B2" s="311" t="s">
        <v>218</v>
      </c>
      <c r="C2" s="312" t="s">
        <v>30</v>
      </c>
      <c r="D2" s="313" t="s">
        <v>326</v>
      </c>
      <c r="E2" s="314" t="s">
        <v>1</v>
      </c>
      <c r="F2" s="306" t="s">
        <v>2</v>
      </c>
      <c r="G2" s="143" t="s">
        <v>218</v>
      </c>
      <c r="H2" s="282" t="s">
        <v>30</v>
      </c>
      <c r="I2" s="223" t="s">
        <v>326</v>
      </c>
      <c r="J2" s="108" t="s">
        <v>1</v>
      </c>
      <c r="K2" s="468"/>
      <c r="L2" s="459"/>
      <c r="M2" s="462"/>
      <c r="N2" s="460"/>
      <c r="O2" s="459"/>
      <c r="P2" s="462"/>
      <c r="Q2" s="460"/>
      <c r="R2" s="459"/>
      <c r="S2" s="460"/>
      <c r="T2" s="452"/>
      <c r="U2" s="453"/>
      <c r="V2" s="454"/>
      <c r="W2" s="452"/>
      <c r="X2" s="453"/>
      <c r="Y2" s="454"/>
      <c r="Z2" s="195"/>
      <c r="AA2" s="160"/>
      <c r="AB2" s="196"/>
      <c r="AC2" s="452"/>
      <c r="AD2" s="453"/>
      <c r="AE2" s="454"/>
      <c r="AF2" s="452"/>
      <c r="AG2" s="453"/>
      <c r="AH2" s="454"/>
      <c r="AI2" s="452"/>
      <c r="AJ2" s="453"/>
      <c r="AK2" s="454"/>
      <c r="AL2" s="452"/>
      <c r="AM2" s="453"/>
      <c r="AN2" s="454"/>
      <c r="AO2" s="452"/>
      <c r="AP2" s="453"/>
      <c r="AQ2" s="454"/>
      <c r="AR2" s="452"/>
      <c r="AS2" s="453"/>
      <c r="AT2" s="454"/>
      <c r="AU2" s="452"/>
      <c r="AV2" s="453"/>
      <c r="AW2" s="454"/>
      <c r="AX2" s="452"/>
      <c r="AY2" s="453"/>
      <c r="AZ2" s="454"/>
      <c r="BA2" s="452"/>
      <c r="BB2" s="453"/>
      <c r="BC2" s="454"/>
      <c r="BD2" s="452"/>
      <c r="BE2" s="453"/>
      <c r="BF2" s="454"/>
    </row>
    <row r="3" spans="1:64" ht="14.95" customHeight="1" thickBot="1" x14ac:dyDescent="0.3">
      <c r="A3" s="309" t="s">
        <v>725</v>
      </c>
      <c r="B3" s="315">
        <v>1</v>
      </c>
      <c r="C3" s="316">
        <v>0</v>
      </c>
      <c r="D3" s="317">
        <v>0</v>
      </c>
      <c r="E3" s="318">
        <f t="shared" ref="E3:E50" si="0">SUM(B3:D3)</f>
        <v>1</v>
      </c>
      <c r="F3" s="307" t="s">
        <v>725</v>
      </c>
      <c r="G3" s="144">
        <v>5</v>
      </c>
      <c r="H3" s="283">
        <v>0</v>
      </c>
      <c r="I3" s="224">
        <v>0</v>
      </c>
      <c r="J3" s="75">
        <f t="shared" ref="J3:J42" si="1">SUM(G3:I3)</f>
        <v>5</v>
      </c>
      <c r="K3" s="217" t="s">
        <v>21</v>
      </c>
      <c r="L3" s="3" t="s">
        <v>46</v>
      </c>
      <c r="M3" s="3" t="s">
        <v>9</v>
      </c>
      <c r="N3" s="3" t="s">
        <v>10</v>
      </c>
      <c r="O3" s="3" t="s">
        <v>46</v>
      </c>
      <c r="P3" s="3" t="s">
        <v>9</v>
      </c>
      <c r="Q3" s="3" t="s">
        <v>10</v>
      </c>
      <c r="R3" s="3" t="s">
        <v>187</v>
      </c>
      <c r="S3" s="3" t="s">
        <v>58</v>
      </c>
      <c r="T3" s="7" t="s">
        <v>46</v>
      </c>
      <c r="U3" s="7" t="s">
        <v>9</v>
      </c>
      <c r="V3" s="7" t="s">
        <v>10</v>
      </c>
      <c r="W3" s="148" t="s">
        <v>46</v>
      </c>
      <c r="X3" s="7" t="s">
        <v>9</v>
      </c>
      <c r="Y3" s="7" t="s">
        <v>10</v>
      </c>
      <c r="Z3" s="93"/>
      <c r="AA3" s="94"/>
      <c r="AB3" s="197"/>
      <c r="AC3" s="148" t="s">
        <v>46</v>
      </c>
      <c r="AD3" s="7" t="s">
        <v>9</v>
      </c>
      <c r="AE3" s="7" t="s">
        <v>10</v>
      </c>
      <c r="AF3" s="148" t="s">
        <v>46</v>
      </c>
      <c r="AG3" s="7" t="s">
        <v>9</v>
      </c>
      <c r="AH3" s="7" t="s">
        <v>10</v>
      </c>
      <c r="AI3" s="148" t="s">
        <v>46</v>
      </c>
      <c r="AJ3" s="7" t="s">
        <v>9</v>
      </c>
      <c r="AK3" s="7" t="s">
        <v>10</v>
      </c>
      <c r="AL3" s="148" t="s">
        <v>46</v>
      </c>
      <c r="AM3" s="7" t="s">
        <v>9</v>
      </c>
      <c r="AN3" s="7" t="s">
        <v>10</v>
      </c>
      <c r="AO3" s="148" t="s">
        <v>46</v>
      </c>
      <c r="AP3" s="7" t="s">
        <v>9</v>
      </c>
      <c r="AQ3" s="7" t="s">
        <v>10</v>
      </c>
      <c r="AR3" s="148" t="s">
        <v>46</v>
      </c>
      <c r="AS3" s="7" t="s">
        <v>9</v>
      </c>
      <c r="AT3" s="7" t="s">
        <v>10</v>
      </c>
      <c r="AU3" s="148" t="s">
        <v>46</v>
      </c>
      <c r="AV3" s="7" t="s">
        <v>9</v>
      </c>
      <c r="AW3" s="7" t="s">
        <v>10</v>
      </c>
      <c r="AX3" s="148" t="s">
        <v>46</v>
      </c>
      <c r="AY3" s="7" t="s">
        <v>9</v>
      </c>
      <c r="AZ3" s="7" t="s">
        <v>10</v>
      </c>
      <c r="BA3" s="7" t="s">
        <v>46</v>
      </c>
      <c r="BB3" s="7" t="s">
        <v>9</v>
      </c>
      <c r="BC3" s="7" t="s">
        <v>10</v>
      </c>
      <c r="BD3" s="7" t="s">
        <v>46</v>
      </c>
      <c r="BE3" s="7" t="s">
        <v>9</v>
      </c>
      <c r="BF3" s="7" t="s">
        <v>10</v>
      </c>
    </row>
    <row r="4" spans="1:64" ht="14.95" customHeight="1" thickBot="1" x14ac:dyDescent="0.3">
      <c r="A4" s="309" t="s">
        <v>499</v>
      </c>
      <c r="B4" s="315">
        <v>0</v>
      </c>
      <c r="C4" s="316">
        <v>0</v>
      </c>
      <c r="D4" s="317">
        <v>1</v>
      </c>
      <c r="E4" s="318">
        <f t="shared" si="0"/>
        <v>1</v>
      </c>
      <c r="F4" s="307" t="s">
        <v>499</v>
      </c>
      <c r="G4" s="144">
        <v>0</v>
      </c>
      <c r="H4" s="283">
        <v>0</v>
      </c>
      <c r="I4" s="224">
        <v>5</v>
      </c>
      <c r="J4" s="75">
        <f t="shared" si="1"/>
        <v>5</v>
      </c>
      <c r="K4" s="309" t="s">
        <v>150</v>
      </c>
      <c r="L4" s="318" t="s">
        <v>15</v>
      </c>
      <c r="M4" s="318" t="s">
        <v>15</v>
      </c>
      <c r="N4" s="319" t="s">
        <v>15</v>
      </c>
      <c r="O4" s="318" t="s">
        <v>15</v>
      </c>
      <c r="P4" s="318" t="s">
        <v>15</v>
      </c>
      <c r="Q4" s="319" t="s">
        <v>15</v>
      </c>
      <c r="R4" s="318" t="s">
        <v>18</v>
      </c>
      <c r="S4" s="318">
        <v>-1</v>
      </c>
      <c r="T4" s="7" t="s">
        <v>15</v>
      </c>
      <c r="U4" s="7" t="s">
        <v>15</v>
      </c>
      <c r="V4" s="153" t="s">
        <v>15</v>
      </c>
      <c r="W4" s="7" t="s">
        <v>15</v>
      </c>
      <c r="X4" s="7" t="s">
        <v>15</v>
      </c>
      <c r="Y4" s="153" t="s">
        <v>15</v>
      </c>
      <c r="Z4" s="93"/>
      <c r="AA4" s="94"/>
      <c r="AB4" s="197"/>
      <c r="AC4" s="7" t="s">
        <v>15</v>
      </c>
      <c r="AD4" s="7" t="s">
        <v>15</v>
      </c>
      <c r="AE4" s="153" t="s">
        <v>15</v>
      </c>
      <c r="AF4" s="7" t="s">
        <v>15</v>
      </c>
      <c r="AG4" s="7" t="s">
        <v>15</v>
      </c>
      <c r="AH4" s="153" t="s">
        <v>15</v>
      </c>
      <c r="AI4" s="148" t="s">
        <v>15</v>
      </c>
      <c r="AJ4" s="7" t="s">
        <v>15</v>
      </c>
      <c r="AK4" s="7" t="s">
        <v>15</v>
      </c>
      <c r="AL4" s="148" t="s">
        <v>15</v>
      </c>
      <c r="AM4" s="7" t="s">
        <v>15</v>
      </c>
      <c r="AN4" s="7" t="s">
        <v>15</v>
      </c>
      <c r="AO4" s="148">
        <v>1</v>
      </c>
      <c r="AP4" s="7">
        <v>1</v>
      </c>
      <c r="AQ4" s="7">
        <v>100</v>
      </c>
      <c r="AR4" s="148" t="s">
        <v>15</v>
      </c>
      <c r="AS4" s="7" t="s">
        <v>15</v>
      </c>
      <c r="AT4" s="7" t="s">
        <v>15</v>
      </c>
      <c r="AU4" s="148">
        <v>1</v>
      </c>
      <c r="AV4" s="7">
        <v>2</v>
      </c>
      <c r="AW4" s="153">
        <f t="shared" ref="AW4" si="2">SUM(AU4/AV4)*100</f>
        <v>50</v>
      </c>
      <c r="AX4" s="148" t="s">
        <v>15</v>
      </c>
      <c r="AY4" s="7" t="s">
        <v>15</v>
      </c>
      <c r="AZ4" s="7" t="s">
        <v>15</v>
      </c>
      <c r="BA4" s="7" t="s">
        <v>15</v>
      </c>
      <c r="BB4" s="7" t="s">
        <v>15</v>
      </c>
      <c r="BC4" s="7" t="s">
        <v>15</v>
      </c>
      <c r="BD4" s="7" t="s">
        <v>15</v>
      </c>
      <c r="BE4" s="7" t="s">
        <v>15</v>
      </c>
      <c r="BF4" s="7" t="s">
        <v>15</v>
      </c>
    </row>
    <row r="5" spans="1:64" ht="14.95" customHeight="1" thickBot="1" x14ac:dyDescent="0.3">
      <c r="A5" s="309" t="s">
        <v>728</v>
      </c>
      <c r="B5" s="315">
        <v>0</v>
      </c>
      <c r="C5" s="316">
        <v>1</v>
      </c>
      <c r="D5" s="317">
        <v>2</v>
      </c>
      <c r="E5" s="318">
        <f t="shared" si="0"/>
        <v>3</v>
      </c>
      <c r="F5" s="308" t="s">
        <v>728</v>
      </c>
      <c r="G5" s="144">
        <v>0</v>
      </c>
      <c r="H5" s="283">
        <v>5</v>
      </c>
      <c r="I5" s="224">
        <v>10</v>
      </c>
      <c r="J5" s="75">
        <f t="shared" si="1"/>
        <v>15</v>
      </c>
      <c r="K5" s="309" t="s">
        <v>97</v>
      </c>
      <c r="L5" s="318" t="s">
        <v>15</v>
      </c>
      <c r="M5" s="318" t="s">
        <v>15</v>
      </c>
      <c r="N5" s="319" t="s">
        <v>15</v>
      </c>
      <c r="O5" s="318" t="s">
        <v>15</v>
      </c>
      <c r="P5" s="318" t="s">
        <v>15</v>
      </c>
      <c r="Q5" s="319" t="s">
        <v>15</v>
      </c>
      <c r="R5" s="318">
        <v>-1</v>
      </c>
      <c r="S5" s="318">
        <v>-1</v>
      </c>
      <c r="T5" s="7">
        <v>1</v>
      </c>
      <c r="U5" s="7">
        <v>2</v>
      </c>
      <c r="V5" s="153">
        <v>50</v>
      </c>
      <c r="W5" s="7" t="s">
        <v>15</v>
      </c>
      <c r="X5" s="7" t="s">
        <v>15</v>
      </c>
      <c r="Y5" s="153" t="s">
        <v>15</v>
      </c>
      <c r="Z5" s="93"/>
      <c r="AA5" s="94"/>
      <c r="AB5" s="197"/>
      <c r="AC5" s="7">
        <v>0</v>
      </c>
      <c r="AD5" s="7">
        <v>1</v>
      </c>
      <c r="AE5" s="153">
        <v>0</v>
      </c>
      <c r="AF5" s="7">
        <v>2</v>
      </c>
      <c r="AG5" s="7">
        <v>6</v>
      </c>
      <c r="AH5" s="153">
        <f t="shared" ref="AH5" si="3">SUM(AF5/AG5)*100</f>
        <v>33.333333333333329</v>
      </c>
      <c r="AI5" s="148" t="s">
        <v>15</v>
      </c>
      <c r="AJ5" s="7" t="s">
        <v>15</v>
      </c>
      <c r="AK5" s="153" t="s">
        <v>15</v>
      </c>
      <c r="AL5" s="148">
        <v>0</v>
      </c>
      <c r="AM5" s="7">
        <v>2</v>
      </c>
      <c r="AN5" s="153">
        <v>0</v>
      </c>
      <c r="AO5" s="148">
        <v>0</v>
      </c>
      <c r="AP5" s="7">
        <v>1</v>
      </c>
      <c r="AQ5" s="153">
        <f t="shared" ref="AQ5" si="4">SUM(AO5/AP5)*100</f>
        <v>0</v>
      </c>
      <c r="AR5" s="148" t="s">
        <v>15</v>
      </c>
      <c r="AS5" s="7" t="s">
        <v>15</v>
      </c>
      <c r="AT5" s="7" t="s">
        <v>15</v>
      </c>
      <c r="AU5" s="148" t="s">
        <v>15</v>
      </c>
      <c r="AV5" s="7" t="s">
        <v>15</v>
      </c>
      <c r="AW5" s="7" t="s">
        <v>15</v>
      </c>
      <c r="AX5" s="148" t="s">
        <v>15</v>
      </c>
      <c r="AY5" s="7" t="s">
        <v>15</v>
      </c>
      <c r="AZ5" s="7" t="s">
        <v>15</v>
      </c>
      <c r="BA5" s="7" t="s">
        <v>15</v>
      </c>
      <c r="BB5" s="7" t="s">
        <v>15</v>
      </c>
      <c r="BC5" s="7" t="s">
        <v>15</v>
      </c>
      <c r="BD5" s="7" t="s">
        <v>15</v>
      </c>
      <c r="BE5" s="7" t="s">
        <v>15</v>
      </c>
      <c r="BF5" s="7" t="s">
        <v>15</v>
      </c>
    </row>
    <row r="6" spans="1:64" ht="14.95" customHeight="1" thickBot="1" x14ac:dyDescent="0.3">
      <c r="A6" s="309" t="s">
        <v>150</v>
      </c>
      <c r="B6" s="315">
        <v>0</v>
      </c>
      <c r="C6" s="316">
        <v>0</v>
      </c>
      <c r="D6" s="317">
        <v>0</v>
      </c>
      <c r="E6" s="318">
        <f t="shared" si="0"/>
        <v>0</v>
      </c>
      <c r="F6" s="308" t="s">
        <v>150</v>
      </c>
      <c r="G6" s="144">
        <v>0</v>
      </c>
      <c r="H6" s="283">
        <v>0</v>
      </c>
      <c r="I6" s="224">
        <v>0</v>
      </c>
      <c r="J6" s="75">
        <f t="shared" si="1"/>
        <v>0</v>
      </c>
      <c r="K6" s="309" t="s">
        <v>152</v>
      </c>
      <c r="L6" s="318">
        <v>8</v>
      </c>
      <c r="M6" s="318">
        <v>9</v>
      </c>
      <c r="N6" s="319">
        <f t="shared" ref="N6" si="5">SUM(L6/M6)*100</f>
        <v>88.888888888888886</v>
      </c>
      <c r="O6" s="318" t="s">
        <v>15</v>
      </c>
      <c r="P6" s="318" t="s">
        <v>15</v>
      </c>
      <c r="Q6" s="319" t="s">
        <v>15</v>
      </c>
      <c r="R6" s="318">
        <v>2</v>
      </c>
      <c r="S6" s="318">
        <v>3</v>
      </c>
      <c r="T6" s="7">
        <v>38</v>
      </c>
      <c r="U6" s="7">
        <v>55</v>
      </c>
      <c r="V6" s="153">
        <v>69.090909090909093</v>
      </c>
      <c r="W6" s="7">
        <v>17</v>
      </c>
      <c r="X6" s="7">
        <v>23</v>
      </c>
      <c r="Y6" s="153">
        <v>73.91304347826086</v>
      </c>
      <c r="Z6" s="93"/>
      <c r="AA6" s="94"/>
      <c r="AB6" s="197"/>
      <c r="AC6" s="7">
        <v>63</v>
      </c>
      <c r="AD6" s="7">
        <v>85</v>
      </c>
      <c r="AE6" s="153">
        <v>74.117647058823536</v>
      </c>
      <c r="AF6" s="7">
        <v>24</v>
      </c>
      <c r="AG6" s="7">
        <v>30</v>
      </c>
      <c r="AH6" s="153">
        <f t="shared" ref="AH6" si="6">SUM(AF6/AG6)*100</f>
        <v>80</v>
      </c>
      <c r="AI6" s="148">
        <v>21</v>
      </c>
      <c r="AJ6" s="7">
        <v>29</v>
      </c>
      <c r="AK6" s="153">
        <f t="shared" ref="AK6" si="7">SUM(AI6/AJ6)*100</f>
        <v>72.41379310344827</v>
      </c>
      <c r="AL6" s="148">
        <v>52</v>
      </c>
      <c r="AM6" s="7">
        <v>77</v>
      </c>
      <c r="AN6" s="153">
        <f t="shared" ref="AN6" si="8">SUM(AL6/AM6)*100</f>
        <v>67.532467532467535</v>
      </c>
      <c r="AO6" s="148">
        <v>26</v>
      </c>
      <c r="AP6" s="7">
        <v>34</v>
      </c>
      <c r="AQ6" s="153">
        <f t="shared" ref="AQ6" si="9">SUM(AO6/AP6)*100</f>
        <v>76.470588235294116</v>
      </c>
      <c r="AR6" s="148" t="s">
        <v>15</v>
      </c>
      <c r="AS6" s="7" t="s">
        <v>15</v>
      </c>
      <c r="AT6" s="7" t="s">
        <v>15</v>
      </c>
      <c r="AU6" s="148" t="s">
        <v>15</v>
      </c>
      <c r="AV6" s="7" t="s">
        <v>15</v>
      </c>
      <c r="AW6" s="7" t="s">
        <v>15</v>
      </c>
      <c r="AX6" s="7" t="s">
        <v>15</v>
      </c>
      <c r="AY6" s="7" t="s">
        <v>15</v>
      </c>
      <c r="AZ6" s="7" t="s">
        <v>15</v>
      </c>
      <c r="BA6" s="7" t="s">
        <v>15</v>
      </c>
      <c r="BB6" s="7" t="s">
        <v>15</v>
      </c>
      <c r="BC6" s="7" t="s">
        <v>15</v>
      </c>
      <c r="BD6" s="7" t="s">
        <v>15</v>
      </c>
      <c r="BE6" s="7" t="s">
        <v>15</v>
      </c>
      <c r="BF6" s="7" t="s">
        <v>15</v>
      </c>
    </row>
    <row r="7" spans="1:64" ht="14.95" customHeight="1" thickBot="1" x14ac:dyDescent="0.3">
      <c r="A7" s="309" t="s">
        <v>353</v>
      </c>
      <c r="B7" s="315">
        <v>0</v>
      </c>
      <c r="C7" s="316">
        <v>0</v>
      </c>
      <c r="D7" s="317">
        <v>0</v>
      </c>
      <c r="E7" s="318">
        <f t="shared" si="0"/>
        <v>0</v>
      </c>
      <c r="F7" s="308" t="s">
        <v>353</v>
      </c>
      <c r="G7" s="144">
        <v>0</v>
      </c>
      <c r="H7" s="283">
        <v>0</v>
      </c>
      <c r="I7" s="224">
        <v>0</v>
      </c>
      <c r="J7" s="75">
        <f t="shared" si="1"/>
        <v>0</v>
      </c>
      <c r="K7" s="309" t="s">
        <v>466</v>
      </c>
      <c r="L7" s="318">
        <v>35</v>
      </c>
      <c r="M7" s="318">
        <v>45</v>
      </c>
      <c r="N7" s="319">
        <f t="shared" ref="N7" si="10">SUM(L7/M7)*100</f>
        <v>77.777777777777786</v>
      </c>
      <c r="O7" s="318">
        <v>3</v>
      </c>
      <c r="P7" s="318">
        <v>3</v>
      </c>
      <c r="Q7" s="319">
        <f t="shared" ref="Q7" si="11">SUM(O7/P7)*100</f>
        <v>100</v>
      </c>
      <c r="R7" s="318">
        <v>1</v>
      </c>
      <c r="S7" s="318">
        <v>9</v>
      </c>
      <c r="T7" s="7">
        <v>39</v>
      </c>
      <c r="U7" s="7">
        <v>47</v>
      </c>
      <c r="V7" s="153">
        <v>82.978723404255319</v>
      </c>
      <c r="W7" s="7">
        <v>43</v>
      </c>
      <c r="X7" s="7">
        <v>62</v>
      </c>
      <c r="Y7" s="153">
        <v>69.354838709677423</v>
      </c>
      <c r="Z7" s="93"/>
      <c r="AA7" s="94"/>
      <c r="AB7" s="197"/>
      <c r="AC7" s="7">
        <v>26</v>
      </c>
      <c r="AD7" s="7">
        <v>30</v>
      </c>
      <c r="AE7" s="153">
        <v>86.666666666666671</v>
      </c>
      <c r="AF7" s="7">
        <v>81</v>
      </c>
      <c r="AG7" s="7">
        <v>109</v>
      </c>
      <c r="AH7" s="153">
        <v>74.311926605504581</v>
      </c>
      <c r="AI7" s="148">
        <v>27</v>
      </c>
      <c r="AJ7" s="7">
        <v>32</v>
      </c>
      <c r="AK7" s="153">
        <v>84.375</v>
      </c>
      <c r="AL7" s="148">
        <v>35</v>
      </c>
      <c r="AM7" s="7">
        <v>40</v>
      </c>
      <c r="AN7" s="153">
        <v>87.5</v>
      </c>
      <c r="AO7" s="148">
        <v>77</v>
      </c>
      <c r="AP7" s="7">
        <v>91</v>
      </c>
      <c r="AQ7" s="153">
        <v>84.615384615384613</v>
      </c>
      <c r="AR7" s="148">
        <v>61</v>
      </c>
      <c r="AS7" s="7">
        <v>77</v>
      </c>
      <c r="AT7" s="7">
        <v>79</v>
      </c>
      <c r="AU7" s="148">
        <v>51</v>
      </c>
      <c r="AV7" s="7">
        <v>70</v>
      </c>
      <c r="AW7" s="7">
        <v>73</v>
      </c>
      <c r="AX7" s="148">
        <v>37</v>
      </c>
      <c r="AY7" s="7">
        <v>50</v>
      </c>
      <c r="AZ7" s="7">
        <v>74</v>
      </c>
      <c r="BA7" s="7">
        <v>85</v>
      </c>
      <c r="BB7" s="7">
        <v>102</v>
      </c>
      <c r="BC7" s="7">
        <v>83</v>
      </c>
      <c r="BD7" s="7">
        <v>87</v>
      </c>
      <c r="BE7" s="7">
        <v>122</v>
      </c>
      <c r="BF7" s="7">
        <v>71</v>
      </c>
    </row>
    <row r="8" spans="1:64" ht="14.95" customHeight="1" thickBot="1" x14ac:dyDescent="0.3">
      <c r="A8" s="309" t="s">
        <v>1092</v>
      </c>
      <c r="B8" s="315">
        <v>0</v>
      </c>
      <c r="C8" s="316">
        <v>0</v>
      </c>
      <c r="D8" s="317">
        <v>1</v>
      </c>
      <c r="E8" s="318">
        <f t="shared" si="0"/>
        <v>1</v>
      </c>
      <c r="F8" s="308" t="s">
        <v>1092</v>
      </c>
      <c r="G8" s="144">
        <v>0</v>
      </c>
      <c r="H8" s="283">
        <v>0</v>
      </c>
      <c r="I8" s="224">
        <v>5</v>
      </c>
      <c r="J8" s="75">
        <f t="shared" si="1"/>
        <v>5</v>
      </c>
      <c r="K8" s="309" t="s">
        <v>340</v>
      </c>
      <c r="L8" s="318" t="s">
        <v>15</v>
      </c>
      <c r="M8" s="318" t="s">
        <v>15</v>
      </c>
      <c r="N8" s="319" t="s">
        <v>15</v>
      </c>
      <c r="O8" s="318" t="s">
        <v>15</v>
      </c>
      <c r="P8" s="318" t="s">
        <v>15</v>
      </c>
      <c r="Q8" s="319" t="s">
        <v>15</v>
      </c>
      <c r="R8" s="318" t="s">
        <v>18</v>
      </c>
      <c r="S8" s="318">
        <v>2</v>
      </c>
      <c r="T8" s="7" t="s">
        <v>15</v>
      </c>
      <c r="U8" s="7" t="s">
        <v>15</v>
      </c>
      <c r="V8" s="153" t="s">
        <v>15</v>
      </c>
      <c r="W8" s="7" t="s">
        <v>15</v>
      </c>
      <c r="X8" s="7" t="s">
        <v>15</v>
      </c>
      <c r="Y8" s="153" t="s">
        <v>15</v>
      </c>
      <c r="Z8" s="93"/>
      <c r="AA8" s="94"/>
      <c r="AB8" s="197"/>
      <c r="AC8" s="7" t="s">
        <v>15</v>
      </c>
      <c r="AD8" s="7" t="s">
        <v>15</v>
      </c>
      <c r="AE8" s="153" t="s">
        <v>15</v>
      </c>
      <c r="AF8" s="7" t="s">
        <v>15</v>
      </c>
      <c r="AG8" s="7" t="s">
        <v>15</v>
      </c>
      <c r="AH8" s="153" t="s">
        <v>15</v>
      </c>
      <c r="AI8" s="7" t="s">
        <v>15</v>
      </c>
      <c r="AJ8" s="7" t="s">
        <v>15</v>
      </c>
      <c r="AK8" s="153" t="s">
        <v>15</v>
      </c>
      <c r="AL8" s="7" t="s">
        <v>15</v>
      </c>
      <c r="AM8" s="7" t="s">
        <v>15</v>
      </c>
      <c r="AN8" s="153" t="s">
        <v>15</v>
      </c>
      <c r="AO8" s="7" t="s">
        <v>15</v>
      </c>
      <c r="AP8" s="7" t="s">
        <v>15</v>
      </c>
      <c r="AQ8" s="153" t="s">
        <v>15</v>
      </c>
      <c r="AR8" s="7" t="s">
        <v>15</v>
      </c>
      <c r="AS8" s="7" t="s">
        <v>15</v>
      </c>
      <c r="AT8" s="153" t="s">
        <v>15</v>
      </c>
      <c r="AU8" s="7" t="s">
        <v>15</v>
      </c>
      <c r="AV8" s="7" t="s">
        <v>15</v>
      </c>
      <c r="AW8" s="153" t="s">
        <v>15</v>
      </c>
      <c r="AX8" s="7" t="s">
        <v>15</v>
      </c>
      <c r="AY8" s="7" t="s">
        <v>15</v>
      </c>
      <c r="AZ8" s="153" t="s">
        <v>15</v>
      </c>
      <c r="BA8" s="7" t="s">
        <v>15</v>
      </c>
      <c r="BB8" s="7" t="s">
        <v>15</v>
      </c>
      <c r="BC8" s="153" t="s">
        <v>15</v>
      </c>
      <c r="BD8" s="7" t="s">
        <v>15</v>
      </c>
      <c r="BE8" s="7" t="s">
        <v>15</v>
      </c>
      <c r="BF8" s="153" t="s">
        <v>15</v>
      </c>
    </row>
    <row r="9" spans="1:64" ht="14.95" customHeight="1" thickBot="1" x14ac:dyDescent="0.3">
      <c r="A9" s="309" t="s">
        <v>810</v>
      </c>
      <c r="B9" s="315">
        <v>0</v>
      </c>
      <c r="C9" s="316">
        <v>0</v>
      </c>
      <c r="D9" s="317">
        <v>0</v>
      </c>
      <c r="E9" s="318">
        <f t="shared" si="0"/>
        <v>0</v>
      </c>
      <c r="F9" s="308" t="s">
        <v>810</v>
      </c>
      <c r="G9" s="144">
        <v>0</v>
      </c>
      <c r="H9" s="283">
        <v>0</v>
      </c>
      <c r="I9" s="224">
        <v>0</v>
      </c>
      <c r="J9" s="75">
        <f t="shared" si="1"/>
        <v>0</v>
      </c>
    </row>
    <row r="10" spans="1:64" ht="14.95" customHeight="1" thickBot="1" x14ac:dyDescent="0.3">
      <c r="A10" s="309" t="s">
        <v>439</v>
      </c>
      <c r="B10" s="315">
        <v>0</v>
      </c>
      <c r="C10" s="316">
        <v>0</v>
      </c>
      <c r="D10" s="317">
        <v>2</v>
      </c>
      <c r="E10" s="318">
        <f t="shared" si="0"/>
        <v>2</v>
      </c>
      <c r="F10" s="308" t="s">
        <v>439</v>
      </c>
      <c r="G10" s="144">
        <v>0</v>
      </c>
      <c r="H10" s="283">
        <v>0</v>
      </c>
      <c r="I10" s="224">
        <v>10</v>
      </c>
      <c r="J10" s="75">
        <f t="shared" si="1"/>
        <v>10</v>
      </c>
      <c r="K10" s="530" t="s">
        <v>188</v>
      </c>
      <c r="L10" s="457" t="s">
        <v>14</v>
      </c>
      <c r="M10" s="461"/>
      <c r="N10" s="458"/>
      <c r="O10" s="449" t="s">
        <v>226</v>
      </c>
      <c r="P10" s="450"/>
      <c r="Q10" s="451"/>
      <c r="R10" s="449" t="s">
        <v>875</v>
      </c>
      <c r="S10" s="450"/>
      <c r="T10" s="451"/>
      <c r="U10" s="449" t="s">
        <v>581</v>
      </c>
      <c r="V10" s="450"/>
      <c r="W10" s="451"/>
      <c r="X10" s="85"/>
      <c r="Y10" s="85"/>
      <c r="Z10" s="85"/>
      <c r="AC10" s="449" t="s">
        <v>477</v>
      </c>
      <c r="AD10" s="450"/>
      <c r="AE10" s="451"/>
      <c r="AF10" s="449" t="s">
        <v>391</v>
      </c>
      <c r="AG10" s="450"/>
      <c r="AH10" s="451"/>
      <c r="AI10" s="449" t="s">
        <v>300</v>
      </c>
      <c r="AJ10" s="450"/>
      <c r="AK10" s="451"/>
      <c r="AL10" s="478" t="s">
        <v>219</v>
      </c>
      <c r="AM10" s="479"/>
      <c r="AN10" s="480"/>
      <c r="AO10" s="478" t="s">
        <v>165</v>
      </c>
      <c r="AP10" s="479"/>
      <c r="AQ10" s="480"/>
      <c r="AR10" s="478" t="s">
        <v>78</v>
      </c>
      <c r="AS10" s="479"/>
      <c r="AT10" s="480"/>
      <c r="AU10" s="478" t="s">
        <v>54</v>
      </c>
      <c r="AV10" s="479"/>
      <c r="AW10" s="480"/>
      <c r="AX10" s="478" t="s">
        <v>50</v>
      </c>
      <c r="AY10" s="479"/>
      <c r="AZ10" s="480"/>
      <c r="BA10" s="478" t="s">
        <v>37</v>
      </c>
      <c r="BB10" s="479"/>
      <c r="BC10" s="480"/>
    </row>
    <row r="11" spans="1:64" ht="14.95" customHeight="1" thickBot="1" x14ac:dyDescent="0.3">
      <c r="A11" s="309" t="s">
        <v>382</v>
      </c>
      <c r="B11" s="315">
        <v>2</v>
      </c>
      <c r="C11" s="316">
        <v>0</v>
      </c>
      <c r="D11" s="317">
        <v>0</v>
      </c>
      <c r="E11" s="318">
        <f t="shared" si="0"/>
        <v>2</v>
      </c>
      <c r="F11" s="308" t="s">
        <v>382</v>
      </c>
      <c r="G11" s="144">
        <v>10</v>
      </c>
      <c r="H11" s="283">
        <v>0</v>
      </c>
      <c r="I11" s="224">
        <v>0</v>
      </c>
      <c r="J11" s="75">
        <f t="shared" si="1"/>
        <v>10</v>
      </c>
      <c r="K11" s="531"/>
      <c r="L11" s="459"/>
      <c r="M11" s="462"/>
      <c r="N11" s="460"/>
      <c r="O11" s="452"/>
      <c r="P11" s="453"/>
      <c r="Q11" s="454"/>
      <c r="R11" s="452"/>
      <c r="S11" s="453"/>
      <c r="T11" s="454"/>
      <c r="U11" s="452"/>
      <c r="V11" s="453"/>
      <c r="W11" s="454"/>
      <c r="X11" s="85"/>
      <c r="Y11" s="85"/>
      <c r="Z11" s="85"/>
      <c r="AC11" s="452"/>
      <c r="AD11" s="453"/>
      <c r="AE11" s="454"/>
      <c r="AF11" s="452"/>
      <c r="AG11" s="453"/>
      <c r="AH11" s="454"/>
      <c r="AI11" s="452"/>
      <c r="AJ11" s="453"/>
      <c r="AK11" s="454"/>
      <c r="AL11" s="481"/>
      <c r="AM11" s="482"/>
      <c r="AN11" s="483"/>
      <c r="AO11" s="481"/>
      <c r="AP11" s="482"/>
      <c r="AQ11" s="483"/>
      <c r="AR11" s="481"/>
      <c r="AS11" s="482"/>
      <c r="AT11" s="483"/>
      <c r="AU11" s="481"/>
      <c r="AV11" s="482"/>
      <c r="AW11" s="483"/>
      <c r="AX11" s="481"/>
      <c r="AY11" s="482"/>
      <c r="AZ11" s="483"/>
      <c r="BA11" s="481"/>
      <c r="BB11" s="482"/>
      <c r="BC11" s="483"/>
    </row>
    <row r="12" spans="1:64" ht="14.95" customHeight="1" thickBot="1" x14ac:dyDescent="0.3">
      <c r="A12" s="309" t="s">
        <v>33</v>
      </c>
      <c r="B12" s="315">
        <v>3</v>
      </c>
      <c r="C12" s="316">
        <v>2</v>
      </c>
      <c r="D12" s="317">
        <v>0</v>
      </c>
      <c r="E12" s="318">
        <f t="shared" si="0"/>
        <v>5</v>
      </c>
      <c r="F12" s="308" t="s">
        <v>33</v>
      </c>
      <c r="G12" s="144">
        <v>15</v>
      </c>
      <c r="H12" s="283">
        <v>10</v>
      </c>
      <c r="I12" s="224">
        <v>0</v>
      </c>
      <c r="J12" s="75">
        <f t="shared" si="1"/>
        <v>25</v>
      </c>
      <c r="K12" s="251" t="s">
        <v>21</v>
      </c>
      <c r="L12" s="3" t="s">
        <v>46</v>
      </c>
      <c r="M12" s="3" t="s">
        <v>9</v>
      </c>
      <c r="N12" s="3" t="s">
        <v>10</v>
      </c>
      <c r="O12" s="7" t="s">
        <v>46</v>
      </c>
      <c r="P12" s="7" t="s">
        <v>9</v>
      </c>
      <c r="Q12" s="7" t="s">
        <v>10</v>
      </c>
      <c r="R12" s="7" t="s">
        <v>46</v>
      </c>
      <c r="S12" s="7" t="s">
        <v>9</v>
      </c>
      <c r="T12" s="7" t="s">
        <v>10</v>
      </c>
      <c r="U12" s="7" t="s">
        <v>46</v>
      </c>
      <c r="V12" s="7" t="s">
        <v>9</v>
      </c>
      <c r="W12" s="7" t="s">
        <v>10</v>
      </c>
      <c r="AC12" s="148" t="s">
        <v>46</v>
      </c>
      <c r="AD12" s="7" t="s">
        <v>9</v>
      </c>
      <c r="AE12" s="7" t="s">
        <v>10</v>
      </c>
      <c r="AF12" s="148" t="s">
        <v>46</v>
      </c>
      <c r="AG12" s="7" t="s">
        <v>9</v>
      </c>
      <c r="AH12" s="7" t="s">
        <v>10</v>
      </c>
      <c r="AI12" s="148" t="s">
        <v>46</v>
      </c>
      <c r="AJ12" s="7" t="s">
        <v>9</v>
      </c>
      <c r="AK12" s="7" t="s">
        <v>10</v>
      </c>
      <c r="AL12" s="84" t="s">
        <v>46</v>
      </c>
      <c r="AM12" s="79" t="s">
        <v>9</v>
      </c>
      <c r="AN12" s="79" t="s">
        <v>10</v>
      </c>
      <c r="AO12" s="84" t="s">
        <v>46</v>
      </c>
      <c r="AP12" s="79" t="s">
        <v>9</v>
      </c>
      <c r="AQ12" s="79" t="s">
        <v>10</v>
      </c>
      <c r="AR12" s="84" t="s">
        <v>46</v>
      </c>
      <c r="AS12" s="79" t="s">
        <v>9</v>
      </c>
      <c r="AT12" s="79" t="s">
        <v>10</v>
      </c>
      <c r="AU12" s="84" t="s">
        <v>46</v>
      </c>
      <c r="AV12" s="79" t="s">
        <v>9</v>
      </c>
      <c r="AW12" s="79" t="s">
        <v>10</v>
      </c>
      <c r="AX12" s="84" t="s">
        <v>46</v>
      </c>
      <c r="AY12" s="79" t="s">
        <v>9</v>
      </c>
      <c r="AZ12" s="79" t="s">
        <v>10</v>
      </c>
      <c r="BA12" s="97" t="s">
        <v>46</v>
      </c>
      <c r="BB12" s="99" t="s">
        <v>9</v>
      </c>
      <c r="BC12" s="99" t="s">
        <v>10</v>
      </c>
    </row>
    <row r="13" spans="1:64" ht="14.95" customHeight="1" thickBot="1" x14ac:dyDescent="0.3">
      <c r="A13" s="309" t="s">
        <v>57</v>
      </c>
      <c r="B13" s="315">
        <v>0</v>
      </c>
      <c r="C13" s="316">
        <v>0</v>
      </c>
      <c r="D13" s="317">
        <v>0</v>
      </c>
      <c r="E13" s="318">
        <f t="shared" si="0"/>
        <v>0</v>
      </c>
      <c r="F13" s="308" t="s">
        <v>57</v>
      </c>
      <c r="G13" s="144">
        <v>0</v>
      </c>
      <c r="H13" s="283">
        <v>0</v>
      </c>
      <c r="I13" s="224">
        <v>0</v>
      </c>
      <c r="J13" s="75">
        <f t="shared" si="1"/>
        <v>0</v>
      </c>
      <c r="K13" s="309" t="s">
        <v>150</v>
      </c>
      <c r="L13" s="318" t="s">
        <v>15</v>
      </c>
      <c r="M13" s="318" t="s">
        <v>15</v>
      </c>
      <c r="N13" s="319" t="s">
        <v>15</v>
      </c>
      <c r="O13" s="7" t="s">
        <v>15</v>
      </c>
      <c r="P13" s="7" t="s">
        <v>15</v>
      </c>
      <c r="Q13" s="153" t="s">
        <v>15</v>
      </c>
      <c r="R13" s="7">
        <v>1</v>
      </c>
      <c r="S13" s="7">
        <v>2</v>
      </c>
      <c r="T13" s="153">
        <v>50</v>
      </c>
      <c r="U13" s="7" t="s">
        <v>15</v>
      </c>
      <c r="V13" s="7" t="s">
        <v>15</v>
      </c>
      <c r="W13" s="153" t="s">
        <v>15</v>
      </c>
      <c r="AC13" s="148" t="s">
        <v>15</v>
      </c>
      <c r="AD13" s="7" t="s">
        <v>15</v>
      </c>
      <c r="AE13" s="153" t="s">
        <v>15</v>
      </c>
      <c r="AF13" s="148" t="s">
        <v>15</v>
      </c>
      <c r="AG13" s="7" t="s">
        <v>15</v>
      </c>
      <c r="AH13" s="153" t="s">
        <v>15</v>
      </c>
      <c r="AI13" s="148" t="s">
        <v>15</v>
      </c>
      <c r="AJ13" s="7" t="s">
        <v>15</v>
      </c>
      <c r="AK13" s="7" t="s">
        <v>15</v>
      </c>
      <c r="AL13" s="148" t="s">
        <v>15</v>
      </c>
      <c r="AM13" s="7" t="s">
        <v>15</v>
      </c>
      <c r="AN13" s="7" t="s">
        <v>15</v>
      </c>
      <c r="AO13" s="148" t="s">
        <v>15</v>
      </c>
      <c r="AP13" s="7" t="s">
        <v>15</v>
      </c>
      <c r="AQ13" s="7" t="s">
        <v>15</v>
      </c>
      <c r="AR13" s="148" t="s">
        <v>15</v>
      </c>
      <c r="AS13" s="7" t="s">
        <v>15</v>
      </c>
      <c r="AT13" s="7" t="s">
        <v>15</v>
      </c>
      <c r="AU13" s="6" t="s">
        <v>15</v>
      </c>
      <c r="AV13" s="7" t="s">
        <v>15</v>
      </c>
      <c r="AW13" s="7" t="s">
        <v>15</v>
      </c>
      <c r="AX13" s="6" t="s">
        <v>15</v>
      </c>
      <c r="AY13" s="7" t="s">
        <v>15</v>
      </c>
      <c r="AZ13" s="7" t="s">
        <v>15</v>
      </c>
      <c r="BA13" s="7" t="s">
        <v>15</v>
      </c>
      <c r="BB13" s="7" t="s">
        <v>15</v>
      </c>
      <c r="BC13" s="7" t="s">
        <v>15</v>
      </c>
      <c r="BD13" s="80"/>
      <c r="BE13" s="80"/>
    </row>
    <row r="14" spans="1:64" ht="14.95" customHeight="1" thickBot="1" x14ac:dyDescent="0.3">
      <c r="A14" s="309" t="s">
        <v>55</v>
      </c>
      <c r="B14" s="315">
        <v>0</v>
      </c>
      <c r="C14" s="316">
        <v>0</v>
      </c>
      <c r="D14" s="317">
        <v>0</v>
      </c>
      <c r="E14" s="318">
        <f t="shared" si="0"/>
        <v>0</v>
      </c>
      <c r="F14" s="308" t="s">
        <v>55</v>
      </c>
      <c r="G14" s="144">
        <v>0</v>
      </c>
      <c r="H14" s="283">
        <v>0</v>
      </c>
      <c r="I14" s="224">
        <v>0</v>
      </c>
      <c r="J14" s="75">
        <f t="shared" si="1"/>
        <v>0</v>
      </c>
      <c r="K14" s="309" t="s">
        <v>97</v>
      </c>
      <c r="L14" s="318">
        <v>1</v>
      </c>
      <c r="M14" s="318">
        <v>1</v>
      </c>
      <c r="N14" s="319">
        <f t="shared" ref="N14" si="12">SUM(L14/M14)*100</f>
        <v>100</v>
      </c>
      <c r="O14" s="7" t="s">
        <v>15</v>
      </c>
      <c r="P14" s="7" t="s">
        <v>15</v>
      </c>
      <c r="Q14" s="153" t="s">
        <v>15</v>
      </c>
      <c r="R14" s="7">
        <v>2</v>
      </c>
      <c r="S14" s="7">
        <v>2</v>
      </c>
      <c r="T14" s="153">
        <v>100</v>
      </c>
      <c r="U14" s="7" t="s">
        <v>15</v>
      </c>
      <c r="V14" s="7" t="s">
        <v>15</v>
      </c>
      <c r="W14" s="153" t="s">
        <v>15</v>
      </c>
      <c r="AC14" s="148" t="s">
        <v>15</v>
      </c>
      <c r="AD14" s="7" t="s">
        <v>15</v>
      </c>
      <c r="AE14" s="153" t="s">
        <v>15</v>
      </c>
      <c r="AF14" s="148" t="s">
        <v>15</v>
      </c>
      <c r="AG14" s="7" t="s">
        <v>15</v>
      </c>
      <c r="AH14" s="153" t="s">
        <v>15</v>
      </c>
      <c r="AI14" s="148">
        <v>1</v>
      </c>
      <c r="AJ14" s="7">
        <v>1</v>
      </c>
      <c r="AK14" s="153">
        <v>100</v>
      </c>
      <c r="AL14" s="148" t="s">
        <v>15</v>
      </c>
      <c r="AM14" s="7" t="s">
        <v>15</v>
      </c>
      <c r="AN14" s="7" t="s">
        <v>15</v>
      </c>
      <c r="AO14" s="148" t="s">
        <v>15</v>
      </c>
      <c r="AP14" s="7" t="s">
        <v>15</v>
      </c>
      <c r="AQ14" s="7" t="s">
        <v>15</v>
      </c>
      <c r="AR14" s="148" t="s">
        <v>15</v>
      </c>
      <c r="AS14" s="7" t="s">
        <v>15</v>
      </c>
      <c r="AT14" s="7" t="s">
        <v>15</v>
      </c>
      <c r="AU14" s="6" t="s">
        <v>15</v>
      </c>
      <c r="AV14" s="7" t="s">
        <v>15</v>
      </c>
      <c r="AW14" s="7" t="s">
        <v>15</v>
      </c>
      <c r="AX14" s="6" t="s">
        <v>15</v>
      </c>
      <c r="AY14" s="7" t="s">
        <v>15</v>
      </c>
      <c r="AZ14" s="7" t="s">
        <v>15</v>
      </c>
      <c r="BA14" s="6" t="s">
        <v>15</v>
      </c>
      <c r="BB14" s="7" t="s">
        <v>15</v>
      </c>
      <c r="BC14" s="7" t="s">
        <v>15</v>
      </c>
      <c r="BD14" s="80"/>
      <c r="BE14" s="80"/>
    </row>
    <row r="15" spans="1:64" ht="14.95" customHeight="1" thickBot="1" x14ac:dyDescent="0.3">
      <c r="A15" s="309" t="s">
        <v>178</v>
      </c>
      <c r="B15" s="315">
        <v>0</v>
      </c>
      <c r="C15" s="316">
        <v>1</v>
      </c>
      <c r="D15" s="317">
        <v>0</v>
      </c>
      <c r="E15" s="318">
        <f t="shared" si="0"/>
        <v>1</v>
      </c>
      <c r="F15" s="308" t="s">
        <v>97</v>
      </c>
      <c r="G15" s="144">
        <v>0</v>
      </c>
      <c r="H15" s="283">
        <v>7</v>
      </c>
      <c r="I15" s="224">
        <v>22</v>
      </c>
      <c r="J15" s="75">
        <f t="shared" si="1"/>
        <v>29</v>
      </c>
      <c r="K15" s="309" t="s">
        <v>152</v>
      </c>
      <c r="L15" s="318">
        <v>7</v>
      </c>
      <c r="M15" s="318">
        <v>10</v>
      </c>
      <c r="N15" s="319">
        <f t="shared" ref="N15" si="13">SUM(L15/M15)*100</f>
        <v>70</v>
      </c>
      <c r="O15" s="7">
        <v>6</v>
      </c>
      <c r="P15" s="7">
        <v>8</v>
      </c>
      <c r="Q15" s="153">
        <v>75</v>
      </c>
      <c r="R15" s="7">
        <v>9</v>
      </c>
      <c r="S15" s="7">
        <v>9</v>
      </c>
      <c r="T15" s="153">
        <v>100</v>
      </c>
      <c r="U15" s="7">
        <v>9</v>
      </c>
      <c r="V15" s="7">
        <v>14</v>
      </c>
      <c r="W15" s="153">
        <v>64.285714285714292</v>
      </c>
      <c r="AC15" s="148">
        <v>17</v>
      </c>
      <c r="AD15" s="7">
        <v>22</v>
      </c>
      <c r="AE15" s="153">
        <f t="shared" ref="AE15" si="14">SUM(AC15/AD15)*100</f>
        <v>77.272727272727266</v>
      </c>
      <c r="AF15" s="148">
        <v>2</v>
      </c>
      <c r="AG15" s="7">
        <v>3</v>
      </c>
      <c r="AH15" s="153">
        <f t="shared" ref="AH15" si="15">SUM(AF15/AG15)*100</f>
        <v>66.666666666666657</v>
      </c>
      <c r="AI15" s="148">
        <v>2</v>
      </c>
      <c r="AJ15" s="7">
        <v>4</v>
      </c>
      <c r="AK15" s="153">
        <v>50</v>
      </c>
      <c r="AL15" s="148" t="s">
        <v>15</v>
      </c>
      <c r="AM15" s="7" t="s">
        <v>15</v>
      </c>
      <c r="AN15" s="7" t="s">
        <v>15</v>
      </c>
      <c r="AO15" s="148" t="s">
        <v>15</v>
      </c>
      <c r="AP15" s="7" t="s">
        <v>15</v>
      </c>
      <c r="AQ15" s="7" t="s">
        <v>15</v>
      </c>
      <c r="AR15" s="148" t="s">
        <v>15</v>
      </c>
      <c r="AS15" s="7" t="s">
        <v>15</v>
      </c>
      <c r="AT15" s="7" t="s">
        <v>15</v>
      </c>
      <c r="AU15" s="6" t="s">
        <v>15</v>
      </c>
      <c r="AV15" s="7" t="s">
        <v>15</v>
      </c>
      <c r="AW15" s="7" t="s">
        <v>15</v>
      </c>
      <c r="AX15" s="6" t="s">
        <v>15</v>
      </c>
      <c r="AY15" s="7" t="s">
        <v>15</v>
      </c>
      <c r="AZ15" s="7" t="s">
        <v>15</v>
      </c>
      <c r="BA15" s="7" t="s">
        <v>15</v>
      </c>
      <c r="BB15" s="7" t="s">
        <v>15</v>
      </c>
      <c r="BC15" s="7" t="s">
        <v>15</v>
      </c>
      <c r="BD15" s="80"/>
      <c r="BE15" s="80"/>
    </row>
    <row r="16" spans="1:64" ht="14.95" customHeight="1" thickBot="1" x14ac:dyDescent="0.3">
      <c r="A16" s="309" t="s">
        <v>910</v>
      </c>
      <c r="B16" s="315">
        <v>0</v>
      </c>
      <c r="C16" s="316">
        <v>1</v>
      </c>
      <c r="D16" s="317">
        <v>1</v>
      </c>
      <c r="E16" s="318">
        <f t="shared" si="0"/>
        <v>2</v>
      </c>
      <c r="F16" s="308" t="s">
        <v>910</v>
      </c>
      <c r="G16" s="144">
        <v>0</v>
      </c>
      <c r="H16" s="283">
        <v>5</v>
      </c>
      <c r="I16" s="224">
        <v>5</v>
      </c>
      <c r="J16" s="75">
        <f t="shared" si="1"/>
        <v>10</v>
      </c>
      <c r="K16" s="309" t="s">
        <v>466</v>
      </c>
      <c r="L16" s="318">
        <v>12</v>
      </c>
      <c r="M16" s="318">
        <v>14</v>
      </c>
      <c r="N16" s="319">
        <v>75</v>
      </c>
      <c r="O16" s="7">
        <v>5</v>
      </c>
      <c r="P16" s="7">
        <v>7</v>
      </c>
      <c r="Q16" s="153">
        <v>71.428571428571431</v>
      </c>
      <c r="R16" s="7">
        <v>4</v>
      </c>
      <c r="S16" s="7">
        <v>6</v>
      </c>
      <c r="T16" s="153">
        <v>66.666666666666657</v>
      </c>
      <c r="U16" s="7" t="s">
        <v>15</v>
      </c>
      <c r="V16" s="7" t="s">
        <v>15</v>
      </c>
      <c r="W16" s="153" t="s">
        <v>15</v>
      </c>
      <c r="AC16" s="148">
        <v>10</v>
      </c>
      <c r="AD16" s="7">
        <v>15</v>
      </c>
      <c r="AE16" s="153">
        <v>66.666666666666657</v>
      </c>
      <c r="AF16" s="148" t="s">
        <v>15</v>
      </c>
      <c r="AG16" s="7" t="s">
        <v>15</v>
      </c>
      <c r="AH16" s="153" t="s">
        <v>15</v>
      </c>
      <c r="AI16" s="148">
        <v>16</v>
      </c>
      <c r="AJ16" s="7">
        <v>19</v>
      </c>
      <c r="AK16" s="153">
        <v>84.210526315789465</v>
      </c>
      <c r="AL16" s="148">
        <v>17</v>
      </c>
      <c r="AM16" s="7">
        <v>21</v>
      </c>
      <c r="AN16" s="7">
        <v>81</v>
      </c>
      <c r="AO16" s="148">
        <v>21</v>
      </c>
      <c r="AP16" s="7">
        <v>24</v>
      </c>
      <c r="AQ16" s="7">
        <v>88</v>
      </c>
      <c r="AR16" s="148">
        <v>20</v>
      </c>
      <c r="AS16" s="7">
        <v>25</v>
      </c>
      <c r="AT16" s="7">
        <v>80</v>
      </c>
      <c r="AU16" s="6">
        <v>15</v>
      </c>
      <c r="AV16" s="7">
        <v>21</v>
      </c>
      <c r="AW16" s="7">
        <v>71</v>
      </c>
      <c r="AX16" s="6">
        <v>27</v>
      </c>
      <c r="AY16" s="7">
        <v>34</v>
      </c>
      <c r="AZ16" s="7">
        <v>79</v>
      </c>
      <c r="BA16" s="7">
        <v>27</v>
      </c>
      <c r="BB16" s="7">
        <v>40</v>
      </c>
      <c r="BC16" s="7">
        <v>68</v>
      </c>
      <c r="BD16" s="80"/>
      <c r="BE16" s="80"/>
    </row>
    <row r="17" spans="1:57" ht="14.95" customHeight="1" thickBot="1" x14ac:dyDescent="0.3">
      <c r="A17" s="309" t="s">
        <v>175</v>
      </c>
      <c r="B17" s="315">
        <v>1</v>
      </c>
      <c r="C17" s="316">
        <v>0</v>
      </c>
      <c r="D17" s="317">
        <v>1</v>
      </c>
      <c r="E17" s="318">
        <f t="shared" si="0"/>
        <v>2</v>
      </c>
      <c r="F17" s="308" t="s">
        <v>175</v>
      </c>
      <c r="G17" s="144">
        <v>5</v>
      </c>
      <c r="H17" s="283">
        <v>0</v>
      </c>
      <c r="I17" s="224">
        <v>5</v>
      </c>
      <c r="J17" s="75">
        <f t="shared" si="1"/>
        <v>10</v>
      </c>
      <c r="AF17" s="81" t="s">
        <v>21</v>
      </c>
      <c r="AG17" s="81" t="s">
        <v>21</v>
      </c>
    </row>
    <row r="18" spans="1:57" ht="14.95" customHeight="1" thickBot="1" x14ac:dyDescent="0.3">
      <c r="A18" s="309" t="s">
        <v>152</v>
      </c>
      <c r="B18" s="315">
        <v>3</v>
      </c>
      <c r="C18" s="316">
        <v>0</v>
      </c>
      <c r="D18" s="317">
        <v>0</v>
      </c>
      <c r="E18" s="318">
        <f t="shared" si="0"/>
        <v>3</v>
      </c>
      <c r="F18" s="308" t="s">
        <v>152</v>
      </c>
      <c r="G18" s="144">
        <v>31</v>
      </c>
      <c r="H18" s="283">
        <v>16</v>
      </c>
      <c r="I18" s="224">
        <v>15</v>
      </c>
      <c r="J18" s="75">
        <f t="shared" si="1"/>
        <v>62</v>
      </c>
      <c r="K18" s="528" t="s">
        <v>189</v>
      </c>
      <c r="L18" s="449" t="s">
        <v>14</v>
      </c>
      <c r="M18" s="450"/>
      <c r="N18" s="451"/>
      <c r="O18" s="449" t="s">
        <v>226</v>
      </c>
      <c r="P18" s="450"/>
      <c r="Q18" s="451"/>
      <c r="R18" s="449" t="s">
        <v>875</v>
      </c>
      <c r="S18" s="450"/>
      <c r="T18" s="451"/>
      <c r="U18" s="449" t="s">
        <v>581</v>
      </c>
      <c r="V18" s="450"/>
      <c r="W18" s="451"/>
      <c r="AC18" s="449" t="s">
        <v>477</v>
      </c>
      <c r="AD18" s="450"/>
      <c r="AE18" s="451"/>
      <c r="AF18" s="449" t="s">
        <v>391</v>
      </c>
      <c r="AG18" s="450"/>
      <c r="AH18" s="451"/>
      <c r="AI18" s="449" t="s">
        <v>300</v>
      </c>
      <c r="AJ18" s="450"/>
      <c r="AK18" s="451"/>
      <c r="AL18" s="478" t="s">
        <v>219</v>
      </c>
      <c r="AM18" s="479"/>
      <c r="AN18" s="480"/>
      <c r="AO18" s="478" t="s">
        <v>165</v>
      </c>
      <c r="AP18" s="479"/>
      <c r="AQ18" s="480"/>
      <c r="AR18" s="478" t="s">
        <v>78</v>
      </c>
      <c r="AS18" s="479"/>
      <c r="AT18" s="480"/>
      <c r="AU18" s="478" t="s">
        <v>54</v>
      </c>
      <c r="AV18" s="479"/>
      <c r="AW18" s="480"/>
      <c r="AX18" s="478" t="s">
        <v>50</v>
      </c>
      <c r="AY18" s="479"/>
      <c r="AZ18" s="480"/>
      <c r="BA18" s="478" t="s">
        <v>37</v>
      </c>
      <c r="BB18" s="479"/>
      <c r="BC18" s="480"/>
    </row>
    <row r="19" spans="1:57" ht="14.95" customHeight="1" thickBot="1" x14ac:dyDescent="0.3">
      <c r="A19" s="309" t="s">
        <v>347</v>
      </c>
      <c r="B19" s="315">
        <v>0</v>
      </c>
      <c r="C19" s="316">
        <v>0</v>
      </c>
      <c r="D19" s="317">
        <v>3</v>
      </c>
      <c r="E19" s="318">
        <f t="shared" si="0"/>
        <v>3</v>
      </c>
      <c r="F19" s="308" t="s">
        <v>347</v>
      </c>
      <c r="G19" s="144">
        <v>0</v>
      </c>
      <c r="H19" s="283">
        <v>0</v>
      </c>
      <c r="I19" s="224">
        <v>15</v>
      </c>
      <c r="J19" s="75">
        <f t="shared" si="1"/>
        <v>15</v>
      </c>
      <c r="K19" s="529"/>
      <c r="L19" s="452"/>
      <c r="M19" s="453"/>
      <c r="N19" s="454"/>
      <c r="O19" s="452"/>
      <c r="P19" s="453"/>
      <c r="Q19" s="454"/>
      <c r="R19" s="452"/>
      <c r="S19" s="453"/>
      <c r="T19" s="454"/>
      <c r="U19" s="452"/>
      <c r="V19" s="453"/>
      <c r="W19" s="454"/>
      <c r="AC19" s="452"/>
      <c r="AD19" s="453"/>
      <c r="AE19" s="454"/>
      <c r="AF19" s="452"/>
      <c r="AG19" s="453"/>
      <c r="AH19" s="454"/>
      <c r="AI19" s="452"/>
      <c r="AJ19" s="453"/>
      <c r="AK19" s="454"/>
      <c r="AL19" s="481"/>
      <c r="AM19" s="482"/>
      <c r="AN19" s="483"/>
      <c r="AO19" s="481"/>
      <c r="AP19" s="482"/>
      <c r="AQ19" s="483"/>
      <c r="AR19" s="481"/>
      <c r="AS19" s="482"/>
      <c r="AT19" s="483"/>
      <c r="AU19" s="481"/>
      <c r="AV19" s="482"/>
      <c r="AW19" s="483"/>
      <c r="AX19" s="481"/>
      <c r="AY19" s="482"/>
      <c r="AZ19" s="483"/>
      <c r="BA19" s="481"/>
      <c r="BB19" s="482"/>
      <c r="BC19" s="483"/>
    </row>
    <row r="20" spans="1:57" ht="14.95" customHeight="1" thickBot="1" x14ac:dyDescent="0.3">
      <c r="A20" s="309" t="s">
        <v>500</v>
      </c>
      <c r="B20" s="315">
        <v>0</v>
      </c>
      <c r="C20" s="316">
        <v>0</v>
      </c>
      <c r="D20" s="317">
        <v>0</v>
      </c>
      <c r="E20" s="318">
        <f t="shared" si="0"/>
        <v>0</v>
      </c>
      <c r="F20" s="308" t="s">
        <v>500</v>
      </c>
      <c r="G20" s="144">
        <v>0</v>
      </c>
      <c r="H20" s="283">
        <v>0</v>
      </c>
      <c r="I20" s="224">
        <v>0</v>
      </c>
      <c r="J20" s="75">
        <f t="shared" si="1"/>
        <v>0</v>
      </c>
      <c r="K20" s="284" t="s">
        <v>21</v>
      </c>
      <c r="L20" s="7" t="s">
        <v>46</v>
      </c>
      <c r="M20" s="7" t="s">
        <v>9</v>
      </c>
      <c r="N20" s="7" t="s">
        <v>10</v>
      </c>
      <c r="O20" s="7" t="s">
        <v>46</v>
      </c>
      <c r="P20" s="7" t="s">
        <v>9</v>
      </c>
      <c r="Q20" s="7" t="s">
        <v>10</v>
      </c>
      <c r="R20" s="7" t="s">
        <v>46</v>
      </c>
      <c r="S20" s="7" t="s">
        <v>9</v>
      </c>
      <c r="T20" s="7" t="s">
        <v>10</v>
      </c>
      <c r="U20" s="7" t="s">
        <v>46</v>
      </c>
      <c r="V20" s="7" t="s">
        <v>9</v>
      </c>
      <c r="W20" s="7" t="s">
        <v>10</v>
      </c>
      <c r="AC20" s="148" t="s">
        <v>46</v>
      </c>
      <c r="AD20" s="7" t="s">
        <v>9</v>
      </c>
      <c r="AE20" s="7" t="s">
        <v>10</v>
      </c>
      <c r="AF20" s="148" t="s">
        <v>46</v>
      </c>
      <c r="AG20" s="7" t="s">
        <v>9</v>
      </c>
      <c r="AH20" s="7" t="s">
        <v>10</v>
      </c>
      <c r="AI20" s="148" t="s">
        <v>46</v>
      </c>
      <c r="AJ20" s="7" t="s">
        <v>9</v>
      </c>
      <c r="AK20" s="7" t="s">
        <v>10</v>
      </c>
      <c r="AL20" s="84" t="s">
        <v>46</v>
      </c>
      <c r="AM20" s="79" t="s">
        <v>9</v>
      </c>
      <c r="AN20" s="79" t="s">
        <v>10</v>
      </c>
      <c r="AO20" s="84" t="s">
        <v>46</v>
      </c>
      <c r="AP20" s="79" t="s">
        <v>9</v>
      </c>
      <c r="AQ20" s="79" t="s">
        <v>10</v>
      </c>
      <c r="AR20" s="84" t="s">
        <v>46</v>
      </c>
      <c r="AS20" s="79" t="s">
        <v>9</v>
      </c>
      <c r="AT20" s="79" t="s">
        <v>10</v>
      </c>
      <c r="AU20" s="84" t="s">
        <v>46</v>
      </c>
      <c r="AV20" s="79" t="s">
        <v>9</v>
      </c>
      <c r="AW20" s="79" t="s">
        <v>10</v>
      </c>
      <c r="AX20" s="84" t="s">
        <v>46</v>
      </c>
      <c r="AY20" s="79" t="s">
        <v>9</v>
      </c>
      <c r="AZ20" s="79" t="s">
        <v>10</v>
      </c>
      <c r="BA20" s="97" t="s">
        <v>46</v>
      </c>
      <c r="BB20" s="99" t="s">
        <v>9</v>
      </c>
      <c r="BC20" s="99" t="s">
        <v>10</v>
      </c>
    </row>
    <row r="21" spans="1:57" ht="14.95" customHeight="1" thickBot="1" x14ac:dyDescent="0.3">
      <c r="A21" s="309" t="s">
        <v>192</v>
      </c>
      <c r="B21" s="315">
        <v>0</v>
      </c>
      <c r="C21" s="316">
        <v>0</v>
      </c>
      <c r="D21" s="317">
        <v>0</v>
      </c>
      <c r="E21" s="318">
        <f t="shared" si="0"/>
        <v>0</v>
      </c>
      <c r="F21" s="308" t="s">
        <v>192</v>
      </c>
      <c r="G21" s="144">
        <v>84</v>
      </c>
      <c r="H21" s="283">
        <v>30</v>
      </c>
      <c r="I21" s="224">
        <v>0</v>
      </c>
      <c r="J21" s="75">
        <f t="shared" si="1"/>
        <v>114</v>
      </c>
      <c r="K21" s="309" t="s">
        <v>97</v>
      </c>
      <c r="L21" s="7" t="s">
        <v>15</v>
      </c>
      <c r="M21" s="7" t="s">
        <v>15</v>
      </c>
      <c r="N21" s="153" t="s">
        <v>15</v>
      </c>
      <c r="O21" s="7" t="s">
        <v>15</v>
      </c>
      <c r="P21" s="7" t="s">
        <v>15</v>
      </c>
      <c r="Q21" s="153" t="s">
        <v>15</v>
      </c>
      <c r="R21" s="7" t="s">
        <v>15</v>
      </c>
      <c r="S21" s="7" t="s">
        <v>15</v>
      </c>
      <c r="T21" s="153" t="s">
        <v>15</v>
      </c>
      <c r="U21" s="7" t="s">
        <v>15</v>
      </c>
      <c r="V21" s="7" t="s">
        <v>15</v>
      </c>
      <c r="W21" s="153" t="s">
        <v>15</v>
      </c>
      <c r="AC21" s="148" t="s">
        <v>15</v>
      </c>
      <c r="AD21" s="7" t="s">
        <v>15</v>
      </c>
      <c r="AE21" s="153" t="s">
        <v>15</v>
      </c>
      <c r="AF21" s="148" t="s">
        <v>15</v>
      </c>
      <c r="AG21" s="7" t="s">
        <v>15</v>
      </c>
      <c r="AH21" s="153" t="s">
        <v>15</v>
      </c>
      <c r="AI21" s="148" t="s">
        <v>15</v>
      </c>
      <c r="AJ21" s="7" t="s">
        <v>15</v>
      </c>
      <c r="AK21" s="153" t="s">
        <v>15</v>
      </c>
      <c r="AL21" s="148" t="s">
        <v>15</v>
      </c>
      <c r="AM21" s="7" t="s">
        <v>15</v>
      </c>
      <c r="AN21" s="7" t="s">
        <v>15</v>
      </c>
      <c r="AO21" s="148" t="s">
        <v>15</v>
      </c>
      <c r="AP21" s="7" t="s">
        <v>15</v>
      </c>
      <c r="AQ21" s="7" t="s">
        <v>15</v>
      </c>
      <c r="AR21" s="148" t="s">
        <v>15</v>
      </c>
      <c r="AS21" s="7" t="s">
        <v>15</v>
      </c>
      <c r="AT21" s="7" t="s">
        <v>15</v>
      </c>
      <c r="AU21" s="6" t="s">
        <v>15</v>
      </c>
      <c r="AV21" s="7" t="s">
        <v>15</v>
      </c>
      <c r="AW21" s="7" t="s">
        <v>15</v>
      </c>
      <c r="AX21" s="6" t="s">
        <v>15</v>
      </c>
      <c r="AY21" s="7" t="s">
        <v>15</v>
      </c>
      <c r="AZ21" s="7" t="s">
        <v>15</v>
      </c>
      <c r="BA21" s="6" t="s">
        <v>15</v>
      </c>
      <c r="BB21" s="7" t="s">
        <v>15</v>
      </c>
      <c r="BC21" s="7" t="s">
        <v>15</v>
      </c>
      <c r="BD21" s="80"/>
      <c r="BE21" s="80"/>
    </row>
    <row r="22" spans="1:57" ht="14.95" customHeight="1" thickBot="1" x14ac:dyDescent="0.3">
      <c r="A22" s="309" t="s">
        <v>903</v>
      </c>
      <c r="B22" s="315">
        <v>0</v>
      </c>
      <c r="C22" s="316">
        <v>0</v>
      </c>
      <c r="D22" s="317">
        <v>1</v>
      </c>
      <c r="E22" s="318">
        <f t="shared" si="0"/>
        <v>1</v>
      </c>
      <c r="F22" s="308" t="s">
        <v>903</v>
      </c>
      <c r="G22" s="144">
        <v>0</v>
      </c>
      <c r="H22" s="283">
        <v>0</v>
      </c>
      <c r="I22" s="224">
        <v>5</v>
      </c>
      <c r="J22" s="75">
        <f t="shared" si="1"/>
        <v>5</v>
      </c>
      <c r="K22" s="309" t="s">
        <v>152</v>
      </c>
      <c r="L22" s="7" t="s">
        <v>15</v>
      </c>
      <c r="M22" s="7" t="s">
        <v>15</v>
      </c>
      <c r="N22" s="153" t="s">
        <v>15</v>
      </c>
      <c r="O22" s="7" t="s">
        <v>15</v>
      </c>
      <c r="P22" s="7" t="s">
        <v>15</v>
      </c>
      <c r="Q22" s="153" t="s">
        <v>15</v>
      </c>
      <c r="R22" s="7">
        <v>2</v>
      </c>
      <c r="S22" s="7">
        <v>3</v>
      </c>
      <c r="T22" s="153">
        <v>66.666666666666657</v>
      </c>
      <c r="U22" s="7" t="s">
        <v>15</v>
      </c>
      <c r="V22" s="7" t="s">
        <v>15</v>
      </c>
      <c r="W22" s="153" t="s">
        <v>15</v>
      </c>
      <c r="AC22" s="148" t="s">
        <v>15</v>
      </c>
      <c r="AD22" s="7" t="s">
        <v>15</v>
      </c>
      <c r="AE22" s="153" t="s">
        <v>15</v>
      </c>
      <c r="AF22" s="148" t="s">
        <v>15</v>
      </c>
      <c r="AG22" s="7" t="s">
        <v>15</v>
      </c>
      <c r="AH22" s="153" t="s">
        <v>15</v>
      </c>
      <c r="AI22" s="148">
        <v>2</v>
      </c>
      <c r="AJ22" s="7">
        <v>3</v>
      </c>
      <c r="AK22" s="153">
        <f t="shared" ref="AK22" si="16">SUM(AI22/AJ22)*100</f>
        <v>66.666666666666657</v>
      </c>
      <c r="AL22" s="148">
        <v>2</v>
      </c>
      <c r="AM22" s="7">
        <v>2</v>
      </c>
      <c r="AN22" s="153">
        <f t="shared" ref="AN22" si="17">SUM(AL22/AM22)*100</f>
        <v>100</v>
      </c>
      <c r="AO22" s="148" t="s">
        <v>15</v>
      </c>
      <c r="AP22" s="7" t="s">
        <v>15</v>
      </c>
      <c r="AQ22" s="7" t="s">
        <v>15</v>
      </c>
      <c r="AR22" s="148" t="s">
        <v>15</v>
      </c>
      <c r="AS22" s="7" t="s">
        <v>15</v>
      </c>
      <c r="AT22" s="7" t="s">
        <v>15</v>
      </c>
      <c r="AU22" s="6" t="s">
        <v>15</v>
      </c>
      <c r="AV22" s="7" t="s">
        <v>15</v>
      </c>
      <c r="AW22" s="7" t="s">
        <v>15</v>
      </c>
      <c r="AX22" s="6" t="s">
        <v>15</v>
      </c>
      <c r="AY22" s="7" t="s">
        <v>15</v>
      </c>
      <c r="AZ22" s="7" t="s">
        <v>15</v>
      </c>
      <c r="BA22" s="7" t="s">
        <v>15</v>
      </c>
      <c r="BB22" s="7" t="s">
        <v>15</v>
      </c>
      <c r="BC22" s="7" t="s">
        <v>15</v>
      </c>
      <c r="BD22" s="80"/>
      <c r="BE22" s="80"/>
    </row>
    <row r="23" spans="1:57" ht="14.95" customHeight="1" thickBot="1" x14ac:dyDescent="0.3">
      <c r="A23" s="309" t="s">
        <v>383</v>
      </c>
      <c r="B23" s="315">
        <v>0</v>
      </c>
      <c r="C23" s="316">
        <v>0</v>
      </c>
      <c r="D23" s="317">
        <v>1</v>
      </c>
      <c r="E23" s="318">
        <f t="shared" si="0"/>
        <v>1</v>
      </c>
      <c r="F23" s="308" t="s">
        <v>383</v>
      </c>
      <c r="G23" s="144">
        <v>0</v>
      </c>
      <c r="H23" s="283">
        <v>0</v>
      </c>
      <c r="I23" s="224">
        <v>5</v>
      </c>
      <c r="J23" s="75">
        <f t="shared" si="1"/>
        <v>5</v>
      </c>
      <c r="K23" s="309" t="s">
        <v>466</v>
      </c>
      <c r="L23" s="7" t="s">
        <v>15</v>
      </c>
      <c r="M23" s="7" t="s">
        <v>15</v>
      </c>
      <c r="N23" s="153" t="s">
        <v>15</v>
      </c>
      <c r="O23" s="7" t="s">
        <v>15</v>
      </c>
      <c r="P23" s="7" t="s">
        <v>15</v>
      </c>
      <c r="Q23" s="153" t="s">
        <v>15</v>
      </c>
      <c r="R23" s="7" t="s">
        <v>15</v>
      </c>
      <c r="S23" s="7" t="s">
        <v>15</v>
      </c>
      <c r="T23" s="153" t="s">
        <v>15</v>
      </c>
      <c r="U23" s="7">
        <v>5</v>
      </c>
      <c r="V23" s="7">
        <v>5</v>
      </c>
      <c r="W23" s="153">
        <v>100</v>
      </c>
      <c r="AC23" s="148" t="s">
        <v>15</v>
      </c>
      <c r="AD23" s="7" t="s">
        <v>15</v>
      </c>
      <c r="AE23" s="153" t="s">
        <v>15</v>
      </c>
      <c r="AF23" s="148">
        <v>15</v>
      </c>
      <c r="AG23" s="7">
        <v>19</v>
      </c>
      <c r="AH23" s="153">
        <f>SUM(AF23/AG23)*100</f>
        <v>78.94736842105263</v>
      </c>
      <c r="AI23" s="6">
        <v>16</v>
      </c>
      <c r="AJ23" s="7">
        <v>19</v>
      </c>
      <c r="AK23" s="153">
        <f>SUM(AI23/AJ23)*100</f>
        <v>84.210526315789465</v>
      </c>
      <c r="AL23" s="148"/>
      <c r="AM23" s="7"/>
      <c r="AN23" s="153"/>
      <c r="AO23" s="148"/>
      <c r="AP23" s="7"/>
      <c r="AQ23" s="7"/>
      <c r="AR23" s="148"/>
      <c r="AS23" s="7"/>
      <c r="AT23" s="7"/>
      <c r="AU23" s="6"/>
      <c r="AV23" s="7"/>
      <c r="AW23" s="7"/>
      <c r="AX23" s="6"/>
      <c r="AY23" s="7"/>
      <c r="AZ23" s="7"/>
      <c r="BA23" s="7"/>
      <c r="BB23" s="7"/>
      <c r="BC23" s="7"/>
      <c r="BD23" s="80"/>
      <c r="BE23" s="80"/>
    </row>
    <row r="24" spans="1:57" ht="14.95" customHeight="1" thickBot="1" x14ac:dyDescent="0.3">
      <c r="A24" s="309" t="s">
        <v>981</v>
      </c>
      <c r="B24" s="315">
        <v>0</v>
      </c>
      <c r="C24" s="316">
        <v>0</v>
      </c>
      <c r="D24" s="317">
        <v>0</v>
      </c>
      <c r="E24" s="318">
        <f t="shared" si="0"/>
        <v>0</v>
      </c>
      <c r="F24" s="308" t="s">
        <v>981</v>
      </c>
      <c r="G24" s="144">
        <v>0</v>
      </c>
      <c r="H24" s="283">
        <v>0</v>
      </c>
      <c r="I24" s="224">
        <v>0</v>
      </c>
      <c r="J24" s="75">
        <f t="shared" si="1"/>
        <v>0</v>
      </c>
      <c r="AF24" s="81" t="s">
        <v>21</v>
      </c>
      <c r="AG24" s="81" t="s">
        <v>21</v>
      </c>
    </row>
    <row r="25" spans="1:57" ht="14.95" customHeight="1" thickBot="1" x14ac:dyDescent="0.3">
      <c r="A25" s="309" t="s">
        <v>259</v>
      </c>
      <c r="B25" s="315">
        <v>4</v>
      </c>
      <c r="C25" s="316">
        <v>0</v>
      </c>
      <c r="D25" s="317">
        <v>0</v>
      </c>
      <c r="E25" s="318">
        <f t="shared" si="0"/>
        <v>4</v>
      </c>
      <c r="F25" s="308" t="s">
        <v>259</v>
      </c>
      <c r="G25" s="144">
        <v>20</v>
      </c>
      <c r="H25" s="283">
        <v>0</v>
      </c>
      <c r="I25" s="224">
        <v>0</v>
      </c>
      <c r="J25" s="75">
        <f t="shared" si="1"/>
        <v>20</v>
      </c>
      <c r="K25" s="472" t="s">
        <v>1003</v>
      </c>
      <c r="L25" s="457" t="s">
        <v>14</v>
      </c>
      <c r="M25" s="461"/>
      <c r="N25" s="458"/>
      <c r="O25" s="449" t="s">
        <v>226</v>
      </c>
      <c r="P25" s="450"/>
      <c r="Q25" s="451"/>
      <c r="R25" s="449" t="s">
        <v>875</v>
      </c>
      <c r="S25" s="450"/>
      <c r="T25" s="451"/>
      <c r="U25" s="449" t="s">
        <v>581</v>
      </c>
      <c r="V25" s="450"/>
      <c r="W25" s="451"/>
      <c r="AC25" s="449" t="s">
        <v>477</v>
      </c>
      <c r="AD25" s="450"/>
      <c r="AE25" s="451"/>
      <c r="AF25" s="449" t="s">
        <v>300</v>
      </c>
      <c r="AG25" s="450"/>
      <c r="AH25" s="451"/>
      <c r="AI25" s="478" t="s">
        <v>219</v>
      </c>
      <c r="AJ25" s="479"/>
      <c r="AK25" s="480"/>
      <c r="AL25" s="478" t="s">
        <v>165</v>
      </c>
      <c r="AM25" s="479"/>
      <c r="AN25" s="480"/>
      <c r="AO25" s="478" t="s">
        <v>78</v>
      </c>
      <c r="AP25" s="479"/>
      <c r="AQ25" s="480"/>
      <c r="AR25" s="478" t="s">
        <v>50</v>
      </c>
      <c r="AS25" s="479"/>
      <c r="AT25" s="480"/>
      <c r="AU25" s="478" t="s">
        <v>37</v>
      </c>
      <c r="AV25" s="479"/>
      <c r="AW25" s="480"/>
    </row>
    <row r="26" spans="1:57" ht="14.95" customHeight="1" thickBot="1" x14ac:dyDescent="0.3">
      <c r="A26" s="309" t="s">
        <v>407</v>
      </c>
      <c r="B26" s="315">
        <v>4</v>
      </c>
      <c r="C26" s="316">
        <v>0</v>
      </c>
      <c r="D26" s="317">
        <v>5</v>
      </c>
      <c r="E26" s="318">
        <f t="shared" si="0"/>
        <v>9</v>
      </c>
      <c r="F26" s="308" t="s">
        <v>407</v>
      </c>
      <c r="G26" s="144">
        <v>20</v>
      </c>
      <c r="H26" s="283">
        <v>0</v>
      </c>
      <c r="I26" s="224">
        <v>25</v>
      </c>
      <c r="J26" s="75">
        <f t="shared" si="1"/>
        <v>45</v>
      </c>
      <c r="K26" s="473"/>
      <c r="L26" s="459"/>
      <c r="M26" s="462"/>
      <c r="N26" s="460"/>
      <c r="O26" s="452"/>
      <c r="P26" s="453"/>
      <c r="Q26" s="454"/>
      <c r="R26" s="452"/>
      <c r="S26" s="453"/>
      <c r="T26" s="454"/>
      <c r="U26" s="452"/>
      <c r="V26" s="453"/>
      <c r="W26" s="454"/>
      <c r="AC26" s="452"/>
      <c r="AD26" s="453"/>
      <c r="AE26" s="454"/>
      <c r="AF26" s="452"/>
      <c r="AG26" s="453"/>
      <c r="AH26" s="454"/>
      <c r="AI26" s="481"/>
      <c r="AJ26" s="482"/>
      <c r="AK26" s="483"/>
      <c r="AL26" s="481"/>
      <c r="AM26" s="482"/>
      <c r="AN26" s="483"/>
      <c r="AO26" s="481"/>
      <c r="AP26" s="482"/>
      <c r="AQ26" s="483"/>
      <c r="AR26" s="481"/>
      <c r="AS26" s="482"/>
      <c r="AT26" s="483"/>
      <c r="AU26" s="481"/>
      <c r="AV26" s="482"/>
      <c r="AW26" s="483"/>
    </row>
    <row r="27" spans="1:57" ht="14.95" customHeight="1" thickBot="1" x14ac:dyDescent="0.3">
      <c r="A27" s="309" t="s">
        <v>261</v>
      </c>
      <c r="B27" s="315">
        <v>0</v>
      </c>
      <c r="C27" s="316">
        <v>0</v>
      </c>
      <c r="D27" s="317">
        <v>0</v>
      </c>
      <c r="E27" s="318">
        <f t="shared" si="0"/>
        <v>0</v>
      </c>
      <c r="F27" s="308" t="s">
        <v>261</v>
      </c>
      <c r="G27" s="144">
        <v>0</v>
      </c>
      <c r="H27" s="283">
        <v>0</v>
      </c>
      <c r="I27" s="224">
        <v>0</v>
      </c>
      <c r="J27" s="75">
        <f t="shared" si="1"/>
        <v>0</v>
      </c>
      <c r="K27" s="398" t="s">
        <v>21</v>
      </c>
      <c r="L27" s="3" t="s">
        <v>46</v>
      </c>
      <c r="M27" s="3" t="s">
        <v>9</v>
      </c>
      <c r="N27" s="3" t="s">
        <v>10</v>
      </c>
      <c r="O27" s="7" t="s">
        <v>46</v>
      </c>
      <c r="P27" s="7" t="s">
        <v>9</v>
      </c>
      <c r="Q27" s="7" t="s">
        <v>10</v>
      </c>
      <c r="R27" s="7" t="s">
        <v>46</v>
      </c>
      <c r="S27" s="7" t="s">
        <v>9</v>
      </c>
      <c r="T27" s="7" t="s">
        <v>10</v>
      </c>
      <c r="U27" s="7" t="s">
        <v>46</v>
      </c>
      <c r="V27" s="7" t="s">
        <v>9</v>
      </c>
      <c r="W27" s="7" t="s">
        <v>10</v>
      </c>
      <c r="AC27" s="148" t="s">
        <v>46</v>
      </c>
      <c r="AD27" s="7" t="s">
        <v>9</v>
      </c>
      <c r="AE27" s="7" t="s">
        <v>10</v>
      </c>
      <c r="AF27" s="148" t="s">
        <v>46</v>
      </c>
      <c r="AG27" s="7" t="s">
        <v>9</v>
      </c>
      <c r="AH27" s="7" t="s">
        <v>10</v>
      </c>
      <c r="AI27" s="97" t="s">
        <v>46</v>
      </c>
      <c r="AJ27" s="79" t="s">
        <v>9</v>
      </c>
      <c r="AK27" s="79" t="s">
        <v>10</v>
      </c>
      <c r="AL27" s="84" t="s">
        <v>46</v>
      </c>
      <c r="AM27" s="79" t="s">
        <v>9</v>
      </c>
      <c r="AN27" s="79" t="s">
        <v>10</v>
      </c>
      <c r="AO27" s="84" t="s">
        <v>46</v>
      </c>
      <c r="AP27" s="79" t="s">
        <v>9</v>
      </c>
      <c r="AQ27" s="79" t="s">
        <v>10</v>
      </c>
      <c r="AR27" s="84" t="s">
        <v>46</v>
      </c>
      <c r="AS27" s="79" t="s">
        <v>9</v>
      </c>
      <c r="AT27" s="79" t="s">
        <v>10</v>
      </c>
      <c r="AU27" s="84" t="s">
        <v>46</v>
      </c>
      <c r="AV27" s="79" t="s">
        <v>9</v>
      </c>
      <c r="AW27" s="79" t="s">
        <v>10</v>
      </c>
    </row>
    <row r="28" spans="1:57" ht="14.95" customHeight="1" thickBot="1" x14ac:dyDescent="0.3">
      <c r="A28" s="309" t="s">
        <v>708</v>
      </c>
      <c r="B28" s="315">
        <v>0</v>
      </c>
      <c r="C28" s="316">
        <v>0</v>
      </c>
      <c r="D28" s="317">
        <v>0</v>
      </c>
      <c r="E28" s="318">
        <f t="shared" si="0"/>
        <v>0</v>
      </c>
      <c r="F28" s="308" t="s">
        <v>708</v>
      </c>
      <c r="G28" s="144">
        <v>0</v>
      </c>
      <c r="H28" s="283">
        <v>0</v>
      </c>
      <c r="I28" s="224">
        <v>0</v>
      </c>
      <c r="J28" s="75">
        <f t="shared" si="1"/>
        <v>0</v>
      </c>
      <c r="K28" s="291" t="s">
        <v>97</v>
      </c>
      <c r="L28" s="318">
        <v>11</v>
      </c>
      <c r="M28" s="318">
        <v>17</v>
      </c>
      <c r="N28" s="319">
        <f t="shared" ref="N28" si="18">SUM(L28/M28)*100</f>
        <v>64.705882352941174</v>
      </c>
      <c r="O28" s="7">
        <v>23</v>
      </c>
      <c r="P28" s="7">
        <v>31</v>
      </c>
      <c r="Q28" s="153">
        <v>74.193548387096769</v>
      </c>
      <c r="R28" s="7">
        <v>10</v>
      </c>
      <c r="S28" s="7">
        <v>12</v>
      </c>
      <c r="T28" s="153">
        <v>83</v>
      </c>
      <c r="U28" s="7">
        <v>12</v>
      </c>
      <c r="V28" s="7">
        <v>15</v>
      </c>
      <c r="W28" s="153">
        <v>80</v>
      </c>
      <c r="AC28" s="148">
        <v>6</v>
      </c>
      <c r="AD28" s="7">
        <v>10</v>
      </c>
      <c r="AE28" s="153">
        <f t="shared" ref="AE28" si="19">SUM(AC28/AD28)*100</f>
        <v>60</v>
      </c>
      <c r="AF28" s="148">
        <v>3</v>
      </c>
      <c r="AG28" s="7">
        <v>5</v>
      </c>
      <c r="AH28" s="153">
        <f>(AF28/AG28)*100</f>
        <v>60</v>
      </c>
      <c r="AI28" s="6" t="s">
        <v>15</v>
      </c>
      <c r="AJ28" s="7" t="s">
        <v>15</v>
      </c>
      <c r="AK28" s="7" t="s">
        <v>15</v>
      </c>
      <c r="AL28" s="148" t="s">
        <v>15</v>
      </c>
      <c r="AM28" s="7" t="s">
        <v>15</v>
      </c>
      <c r="AN28" s="7" t="s">
        <v>15</v>
      </c>
      <c r="AO28" s="148" t="s">
        <v>15</v>
      </c>
      <c r="AP28" s="7" t="s">
        <v>15</v>
      </c>
      <c r="AQ28" s="7" t="s">
        <v>15</v>
      </c>
      <c r="AR28" s="148" t="s">
        <v>15</v>
      </c>
      <c r="AS28" s="7" t="s">
        <v>15</v>
      </c>
      <c r="AT28" s="7" t="s">
        <v>15</v>
      </c>
      <c r="AU28" s="148" t="s">
        <v>15</v>
      </c>
      <c r="AV28" s="7" t="s">
        <v>15</v>
      </c>
      <c r="AW28" s="7" t="s">
        <v>15</v>
      </c>
    </row>
    <row r="29" spans="1:57" ht="14.95" customHeight="1" thickBot="1" x14ac:dyDescent="0.3">
      <c r="A29" s="309" t="s">
        <v>979</v>
      </c>
      <c r="B29" s="315">
        <v>0</v>
      </c>
      <c r="C29" s="316">
        <v>2</v>
      </c>
      <c r="D29" s="317">
        <v>0</v>
      </c>
      <c r="E29" s="318">
        <f t="shared" si="0"/>
        <v>2</v>
      </c>
      <c r="F29" s="308" t="s">
        <v>979</v>
      </c>
      <c r="G29" s="144">
        <v>0</v>
      </c>
      <c r="H29" s="283">
        <v>10</v>
      </c>
      <c r="I29" s="224">
        <v>0</v>
      </c>
      <c r="J29" s="75">
        <f t="shared" si="1"/>
        <v>10</v>
      </c>
      <c r="K29" s="291" t="s">
        <v>152</v>
      </c>
      <c r="L29" s="318">
        <v>7</v>
      </c>
      <c r="M29" s="318">
        <v>14</v>
      </c>
      <c r="N29" s="319">
        <f t="shared" ref="N29" si="20">SUM(L29/M29)*100</f>
        <v>50</v>
      </c>
      <c r="O29" s="7" t="s">
        <v>15</v>
      </c>
      <c r="P29" s="7" t="s">
        <v>15</v>
      </c>
      <c r="Q29" s="153" t="s">
        <v>15</v>
      </c>
      <c r="R29" s="7">
        <v>7</v>
      </c>
      <c r="S29" s="7">
        <v>7</v>
      </c>
      <c r="T29" s="153">
        <v>100</v>
      </c>
      <c r="U29" s="7" t="s">
        <v>15</v>
      </c>
      <c r="V29" s="7" t="s">
        <v>15</v>
      </c>
      <c r="W29" s="153" t="s">
        <v>15</v>
      </c>
      <c r="AC29" s="148">
        <v>4</v>
      </c>
      <c r="AD29" s="7">
        <v>5</v>
      </c>
      <c r="AE29" s="153">
        <f t="shared" ref="AE29" si="21">SUM(AC29/AD29)*100</f>
        <v>80</v>
      </c>
      <c r="AF29" s="148">
        <v>19</v>
      </c>
      <c r="AG29" s="7">
        <v>25</v>
      </c>
      <c r="AH29" s="153">
        <f>(AF29/AG29)*100</f>
        <v>76</v>
      </c>
      <c r="AI29" s="6">
        <v>2</v>
      </c>
      <c r="AJ29" s="7">
        <v>4</v>
      </c>
      <c r="AK29" s="153">
        <f t="shared" ref="AK29" si="22">SUM(AI29/AJ29)*100</f>
        <v>50</v>
      </c>
      <c r="AL29" s="148" t="s">
        <v>15</v>
      </c>
      <c r="AM29" s="7" t="s">
        <v>15</v>
      </c>
      <c r="AN29" s="7" t="s">
        <v>15</v>
      </c>
      <c r="AO29" s="148" t="s">
        <v>15</v>
      </c>
      <c r="AP29" s="7" t="s">
        <v>15</v>
      </c>
      <c r="AQ29" s="7" t="s">
        <v>15</v>
      </c>
      <c r="AR29" s="6" t="s">
        <v>15</v>
      </c>
      <c r="AS29" s="7" t="s">
        <v>15</v>
      </c>
      <c r="AT29" s="7" t="s">
        <v>15</v>
      </c>
      <c r="AU29" s="148" t="s">
        <v>15</v>
      </c>
      <c r="AV29" s="7" t="s">
        <v>15</v>
      </c>
      <c r="AW29" s="7" t="s">
        <v>15</v>
      </c>
    </row>
    <row r="30" spans="1:57" ht="14.95" customHeight="1" thickBot="1" x14ac:dyDescent="0.3">
      <c r="A30" s="309" t="s">
        <v>718</v>
      </c>
      <c r="B30" s="315">
        <v>1</v>
      </c>
      <c r="C30" s="316">
        <v>1</v>
      </c>
      <c r="D30" s="317">
        <v>0</v>
      </c>
      <c r="E30" s="318">
        <f t="shared" si="0"/>
        <v>2</v>
      </c>
      <c r="F30" s="308" t="s">
        <v>718</v>
      </c>
      <c r="G30" s="144">
        <v>5</v>
      </c>
      <c r="H30" s="283">
        <v>5</v>
      </c>
      <c r="I30" s="224">
        <v>0</v>
      </c>
      <c r="J30" s="75">
        <f t="shared" si="1"/>
        <v>10</v>
      </c>
      <c r="K30" s="309" t="s">
        <v>466</v>
      </c>
      <c r="L30" s="318" t="s">
        <v>15</v>
      </c>
      <c r="M30" s="318" t="s">
        <v>15</v>
      </c>
      <c r="N30" s="319" t="s">
        <v>15</v>
      </c>
      <c r="O30" s="7" t="s">
        <v>15</v>
      </c>
      <c r="P30" s="7" t="s">
        <v>15</v>
      </c>
      <c r="Q30" s="153" t="s">
        <v>15</v>
      </c>
      <c r="R30" s="7" t="s">
        <v>15</v>
      </c>
      <c r="S30" s="7" t="s">
        <v>15</v>
      </c>
      <c r="T30" s="153" t="s">
        <v>15</v>
      </c>
      <c r="U30" s="7">
        <v>0</v>
      </c>
      <c r="V30" s="7">
        <v>1</v>
      </c>
      <c r="W30" s="153">
        <v>0</v>
      </c>
      <c r="AC30" s="148" t="s">
        <v>15</v>
      </c>
      <c r="AD30" s="7" t="s">
        <v>15</v>
      </c>
      <c r="AE30" s="153" t="s">
        <v>15</v>
      </c>
      <c r="AF30" s="148" t="s">
        <v>15</v>
      </c>
      <c r="AG30" s="7" t="s">
        <v>15</v>
      </c>
      <c r="AH30" s="153" t="s">
        <v>15</v>
      </c>
      <c r="AI30" s="6" t="s">
        <v>15</v>
      </c>
      <c r="AJ30" s="7" t="s">
        <v>15</v>
      </c>
      <c r="AK30" s="153" t="s">
        <v>15</v>
      </c>
      <c r="AL30" s="7" t="s">
        <v>15</v>
      </c>
      <c r="AM30" s="7" t="s">
        <v>15</v>
      </c>
      <c r="AN30" s="153" t="s">
        <v>15</v>
      </c>
      <c r="AO30" s="7" t="s">
        <v>15</v>
      </c>
      <c r="AP30" s="7" t="s">
        <v>15</v>
      </c>
      <c r="AQ30" s="153" t="s">
        <v>15</v>
      </c>
      <c r="AR30" s="7" t="s">
        <v>15</v>
      </c>
      <c r="AS30" s="7" t="s">
        <v>15</v>
      </c>
      <c r="AT30" s="153" t="s">
        <v>15</v>
      </c>
      <c r="AU30" s="7" t="s">
        <v>15</v>
      </c>
      <c r="AV30" s="7" t="s">
        <v>15</v>
      </c>
      <c r="AW30" s="153" t="s">
        <v>15</v>
      </c>
    </row>
    <row r="31" spans="1:57" ht="14.95" customHeight="1" thickBot="1" x14ac:dyDescent="0.3">
      <c r="A31" s="309" t="s">
        <v>769</v>
      </c>
      <c r="B31" s="315">
        <v>0</v>
      </c>
      <c r="C31" s="316">
        <v>0</v>
      </c>
      <c r="D31" s="317">
        <v>1</v>
      </c>
      <c r="E31" s="318">
        <f t="shared" si="0"/>
        <v>1</v>
      </c>
      <c r="F31" s="308" t="s">
        <v>769</v>
      </c>
      <c r="G31" s="144">
        <v>0</v>
      </c>
      <c r="H31" s="283">
        <v>0</v>
      </c>
      <c r="I31" s="224">
        <v>5</v>
      </c>
      <c r="J31" s="75">
        <f t="shared" si="1"/>
        <v>5</v>
      </c>
      <c r="K31" s="291" t="s">
        <v>340</v>
      </c>
      <c r="L31" s="318" t="s">
        <v>15</v>
      </c>
      <c r="M31" s="318" t="s">
        <v>15</v>
      </c>
      <c r="N31" s="319" t="s">
        <v>15</v>
      </c>
      <c r="O31" s="7" t="s">
        <v>15</v>
      </c>
      <c r="P31" s="7" t="s">
        <v>15</v>
      </c>
      <c r="Q31" s="153" t="s">
        <v>15</v>
      </c>
      <c r="R31" s="7">
        <v>4</v>
      </c>
      <c r="S31" s="7">
        <v>7</v>
      </c>
      <c r="T31" s="153">
        <v>57.142857142857139</v>
      </c>
      <c r="U31" s="7">
        <v>0</v>
      </c>
      <c r="V31" s="7">
        <v>0</v>
      </c>
      <c r="W31" s="153">
        <v>0</v>
      </c>
      <c r="X31" s="86"/>
      <c r="Y31" s="86"/>
      <c r="Z31" s="86"/>
      <c r="AC31" s="148">
        <v>0</v>
      </c>
      <c r="AD31" s="7">
        <v>0</v>
      </c>
      <c r="AE31" s="153">
        <v>0</v>
      </c>
      <c r="AF31" s="148">
        <v>0</v>
      </c>
      <c r="AG31" s="7">
        <v>0</v>
      </c>
      <c r="AH31" s="153">
        <v>0</v>
      </c>
      <c r="AI31" s="6">
        <v>0</v>
      </c>
      <c r="AJ31" s="7">
        <v>0</v>
      </c>
      <c r="AK31" s="153">
        <v>0</v>
      </c>
      <c r="AL31" s="148">
        <v>0</v>
      </c>
      <c r="AM31" s="7">
        <v>0</v>
      </c>
      <c r="AN31" s="7">
        <v>0</v>
      </c>
      <c r="AO31" s="148">
        <v>0</v>
      </c>
      <c r="AP31" s="7">
        <v>0</v>
      </c>
      <c r="AQ31" s="7">
        <v>0</v>
      </c>
      <c r="AR31" s="6">
        <v>0</v>
      </c>
      <c r="AS31" s="7">
        <v>0</v>
      </c>
      <c r="AT31" s="7">
        <v>0</v>
      </c>
      <c r="AU31" s="148">
        <v>0</v>
      </c>
      <c r="AV31" s="7">
        <v>0</v>
      </c>
      <c r="AW31" s="7">
        <v>0</v>
      </c>
      <c r="AX31" s="156"/>
    </row>
    <row r="32" spans="1:57" ht="14.95" customHeight="1" thickBot="1" x14ac:dyDescent="0.3">
      <c r="A32" s="309" t="s">
        <v>459</v>
      </c>
      <c r="B32" s="315">
        <v>0</v>
      </c>
      <c r="C32" s="316">
        <v>0</v>
      </c>
      <c r="D32" s="317">
        <v>0</v>
      </c>
      <c r="E32" s="318">
        <f t="shared" si="0"/>
        <v>0</v>
      </c>
      <c r="F32" s="308" t="s">
        <v>459</v>
      </c>
      <c r="G32" s="144">
        <v>0</v>
      </c>
      <c r="H32" s="283">
        <v>0</v>
      </c>
      <c r="I32" s="224">
        <v>0</v>
      </c>
      <c r="J32" s="75">
        <f t="shared" si="1"/>
        <v>0</v>
      </c>
      <c r="K32" s="115"/>
      <c r="AC32" s="115" t="s">
        <v>467</v>
      </c>
    </row>
    <row r="33" spans="1:23" ht="14.95" customHeight="1" thickBot="1" x14ac:dyDescent="0.3">
      <c r="A33" s="309" t="s">
        <v>64</v>
      </c>
      <c r="B33" s="315">
        <v>7</v>
      </c>
      <c r="C33" s="316">
        <v>3</v>
      </c>
      <c r="D33" s="317">
        <v>2</v>
      </c>
      <c r="E33" s="318">
        <f t="shared" si="0"/>
        <v>12</v>
      </c>
      <c r="F33" s="308" t="s">
        <v>64</v>
      </c>
      <c r="G33" s="144">
        <v>35</v>
      </c>
      <c r="H33" s="283">
        <v>15</v>
      </c>
      <c r="I33" s="224">
        <v>10</v>
      </c>
      <c r="J33" s="75">
        <f t="shared" si="1"/>
        <v>60</v>
      </c>
      <c r="K33" s="494"/>
      <c r="L33" s="475"/>
      <c r="M33" s="475"/>
      <c r="N33" s="475"/>
      <c r="O33" s="475"/>
      <c r="P33" s="475"/>
      <c r="Q33" s="475"/>
      <c r="R33" s="475"/>
      <c r="S33" s="475"/>
      <c r="T33" s="475"/>
      <c r="U33" s="475"/>
      <c r="V33" s="475"/>
      <c r="W33" s="475"/>
    </row>
    <row r="34" spans="1:23" ht="14.95" customHeight="1" thickBot="1" x14ac:dyDescent="0.3">
      <c r="A34" s="309" t="s">
        <v>501</v>
      </c>
      <c r="B34" s="315">
        <v>0</v>
      </c>
      <c r="C34" s="316">
        <v>0</v>
      </c>
      <c r="D34" s="317">
        <v>0</v>
      </c>
      <c r="E34" s="318">
        <f t="shared" si="0"/>
        <v>0</v>
      </c>
      <c r="F34" s="308" t="s">
        <v>501</v>
      </c>
      <c r="G34" s="144">
        <v>0</v>
      </c>
      <c r="H34" s="283">
        <v>0</v>
      </c>
      <c r="I34" s="224">
        <v>0</v>
      </c>
      <c r="J34" s="75">
        <f t="shared" si="1"/>
        <v>0</v>
      </c>
    </row>
    <row r="35" spans="1:23" ht="14.95" customHeight="1" thickBot="1" x14ac:dyDescent="0.3">
      <c r="A35" s="309" t="s">
        <v>720</v>
      </c>
      <c r="B35" s="315">
        <v>0</v>
      </c>
      <c r="C35" s="316">
        <v>0</v>
      </c>
      <c r="D35" s="317">
        <v>0</v>
      </c>
      <c r="E35" s="318">
        <f t="shared" si="0"/>
        <v>0</v>
      </c>
      <c r="F35" s="308" t="s">
        <v>720</v>
      </c>
      <c r="G35" s="144">
        <v>0</v>
      </c>
      <c r="H35" s="283">
        <v>0</v>
      </c>
      <c r="I35" s="224">
        <v>0</v>
      </c>
      <c r="J35" s="75">
        <f t="shared" si="1"/>
        <v>0</v>
      </c>
    </row>
    <row r="36" spans="1:23" ht="14.95" customHeight="1" thickBot="1" x14ac:dyDescent="0.3">
      <c r="A36" s="309" t="s">
        <v>4</v>
      </c>
      <c r="B36" s="315">
        <v>0</v>
      </c>
      <c r="C36" s="316">
        <v>0</v>
      </c>
      <c r="D36" s="317">
        <v>0</v>
      </c>
      <c r="E36" s="318">
        <f t="shared" si="0"/>
        <v>0</v>
      </c>
      <c r="F36" s="308" t="s">
        <v>4</v>
      </c>
      <c r="G36" s="144">
        <v>0</v>
      </c>
      <c r="H36" s="283">
        <v>0</v>
      </c>
      <c r="I36" s="224">
        <v>0</v>
      </c>
      <c r="J36" s="75">
        <f t="shared" si="1"/>
        <v>0</v>
      </c>
    </row>
    <row r="37" spans="1:23" ht="14.95" customHeight="1" thickBot="1" x14ac:dyDescent="0.3">
      <c r="A37" s="309" t="s">
        <v>286</v>
      </c>
      <c r="B37" s="315">
        <v>2</v>
      </c>
      <c r="C37" s="316">
        <v>0</v>
      </c>
      <c r="D37" s="317">
        <v>0</v>
      </c>
      <c r="E37" s="318">
        <f t="shared" si="0"/>
        <v>2</v>
      </c>
      <c r="F37" s="308" t="s">
        <v>286</v>
      </c>
      <c r="G37" s="144">
        <v>10</v>
      </c>
      <c r="H37" s="283">
        <v>0</v>
      </c>
      <c r="I37" s="224">
        <v>0</v>
      </c>
      <c r="J37" s="75">
        <f t="shared" si="1"/>
        <v>10</v>
      </c>
    </row>
    <row r="38" spans="1:23" ht="14.95" customHeight="1" thickBot="1" x14ac:dyDescent="0.3">
      <c r="A38" s="309" t="s">
        <v>75</v>
      </c>
      <c r="B38" s="315">
        <v>3</v>
      </c>
      <c r="C38" s="316">
        <v>1</v>
      </c>
      <c r="D38" s="317">
        <v>1</v>
      </c>
      <c r="E38" s="318">
        <f t="shared" si="0"/>
        <v>5</v>
      </c>
      <c r="F38" s="308" t="s">
        <v>75</v>
      </c>
      <c r="G38" s="144">
        <v>15</v>
      </c>
      <c r="H38" s="283">
        <v>5</v>
      </c>
      <c r="I38" s="224">
        <v>5</v>
      </c>
      <c r="J38" s="75">
        <f t="shared" si="1"/>
        <v>25</v>
      </c>
    </row>
    <row r="39" spans="1:23" ht="14.95" customHeight="1" thickBot="1" x14ac:dyDescent="0.3">
      <c r="A39" s="309" t="s">
        <v>398</v>
      </c>
      <c r="B39" s="315">
        <v>0</v>
      </c>
      <c r="C39" s="316">
        <v>0</v>
      </c>
      <c r="D39" s="317">
        <v>0</v>
      </c>
      <c r="E39" s="318">
        <f t="shared" si="0"/>
        <v>0</v>
      </c>
      <c r="F39" s="308" t="s">
        <v>398</v>
      </c>
      <c r="G39" s="144">
        <v>0</v>
      </c>
      <c r="H39" s="283">
        <v>0</v>
      </c>
      <c r="I39" s="224">
        <v>0</v>
      </c>
      <c r="J39" s="75">
        <f t="shared" si="1"/>
        <v>0</v>
      </c>
    </row>
    <row r="40" spans="1:23" ht="14.95" customHeight="1" thickBot="1" x14ac:dyDescent="0.3">
      <c r="A40" s="309" t="s">
        <v>1028</v>
      </c>
      <c r="B40" s="315">
        <v>0</v>
      </c>
      <c r="C40" s="316">
        <v>0</v>
      </c>
      <c r="D40" s="317">
        <v>1</v>
      </c>
      <c r="E40" s="318">
        <f t="shared" si="0"/>
        <v>1</v>
      </c>
      <c r="F40" s="308" t="s">
        <v>1028</v>
      </c>
      <c r="G40" s="144">
        <v>0</v>
      </c>
      <c r="H40" s="283">
        <v>0</v>
      </c>
      <c r="I40" s="224">
        <v>5</v>
      </c>
      <c r="J40" s="75">
        <f t="shared" si="1"/>
        <v>5</v>
      </c>
    </row>
    <row r="41" spans="1:23" ht="14.95" customHeight="1" thickBot="1" x14ac:dyDescent="0.3">
      <c r="A41" s="309" t="s">
        <v>272</v>
      </c>
      <c r="B41" s="315">
        <v>1</v>
      </c>
      <c r="C41" s="316">
        <v>1</v>
      </c>
      <c r="D41" s="317">
        <v>0</v>
      </c>
      <c r="E41" s="318">
        <f t="shared" si="0"/>
        <v>2</v>
      </c>
      <c r="F41" s="308" t="s">
        <v>272</v>
      </c>
      <c r="G41" s="144">
        <v>5</v>
      </c>
      <c r="H41" s="283">
        <v>5</v>
      </c>
      <c r="I41" s="224">
        <v>0</v>
      </c>
      <c r="J41" s="75">
        <f t="shared" si="1"/>
        <v>10</v>
      </c>
    </row>
    <row r="42" spans="1:23" ht="14.95" customHeight="1" thickBot="1" x14ac:dyDescent="0.3">
      <c r="A42" s="309" t="s">
        <v>176</v>
      </c>
      <c r="B42" s="315">
        <v>6</v>
      </c>
      <c r="C42" s="316">
        <v>0</v>
      </c>
      <c r="D42" s="317">
        <v>0</v>
      </c>
      <c r="E42" s="318">
        <f t="shared" si="0"/>
        <v>6</v>
      </c>
      <c r="F42" s="308" t="s">
        <v>176</v>
      </c>
      <c r="G42" s="144">
        <v>30</v>
      </c>
      <c r="H42" s="283">
        <v>0</v>
      </c>
      <c r="I42" s="224">
        <v>0</v>
      </c>
      <c r="J42" s="75">
        <f t="shared" si="1"/>
        <v>30</v>
      </c>
    </row>
    <row r="43" spans="1:23" ht="14.95" customHeight="1" thickBot="1" x14ac:dyDescent="0.3">
      <c r="A43" s="309" t="s">
        <v>337</v>
      </c>
      <c r="B43" s="315">
        <v>0</v>
      </c>
      <c r="C43" s="316">
        <v>0</v>
      </c>
      <c r="D43" s="317">
        <v>1</v>
      </c>
      <c r="E43" s="318">
        <f t="shared" si="0"/>
        <v>1</v>
      </c>
      <c r="F43" s="308" t="s">
        <v>337</v>
      </c>
      <c r="G43" s="144">
        <v>0</v>
      </c>
      <c r="H43" s="283">
        <v>0</v>
      </c>
      <c r="I43" s="224">
        <v>5</v>
      </c>
      <c r="J43" s="75">
        <f t="shared" ref="J43" si="23">SUM(G43:I43)</f>
        <v>5</v>
      </c>
    </row>
    <row r="44" spans="1:23" ht="14.95" thickBot="1" x14ac:dyDescent="0.3">
      <c r="A44" s="309" t="s">
        <v>723</v>
      </c>
      <c r="B44" s="315">
        <v>3</v>
      </c>
      <c r="C44" s="316">
        <v>1</v>
      </c>
      <c r="D44" s="317">
        <v>0</v>
      </c>
      <c r="E44" s="318">
        <f t="shared" si="0"/>
        <v>4</v>
      </c>
      <c r="F44" s="308" t="s">
        <v>723</v>
      </c>
      <c r="G44" s="144">
        <v>15</v>
      </c>
      <c r="H44" s="283">
        <v>5</v>
      </c>
      <c r="I44" s="224">
        <v>0</v>
      </c>
      <c r="J44" s="75">
        <f t="shared" ref="J44:J50" si="24">SUM(G44:I44)</f>
        <v>20</v>
      </c>
    </row>
    <row r="45" spans="1:23" ht="14.95" thickBot="1" x14ac:dyDescent="0.3">
      <c r="A45" s="309" t="s">
        <v>980</v>
      </c>
      <c r="B45" s="315">
        <v>2</v>
      </c>
      <c r="C45" s="316">
        <v>0</v>
      </c>
      <c r="D45" s="317">
        <v>0</v>
      </c>
      <c r="E45" s="318">
        <f t="shared" si="0"/>
        <v>2</v>
      </c>
      <c r="F45" s="308" t="s">
        <v>980</v>
      </c>
      <c r="G45" s="144">
        <v>10</v>
      </c>
      <c r="H45" s="283">
        <v>0</v>
      </c>
      <c r="I45" s="224">
        <v>0</v>
      </c>
      <c r="J45" s="75">
        <f t="shared" si="24"/>
        <v>10</v>
      </c>
    </row>
    <row r="46" spans="1:23" ht="14.95" thickBot="1" x14ac:dyDescent="0.3">
      <c r="A46" s="309" t="s">
        <v>340</v>
      </c>
      <c r="B46" s="315">
        <v>0</v>
      </c>
      <c r="C46" s="316">
        <v>0</v>
      </c>
      <c r="D46" s="317">
        <v>0</v>
      </c>
      <c r="E46" s="318">
        <f t="shared" si="0"/>
        <v>0</v>
      </c>
      <c r="F46" s="308" t="s">
        <v>340</v>
      </c>
      <c r="G46" s="144">
        <v>0</v>
      </c>
      <c r="H46" s="283">
        <v>0</v>
      </c>
      <c r="I46" s="224">
        <v>0</v>
      </c>
      <c r="J46" s="75">
        <f t="shared" si="24"/>
        <v>0</v>
      </c>
    </row>
    <row r="47" spans="1:23" ht="14.95" thickBot="1" x14ac:dyDescent="0.3">
      <c r="A47" s="309" t="s">
        <v>1079</v>
      </c>
      <c r="B47" s="315">
        <v>0</v>
      </c>
      <c r="C47" s="316">
        <v>0</v>
      </c>
      <c r="D47" s="317">
        <v>1</v>
      </c>
      <c r="E47" s="318">
        <f t="shared" si="0"/>
        <v>1</v>
      </c>
      <c r="F47" s="308" t="s">
        <v>1079</v>
      </c>
      <c r="G47" s="144">
        <v>0</v>
      </c>
      <c r="H47" s="283">
        <v>0</v>
      </c>
      <c r="I47" s="224">
        <v>5</v>
      </c>
      <c r="J47" s="75">
        <f t="shared" si="24"/>
        <v>5</v>
      </c>
    </row>
    <row r="48" spans="1:23" ht="14.95" thickBot="1" x14ac:dyDescent="0.3">
      <c r="A48" s="309" t="s">
        <v>729</v>
      </c>
      <c r="B48" s="315">
        <v>2</v>
      </c>
      <c r="C48" s="316">
        <v>2</v>
      </c>
      <c r="D48" s="317">
        <v>2</v>
      </c>
      <c r="E48" s="318">
        <f t="shared" si="0"/>
        <v>6</v>
      </c>
      <c r="F48" s="308" t="s">
        <v>729</v>
      </c>
      <c r="G48" s="144">
        <v>10</v>
      </c>
      <c r="H48" s="283">
        <v>10</v>
      </c>
      <c r="I48" s="224">
        <v>10</v>
      </c>
      <c r="J48" s="75">
        <f t="shared" si="24"/>
        <v>30</v>
      </c>
    </row>
    <row r="49" spans="1:10" ht="14.95" thickBot="1" x14ac:dyDescent="0.3">
      <c r="A49" s="309" t="s">
        <v>1026</v>
      </c>
      <c r="B49" s="315">
        <v>0</v>
      </c>
      <c r="C49" s="316">
        <v>0</v>
      </c>
      <c r="D49" s="317">
        <v>1</v>
      </c>
      <c r="E49" s="318">
        <f t="shared" si="0"/>
        <v>1</v>
      </c>
      <c r="F49" s="308" t="s">
        <v>1026</v>
      </c>
      <c r="G49" s="144">
        <v>0</v>
      </c>
      <c r="H49" s="283">
        <v>0</v>
      </c>
      <c r="I49" s="224">
        <v>5</v>
      </c>
      <c r="J49" s="75">
        <f t="shared" si="24"/>
        <v>5</v>
      </c>
    </row>
    <row r="50" spans="1:10" ht="14.95" thickBot="1" x14ac:dyDescent="0.3">
      <c r="A50" s="309" t="s">
        <v>730</v>
      </c>
      <c r="B50" s="315">
        <v>0</v>
      </c>
      <c r="C50" s="316">
        <v>0</v>
      </c>
      <c r="D50" s="317">
        <v>0</v>
      </c>
      <c r="E50" s="318">
        <f t="shared" si="0"/>
        <v>0</v>
      </c>
      <c r="F50" s="308" t="s">
        <v>730</v>
      </c>
      <c r="G50" s="144">
        <v>0</v>
      </c>
      <c r="H50" s="283">
        <v>0</v>
      </c>
      <c r="I50" s="224">
        <v>0</v>
      </c>
      <c r="J50" s="75">
        <f t="shared" si="24"/>
        <v>0</v>
      </c>
    </row>
    <row r="51" spans="1:10" ht="14.95" thickBot="1" x14ac:dyDescent="0.3">
      <c r="A51" s="309" t="s">
        <v>3</v>
      </c>
      <c r="B51" s="315">
        <f>SUM(B3:B50)</f>
        <v>45</v>
      </c>
      <c r="C51" s="316">
        <f>SUM(C3:C50)</f>
        <v>16</v>
      </c>
      <c r="D51" s="317">
        <f>SUM(D3:D50)</f>
        <v>28</v>
      </c>
      <c r="E51" s="318">
        <f>SUM(E3:E50)</f>
        <v>89</v>
      </c>
      <c r="F51" s="308" t="s">
        <v>3</v>
      </c>
      <c r="G51" s="144">
        <f>SUM(G3:G50)</f>
        <v>325</v>
      </c>
      <c r="H51" s="283">
        <f>SUM(H3:H50)</f>
        <v>128</v>
      </c>
      <c r="I51" s="224">
        <f>SUM(I3:I50)</f>
        <v>177</v>
      </c>
      <c r="J51" s="75">
        <f>SUM(J3:J50)</f>
        <v>630</v>
      </c>
    </row>
    <row r="52" spans="1:10" x14ac:dyDescent="0.25">
      <c r="B52" s="132"/>
      <c r="C52" s="67"/>
      <c r="D52" s="67"/>
      <c r="F52" s="103"/>
      <c r="G52" s="132"/>
      <c r="H52" s="67"/>
      <c r="I52" s="67"/>
    </row>
    <row r="53" spans="1:10" ht="14.95" thickBot="1" x14ac:dyDescent="0.3">
      <c r="A53" t="s">
        <v>12</v>
      </c>
      <c r="B53" s="132"/>
      <c r="C53" s="67"/>
      <c r="D53" s="67"/>
      <c r="F53" s="104"/>
      <c r="G53" s="133"/>
      <c r="H53" s="68"/>
      <c r="I53" s="68"/>
      <c r="J53" s="36"/>
    </row>
    <row r="54" spans="1:10" ht="14.95" thickBot="1" x14ac:dyDescent="0.3">
      <c r="A54" s="310" t="s">
        <v>0</v>
      </c>
      <c r="B54" s="311" t="s">
        <v>218</v>
      </c>
      <c r="C54" s="312" t="s">
        <v>30</v>
      </c>
      <c r="D54" s="313" t="s">
        <v>326</v>
      </c>
      <c r="E54" s="314" t="s">
        <v>1</v>
      </c>
      <c r="F54" s="306" t="s">
        <v>2</v>
      </c>
      <c r="G54" s="143" t="s">
        <v>218</v>
      </c>
      <c r="H54" s="282" t="s">
        <v>30</v>
      </c>
      <c r="I54" s="223" t="s">
        <v>326</v>
      </c>
      <c r="J54" s="108" t="s">
        <v>1</v>
      </c>
    </row>
    <row r="55" spans="1:10" ht="14.95" thickBot="1" x14ac:dyDescent="0.3">
      <c r="A55" s="309" t="s">
        <v>64</v>
      </c>
      <c r="B55" s="315">
        <v>7</v>
      </c>
      <c r="C55" s="316">
        <v>3</v>
      </c>
      <c r="D55" s="317">
        <v>2</v>
      </c>
      <c r="E55" s="318">
        <f>SUM(B55:D55)</f>
        <v>12</v>
      </c>
      <c r="F55" s="307" t="s">
        <v>192</v>
      </c>
      <c r="G55" s="144">
        <v>84</v>
      </c>
      <c r="H55" s="283">
        <v>30</v>
      </c>
      <c r="I55" s="224">
        <v>0</v>
      </c>
      <c r="J55" s="75">
        <f>SUM(G55:I55)</f>
        <v>114</v>
      </c>
    </row>
    <row r="56" spans="1:10" ht="14.95" thickBot="1" x14ac:dyDescent="0.3">
      <c r="A56" s="309" t="s">
        <v>407</v>
      </c>
      <c r="B56" s="315">
        <v>4</v>
      </c>
      <c r="C56" s="316">
        <v>0</v>
      </c>
      <c r="D56" s="317">
        <v>5</v>
      </c>
      <c r="E56" s="318">
        <f>SUM(B56:D56)</f>
        <v>9</v>
      </c>
      <c r="F56" s="307" t="s">
        <v>152</v>
      </c>
      <c r="G56" s="144">
        <v>31</v>
      </c>
      <c r="H56" s="283">
        <v>16</v>
      </c>
      <c r="I56" s="224">
        <v>15</v>
      </c>
      <c r="J56" s="75">
        <f>SUM(G56:I56)</f>
        <v>62</v>
      </c>
    </row>
    <row r="57" spans="1:10" ht="14.95" thickBot="1" x14ac:dyDescent="0.3">
      <c r="A57" s="309" t="s">
        <v>176</v>
      </c>
      <c r="B57" s="315">
        <v>6</v>
      </c>
      <c r="C57" s="316">
        <v>0</v>
      </c>
      <c r="D57" s="317">
        <v>0</v>
      </c>
      <c r="E57" s="318">
        <f>SUM(B57:D57)</f>
        <v>6</v>
      </c>
      <c r="F57" s="308" t="s">
        <v>64</v>
      </c>
      <c r="G57" s="144">
        <v>35</v>
      </c>
      <c r="H57" s="283">
        <v>15</v>
      </c>
      <c r="I57" s="224">
        <v>10</v>
      </c>
      <c r="J57" s="75">
        <f>SUM(G57:I57)</f>
        <v>60</v>
      </c>
    </row>
    <row r="58" spans="1:10" ht="14.95" thickBot="1" x14ac:dyDescent="0.3">
      <c r="A58" s="309" t="s">
        <v>729</v>
      </c>
      <c r="B58" s="315">
        <v>2</v>
      </c>
      <c r="C58" s="316">
        <v>2</v>
      </c>
      <c r="D58" s="317">
        <v>2</v>
      </c>
      <c r="E58" s="318">
        <f>SUM(B58:D58)</f>
        <v>6</v>
      </c>
      <c r="F58" s="308" t="s">
        <v>407</v>
      </c>
      <c r="G58" s="144">
        <v>20</v>
      </c>
      <c r="H58" s="283">
        <v>0</v>
      </c>
      <c r="I58" s="224">
        <v>25</v>
      </c>
      <c r="J58" s="75">
        <f>SUM(G58:I58)</f>
        <v>45</v>
      </c>
    </row>
    <row r="59" spans="1:10" ht="14.95" thickBot="1" x14ac:dyDescent="0.3">
      <c r="A59" s="309" t="s">
        <v>33</v>
      </c>
      <c r="B59" s="315">
        <v>3</v>
      </c>
      <c r="C59" s="316">
        <v>2</v>
      </c>
      <c r="D59" s="317">
        <v>0</v>
      </c>
      <c r="E59" s="318">
        <f>SUM(B59:D59)</f>
        <v>5</v>
      </c>
      <c r="F59" s="308" t="s">
        <v>176</v>
      </c>
      <c r="G59" s="144">
        <v>30</v>
      </c>
      <c r="H59" s="283">
        <v>0</v>
      </c>
      <c r="I59" s="224">
        <v>0</v>
      </c>
      <c r="J59" s="75">
        <f>SUM(G59:I59)</f>
        <v>30</v>
      </c>
    </row>
    <row r="60" spans="1:10" ht="14.95" thickBot="1" x14ac:dyDescent="0.3">
      <c r="A60" s="309" t="s">
        <v>75</v>
      </c>
      <c r="B60" s="315">
        <v>3</v>
      </c>
      <c r="C60" s="316">
        <v>1</v>
      </c>
      <c r="D60" s="317">
        <v>1</v>
      </c>
      <c r="E60" s="318">
        <f>SUM(B60:D60)</f>
        <v>5</v>
      </c>
      <c r="F60" s="308" t="s">
        <v>729</v>
      </c>
      <c r="G60" s="144">
        <v>10</v>
      </c>
      <c r="H60" s="283">
        <v>10</v>
      </c>
      <c r="I60" s="224">
        <v>10</v>
      </c>
      <c r="J60" s="75">
        <f>SUM(G60:I60)</f>
        <v>30</v>
      </c>
    </row>
    <row r="61" spans="1:10" ht="14.95" thickBot="1" x14ac:dyDescent="0.3">
      <c r="A61" s="309" t="s">
        <v>259</v>
      </c>
      <c r="B61" s="315">
        <v>4</v>
      </c>
      <c r="C61" s="316">
        <v>0</v>
      </c>
      <c r="D61" s="317">
        <v>0</v>
      </c>
      <c r="E61" s="318">
        <f>SUM(B61:D61)</f>
        <v>4</v>
      </c>
      <c r="F61" s="308" t="s">
        <v>97</v>
      </c>
      <c r="G61" s="144">
        <v>0</v>
      </c>
      <c r="H61" s="283">
        <v>7</v>
      </c>
      <c r="I61" s="224">
        <v>22</v>
      </c>
      <c r="J61" s="75">
        <f>SUM(G61:I61)</f>
        <v>29</v>
      </c>
    </row>
    <row r="62" spans="1:10" ht="14.95" thickBot="1" x14ac:dyDescent="0.3">
      <c r="A62" s="309" t="s">
        <v>723</v>
      </c>
      <c r="B62" s="315">
        <v>3</v>
      </c>
      <c r="C62" s="316">
        <v>1</v>
      </c>
      <c r="D62" s="317">
        <v>0</v>
      </c>
      <c r="E62" s="318">
        <f>SUM(B62:D62)</f>
        <v>4</v>
      </c>
      <c r="F62" s="308" t="s">
        <v>33</v>
      </c>
      <c r="G62" s="144">
        <v>15</v>
      </c>
      <c r="H62" s="283">
        <v>10</v>
      </c>
      <c r="I62" s="224">
        <v>0</v>
      </c>
      <c r="J62" s="75">
        <f>SUM(G62:I62)</f>
        <v>25</v>
      </c>
    </row>
    <row r="63" spans="1:10" ht="14.95" thickBot="1" x14ac:dyDescent="0.3">
      <c r="A63" s="309" t="s">
        <v>728</v>
      </c>
      <c r="B63" s="315">
        <v>0</v>
      </c>
      <c r="C63" s="316">
        <v>1</v>
      </c>
      <c r="D63" s="317">
        <v>2</v>
      </c>
      <c r="E63" s="318">
        <f>SUM(B63:D63)</f>
        <v>3</v>
      </c>
      <c r="F63" s="308" t="s">
        <v>75</v>
      </c>
      <c r="G63" s="144">
        <v>15</v>
      </c>
      <c r="H63" s="283">
        <v>5</v>
      </c>
      <c r="I63" s="224">
        <v>5</v>
      </c>
      <c r="J63" s="75">
        <f>SUM(G63:I63)</f>
        <v>25</v>
      </c>
    </row>
    <row r="64" spans="1:10" ht="14.95" thickBot="1" x14ac:dyDescent="0.3">
      <c r="A64" s="309" t="s">
        <v>152</v>
      </c>
      <c r="B64" s="315">
        <v>3</v>
      </c>
      <c r="C64" s="316">
        <v>0</v>
      </c>
      <c r="D64" s="317">
        <v>0</v>
      </c>
      <c r="E64" s="318">
        <f>SUM(B64:D64)</f>
        <v>3</v>
      </c>
      <c r="F64" s="308" t="s">
        <v>259</v>
      </c>
      <c r="G64" s="144">
        <v>20</v>
      </c>
      <c r="H64" s="283">
        <v>0</v>
      </c>
      <c r="I64" s="224">
        <v>0</v>
      </c>
      <c r="J64" s="75">
        <f>SUM(G64:I64)</f>
        <v>20</v>
      </c>
    </row>
    <row r="65" spans="1:10" ht="14.95" thickBot="1" x14ac:dyDescent="0.3">
      <c r="A65" s="309" t="s">
        <v>347</v>
      </c>
      <c r="B65" s="315">
        <v>0</v>
      </c>
      <c r="C65" s="316">
        <v>0</v>
      </c>
      <c r="D65" s="317">
        <v>3</v>
      </c>
      <c r="E65" s="318">
        <f>SUM(B65:D65)</f>
        <v>3</v>
      </c>
      <c r="F65" s="308" t="s">
        <v>723</v>
      </c>
      <c r="G65" s="144">
        <v>15</v>
      </c>
      <c r="H65" s="283">
        <v>5</v>
      </c>
      <c r="I65" s="224">
        <v>0</v>
      </c>
      <c r="J65" s="75">
        <f>SUM(G65:I65)</f>
        <v>20</v>
      </c>
    </row>
    <row r="66" spans="1:10" ht="14.95" thickBot="1" x14ac:dyDescent="0.3">
      <c r="A66" s="309" t="s">
        <v>439</v>
      </c>
      <c r="B66" s="315">
        <v>0</v>
      </c>
      <c r="C66" s="316">
        <v>0</v>
      </c>
      <c r="D66" s="317">
        <v>2</v>
      </c>
      <c r="E66" s="318">
        <f>SUM(B66:D66)</f>
        <v>2</v>
      </c>
      <c r="F66" s="308" t="s">
        <v>728</v>
      </c>
      <c r="G66" s="144">
        <v>0</v>
      </c>
      <c r="H66" s="283">
        <v>5</v>
      </c>
      <c r="I66" s="224">
        <v>10</v>
      </c>
      <c r="J66" s="75">
        <f>SUM(G66:I66)</f>
        <v>15</v>
      </c>
    </row>
    <row r="67" spans="1:10" ht="14.95" thickBot="1" x14ac:dyDescent="0.3">
      <c r="A67" s="309" t="s">
        <v>382</v>
      </c>
      <c r="B67" s="315">
        <v>2</v>
      </c>
      <c r="C67" s="316">
        <v>0</v>
      </c>
      <c r="D67" s="317">
        <v>0</v>
      </c>
      <c r="E67" s="318">
        <f>SUM(B67:D67)</f>
        <v>2</v>
      </c>
      <c r="F67" s="308" t="s">
        <v>347</v>
      </c>
      <c r="G67" s="144">
        <v>0</v>
      </c>
      <c r="H67" s="283">
        <v>0</v>
      </c>
      <c r="I67" s="224">
        <v>15</v>
      </c>
      <c r="J67" s="75">
        <f>SUM(G67:I67)</f>
        <v>15</v>
      </c>
    </row>
    <row r="68" spans="1:10" ht="14.95" thickBot="1" x14ac:dyDescent="0.3">
      <c r="A68" s="309" t="s">
        <v>910</v>
      </c>
      <c r="B68" s="315">
        <v>0</v>
      </c>
      <c r="C68" s="316">
        <v>1</v>
      </c>
      <c r="D68" s="317">
        <v>1</v>
      </c>
      <c r="E68" s="318">
        <f>SUM(B68:D68)</f>
        <v>2</v>
      </c>
      <c r="F68" s="308" t="s">
        <v>439</v>
      </c>
      <c r="G68" s="144">
        <v>0</v>
      </c>
      <c r="H68" s="283">
        <v>0</v>
      </c>
      <c r="I68" s="224">
        <v>10</v>
      </c>
      <c r="J68" s="75">
        <f>SUM(G68:I68)</f>
        <v>10</v>
      </c>
    </row>
    <row r="69" spans="1:10" ht="14.95" thickBot="1" x14ac:dyDescent="0.3">
      <c r="A69" s="309" t="s">
        <v>175</v>
      </c>
      <c r="B69" s="315">
        <v>1</v>
      </c>
      <c r="C69" s="316">
        <v>0</v>
      </c>
      <c r="D69" s="317">
        <v>1</v>
      </c>
      <c r="E69" s="318">
        <f>SUM(B69:D69)</f>
        <v>2</v>
      </c>
      <c r="F69" s="308" t="s">
        <v>382</v>
      </c>
      <c r="G69" s="144">
        <v>10</v>
      </c>
      <c r="H69" s="283">
        <v>0</v>
      </c>
      <c r="I69" s="224">
        <v>0</v>
      </c>
      <c r="J69" s="75">
        <f>SUM(G69:I69)</f>
        <v>10</v>
      </c>
    </row>
    <row r="70" spans="1:10" ht="14.95" thickBot="1" x14ac:dyDescent="0.3">
      <c r="A70" s="309" t="s">
        <v>979</v>
      </c>
      <c r="B70" s="315">
        <v>0</v>
      </c>
      <c r="C70" s="316">
        <v>2</v>
      </c>
      <c r="D70" s="317">
        <v>0</v>
      </c>
      <c r="E70" s="318">
        <f>SUM(B70:D70)</f>
        <v>2</v>
      </c>
      <c r="F70" s="308" t="s">
        <v>910</v>
      </c>
      <c r="G70" s="144">
        <v>0</v>
      </c>
      <c r="H70" s="283">
        <v>5</v>
      </c>
      <c r="I70" s="224">
        <v>5</v>
      </c>
      <c r="J70" s="75">
        <f>SUM(G70:I70)</f>
        <v>10</v>
      </c>
    </row>
    <row r="71" spans="1:10" ht="14.95" thickBot="1" x14ac:dyDescent="0.3">
      <c r="A71" s="309" t="s">
        <v>718</v>
      </c>
      <c r="B71" s="315">
        <v>1</v>
      </c>
      <c r="C71" s="316">
        <v>1</v>
      </c>
      <c r="D71" s="317">
        <v>0</v>
      </c>
      <c r="E71" s="318">
        <f>SUM(B71:D71)</f>
        <v>2</v>
      </c>
      <c r="F71" s="308" t="s">
        <v>175</v>
      </c>
      <c r="G71" s="144">
        <v>5</v>
      </c>
      <c r="H71" s="283">
        <v>0</v>
      </c>
      <c r="I71" s="224">
        <v>5</v>
      </c>
      <c r="J71" s="75">
        <f>SUM(G71:I71)</f>
        <v>10</v>
      </c>
    </row>
    <row r="72" spans="1:10" ht="14.95" thickBot="1" x14ac:dyDescent="0.3">
      <c r="A72" s="309" t="s">
        <v>286</v>
      </c>
      <c r="B72" s="315">
        <v>2</v>
      </c>
      <c r="C72" s="316">
        <v>0</v>
      </c>
      <c r="D72" s="317">
        <v>0</v>
      </c>
      <c r="E72" s="318">
        <f>SUM(B72:D72)</f>
        <v>2</v>
      </c>
      <c r="F72" s="308" t="s">
        <v>979</v>
      </c>
      <c r="G72" s="144">
        <v>0</v>
      </c>
      <c r="H72" s="283">
        <v>10</v>
      </c>
      <c r="I72" s="224">
        <v>0</v>
      </c>
      <c r="J72" s="75">
        <f>SUM(G72:I72)</f>
        <v>10</v>
      </c>
    </row>
    <row r="73" spans="1:10" ht="14.95" thickBot="1" x14ac:dyDescent="0.3">
      <c r="A73" s="309" t="s">
        <v>272</v>
      </c>
      <c r="B73" s="315">
        <v>1</v>
      </c>
      <c r="C73" s="316">
        <v>1</v>
      </c>
      <c r="D73" s="317">
        <v>0</v>
      </c>
      <c r="E73" s="318">
        <f>SUM(B73:D73)</f>
        <v>2</v>
      </c>
      <c r="F73" s="308" t="s">
        <v>718</v>
      </c>
      <c r="G73" s="144">
        <v>5</v>
      </c>
      <c r="H73" s="283">
        <v>5</v>
      </c>
      <c r="I73" s="224">
        <v>0</v>
      </c>
      <c r="J73" s="75">
        <f>SUM(G73:I73)</f>
        <v>10</v>
      </c>
    </row>
    <row r="74" spans="1:10" ht="14.95" thickBot="1" x14ac:dyDescent="0.3">
      <c r="A74" s="309" t="s">
        <v>980</v>
      </c>
      <c r="B74" s="315">
        <v>2</v>
      </c>
      <c r="C74" s="316">
        <v>0</v>
      </c>
      <c r="D74" s="317">
        <v>0</v>
      </c>
      <c r="E74" s="318">
        <f>SUM(B74:D74)</f>
        <v>2</v>
      </c>
      <c r="F74" s="308" t="s">
        <v>286</v>
      </c>
      <c r="G74" s="144">
        <v>10</v>
      </c>
      <c r="H74" s="283">
        <v>0</v>
      </c>
      <c r="I74" s="224">
        <v>0</v>
      </c>
      <c r="J74" s="75">
        <f>SUM(G74:I74)</f>
        <v>10</v>
      </c>
    </row>
    <row r="75" spans="1:10" ht="14.95" thickBot="1" x14ac:dyDescent="0.3">
      <c r="A75" s="309" t="s">
        <v>725</v>
      </c>
      <c r="B75" s="315">
        <v>1</v>
      </c>
      <c r="C75" s="316">
        <v>0</v>
      </c>
      <c r="D75" s="317">
        <v>0</v>
      </c>
      <c r="E75" s="318">
        <f>SUM(B75:D75)</f>
        <v>1</v>
      </c>
      <c r="F75" s="308" t="s">
        <v>272</v>
      </c>
      <c r="G75" s="144">
        <v>5</v>
      </c>
      <c r="H75" s="283">
        <v>5</v>
      </c>
      <c r="I75" s="224">
        <v>0</v>
      </c>
      <c r="J75" s="75">
        <f>SUM(G75:I75)</f>
        <v>10</v>
      </c>
    </row>
    <row r="76" spans="1:10" ht="14.95" thickBot="1" x14ac:dyDescent="0.3">
      <c r="A76" s="309" t="s">
        <v>499</v>
      </c>
      <c r="B76" s="315">
        <v>0</v>
      </c>
      <c r="C76" s="316">
        <v>0</v>
      </c>
      <c r="D76" s="317">
        <v>1</v>
      </c>
      <c r="E76" s="318">
        <f>SUM(B76:D76)</f>
        <v>1</v>
      </c>
      <c r="F76" s="308" t="s">
        <v>980</v>
      </c>
      <c r="G76" s="144">
        <v>10</v>
      </c>
      <c r="H76" s="283">
        <v>0</v>
      </c>
      <c r="I76" s="224">
        <v>0</v>
      </c>
      <c r="J76" s="75">
        <f>SUM(G76:I76)</f>
        <v>10</v>
      </c>
    </row>
    <row r="77" spans="1:10" ht="14.95" thickBot="1" x14ac:dyDescent="0.3">
      <c r="A77" s="309" t="s">
        <v>1092</v>
      </c>
      <c r="B77" s="315">
        <v>0</v>
      </c>
      <c r="C77" s="316">
        <v>0</v>
      </c>
      <c r="D77" s="317">
        <v>1</v>
      </c>
      <c r="E77" s="318">
        <f>SUM(B77:D77)</f>
        <v>1</v>
      </c>
      <c r="F77" s="308" t="s">
        <v>725</v>
      </c>
      <c r="G77" s="144">
        <v>5</v>
      </c>
      <c r="H77" s="283">
        <v>0</v>
      </c>
      <c r="I77" s="224">
        <v>0</v>
      </c>
      <c r="J77" s="75">
        <f>SUM(G77:I77)</f>
        <v>5</v>
      </c>
    </row>
    <row r="78" spans="1:10" ht="14.95" thickBot="1" x14ac:dyDescent="0.3">
      <c r="A78" s="309" t="s">
        <v>178</v>
      </c>
      <c r="B78" s="315">
        <v>0</v>
      </c>
      <c r="C78" s="316">
        <v>1</v>
      </c>
      <c r="D78" s="317">
        <v>0</v>
      </c>
      <c r="E78" s="318">
        <f>SUM(B78:D78)</f>
        <v>1</v>
      </c>
      <c r="F78" s="308" t="s">
        <v>499</v>
      </c>
      <c r="G78" s="144">
        <v>0</v>
      </c>
      <c r="H78" s="283">
        <v>0</v>
      </c>
      <c r="I78" s="224">
        <v>5</v>
      </c>
      <c r="J78" s="75">
        <f>SUM(G78:I78)</f>
        <v>5</v>
      </c>
    </row>
    <row r="79" spans="1:10" ht="14.95" thickBot="1" x14ac:dyDescent="0.3">
      <c r="A79" s="309" t="s">
        <v>903</v>
      </c>
      <c r="B79" s="315">
        <v>0</v>
      </c>
      <c r="C79" s="316">
        <v>0</v>
      </c>
      <c r="D79" s="317">
        <v>1</v>
      </c>
      <c r="E79" s="318">
        <f>SUM(B79:D79)</f>
        <v>1</v>
      </c>
      <c r="F79" s="308" t="s">
        <v>1092</v>
      </c>
      <c r="G79" s="144">
        <v>0</v>
      </c>
      <c r="H79" s="283">
        <v>0</v>
      </c>
      <c r="I79" s="224">
        <v>5</v>
      </c>
      <c r="J79" s="75">
        <f>SUM(G79:I79)</f>
        <v>5</v>
      </c>
    </row>
    <row r="80" spans="1:10" ht="14.95" thickBot="1" x14ac:dyDescent="0.3">
      <c r="A80" s="309" t="s">
        <v>383</v>
      </c>
      <c r="B80" s="315">
        <v>0</v>
      </c>
      <c r="C80" s="316">
        <v>0</v>
      </c>
      <c r="D80" s="317">
        <v>1</v>
      </c>
      <c r="E80" s="318">
        <f>SUM(B80:D80)</f>
        <v>1</v>
      </c>
      <c r="F80" s="308" t="s">
        <v>903</v>
      </c>
      <c r="G80" s="144">
        <v>0</v>
      </c>
      <c r="H80" s="283">
        <v>0</v>
      </c>
      <c r="I80" s="224">
        <v>5</v>
      </c>
      <c r="J80" s="75">
        <f>SUM(G80:I80)</f>
        <v>5</v>
      </c>
    </row>
    <row r="81" spans="1:10" ht="14.95" thickBot="1" x14ac:dyDescent="0.3">
      <c r="A81" s="309" t="s">
        <v>769</v>
      </c>
      <c r="B81" s="315">
        <v>0</v>
      </c>
      <c r="C81" s="316">
        <v>0</v>
      </c>
      <c r="D81" s="317">
        <v>1</v>
      </c>
      <c r="E81" s="318">
        <f>SUM(B81:D81)</f>
        <v>1</v>
      </c>
      <c r="F81" s="308" t="s">
        <v>383</v>
      </c>
      <c r="G81" s="144">
        <v>0</v>
      </c>
      <c r="H81" s="283">
        <v>0</v>
      </c>
      <c r="I81" s="224">
        <v>5</v>
      </c>
      <c r="J81" s="75">
        <f>SUM(G81:I81)</f>
        <v>5</v>
      </c>
    </row>
    <row r="82" spans="1:10" ht="14.95" thickBot="1" x14ac:dyDescent="0.3">
      <c r="A82" s="309" t="s">
        <v>1028</v>
      </c>
      <c r="B82" s="315">
        <v>0</v>
      </c>
      <c r="C82" s="316">
        <v>0</v>
      </c>
      <c r="D82" s="317">
        <v>1</v>
      </c>
      <c r="E82" s="318">
        <f>SUM(B82:D82)</f>
        <v>1</v>
      </c>
      <c r="F82" s="308" t="s">
        <v>769</v>
      </c>
      <c r="G82" s="144">
        <v>0</v>
      </c>
      <c r="H82" s="283">
        <v>0</v>
      </c>
      <c r="I82" s="224">
        <v>5</v>
      </c>
      <c r="J82" s="75">
        <f>SUM(G82:I82)</f>
        <v>5</v>
      </c>
    </row>
    <row r="83" spans="1:10" ht="14.95" thickBot="1" x14ac:dyDescent="0.3">
      <c r="A83" s="309" t="s">
        <v>337</v>
      </c>
      <c r="B83" s="315">
        <v>0</v>
      </c>
      <c r="C83" s="316">
        <v>0</v>
      </c>
      <c r="D83" s="317">
        <v>1</v>
      </c>
      <c r="E83" s="318">
        <f>SUM(B83:D83)</f>
        <v>1</v>
      </c>
      <c r="F83" s="308" t="s">
        <v>1028</v>
      </c>
      <c r="G83" s="144">
        <v>0</v>
      </c>
      <c r="H83" s="283">
        <v>0</v>
      </c>
      <c r="I83" s="224">
        <v>5</v>
      </c>
      <c r="J83" s="75">
        <f>SUM(G83:I83)</f>
        <v>5</v>
      </c>
    </row>
    <row r="84" spans="1:10" ht="14.95" thickBot="1" x14ac:dyDescent="0.3">
      <c r="A84" s="309" t="s">
        <v>1079</v>
      </c>
      <c r="B84" s="315">
        <v>0</v>
      </c>
      <c r="C84" s="316">
        <v>0</v>
      </c>
      <c r="D84" s="317">
        <v>1</v>
      </c>
      <c r="E84" s="318">
        <f>SUM(B84:D84)</f>
        <v>1</v>
      </c>
      <c r="F84" s="308" t="s">
        <v>337</v>
      </c>
      <c r="G84" s="144">
        <v>0</v>
      </c>
      <c r="H84" s="283">
        <v>0</v>
      </c>
      <c r="I84" s="224">
        <v>5</v>
      </c>
      <c r="J84" s="75">
        <f>SUM(G84:I84)</f>
        <v>5</v>
      </c>
    </row>
    <row r="85" spans="1:10" ht="14.95" thickBot="1" x14ac:dyDescent="0.3">
      <c r="A85" s="309" t="s">
        <v>1026</v>
      </c>
      <c r="B85" s="315">
        <v>0</v>
      </c>
      <c r="C85" s="316">
        <v>0</v>
      </c>
      <c r="D85" s="317">
        <v>1</v>
      </c>
      <c r="E85" s="318">
        <f>SUM(B85:D85)</f>
        <v>1</v>
      </c>
      <c r="F85" s="308" t="s">
        <v>1079</v>
      </c>
      <c r="G85" s="144">
        <v>0</v>
      </c>
      <c r="H85" s="283">
        <v>0</v>
      </c>
      <c r="I85" s="224">
        <v>5</v>
      </c>
      <c r="J85" s="75">
        <f>SUM(G85:I85)</f>
        <v>5</v>
      </c>
    </row>
    <row r="86" spans="1:10" ht="14.95" thickBot="1" x14ac:dyDescent="0.3">
      <c r="A86" s="309" t="s">
        <v>150</v>
      </c>
      <c r="B86" s="315">
        <v>0</v>
      </c>
      <c r="C86" s="316">
        <v>0</v>
      </c>
      <c r="D86" s="317">
        <v>0</v>
      </c>
      <c r="E86" s="318">
        <f>SUM(B86:D86)</f>
        <v>0</v>
      </c>
      <c r="F86" s="308" t="s">
        <v>1026</v>
      </c>
      <c r="G86" s="144">
        <v>0</v>
      </c>
      <c r="H86" s="283">
        <v>0</v>
      </c>
      <c r="I86" s="224">
        <v>5</v>
      </c>
      <c r="J86" s="75">
        <f>SUM(G86:I86)</f>
        <v>5</v>
      </c>
    </row>
    <row r="87" spans="1:10" ht="14.95" thickBot="1" x14ac:dyDescent="0.3">
      <c r="A87" s="309" t="s">
        <v>353</v>
      </c>
      <c r="B87" s="315">
        <v>0</v>
      </c>
      <c r="C87" s="316">
        <v>0</v>
      </c>
      <c r="D87" s="317">
        <v>0</v>
      </c>
      <c r="E87" s="318">
        <f>SUM(B87:D87)</f>
        <v>0</v>
      </c>
      <c r="F87" s="308" t="s">
        <v>150</v>
      </c>
      <c r="G87" s="144">
        <v>0</v>
      </c>
      <c r="H87" s="283">
        <v>0</v>
      </c>
      <c r="I87" s="224">
        <v>0</v>
      </c>
      <c r="J87" s="75">
        <f>SUM(G87:I87)</f>
        <v>0</v>
      </c>
    </row>
    <row r="88" spans="1:10" ht="14.95" thickBot="1" x14ac:dyDescent="0.3">
      <c r="A88" s="309" t="s">
        <v>810</v>
      </c>
      <c r="B88" s="315">
        <v>0</v>
      </c>
      <c r="C88" s="316">
        <v>0</v>
      </c>
      <c r="D88" s="317">
        <v>0</v>
      </c>
      <c r="E88" s="318">
        <f>SUM(B88:D88)</f>
        <v>0</v>
      </c>
      <c r="F88" s="308" t="s">
        <v>353</v>
      </c>
      <c r="G88" s="144">
        <v>0</v>
      </c>
      <c r="H88" s="283">
        <v>0</v>
      </c>
      <c r="I88" s="224">
        <v>0</v>
      </c>
      <c r="J88" s="75">
        <f>SUM(G88:I88)</f>
        <v>0</v>
      </c>
    </row>
    <row r="89" spans="1:10" ht="14.95" thickBot="1" x14ac:dyDescent="0.3">
      <c r="A89" s="309" t="s">
        <v>57</v>
      </c>
      <c r="B89" s="315">
        <v>0</v>
      </c>
      <c r="C89" s="316">
        <v>0</v>
      </c>
      <c r="D89" s="317">
        <v>0</v>
      </c>
      <c r="E89" s="318">
        <f>SUM(B89:D89)</f>
        <v>0</v>
      </c>
      <c r="F89" s="308" t="s">
        <v>810</v>
      </c>
      <c r="G89" s="144">
        <v>0</v>
      </c>
      <c r="H89" s="283">
        <v>0</v>
      </c>
      <c r="I89" s="224">
        <v>0</v>
      </c>
      <c r="J89" s="75">
        <f>SUM(G89:I89)</f>
        <v>0</v>
      </c>
    </row>
    <row r="90" spans="1:10" ht="14.95" thickBot="1" x14ac:dyDescent="0.3">
      <c r="A90" s="309" t="s">
        <v>55</v>
      </c>
      <c r="B90" s="315">
        <v>0</v>
      </c>
      <c r="C90" s="316">
        <v>0</v>
      </c>
      <c r="D90" s="317">
        <v>0</v>
      </c>
      <c r="E90" s="318">
        <f>SUM(B90:D90)</f>
        <v>0</v>
      </c>
      <c r="F90" s="308" t="s">
        <v>57</v>
      </c>
      <c r="G90" s="144">
        <v>0</v>
      </c>
      <c r="H90" s="283">
        <v>0</v>
      </c>
      <c r="I90" s="224">
        <v>0</v>
      </c>
      <c r="J90" s="75">
        <f>SUM(G90:I90)</f>
        <v>0</v>
      </c>
    </row>
    <row r="91" spans="1:10" ht="14.95" thickBot="1" x14ac:dyDescent="0.3">
      <c r="A91" s="309" t="s">
        <v>500</v>
      </c>
      <c r="B91" s="315">
        <v>0</v>
      </c>
      <c r="C91" s="316">
        <v>0</v>
      </c>
      <c r="D91" s="317">
        <v>0</v>
      </c>
      <c r="E91" s="318">
        <f>SUM(B91:D91)</f>
        <v>0</v>
      </c>
      <c r="F91" s="308" t="s">
        <v>55</v>
      </c>
      <c r="G91" s="144">
        <v>0</v>
      </c>
      <c r="H91" s="283">
        <v>0</v>
      </c>
      <c r="I91" s="224">
        <v>0</v>
      </c>
      <c r="J91" s="75">
        <f>SUM(G91:I91)</f>
        <v>0</v>
      </c>
    </row>
    <row r="92" spans="1:10" ht="14.95" thickBot="1" x14ac:dyDescent="0.3">
      <c r="A92" s="309" t="s">
        <v>192</v>
      </c>
      <c r="B92" s="315">
        <v>0</v>
      </c>
      <c r="C92" s="316">
        <v>0</v>
      </c>
      <c r="D92" s="317">
        <v>0</v>
      </c>
      <c r="E92" s="318">
        <f>SUM(B92:D92)</f>
        <v>0</v>
      </c>
      <c r="F92" s="308" t="s">
        <v>500</v>
      </c>
      <c r="G92" s="144">
        <v>0</v>
      </c>
      <c r="H92" s="283">
        <v>0</v>
      </c>
      <c r="I92" s="224">
        <v>0</v>
      </c>
      <c r="J92" s="75">
        <f>SUM(G92:I92)</f>
        <v>0</v>
      </c>
    </row>
    <row r="93" spans="1:10" ht="14.95" thickBot="1" x14ac:dyDescent="0.3">
      <c r="A93" s="309" t="s">
        <v>981</v>
      </c>
      <c r="B93" s="315">
        <v>0</v>
      </c>
      <c r="C93" s="316">
        <v>0</v>
      </c>
      <c r="D93" s="317">
        <v>0</v>
      </c>
      <c r="E93" s="318">
        <f>SUM(B93:D93)</f>
        <v>0</v>
      </c>
      <c r="F93" s="308" t="s">
        <v>981</v>
      </c>
      <c r="G93" s="144">
        <v>0</v>
      </c>
      <c r="H93" s="283">
        <v>0</v>
      </c>
      <c r="I93" s="224">
        <v>0</v>
      </c>
      <c r="J93" s="75">
        <f>SUM(G93:I93)</f>
        <v>0</v>
      </c>
    </row>
    <row r="94" spans="1:10" ht="14.95" thickBot="1" x14ac:dyDescent="0.3">
      <c r="A94" s="309" t="s">
        <v>261</v>
      </c>
      <c r="B94" s="315">
        <v>0</v>
      </c>
      <c r="C94" s="316">
        <v>0</v>
      </c>
      <c r="D94" s="317">
        <v>0</v>
      </c>
      <c r="E94" s="318">
        <f>SUM(B94:D94)</f>
        <v>0</v>
      </c>
      <c r="F94" s="308" t="s">
        <v>261</v>
      </c>
      <c r="G94" s="144">
        <v>0</v>
      </c>
      <c r="H94" s="283">
        <v>0</v>
      </c>
      <c r="I94" s="224">
        <v>0</v>
      </c>
      <c r="J94" s="75">
        <f>SUM(G94:I94)</f>
        <v>0</v>
      </c>
    </row>
    <row r="95" spans="1:10" ht="14.95" thickBot="1" x14ac:dyDescent="0.3">
      <c r="A95" s="309" t="s">
        <v>708</v>
      </c>
      <c r="B95" s="315">
        <v>0</v>
      </c>
      <c r="C95" s="316">
        <v>0</v>
      </c>
      <c r="D95" s="317">
        <v>0</v>
      </c>
      <c r="E95" s="318">
        <f>SUM(B95:D95)</f>
        <v>0</v>
      </c>
      <c r="F95" s="308" t="s">
        <v>708</v>
      </c>
      <c r="G95" s="144">
        <v>0</v>
      </c>
      <c r="H95" s="283">
        <v>0</v>
      </c>
      <c r="I95" s="224">
        <v>0</v>
      </c>
      <c r="J95" s="75">
        <f>SUM(G95:I95)</f>
        <v>0</v>
      </c>
    </row>
    <row r="96" spans="1:10" ht="14.95" thickBot="1" x14ac:dyDescent="0.3">
      <c r="A96" s="309" t="s">
        <v>459</v>
      </c>
      <c r="B96" s="315">
        <v>0</v>
      </c>
      <c r="C96" s="316">
        <v>0</v>
      </c>
      <c r="D96" s="317">
        <v>0</v>
      </c>
      <c r="E96" s="318">
        <f>SUM(B96:D96)</f>
        <v>0</v>
      </c>
      <c r="F96" s="308" t="s">
        <v>459</v>
      </c>
      <c r="G96" s="144">
        <v>0</v>
      </c>
      <c r="H96" s="283">
        <v>0</v>
      </c>
      <c r="I96" s="224">
        <v>0</v>
      </c>
      <c r="J96" s="75">
        <f>SUM(G96:I96)</f>
        <v>0</v>
      </c>
    </row>
    <row r="97" spans="1:10" ht="14.95" thickBot="1" x14ac:dyDescent="0.3">
      <c r="A97" s="309" t="s">
        <v>501</v>
      </c>
      <c r="B97" s="315">
        <v>0</v>
      </c>
      <c r="C97" s="316">
        <v>0</v>
      </c>
      <c r="D97" s="317">
        <v>0</v>
      </c>
      <c r="E97" s="318">
        <f>SUM(B97:D97)</f>
        <v>0</v>
      </c>
      <c r="F97" s="308" t="s">
        <v>501</v>
      </c>
      <c r="G97" s="144">
        <v>0</v>
      </c>
      <c r="H97" s="283">
        <v>0</v>
      </c>
      <c r="I97" s="224">
        <v>0</v>
      </c>
      <c r="J97" s="75">
        <f>SUM(G97:I97)</f>
        <v>0</v>
      </c>
    </row>
    <row r="98" spans="1:10" ht="14.95" thickBot="1" x14ac:dyDescent="0.3">
      <c r="A98" s="309" t="s">
        <v>720</v>
      </c>
      <c r="B98" s="315">
        <v>0</v>
      </c>
      <c r="C98" s="316">
        <v>0</v>
      </c>
      <c r="D98" s="317">
        <v>0</v>
      </c>
      <c r="E98" s="318">
        <f>SUM(B98:D98)</f>
        <v>0</v>
      </c>
      <c r="F98" s="308" t="s">
        <v>720</v>
      </c>
      <c r="G98" s="144">
        <v>0</v>
      </c>
      <c r="H98" s="283">
        <v>0</v>
      </c>
      <c r="I98" s="224">
        <v>0</v>
      </c>
      <c r="J98" s="75">
        <f>SUM(G98:I98)</f>
        <v>0</v>
      </c>
    </row>
    <row r="99" spans="1:10" ht="14.95" thickBot="1" x14ac:dyDescent="0.3">
      <c r="A99" s="309" t="s">
        <v>4</v>
      </c>
      <c r="B99" s="315">
        <v>0</v>
      </c>
      <c r="C99" s="316">
        <v>0</v>
      </c>
      <c r="D99" s="317">
        <v>0</v>
      </c>
      <c r="E99" s="318">
        <f>SUM(B99:D99)</f>
        <v>0</v>
      </c>
      <c r="F99" s="308" t="s">
        <v>4</v>
      </c>
      <c r="G99" s="144">
        <v>0</v>
      </c>
      <c r="H99" s="283">
        <v>0</v>
      </c>
      <c r="I99" s="224">
        <v>0</v>
      </c>
      <c r="J99" s="75">
        <f>SUM(G99:I99)</f>
        <v>0</v>
      </c>
    </row>
    <row r="100" spans="1:10" ht="14.95" thickBot="1" x14ac:dyDescent="0.3">
      <c r="A100" s="309" t="s">
        <v>398</v>
      </c>
      <c r="B100" s="315">
        <v>0</v>
      </c>
      <c r="C100" s="316">
        <v>0</v>
      </c>
      <c r="D100" s="317">
        <v>0</v>
      </c>
      <c r="E100" s="318">
        <f>SUM(B100:D100)</f>
        <v>0</v>
      </c>
      <c r="F100" s="308" t="s">
        <v>398</v>
      </c>
      <c r="G100" s="144">
        <v>0</v>
      </c>
      <c r="H100" s="283">
        <v>0</v>
      </c>
      <c r="I100" s="224">
        <v>0</v>
      </c>
      <c r="J100" s="75">
        <f>SUM(G100:I100)</f>
        <v>0</v>
      </c>
    </row>
    <row r="101" spans="1:10" ht="16.3" customHeight="1" thickBot="1" x14ac:dyDescent="0.3">
      <c r="A101" s="309" t="s">
        <v>340</v>
      </c>
      <c r="B101" s="315">
        <v>0</v>
      </c>
      <c r="C101" s="316">
        <v>0</v>
      </c>
      <c r="D101" s="317">
        <v>0</v>
      </c>
      <c r="E101" s="318">
        <f>SUM(B101:D101)</f>
        <v>0</v>
      </c>
      <c r="F101" s="308" t="s">
        <v>340</v>
      </c>
      <c r="G101" s="144">
        <v>0</v>
      </c>
      <c r="H101" s="283">
        <v>0</v>
      </c>
      <c r="I101" s="224">
        <v>0</v>
      </c>
      <c r="J101" s="75">
        <f>SUM(G101:I101)</f>
        <v>0</v>
      </c>
    </row>
    <row r="102" spans="1:10" ht="14.95" thickBot="1" x14ac:dyDescent="0.3">
      <c r="A102" s="309" t="s">
        <v>730</v>
      </c>
      <c r="B102" s="315">
        <v>0</v>
      </c>
      <c r="C102" s="316">
        <v>0</v>
      </c>
      <c r="D102" s="317">
        <v>0</v>
      </c>
      <c r="E102" s="318">
        <f>SUM(B102:D102)</f>
        <v>0</v>
      </c>
      <c r="F102" s="308" t="s">
        <v>730</v>
      </c>
      <c r="G102" s="144">
        <v>0</v>
      </c>
      <c r="H102" s="283">
        <v>0</v>
      </c>
      <c r="I102" s="224">
        <v>0</v>
      </c>
      <c r="J102" s="75">
        <f>SUM(G102:I102)</f>
        <v>0</v>
      </c>
    </row>
    <row r="103" spans="1:10" ht="14.95" thickBot="1" x14ac:dyDescent="0.3">
      <c r="A103" s="309" t="s">
        <v>3</v>
      </c>
      <c r="B103" s="315">
        <f>SUM(B55:B102)</f>
        <v>45</v>
      </c>
      <c r="C103" s="316">
        <f>SUM(C55:C102)</f>
        <v>16</v>
      </c>
      <c r="D103" s="317">
        <f>SUM(D55:D102)</f>
        <v>28</v>
      </c>
      <c r="E103" s="318">
        <f>SUM(E55:E102)</f>
        <v>89</v>
      </c>
      <c r="F103" s="308" t="s">
        <v>3</v>
      </c>
      <c r="G103" s="144">
        <f>SUM(G55:G102)</f>
        <v>325</v>
      </c>
      <c r="H103" s="283">
        <f>SUM(H55:H102)</f>
        <v>128</v>
      </c>
      <c r="I103" s="224">
        <f>SUM(I55:I102)</f>
        <v>177</v>
      </c>
      <c r="J103" s="75">
        <f>SUM(J55:J102)</f>
        <v>630</v>
      </c>
    </row>
    <row r="104" spans="1:10" ht="16.3" x14ac:dyDescent="0.3">
      <c r="A104" s="412" t="s">
        <v>34</v>
      </c>
    </row>
  </sheetData>
  <sortState xmlns:xlrd2="http://schemas.microsoft.com/office/spreadsheetml/2017/richdata2" ref="F55:J102">
    <sortCondition descending="1" ref="J55:J102"/>
  </sortState>
  <mergeCells count="58">
    <mergeCell ref="A1:J1"/>
    <mergeCell ref="K25:K26"/>
    <mergeCell ref="L25:N26"/>
    <mergeCell ref="K10:K11"/>
    <mergeCell ref="K1:K2"/>
    <mergeCell ref="L1:N2"/>
    <mergeCell ref="K18:K19"/>
    <mergeCell ref="L18:N19"/>
    <mergeCell ref="L10:N11"/>
    <mergeCell ref="O10:Q11"/>
    <mergeCell ref="O1:Q2"/>
    <mergeCell ref="BD1:BF2"/>
    <mergeCell ref="BA1:BC2"/>
    <mergeCell ref="BA10:BC11"/>
    <mergeCell ref="AX10:AZ11"/>
    <mergeCell ref="AU10:AW11"/>
    <mergeCell ref="AX1:AZ2"/>
    <mergeCell ref="AU1:AW2"/>
    <mergeCell ref="AR1:AT2"/>
    <mergeCell ref="AR10:AT11"/>
    <mergeCell ref="AO1:AQ2"/>
    <mergeCell ref="R10:T11"/>
    <mergeCell ref="AO10:AQ11"/>
    <mergeCell ref="AL1:AN2"/>
    <mergeCell ref="AL10:AN11"/>
    <mergeCell ref="AI1:AK2"/>
    <mergeCell ref="AI10:AK11"/>
    <mergeCell ref="R1:S2"/>
    <mergeCell ref="AF1:AH2"/>
    <mergeCell ref="AF10:AH11"/>
    <mergeCell ref="U10:W11"/>
    <mergeCell ref="W1:Y2"/>
    <mergeCell ref="T1:V2"/>
    <mergeCell ref="AC1:AE2"/>
    <mergeCell ref="AC10:AE11"/>
    <mergeCell ref="BA18:BC19"/>
    <mergeCell ref="AU18:AW19"/>
    <mergeCell ref="AO25:AQ26"/>
    <mergeCell ref="R18:T19"/>
    <mergeCell ref="AR18:AT19"/>
    <mergeCell ref="AX18:AZ19"/>
    <mergeCell ref="AU25:AW26"/>
    <mergeCell ref="AR25:AT26"/>
    <mergeCell ref="AL25:AN26"/>
    <mergeCell ref="AI18:AK19"/>
    <mergeCell ref="AI25:AK26"/>
    <mergeCell ref="AL18:AN19"/>
    <mergeCell ref="AO18:AQ19"/>
    <mergeCell ref="U18:W19"/>
    <mergeCell ref="AC18:AE19"/>
    <mergeCell ref="AC25:AE26"/>
    <mergeCell ref="O18:Q19"/>
    <mergeCell ref="AF18:AH19"/>
    <mergeCell ref="AF25:AH26"/>
    <mergeCell ref="K33:W33"/>
    <mergeCell ref="O25:Q26"/>
    <mergeCell ref="U25:W26"/>
    <mergeCell ref="R25:T26"/>
  </mergeCells>
  <pageMargins left="0.7" right="0.7" top="0.75" bottom="0.75" header="0.3" footer="0.3"/>
  <pageSetup paperSize="9" orientation="portrait" r:id="rId1"/>
  <ignoredErrors>
    <ignoredError sqref="E43 E6 J6 J34 E34 J4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1690</vt:i4>
      </vt:variant>
    </vt:vector>
  </HeadingPairs>
  <TitlesOfParts>
    <vt:vector size="1702" baseType="lpstr">
      <vt:lpstr>BTH</vt:lpstr>
      <vt:lpstr>BRI</vt:lpstr>
      <vt:lpstr>EXE</vt:lpstr>
      <vt:lpstr>GLO</vt:lpstr>
      <vt:lpstr>HAR</vt:lpstr>
      <vt:lpstr>LEI</vt:lpstr>
      <vt:lpstr>NRB</vt:lpstr>
      <vt:lpstr>NOR</vt:lpstr>
      <vt:lpstr>SAL</vt:lpstr>
      <vt:lpstr>SAR</vt:lpstr>
      <vt:lpstr>PREM - OVERALL</vt:lpstr>
      <vt:lpstr>PREM CUP - OVERALL</vt:lpstr>
      <vt:lpstr>A_Wallerpts</vt:lpstr>
      <vt:lpstr>A_Wallertries</vt:lpstr>
      <vt:lpstr>adegbemilesarpremcuppts</vt:lpstr>
      <vt:lpstr>adegbemilesarpremcuptries</vt:lpstr>
      <vt:lpstr>Adejimisarpts</vt:lpstr>
      <vt:lpstr>Adejimisartries</vt:lpstr>
      <vt:lpstr>alemannoglopremcuppts</vt:lpstr>
      <vt:lpstr>alemannoglopremcuptries</vt:lpstr>
      <vt:lpstr>Alemannoglopts</vt:lpstr>
      <vt:lpstr>Alemannoglotries</vt:lpstr>
      <vt:lpstr>allanleipremcuppts</vt:lpstr>
      <vt:lpstr>allanleipremcuptries</vt:lpstr>
      <vt:lpstr>allinsonliatt</vt:lpstr>
      <vt:lpstr>allinsonligoals</vt:lpstr>
      <vt:lpstr>Allportglopts</vt:lpstr>
      <vt:lpstr>Allportglotries</vt:lpstr>
      <vt:lpstr>andersonharpremcuppts</vt:lpstr>
      <vt:lpstr>andersonharpremcuptries</vt:lpstr>
      <vt:lpstr>Andersonharpts</vt:lpstr>
      <vt:lpstr>Andersonhartries</vt:lpstr>
      <vt:lpstr>Andrewssalpts</vt:lpstr>
      <vt:lpstr>Andrewssaltries</vt:lpstr>
      <vt:lpstr>Armanddonpts</vt:lpstr>
      <vt:lpstr>Armanddontries</vt:lpstr>
      <vt:lpstr>Arnoldnewpts</vt:lpstr>
      <vt:lpstr>Arnoldnewtries</vt:lpstr>
      <vt:lpstr>Atkinson_Cglopremcupatt</vt:lpstr>
      <vt:lpstr>Atkinson_Cglopremcupgls</vt:lpstr>
      <vt:lpstr>Atkinson_Cglopts</vt:lpstr>
      <vt:lpstr>Atkinson_Cglotries</vt:lpstr>
      <vt:lpstr>Atkinson_Sglopts</vt:lpstr>
      <vt:lpstr>Atkinson_Sglotries</vt:lpstr>
      <vt:lpstr>atkinsonCgloatt</vt:lpstr>
      <vt:lpstr>atkinsonCglogls</vt:lpstr>
      <vt:lpstr>atkinsoncglopremcuppts</vt:lpstr>
      <vt:lpstr>atkinsoncglopremcuptries</vt:lpstr>
      <vt:lpstr>Attwoodpts</vt:lpstr>
      <vt:lpstr>austinglopremcuppts</vt:lpstr>
      <vt:lpstr>austinglopremcuptries</vt:lpstr>
      <vt:lpstr>Austinglopts</vt:lpstr>
      <vt:lpstr>Austinglotries</vt:lpstr>
      <vt:lpstr>baileybthatt</vt:lpstr>
      <vt:lpstr>Baileybthgls</vt:lpstr>
      <vt:lpstr>Baileybthpts</vt:lpstr>
      <vt:lpstr>Baileybthtries</vt:lpstr>
      <vt:lpstr>Baileyleipremcupatt</vt:lpstr>
      <vt:lpstr>Baileyleipremcupgls</vt:lpstr>
      <vt:lpstr>baileyleipremcuppts</vt:lpstr>
      <vt:lpstr>baileyleipremcuptries</vt:lpstr>
      <vt:lpstr>Bakerbripts</vt:lpstr>
      <vt:lpstr>Bakerbritries</vt:lpstr>
      <vt:lpstr>Balmainsarpts</vt:lpstr>
      <vt:lpstr>Balmainsartries</vt:lpstr>
      <vt:lpstr>bamberpremcuppts</vt:lpstr>
      <vt:lpstr>bamberpremcuptries</vt:lpstr>
      <vt:lpstr>BamberSALpts</vt:lpstr>
      <vt:lpstr>BamberSALtries</vt:lpstr>
      <vt:lpstr>Barbearybthpts</vt:lpstr>
      <vt:lpstr>Barbearybthtries</vt:lpstr>
      <vt:lpstr>Barkerbripts</vt:lpstr>
      <vt:lpstr>Barkerbritries</vt:lpstr>
      <vt:lpstr>Barrittbradpts</vt:lpstr>
      <vt:lpstr>Barrittbradtries</vt:lpstr>
      <vt:lpstr>Bartongloatt</vt:lpstr>
      <vt:lpstr>Bartonglogls</vt:lpstr>
      <vt:lpstr>Bartonglopremcupatt</vt:lpstr>
      <vt:lpstr>Bartonglopremcupgls</vt:lpstr>
      <vt:lpstr>bartonglopremcuppfts</vt:lpstr>
      <vt:lpstr>bartonglopremcuptries</vt:lpstr>
      <vt:lpstr>Bartonglopts</vt:lpstr>
      <vt:lpstr>Bartonglotries</vt:lpstr>
      <vt:lpstr>BassettLEIpts</vt:lpstr>
      <vt:lpstr>BassettLEItries</vt:lpstr>
      <vt:lpstr>Batemanleipts</vt:lpstr>
      <vt:lpstr>Batemanleitries</vt:lpstr>
      <vt:lpstr>Batesbripts</vt:lpstr>
      <vt:lpstr>Batesbritries</vt:lpstr>
      <vt:lpstr>bathpentriesptsthisone</vt:lpstr>
      <vt:lpstr>bathpentriestriesthisone</vt:lpstr>
      <vt:lpstr>BathPts</vt:lpstr>
      <vt:lpstr>BathTries</vt:lpstr>
      <vt:lpstr>Batleybriptscorrect</vt:lpstr>
      <vt:lpstr>Batleybritriescorrect</vt:lpstr>
      <vt:lpstr>Baxterharpts</vt:lpstr>
      <vt:lpstr>Baxterhartries</vt:lpstr>
      <vt:lpstr>Baylissbthpts</vt:lpstr>
      <vt:lpstr>Baylissbthtries</vt:lpstr>
      <vt:lpstr>beardharatt</vt:lpstr>
      <vt:lpstr>beardhargls</vt:lpstr>
      <vt:lpstr>Beardharpts</vt:lpstr>
      <vt:lpstr>Beardhartries</vt:lpstr>
      <vt:lpstr>beatonsarpremcuppts</vt:lpstr>
      <vt:lpstr>beatonsarpremcuptries</vt:lpstr>
      <vt:lpstr>Beatonsarpts</vt:lpstr>
      <vt:lpstr>Beatonsartries</vt:lpstr>
      <vt:lpstr>becconsallexeatt</vt:lpstr>
      <vt:lpstr>becconsallexegls</vt:lpstr>
      <vt:lpstr>Bedlow_Jsalpts</vt:lpstr>
      <vt:lpstr>Bedlow_Jsaltries</vt:lpstr>
      <vt:lpstr>Bedlowbripts</vt:lpstr>
      <vt:lpstr>bedlowbritries</vt:lpstr>
      <vt:lpstr>bedlowjoesalpremcuppts</vt:lpstr>
      <vt:lpstr>bedlowjoesalpremcuptries</vt:lpstr>
      <vt:lpstr>BedlowSAL_pts</vt:lpstr>
      <vt:lpstr>BedlowSAL_tries</vt:lpstr>
      <vt:lpstr>bedlowsalattcorrect</vt:lpstr>
      <vt:lpstr>bedlowsalglscorrect</vt:lpstr>
      <vt:lpstr>Beetsleicpts</vt:lpstr>
      <vt:lpstr>Beetsleictries</vt:lpstr>
      <vt:lpstr>bellamyharatt</vt:lpstr>
      <vt:lpstr>bellamyhargls</vt:lpstr>
      <vt:lpstr>bellamyharpremcupatt</vt:lpstr>
      <vt:lpstr>bellamyharpremcupgls</vt:lpstr>
      <vt:lpstr>Bellamyharpremcuppts</vt:lpstr>
      <vt:lpstr>Bellamyharpremcuptries</vt:lpstr>
      <vt:lpstr>Bellamyharpts</vt:lpstr>
      <vt:lpstr>Bellamyhartries</vt:lpstr>
      <vt:lpstr>belleaunoratt</vt:lpstr>
      <vt:lpstr>belleaunorgls</vt:lpstr>
      <vt:lpstr>Belleaunorpremcupatt</vt:lpstr>
      <vt:lpstr>Belleaunorpremcupgls</vt:lpstr>
      <vt:lpstr>Belleaunorpremcuppts</vt:lpstr>
      <vt:lpstr>Belleaunorpremcuptries</vt:lpstr>
      <vt:lpstr>Bellonewpts</vt:lpstr>
      <vt:lpstr>Bellonewtries</vt:lpstr>
      <vt:lpstr>bensonharatt</vt:lpstr>
      <vt:lpstr>bensonhargls</vt:lpstr>
      <vt:lpstr>Bensonharpremcupatt</vt:lpstr>
      <vt:lpstr>Bensonharpremcupgls</vt:lpstr>
      <vt:lpstr>bensonharpremcuppts</vt:lpstr>
      <vt:lpstr>bensonharpremcuptries</vt:lpstr>
      <vt:lpstr>Bensonharpts</vt:lpstr>
      <vt:lpstr>Bensonhartries</vt:lpstr>
      <vt:lpstr>bensonnorpremcuppts</vt:lpstr>
      <vt:lpstr>bensonnorpremcuptries</vt:lpstr>
      <vt:lpstr>Bensonnorpts</vt:lpstr>
      <vt:lpstr>Bensonnortries</vt:lpstr>
      <vt:lpstr>bevanbripremcuppts</vt:lpstr>
      <vt:lpstr>bevanbripremcuptries</vt:lpstr>
      <vt:lpstr>Birchsalpts</vt:lpstr>
      <vt:lpstr>Birchsaltries</vt:lpstr>
      <vt:lpstr>Blackmoreglopts</vt:lpstr>
      <vt:lpstr>Blackmoreglotries</vt:lpstr>
      <vt:lpstr>blakeglopremcuppts</vt:lpstr>
      <vt:lpstr>blakeglopremcuptries</vt:lpstr>
      <vt:lpstr>Blakeglopts</vt:lpstr>
      <vt:lpstr>Blakeglotries</vt:lpstr>
      <vt:lpstr>blamireleipremcuppts</vt:lpstr>
      <vt:lpstr>blamireleipremcuptries</vt:lpstr>
      <vt:lpstr>Bleulerglopts</vt:lpstr>
      <vt:lpstr>Bleulerglotries</vt:lpstr>
      <vt:lpstr>Blommetjiesleicpts</vt:lpstr>
      <vt:lpstr>Blommetjiesleictries</vt:lpstr>
      <vt:lpstr>Boschmarcelopts</vt:lpstr>
      <vt:lpstr>Boschmarcelotries</vt:lpstr>
      <vt:lpstr>boshoffbripremcuppts</vt:lpstr>
      <vt:lpstr>boshoffbripremcuptries</vt:lpstr>
      <vt:lpstr>Bracken_CSARPTS</vt:lpstr>
      <vt:lpstr>Bracken_CSARTRIES</vt:lpstr>
      <vt:lpstr>brackencsarpremcuppts</vt:lpstr>
      <vt:lpstr>brackencsarpremcuptries</vt:lpstr>
      <vt:lpstr>brackenjsarpremcuppts</vt:lpstr>
      <vt:lpstr>brackenjsarpremcuptries</vt:lpstr>
      <vt:lpstr>Brackensarpts</vt:lpstr>
      <vt:lpstr>Brackensartries</vt:lpstr>
      <vt:lpstr>bradleyharpremcuppts</vt:lpstr>
      <vt:lpstr>bradleyharpremcuptries</vt:lpstr>
      <vt:lpstr>Bradleyharpts</vt:lpstr>
      <vt:lpstr>Bradleyhartries</vt:lpstr>
      <vt:lpstr>Bradshawsalpremcuppts</vt:lpstr>
      <vt:lpstr>Bradshawsalpremcuptries</vt:lpstr>
      <vt:lpstr>Bradshawsalpts</vt:lpstr>
      <vt:lpstr>Bradshawsaltries</vt:lpstr>
      <vt:lpstr>Braleynorptscorrect</vt:lpstr>
      <vt:lpstr>Braleynortriescorrect</vt:lpstr>
      <vt:lpstr>Brantinghamsarpts</vt:lpstr>
      <vt:lpstr>Brantinghamsartries</vt:lpstr>
      <vt:lpstr>BristolPts</vt:lpstr>
      <vt:lpstr>BristolTries</vt:lpstr>
      <vt:lpstr>Brown_Bampoeexepts</vt:lpstr>
      <vt:lpstr>Brown_Bampoeexetries</vt:lpstr>
      <vt:lpstr>brownbampoeexepremcuppts</vt:lpstr>
      <vt:lpstr>brownbampoeexepremcuptries</vt:lpstr>
      <vt:lpstr>browneharpremcuppts</vt:lpstr>
      <vt:lpstr>browneharpremcuptries</vt:lpstr>
      <vt:lpstr>BrowneHARpts</vt:lpstr>
      <vt:lpstr>BrowneHARtries</vt:lpstr>
      <vt:lpstr>brownnorpremcuppts</vt:lpstr>
      <vt:lpstr>brownnorpremcuptries</vt:lpstr>
      <vt:lpstr>brownnorpts</vt:lpstr>
      <vt:lpstr>brownnortries</vt:lpstr>
      <vt:lpstr>Bryansarpts</vt:lpstr>
      <vt:lpstr>Bryansartries</vt:lpstr>
      <vt:lpstr>Burgerjacquespts</vt:lpstr>
      <vt:lpstr>Burgerjacquestries</vt:lpstr>
      <vt:lpstr>Burkesarpremcupatt</vt:lpstr>
      <vt:lpstr>Burkesarpremcupgls</vt:lpstr>
      <vt:lpstr>Burrellnewpts</vt:lpstr>
      <vt:lpstr>Burrellnewtries</vt:lpstr>
      <vt:lpstr>Burrowsalpts</vt:lpstr>
      <vt:lpstr>Burrowsaltries</vt:lpstr>
      <vt:lpstr>BurrowsEXEpts</vt:lpstr>
      <vt:lpstr>BurrowsEXEtries</vt:lpstr>
      <vt:lpstr>Butlerglopts</vt:lpstr>
      <vt:lpstr>Butlerglotries</vt:lpstr>
      <vt:lpstr>buttbthpremcuppts</vt:lpstr>
      <vt:lpstr>buttbthpremcuptries</vt:lpstr>
      <vt:lpstr>Buttbthpts</vt:lpstr>
      <vt:lpstr>Buttbthtries</vt:lpstr>
      <vt:lpstr>Byrneglopremcupatt</vt:lpstr>
      <vt:lpstr>Byrneglopremcupgls</vt:lpstr>
      <vt:lpstr>byrneglopremcuppts</vt:lpstr>
      <vt:lpstr>byrneglopremcuptries</vt:lpstr>
      <vt:lpstr>Byrneglopts</vt:lpstr>
      <vt:lpstr>Byrneglotries</vt:lpstr>
      <vt:lpstr>cainesalpremcuppts</vt:lpstr>
      <vt:lpstr>cainesalpremcuptries</vt:lpstr>
      <vt:lpstr>Cainesalpts</vt:lpstr>
      <vt:lpstr>Cainesaltries</vt:lpstr>
      <vt:lpstr>Cairnsexepts</vt:lpstr>
      <vt:lpstr>Cairnsexetries</vt:lpstr>
      <vt:lpstr>Caldwellexepts</vt:lpstr>
      <vt:lpstr>Caldwellexetries</vt:lpstr>
      <vt:lpstr>Caluorisarpts</vt:lpstr>
      <vt:lpstr>Caluorisartries</vt:lpstr>
      <vt:lpstr>Caponbripts</vt:lpstr>
      <vt:lpstr>Caponbritries</vt:lpstr>
      <vt:lpstr>Capstickexepts</vt:lpstr>
      <vt:lpstr>Capstickexetries</vt:lpstr>
      <vt:lpstr>caqusaunorpremcuppts</vt:lpstr>
      <vt:lpstr>caqusaunorpremcuptries</vt:lpstr>
      <vt:lpstr>cardallnrbpremcuppts</vt:lpstr>
      <vt:lpstr>cardallnrbpremcuptries</vt:lpstr>
      <vt:lpstr>Carnduffleipts</vt:lpstr>
      <vt:lpstr>Carnduffleitries</vt:lpstr>
      <vt:lpstr>Carpentersalpts</vt:lpstr>
      <vt:lpstr>Carpentersaltries</vt:lpstr>
      <vt:lpstr>Carrerasbthpts</vt:lpstr>
      <vt:lpstr>Carrerasbthtries</vt:lpstr>
      <vt:lpstr>Carrerasglopts</vt:lpstr>
      <vt:lpstr>Carrerasglotries</vt:lpstr>
      <vt:lpstr>Carrerasnewpts</vt:lpstr>
      <vt:lpstr>Carrerasnewtries</vt:lpstr>
      <vt:lpstr>Carresarpts</vt:lpstr>
      <vt:lpstr>Carresartries</vt:lpstr>
      <vt:lpstr>Carrharpts</vt:lpstr>
      <vt:lpstr>Carrhartries</vt:lpstr>
      <vt:lpstr>carringtonbripremcuppts</vt:lpstr>
      <vt:lpstr>carringtonbripremcuptries</vt:lpstr>
      <vt:lpstr>carrsmithbthpremcuppts</vt:lpstr>
      <vt:lpstr>carrsmithbthpremcuptries</vt:lpstr>
      <vt:lpstr>CaulfieldBRIpts</vt:lpstr>
      <vt:lpstr>CaulfieldBRItries</vt:lpstr>
      <vt:lpstr>cavenglopremcuppts</vt:lpstr>
      <vt:lpstr>cavenglopremcuptries</vt:lpstr>
      <vt:lpstr>Challengerbripts</vt:lpstr>
      <vt:lpstr>Challengerbritries</vt:lpstr>
      <vt:lpstr>Chamberlainnrbatt</vt:lpstr>
      <vt:lpstr>Chamberlainnrbgls</vt:lpstr>
      <vt:lpstr>Chamberlainnrbpremcupatt</vt:lpstr>
      <vt:lpstr>Chamberlainnrbpremcupgls</vt:lpstr>
      <vt:lpstr>chamberlainnrbpremcuppts</vt:lpstr>
      <vt:lpstr>chamberlainnrbpremcuptries</vt:lpstr>
      <vt:lpstr>chapmangloatt</vt:lpstr>
      <vt:lpstr>chapmanglogls</vt:lpstr>
      <vt:lpstr>Chessum_Lleipts</vt:lpstr>
      <vt:lpstr>Chessum_Lleitries</vt:lpstr>
      <vt:lpstr>Chessumleicpts</vt:lpstr>
      <vt:lpstr>Chessumleictries</vt:lpstr>
      <vt:lpstr>chicknorpremcuppts</vt:lpstr>
      <vt:lpstr>chicknorpremcuptries</vt:lpstr>
      <vt:lpstr>Chisholmjamesharpts</vt:lpstr>
      <vt:lpstr>Chisholmjameshartries</vt:lpstr>
      <vt:lpstr>Christienrbpremcuppts</vt:lpstr>
      <vt:lpstr>Christienrbpremcuptries</vt:lpstr>
      <vt:lpstr>Christienrbpts</vt:lpstr>
      <vt:lpstr>Christienrbtries</vt:lpstr>
      <vt:lpstr>Chudleybthpts</vt:lpstr>
      <vt:lpstr>Chudleybthtries</vt:lpstr>
      <vt:lpstr>Cintisarpts</vt:lpstr>
      <vt:lpstr>Cintisartries</vt:lpstr>
      <vt:lpstr>ciprianibthpts</vt:lpstr>
      <vt:lpstr>Ciprianibthtries</vt:lpstr>
      <vt:lpstr>clareleipremcuppts</vt:lpstr>
      <vt:lpstr>clareleipremcuptries</vt:lpstr>
      <vt:lpstr>Clareysarptscorrect</vt:lpstr>
      <vt:lpstr>Clareysartriescorrect</vt:lpstr>
      <vt:lpstr>Clarkesarpremcuppts</vt:lpstr>
      <vt:lpstr>Clarkesarpremcuptries</vt:lpstr>
      <vt:lpstr>Clarkesarpts</vt:lpstr>
      <vt:lpstr>Clarkesartries</vt:lpstr>
      <vt:lpstr>Clarkglopts</vt:lpstr>
      <vt:lpstr>Clarkglotries</vt:lpstr>
      <vt:lpstr>Clarkmaxnewpremcuppts</vt:lpstr>
      <vt:lpstr>Clarkmaxnewpremcuptries</vt:lpstr>
      <vt:lpstr>Clarkmaxnewpts</vt:lpstr>
      <vt:lpstr>Clarkmaxnewtries</vt:lpstr>
      <vt:lpstr>Clarknewpts</vt:lpstr>
      <vt:lpstr>Clarknewtries</vt:lpstr>
      <vt:lpstr>cleavesharpremcuppts</vt:lpstr>
      <vt:lpstr>cleavesharpremcuptries</vt:lpstr>
      <vt:lpstr>Cleavesharpts</vt:lpstr>
      <vt:lpstr>Cleaveshartries</vt:lpstr>
      <vt:lpstr>Coenexepremcupatt</vt:lpstr>
      <vt:lpstr>Coenexepremcupgls</vt:lpstr>
      <vt:lpstr>Coenexepremcuppts</vt:lpstr>
      <vt:lpstr>Coenexepremcuptries</vt:lpstr>
      <vt:lpstr>Coenexepts</vt:lpstr>
      <vt:lpstr>Coenexetries</vt:lpstr>
      <vt:lpstr>Coetzeenrbpts</vt:lpstr>
      <vt:lpstr>Coetzeenrbtries</vt:lpstr>
      <vt:lpstr>Coetzerglopts</vt:lpstr>
      <vt:lpstr>Coetzerglotries</vt:lpstr>
      <vt:lpstr>Cokanasigabthpts</vt:lpstr>
      <vt:lpstr>Cokanasigabthtries</vt:lpstr>
      <vt:lpstr>Colesnorpts</vt:lpstr>
      <vt:lpstr>Colesnortries</vt:lpstr>
      <vt:lpstr>Connonnewptscorrectthisone</vt:lpstr>
      <vt:lpstr>Connonnewtriescorrectthsione</vt:lpstr>
      <vt:lpstr>Connonnrbpremcupatt</vt:lpstr>
      <vt:lpstr>Connonnrbpremcupgls</vt:lpstr>
      <vt:lpstr>connonnrbpremcuppts</vt:lpstr>
      <vt:lpstr>connonnrbpremcuptries</vt:lpstr>
      <vt:lpstr>Cookbthpts</vt:lpstr>
      <vt:lpstr>Cookbthtries</vt:lpstr>
      <vt:lpstr>Cookchrispts</vt:lpstr>
      <vt:lpstr>Cookchristries</vt:lpstr>
      <vt:lpstr>cotgreaveglopremcuppts</vt:lpstr>
      <vt:lpstr>cotgreaveglopremcuptries</vt:lpstr>
      <vt:lpstr>Cotgreaveglopts</vt:lpstr>
      <vt:lpstr>Cotgreaveglotries</vt:lpstr>
      <vt:lpstr>Courtlipts</vt:lpstr>
      <vt:lpstr>Courtlitries</vt:lpstr>
      <vt:lpstr>Cowan_Dickiesalpts</vt:lpstr>
      <vt:lpstr>Cowan_Dickiesaltries</vt:lpstr>
      <vt:lpstr>cowanbthpremcuppts</vt:lpstr>
      <vt:lpstr>cowanbthpremcuptries</vt:lpstr>
      <vt:lpstr>Cowanbthpts</vt:lpstr>
      <vt:lpstr>Cowanbthtries</vt:lpstr>
      <vt:lpstr>Cowanjimmypts</vt:lpstr>
      <vt:lpstr>Cowanjimmytries</vt:lpstr>
      <vt:lpstr>Cracknellleipts</vt:lpstr>
      <vt:lpstr>Cracknellleitries</vt:lpstr>
      <vt:lpstr>cranebripts</vt:lpstr>
      <vt:lpstr>Cranebritries</vt:lpstr>
      <vt:lpstr>Crippsbripts</vt:lpstr>
      <vt:lpstr>Crippsbritries</vt:lpstr>
      <vt:lpstr>Crossdalesarptscorrect</vt:lpstr>
      <vt:lpstr>Crossdalesartriescorrect</vt:lpstr>
      <vt:lpstr>crowleyleipremcuppts</vt:lpstr>
      <vt:lpstr>crowleyleipremcuptries</vt:lpstr>
      <vt:lpstr>Cunningham_Sthharpts</vt:lpstr>
      <vt:lpstr>Cunningham_Sthhartries</vt:lpstr>
      <vt:lpstr>CUNNINGHAMSOUTHHARPREMCUPPTS</vt:lpstr>
      <vt:lpstr>CUNNINGHAMSOUTHHARPREMCUPTRIES</vt:lpstr>
      <vt:lpstr>Curry_Bsalpts</vt:lpstr>
      <vt:lpstr>Curry_Bsaltries</vt:lpstr>
      <vt:lpstr>Curry_Tsalpts</vt:lpstr>
      <vt:lpstr>Curry_Tsaltries</vt:lpstr>
      <vt:lpstr>CURTISSALATT</vt:lpstr>
      <vt:lpstr>CURTISSALGLS</vt:lpstr>
      <vt:lpstr>Curtissalpremcupatt</vt:lpstr>
      <vt:lpstr>Curtissalpremcupgls</vt:lpstr>
      <vt:lpstr>curtissalpremcuppts</vt:lpstr>
      <vt:lpstr>curtissalpremcuptries</vt:lpstr>
      <vt:lpstr>Curtissalpts</vt:lpstr>
      <vt:lpstr>Curtissaltries</vt:lpstr>
      <vt:lpstr>Daltonnewpts</vt:lpstr>
      <vt:lpstr>Daltonnewtries</vt:lpstr>
      <vt:lpstr>Dalysarptscorrect</vt:lpstr>
      <vt:lpstr>Dalysartriescorrect</vt:lpstr>
      <vt:lpstr>dansarpremcuppts</vt:lpstr>
      <vt:lpstr>dansarpremcuptries</vt:lpstr>
      <vt:lpstr>Dansarpts</vt:lpstr>
      <vt:lpstr>Dansartries</vt:lpstr>
      <vt:lpstr>Davidharpts</vt:lpstr>
      <vt:lpstr>Davidhartries</vt:lpstr>
      <vt:lpstr>DavidsonNORpts</vt:lpstr>
      <vt:lpstr>DavidsonNORtries</vt:lpstr>
      <vt:lpstr>Davidsonsarpremcuppts</vt:lpstr>
      <vt:lpstr>Davidsonsarpremcuptries</vt:lpstr>
      <vt:lpstr>Davidsonsarpts</vt:lpstr>
      <vt:lpstr>Davidsonsartrie</vt:lpstr>
      <vt:lpstr>daviesglopremcuppts</vt:lpstr>
      <vt:lpstr>daviesglopremcuptries</vt:lpstr>
      <vt:lpstr>daviessalpremcuppts</vt:lpstr>
      <vt:lpstr>daviessalpremcuptries</vt:lpstr>
      <vt:lpstr>Davisexepoints</vt:lpstr>
      <vt:lpstr>Davisexetrie</vt:lpstr>
      <vt:lpstr>de_Bruinnewpts</vt:lpstr>
      <vt:lpstr>de_Bruinnewtries</vt:lpstr>
      <vt:lpstr>de_ChavesNEWpts</vt:lpstr>
      <vt:lpstr>de_ChavesNEWtries</vt:lpstr>
      <vt:lpstr>de_Gl_villebthpremcupatt</vt:lpstr>
      <vt:lpstr>de_Gl_villebthpremcupgls</vt:lpstr>
      <vt:lpstr>de_Glanvillebthgls</vt:lpstr>
      <vt:lpstr>de_Jagersalpts</vt:lpstr>
      <vt:lpstr>de_Jagersaltries</vt:lpstr>
      <vt:lpstr>deglanvillebthatt</vt:lpstr>
      <vt:lpstr>deglanvillebthpremcuppts</vt:lpstr>
      <vt:lpstr>deglanvillebthpremcuptries</vt:lpstr>
      <vt:lpstr>Delmasbthpts</vt:lpstr>
      <vt:lpstr>Delmasbthtries</vt:lpstr>
      <vt:lpstr>Dentonglopts</vt:lpstr>
      <vt:lpstr>Dentonglotries</vt:lpstr>
      <vt:lpstr>Diaz_Bonilla_Jleicpts</vt:lpstr>
      <vt:lpstr>Diaz_Bonilla_Jleictries</vt:lpstr>
      <vt:lpstr>Dingwallnorpts</vt:lpstr>
      <vt:lpstr>Dingwallnortries</vt:lpstr>
      <vt:lpstr>Dohertynewpts</vt:lpstr>
      <vt:lpstr>Dohertynewtries</vt:lpstr>
      <vt:lpstr>Dombrandtharpts</vt:lpstr>
      <vt:lpstr>Dombrandthartries</vt:lpstr>
      <vt:lpstr>Donoghuebthpts</vt:lpstr>
      <vt:lpstr>Donoghuebthtries</vt:lpstr>
      <vt:lpstr>driscollharpremcuppts</vt:lpstr>
      <vt:lpstr>driscollharpremcuptries</vt:lpstr>
      <vt:lpstr>du_Plessissarpts</vt:lpstr>
      <vt:lpstr>du_Plessissartries</vt:lpstr>
      <vt:lpstr>du_Preez_Dsalpts</vt:lpstr>
      <vt:lpstr>du_Preez_Dsaltries</vt:lpstr>
      <vt:lpstr>du_Preez_Rsalpts</vt:lpstr>
      <vt:lpstr>du_Preez_Rsaltries</vt:lpstr>
      <vt:lpstr>du_Toitbthpts</vt:lpstr>
      <vt:lpstr>du_Toitbthtries</vt:lpstr>
      <vt:lpstr>dugdalealpremcuppts</vt:lpstr>
      <vt:lpstr>dugdalealpremcuptries</vt:lpstr>
      <vt:lpstr>Dugdalesalpts</vt:lpstr>
      <vt:lpstr>Dugdalesaltries</vt:lpstr>
      <vt:lpstr>Dunnbattries</vt:lpstr>
      <vt:lpstr>Dunneexepts</vt:lpstr>
      <vt:lpstr>Dunneexetries</vt:lpstr>
      <vt:lpstr>Dunntompts</vt:lpstr>
      <vt:lpstr>dupreezdpremcuppts</vt:lpstr>
      <vt:lpstr>dupreezdpremcuptries</vt:lpstr>
      <vt:lpstr>dupreezralpremcuppts</vt:lpstr>
      <vt:lpstr>dupreezralpremcuptries</vt:lpstr>
      <vt:lpstr>dupreezrsalpremcupatt</vt:lpstr>
      <vt:lpstr>dupreezrsalpremcupgls</vt:lpstr>
      <vt:lpstr>dupreezsalatt</vt:lpstr>
      <vt:lpstr>dupreezsalgls</vt:lpstr>
      <vt:lpstr>dupreezsalpts</vt:lpstr>
      <vt:lpstr>dwebaexepremcuppts</vt:lpstr>
      <vt:lpstr>dwebaexepremcuptries</vt:lpstr>
      <vt:lpstr>Earlsarptscorrect</vt:lpstr>
      <vt:lpstr>Earlsartriescorrect</vt:lpstr>
      <vt:lpstr>Edwards_Giraudglopts</vt:lpstr>
      <vt:lpstr>Edwards_Giraudglotries</vt:lpstr>
      <vt:lpstr>edwardsgiraudglopremcuppts</vt:lpstr>
      <vt:lpstr>edwardsgiraudglopremcuptries</vt:lpstr>
      <vt:lpstr>Edwardsharpts</vt:lpstr>
      <vt:lpstr>Edwardshartries</vt:lpstr>
      <vt:lpstr>eiteglopremcuppts</vt:lpstr>
      <vt:lpstr>eiteglopremcuptries</vt:lpstr>
      <vt:lpstr>elizaldebriatt</vt:lpstr>
      <vt:lpstr>elizaldebrigls</vt:lpstr>
      <vt:lpstr>elizaldebripremcuppts</vt:lpstr>
      <vt:lpstr>elizaldebripremcuptries</vt:lpstr>
      <vt:lpstr>Elizaldebritries</vt:lpstr>
      <vt:lpstr>Elizaldebtipts</vt:lpstr>
      <vt:lpstr>elliottsaratt</vt:lpstr>
      <vt:lpstr>elliottsargls</vt:lpstr>
      <vt:lpstr>Elliottsarpts</vt:lpstr>
      <vt:lpstr>Elliottsartries</vt:lpstr>
      <vt:lpstr>Elsharpremcuppts</vt:lpstr>
      <vt:lpstr>Elsharpremcuptries</vt:lpstr>
      <vt:lpstr>emensbthatt</vt:lpstr>
      <vt:lpstr>emensbthgls</vt:lpstr>
      <vt:lpstr>Emensbthpremcupatt</vt:lpstr>
      <vt:lpstr>Emensbthpremcupgls</vt:lpstr>
      <vt:lpstr>emensbthpremcuppts</vt:lpstr>
      <vt:lpstr>emensbthpremcuptries</vt:lpstr>
      <vt:lpstr>Emensbthpts</vt:lpstr>
      <vt:lpstr>Emensbthtries</vt:lpstr>
      <vt:lpstr>EneSALpts</vt:lpstr>
      <vt:lpstr>EneSALtries</vt:lpstr>
      <vt:lpstr>englefieldgloatt</vt:lpstr>
      <vt:lpstr>englefieldglogls</vt:lpstr>
      <vt:lpstr>Englefieldglopremcupatt</vt:lpstr>
      <vt:lpstr>Englefieldglopremcupgls</vt:lpstr>
      <vt:lpstr>Englefieldglopts</vt:lpstr>
      <vt:lpstr>Englefieldglotries</vt:lpstr>
      <vt:lpstr>Evans_Jharpremcupatt</vt:lpstr>
      <vt:lpstr>Evans_Jharpremcupgls</vt:lpstr>
      <vt:lpstr>Evans_Jharpremcuppts</vt:lpstr>
      <vt:lpstr>Evans_Jharpremcuptries</vt:lpstr>
      <vt:lpstr>Evans_Jharpts</vt:lpstr>
      <vt:lpstr>Evans_Jharptscorrect</vt:lpstr>
      <vt:lpstr>Evans_Jhartries</vt:lpstr>
      <vt:lpstr>Evans_Jhartriescorrect</vt:lpstr>
      <vt:lpstr>Evans_Lglopts</vt:lpstr>
      <vt:lpstr>Evans_Lglotries</vt:lpstr>
      <vt:lpstr>Evans_Oharpts</vt:lpstr>
      <vt:lpstr>Evans_Ohartries</vt:lpstr>
      <vt:lpstr>Evanshartries</vt:lpstr>
      <vt:lpstr>Evanswharpts</vt:lpstr>
      <vt:lpstr>Evanswillharpts</vt:lpstr>
      <vt:lpstr>Ewelsbthpts</vt:lpstr>
      <vt:lpstr>ewelsbthtries</vt:lpstr>
      <vt:lpstr>ExeterPts</vt:lpstr>
      <vt:lpstr>ExeterTries</vt:lpstr>
      <vt:lpstr>Farrellowentries</vt:lpstr>
      <vt:lpstr>farrellsarattcorrect</vt:lpstr>
      <vt:lpstr>Farrellsarattsecondspell</vt:lpstr>
      <vt:lpstr>farrellsarglscorrect</vt:lpstr>
      <vt:lpstr>Farrellsarglssecondspell</vt:lpstr>
      <vt:lpstr>Farrellsarpts</vt:lpstr>
      <vt:lpstr>Farrellsarptscorrect</vt:lpstr>
      <vt:lpstr>Farrellsarptssecondspell</vt:lpstr>
      <vt:lpstr>Farrellsartries</vt:lpstr>
      <vt:lpstr>farrellsartriescorrect</vt:lpstr>
      <vt:lpstr>Farrellsartriessecondspell</vt:lpstr>
      <vt:lpstr>Fenbylipts</vt:lpstr>
      <vt:lpstr>Fenbylitries</vt:lpstr>
      <vt:lpstr>Feyi_Wabosoexepts</vt:lpstr>
      <vt:lpstr>Feyi_Wabosoexetries</vt:lpstr>
      <vt:lpstr>Fischettinorpts</vt:lpstr>
      <vt:lpstr>Fischettinortries</vt:lpstr>
      <vt:lpstr>Fisilau</vt:lpstr>
      <vt:lpstr>fisilauexepremcuppts</vt:lpstr>
      <vt:lpstr>fisilauexepremcuptries</vt:lpstr>
      <vt:lpstr>FisilauEXEpts</vt:lpstr>
      <vt:lpstr>FisilauEXEtries</vt:lpstr>
      <vt:lpstr>fletchernrbpremcuppts</vt:lpstr>
      <vt:lpstr>fletchernrbpremcuptries</vt:lpstr>
      <vt:lpstr>Ford_Robinsonglopts</vt:lpstr>
      <vt:lpstr>Ford_Robinsonglotries</vt:lpstr>
      <vt:lpstr>Fordgeorgesalpts</vt:lpstr>
      <vt:lpstr>Fordgeorgesaltries</vt:lpstr>
      <vt:lpstr>fordsalatt</vt:lpstr>
      <vt:lpstr>fordsalgls</vt:lpstr>
      <vt:lpstr>Fotuali_ibthpts</vt:lpstr>
      <vt:lpstr>Fotuali_ibthtries</vt:lpstr>
      <vt:lpstr>Freemannorpts</vt:lpstr>
      <vt:lpstr>Freemannortries</vt:lpstr>
      <vt:lpstr>freemanpriceglopremcuppts</vt:lpstr>
      <vt:lpstr>freemanpriceglopremcuptries</vt:lpstr>
      <vt:lpstr>freemanpriceglopts</vt:lpstr>
      <vt:lpstr>freemanpriceglotries</vt:lpstr>
      <vt:lpstr>Frischbripts</vt:lpstr>
      <vt:lpstr>Frischbritries</vt:lpstr>
      <vt:lpstr>frostbthpremcuppts</vt:lpstr>
      <vt:lpstr>frostbthpremcuptries</vt:lpstr>
      <vt:lpstr>furbanknoratt</vt:lpstr>
      <vt:lpstr>furbanknorgls</vt:lpstr>
      <vt:lpstr>furbanknorpremcupatt</vt:lpstr>
      <vt:lpstr>Furbanknorpremcupgls</vt:lpstr>
      <vt:lpstr>furbanknorpremcuppts</vt:lpstr>
      <vt:lpstr>furbanknorpremcuptries</vt:lpstr>
      <vt:lpstr>Furbanknorptscorrect</vt:lpstr>
      <vt:lpstr>Furbanknortriescorrect</vt:lpstr>
      <vt:lpstr>Fusernewpts</vt:lpstr>
      <vt:lpstr>Fusernewtries</vt:lpstr>
      <vt:lpstr>Galarzaglopts</vt:lpstr>
      <vt:lpstr>Galarzaglotries</vt:lpstr>
      <vt:lpstr>Garveymattpts</vt:lpstr>
      <vt:lpstr>Garveymatttries</vt:lpstr>
      <vt:lpstr>Georgesarpts</vt:lpstr>
      <vt:lpstr>Georgesarptscorrect</vt:lpstr>
      <vt:lpstr>Georgesartries</vt:lpstr>
      <vt:lpstr>Georgesartriescorrect</vt:lpstr>
      <vt:lpstr>Geraghtypts</vt:lpstr>
      <vt:lpstr>Gillespienorpts</vt:lpstr>
      <vt:lpstr>Gillespienortries</vt:lpstr>
      <vt:lpstr>GlisterNORpts</vt:lpstr>
      <vt:lpstr>GlisterNORtries</vt:lpstr>
      <vt:lpstr>GloucesterPts</vt:lpstr>
      <vt:lpstr>GloucesterTries</vt:lpstr>
      <vt:lpstr>Gonzalezsarpts</vt:lpstr>
      <vt:lpstr>Gonzalezsartries</vt:lpstr>
      <vt:lpstr>GOODRICKCLARKEEXEPREMCUPPTS</vt:lpstr>
      <vt:lpstr>GOODRICKCLARKEEXEPREMCUPTRIES</vt:lpstr>
      <vt:lpstr>Gordonnewpts</vt:lpstr>
      <vt:lpstr>Gordonnewtries</vt:lpstr>
      <vt:lpstr>grahamnorpremcuppts</vt:lpstr>
      <vt:lpstr>grahamnorpremcuptries</vt:lpstr>
      <vt:lpstr>grahamslawbripremcuppts</vt:lpstr>
      <vt:lpstr>grahamslawbripremcuptries</vt:lpstr>
      <vt:lpstr>Grahamslawbripts</vt:lpstr>
      <vt:lpstr>Grahamslawbritries</vt:lpstr>
      <vt:lpstr>Grayexeeurtries</vt:lpstr>
      <vt:lpstr>Grayexepts</vt:lpstr>
      <vt:lpstr>Grayexetries</vt:lpstr>
      <vt:lpstr>Grayjoeharpts</vt:lpstr>
      <vt:lpstr>Grayjoehartries</vt:lpstr>
      <vt:lpstr>Grayson_Enrbpremcupatt</vt:lpstr>
      <vt:lpstr>Grayson_Enrbpremcupgls</vt:lpstr>
      <vt:lpstr>graysonenrbpremcuppts</vt:lpstr>
      <vt:lpstr>graysonenrbpremcuptries</vt:lpstr>
      <vt:lpstr>Graysonnewatt</vt:lpstr>
      <vt:lpstr>Graysonnewgls</vt:lpstr>
      <vt:lpstr>Graysonnewpts</vt:lpstr>
      <vt:lpstr>Graysonnewtries</vt:lpstr>
      <vt:lpstr>greenbthpremcuppts</vt:lpstr>
      <vt:lpstr>greenbthpremcuptries</vt:lpstr>
      <vt:lpstr>Greenbthptscorrect</vt:lpstr>
      <vt:lpstr>Greenbthtriescorrect</vt:lpstr>
      <vt:lpstr>Greenharpts</vt:lpstr>
      <vt:lpstr>Greenhartries</vt:lpstr>
      <vt:lpstr>greennorpremcuppts</vt:lpstr>
      <vt:lpstr>greennorpremcuptries</vt:lpstr>
      <vt:lpstr>Greennorpts</vt:lpstr>
      <vt:lpstr>Greennortries</vt:lpstr>
      <vt:lpstr>greenwoodnrbpremcuppts</vt:lpstr>
      <vt:lpstr>greenwoodnrbpremcuptries</vt:lpstr>
      <vt:lpstr>greenwoodnrbpts</vt:lpstr>
      <vt:lpstr>greenwoodnrbtries</vt:lpstr>
      <vt:lpstr>Griffinbthpts</vt:lpstr>
      <vt:lpstr>Griffinbthtries</vt:lpstr>
      <vt:lpstr>griffincbthpremcuppts</vt:lpstr>
      <vt:lpstr>griffincbthpremcuptries</vt:lpstr>
      <vt:lpstr>Grondona_Bbripts</vt:lpstr>
      <vt:lpstr>Grondona_Bbritries</vt:lpstr>
      <vt:lpstr>Grondona_Sbripts</vt:lpstr>
      <vt:lpstr>Grondona_Sbritries</vt:lpstr>
      <vt:lpstr>gulleyexepremcuppts</vt:lpstr>
      <vt:lpstr>gulleyexepremcupptscorrect</vt:lpstr>
      <vt:lpstr>gulleyexepremcuptries</vt:lpstr>
      <vt:lpstr>Gulleyexepts</vt:lpstr>
      <vt:lpstr>Gulleyexeptscorrect</vt:lpstr>
      <vt:lpstr>Gulleyexetries</vt:lpstr>
      <vt:lpstr>gwilliambripremcup</vt:lpstr>
      <vt:lpstr>gwilliambripremcuppts</vt:lpstr>
      <vt:lpstr>gwilliambripremcuptries</vt:lpstr>
      <vt:lpstr>Gwilliambripts</vt:lpstr>
      <vt:lpstr>Gwilliambritries</vt:lpstr>
      <vt:lpstr>gwynneglopremcuppts</vt:lpstr>
      <vt:lpstr>gwynneglopremcuptries</vt:lpstr>
      <vt:lpstr>Hadfieldsarpts</vt:lpstr>
      <vt:lpstr>Hadfieldsartries</vt:lpstr>
      <vt:lpstr>haffarleipremcuppts</vt:lpstr>
      <vt:lpstr>haffarleipremcuptries</vt:lpstr>
      <vt:lpstr>Hainingbripts</vt:lpstr>
      <vt:lpstr>Hainingbritries</vt:lpstr>
      <vt:lpstr>Halaifonuaglopts</vt:lpstr>
      <vt:lpstr>Halaifonuaglotries</vt:lpstr>
      <vt:lpstr>Halliwellbripts</vt:lpstr>
      <vt:lpstr>Halliwellbritries</vt:lpstr>
      <vt:lpstr>hallsarpremcuppts</vt:lpstr>
      <vt:lpstr>hallsarpremcuptries</vt:lpstr>
      <vt:lpstr>Hallsarpts</vt:lpstr>
      <vt:lpstr>Hallsartries</vt:lpstr>
      <vt:lpstr>Hamer_Webbleipts</vt:lpstr>
      <vt:lpstr>Hamer_Webbleitries</vt:lpstr>
      <vt:lpstr>hamerwebbleipremcuppts</vt:lpstr>
      <vt:lpstr>hamerwebbleipremcuptries</vt:lpstr>
      <vt:lpstr>HammersleyEXEpts</vt:lpstr>
      <vt:lpstr>HammersleyEXEtries</vt:lpstr>
      <vt:lpstr>Hammicksarpts</vt:lpstr>
      <vt:lpstr>Hammicksartries</vt:lpstr>
      <vt:lpstr>Hancok__Connornrbpts</vt:lpstr>
      <vt:lpstr>Hancok__Connornrbtries</vt:lpstr>
      <vt:lpstr>hansonsalpremcuppts</vt:lpstr>
      <vt:lpstr>hansonsalpremcuptries</vt:lpstr>
      <vt:lpstr>Hardingbripts</vt:lpstr>
      <vt:lpstr>Hardingbritries</vt:lpstr>
      <vt:lpstr>harisbthatt</vt:lpstr>
      <vt:lpstr>HarlequinsPts</vt:lpstr>
      <vt:lpstr>HarlequinsTries</vt:lpstr>
      <vt:lpstr>harpersalpremcuppts</vt:lpstr>
      <vt:lpstr>harpersalpremcuptries</vt:lpstr>
      <vt:lpstr>Harpersalpts</vt:lpstr>
      <vt:lpstr>Harpersaltries</vt:lpstr>
      <vt:lpstr>Harrisbthgls</vt:lpstr>
      <vt:lpstr>Harrisbthpts</vt:lpstr>
      <vt:lpstr>Harrisbthtries</vt:lpstr>
      <vt:lpstr>Harrisonsalpts</vt:lpstr>
      <vt:lpstr>Harrisonsaltris</vt:lpstr>
      <vt:lpstr>Harrisonsampts</vt:lpstr>
      <vt:lpstr>Harrisonsamtries</vt:lpstr>
      <vt:lpstr>hartleysarpremcuppts</vt:lpstr>
      <vt:lpstr>hartleysarpremcuptries</vt:lpstr>
      <vt:lpstr>Hartleysarpts</vt:lpstr>
      <vt:lpstr>Hartleysartries</vt:lpstr>
      <vt:lpstr>Hartryscorers</vt:lpstr>
      <vt:lpstr>Hassell_CollinsLEIpts</vt:lpstr>
      <vt:lpstr>Hassell_CollinsLEItries</vt:lpstr>
      <vt:lpstr>hassellcollinsleipremcuppts</vt:lpstr>
      <vt:lpstr>hassellcollinsleipremcuptries</vt:lpstr>
      <vt:lpstr>hathawayglopremcuppts</vt:lpstr>
      <vt:lpstr>hathawayglopremcuptries</vt:lpstr>
      <vt:lpstr>HathawayGLOpts</vt:lpstr>
      <vt:lpstr>HathawayGLOtries</vt:lpstr>
      <vt:lpstr>Haydon_Wexepremcupatt</vt:lpstr>
      <vt:lpstr>Haydon_Wexepremcupgls</vt:lpstr>
      <vt:lpstr>Haydon_WoodEXEtries</vt:lpstr>
      <vt:lpstr>Haydon_Woodnewpts</vt:lpstr>
      <vt:lpstr>Haydon_Woodnewtries</vt:lpstr>
      <vt:lpstr>HAYDONWOODEXEATT</vt:lpstr>
      <vt:lpstr>HAYDONWOODEXEGLS</vt:lpstr>
      <vt:lpstr>haydonwoodexepremcuppts</vt:lpstr>
      <vt:lpstr>haydonwoodexepremcuptries</vt:lpstr>
      <vt:lpstr>Haywood_WoodEXEpts</vt:lpstr>
      <vt:lpstr>Healynrbat</vt:lpstr>
      <vt:lpstr>Healynrbgls</vt:lpstr>
      <vt:lpstr>Healynrbpts</vt:lpstr>
      <vt:lpstr>Healynrbtries</vt:lpstr>
      <vt:lpstr>Hearlenewpts</vt:lpstr>
      <vt:lpstr>Hearlenewtries</vt:lpstr>
      <vt:lpstr>hearlenrbpremcuppts</vt:lpstr>
      <vt:lpstr>hearlenrbpremcuptries</vt:lpstr>
      <vt:lpstr>Hearnlirpts</vt:lpstr>
      <vt:lpstr>Hearnlirtries</vt:lpstr>
      <vt:lpstr>heavenexepremcuppts</vt:lpstr>
      <vt:lpstr>heavenexepremcuptries</vt:lpstr>
      <vt:lpstr>Heavenexepts</vt:lpstr>
      <vt:lpstr>Heavenexetries</vt:lpstr>
      <vt:lpstr>hendynorpremcuppts</vt:lpstr>
      <vt:lpstr>hendynorpremcuptries</vt:lpstr>
      <vt:lpstr>Hendynorpts</vt:lpstr>
      <vt:lpstr>Hendynortries</vt:lpstr>
      <vt:lpstr>hennesseybthpremcuppts</vt:lpstr>
      <vt:lpstr>hennesseybthpremcuptries</vt:lpstr>
      <vt:lpstr>HennesseyBTHpts</vt:lpstr>
      <vt:lpstr>HennesseyBTHtries</vt:lpstr>
      <vt:lpstr>Hewardbripts</vt:lpstr>
      <vt:lpstr>Hewardbritries</vt:lpstr>
      <vt:lpstr>Hill_Jsalpts</vt:lpstr>
      <vt:lpstr>Hill_Jsaltries</vt:lpstr>
      <vt:lpstr>Hillbthpts</vt:lpstr>
      <vt:lpstr>Hillbthtries</vt:lpstr>
      <vt:lpstr>Hillman_Cooperglopts</vt:lpstr>
      <vt:lpstr>Hillman_Cooperglotries</vt:lpstr>
      <vt:lpstr>Hobsonharpts</vt:lpstr>
      <vt:lpstr>Hobsonhartries</vt:lpstr>
      <vt:lpstr>Hodgeexeatt</vt:lpstr>
      <vt:lpstr>Hodgeexegls</vt:lpstr>
      <vt:lpstr>Hodgeexepremcupatt</vt:lpstr>
      <vt:lpstr>Hodgeexepremcupgls</vt:lpstr>
      <vt:lpstr>hodgeexepremcuppts</vt:lpstr>
      <vt:lpstr>hodgeexepremcuptries</vt:lpstr>
      <vt:lpstr>Hodgeexepts</vt:lpstr>
      <vt:lpstr>Hodgeexetries</vt:lpstr>
      <vt:lpstr>hodgsoncharlieatt</vt:lpstr>
      <vt:lpstr>Hodgsoncharliegoals</vt:lpstr>
      <vt:lpstr>Hodgsonnewptscorrect</vt:lpstr>
      <vt:lpstr>Hodgsonnewtriescorrect</vt:lpstr>
      <vt:lpstr>Holmesexepts</vt:lpstr>
      <vt:lpstr>holmesexetries</vt:lpstr>
      <vt:lpstr>Holmesleicpts</vt:lpstr>
      <vt:lpstr>Holmesleictries</vt:lpstr>
      <vt:lpstr>Hughesbripts</vt:lpstr>
      <vt:lpstr>Hughesbritries</vt:lpstr>
      <vt:lpstr>Hunter_Hillsarptscorrect</vt:lpstr>
      <vt:lpstr>Hunter_Hillsartriescorrect</vt:lpstr>
      <vt:lpstr>Hurdleicpts</vt:lpstr>
      <vt:lpstr>Hurdleictries</vt:lpstr>
      <vt:lpstr>hutchinsonnoratt</vt:lpstr>
      <vt:lpstr>hutchinsonnorgls</vt:lpstr>
      <vt:lpstr>Hutchinsonnorpts</vt:lpstr>
      <vt:lpstr>Hutchinsonnortries</vt:lpstr>
      <vt:lpstr>hutchinsonorpremcuppts</vt:lpstr>
      <vt:lpstr>hutchinsonorpremcuptries</vt:lpstr>
      <vt:lpstr>Hutchisonnrbpremcuppts</vt:lpstr>
      <vt:lpstr>Hutchisonnrbpremcuptries</vt:lpstr>
      <vt:lpstr>Hutchisonnrbpts</vt:lpstr>
      <vt:lpstr>Hutchisonnrbtries</vt:lpstr>
      <vt:lpstr>hydeharpremcuppts</vt:lpstr>
      <vt:lpstr>hydeharpremcuptries</vt:lpstr>
      <vt:lpstr>Hydeharpts</vt:lpstr>
      <vt:lpstr>Hydehartries</vt:lpstr>
      <vt:lpstr>ibitoyebriatt</vt:lpstr>
      <vt:lpstr>Ibitoyebrigls</vt:lpstr>
      <vt:lpstr>ibitoyebripremcuppts</vt:lpstr>
      <vt:lpstr>ibitoyebripremcuptries</vt:lpstr>
      <vt:lpstr>Ibitoyeharpts</vt:lpstr>
      <vt:lpstr>Ibitoyehartries</vt:lpstr>
      <vt:lpstr>ilioneleipremcuppts</vt:lpstr>
      <vt:lpstr>ilioneleipremcuptries</vt:lpstr>
      <vt:lpstr>Ilioneleipts</vt:lpstr>
      <vt:lpstr>Ilioneleitries</vt:lpstr>
      <vt:lpstr>innardglopremcuptries</vt:lpstr>
      <vt:lpstr>innardglopremcuptriespts</vt:lpstr>
      <vt:lpstr>Iosefa_Scottexepts</vt:lpstr>
      <vt:lpstr>Iosefa_Scottexetries</vt:lpstr>
      <vt:lpstr>iosefascottexepremcuppts</vt:lpstr>
      <vt:lpstr>iosefascottexepremcuptries</vt:lpstr>
      <vt:lpstr>Irvinenorpts</vt:lpstr>
      <vt:lpstr>Irvinenortries</vt:lpstr>
      <vt:lpstr>Isgroharpts</vt:lpstr>
      <vt:lpstr>Isgrohartries</vt:lpstr>
      <vt:lpstr>Isiekwesarptscorrect</vt:lpstr>
      <vt:lpstr>Isiekwesartriescorrect</vt:lpstr>
      <vt:lpstr>Itojesarpts</vt:lpstr>
      <vt:lpstr>Itojesarptscorrect</vt:lpstr>
      <vt:lpstr>Itojesartries</vt:lpstr>
      <vt:lpstr>Itojesartriescorrect</vt:lpstr>
      <vt:lpstr>Ivanishvilibripts</vt:lpstr>
      <vt:lpstr>Ivanishvilibritries</vt:lpstr>
      <vt:lpstr>jacksonsarpremcuppts</vt:lpstr>
      <vt:lpstr>jacksonsarpremcuptries</vt:lpstr>
      <vt:lpstr>Jacksonsarpts</vt:lpstr>
      <vt:lpstr>Jacksonsartries</vt:lpstr>
      <vt:lpstr>James_Lsalpts</vt:lpstr>
      <vt:lpstr>James_Lsaltries</vt:lpstr>
      <vt:lpstr>Jamesexepts</vt:lpstr>
      <vt:lpstr>Jamesexetries</vt:lpstr>
      <vt:lpstr>jamesgloppts</vt:lpstr>
      <vt:lpstr>jamesglopremcu</vt:lpstr>
      <vt:lpstr>jamesglopremcuppts</vt:lpstr>
      <vt:lpstr>jamesglopremcuptries</vt:lpstr>
      <vt:lpstr>jamesglotries</vt:lpstr>
      <vt:lpstr>jamesnoratt</vt:lpstr>
      <vt:lpstr>Jamesnorgls</vt:lpstr>
      <vt:lpstr>jamesnorpremcuppts</vt:lpstr>
      <vt:lpstr>jamesnorpremcuptries</vt:lpstr>
      <vt:lpstr>Jamesnorpts</vt:lpstr>
      <vt:lpstr>Jamesnortries</vt:lpstr>
      <vt:lpstr>Jamessalpts</vt:lpstr>
      <vt:lpstr>Jamessaltries</vt:lpstr>
      <vt:lpstr>Jansenleipts</vt:lpstr>
      <vt:lpstr>Jansenleitries</vt:lpstr>
      <vt:lpstr>Jeffriesbriptscorrect</vt:lpstr>
      <vt:lpstr>Jeffriesbritriescorrect</vt:lpstr>
      <vt:lpstr>Jenkins_Dexepts</vt:lpstr>
      <vt:lpstr>Jenkins_Dexetries</vt:lpstr>
      <vt:lpstr>Jenkins_Iexepts</vt:lpstr>
      <vt:lpstr>Jenkins_Iexetries</vt:lpstr>
      <vt:lpstr>Jenkinsbripts</vt:lpstr>
      <vt:lpstr>Jenkinsbritries</vt:lpstr>
      <vt:lpstr>jenkinsiexeatt</vt:lpstr>
      <vt:lpstr>jenkinsiexegls</vt:lpstr>
      <vt:lpstr>jenkinsjbripremcuppts</vt:lpstr>
      <vt:lpstr>jenkinsjbripremcuptries</vt:lpstr>
      <vt:lpstr>jibulusalpremcuppts</vt:lpstr>
      <vt:lpstr>jibulusalpremcuptries</vt:lpstr>
      <vt:lpstr>Jibulusalpts</vt:lpstr>
      <vt:lpstr>Jibulusaltries</vt:lpstr>
      <vt:lpstr>johnexepremcuppts</vt:lpstr>
      <vt:lpstr>johnexepremcuptries</vt:lpstr>
      <vt:lpstr>Johnexepts</vt:lpstr>
      <vt:lpstr>Johnexetries</vt:lpstr>
      <vt:lpstr>Johnsonsarpremcupatt</vt:lpstr>
      <vt:lpstr>Johnsonsarpremcupgls</vt:lpstr>
      <vt:lpstr>johnsonsarpremcuppts</vt:lpstr>
      <vt:lpstr>johnsonsarpremcuptries</vt:lpstr>
      <vt:lpstr>Johnsonsarpts</vt:lpstr>
      <vt:lpstr>Johnsonsartries</vt:lpstr>
      <vt:lpstr>jordanbriatt</vt:lpstr>
      <vt:lpstr>Jordanbrigls</vt:lpstr>
      <vt:lpstr>JordanBRIPTS</vt:lpstr>
      <vt:lpstr>JordanBRITRIES</vt:lpstr>
      <vt:lpstr>Josephglopts</vt:lpstr>
      <vt:lpstr>Josephglotries</vt:lpstr>
      <vt:lpstr>Jureviciusharpts</vt:lpstr>
      <vt:lpstr>Jureviciushartries</vt:lpstr>
      <vt:lpstr>Kavasarpremcuppts</vt:lpstr>
      <vt:lpstr>Kavasarpremcuptries</vt:lpstr>
      <vt:lpstr>Kavasarpts</vt:lpstr>
      <vt:lpstr>Kavasartries</vt:lpstr>
      <vt:lpstr>kellyleicatt</vt:lpstr>
      <vt:lpstr>Kellyleicgls</vt:lpstr>
      <vt:lpstr>Kellysalpts</vt:lpstr>
      <vt:lpstr>Kellysaltries</vt:lpstr>
      <vt:lpstr>Kemenynorpts</vt:lpstr>
      <vt:lpstr>Kemenynortries</vt:lpstr>
      <vt:lpstr>Kenninghamharpts</vt:lpstr>
      <vt:lpstr>Kenninghamhartries</vt:lpstr>
      <vt:lpstr>kerrharpremcupatt</vt:lpstr>
      <vt:lpstr>kerrharpremcupgls</vt:lpstr>
      <vt:lpstr>kerrharpremcuppts</vt:lpstr>
      <vt:lpstr>kerrharpremcuptries</vt:lpstr>
      <vt:lpstr>Keylocksarpremcuppts</vt:lpstr>
      <vt:lpstr>Keylocksarpremcuptries</vt:lpstr>
      <vt:lpstr>Keylocksarpts</vt:lpstr>
      <vt:lpstr>Keylocksartries</vt:lpstr>
      <vt:lpstr>Kirkbthpts</vt:lpstr>
      <vt:lpstr>Kirkbthtries</vt:lpstr>
      <vt:lpstr>Kitchenergrahamptscorrect</vt:lpstr>
      <vt:lpstr>Kitchenergrahamtriescorrect</vt:lpstr>
      <vt:lpstr>Knight_Cglopts</vt:lpstr>
      <vt:lpstr>Knight_Cglotries</vt:lpstr>
      <vt:lpstr>Knight_Wglopts</vt:lpstr>
      <vt:lpstr>Knight_Wglotries</vt:lpstr>
      <vt:lpstr>Knightciaranglopts</vt:lpstr>
      <vt:lpstr>Knightciaranglotries</vt:lpstr>
      <vt:lpstr>Knightgloptscorrect</vt:lpstr>
      <vt:lpstr>Knightglotriescorrect</vt:lpstr>
      <vt:lpstr>knightmglopremcuppts</vt:lpstr>
      <vt:lpstr>knightmglopremcuptries</vt:lpstr>
      <vt:lpstr>KnightSARpts</vt:lpstr>
      <vt:lpstr>KnightSARtries</vt:lpstr>
      <vt:lpstr>knightwglopts</vt:lpstr>
      <vt:lpstr>knightwglotries</vt:lpstr>
      <vt:lpstr>Koladeharpremcuppts</vt:lpstr>
      <vt:lpstr>Koladeharpremcuptries</vt:lpstr>
      <vt:lpstr>Koladeharpts</vt:lpstr>
      <vt:lpstr>Koladehartries</vt:lpstr>
      <vt:lpstr>Kpoku__Jonathansarpts</vt:lpstr>
      <vt:lpstr>Kpoku__Jonathansartries</vt:lpstr>
      <vt:lpstr>Krielglopts</vt:lpstr>
      <vt:lpstr>Krielglotries</vt:lpstr>
      <vt:lpstr>Lamositeleharpts</vt:lpstr>
      <vt:lpstr>Lamositelehartries</vt:lpstr>
      <vt:lpstr>Lamositelesarpts</vt:lpstr>
      <vt:lpstr>Lamositelesartries</vt:lpstr>
      <vt:lpstr>lanebriatt</vt:lpstr>
      <vt:lpstr>lanebrigls</vt:lpstr>
      <vt:lpstr>lanebripremcuppts</vt:lpstr>
      <vt:lpstr>lanebripremcuptries</vt:lpstr>
      <vt:lpstr>Lanebripts</vt:lpstr>
      <vt:lpstr>Lanebritries</vt:lpstr>
      <vt:lpstr>LangdonNORpts</vt:lpstr>
      <vt:lpstr>LangdonNORtries</vt:lpstr>
      <vt:lpstr>lawdayharpremcuppts</vt:lpstr>
      <vt:lpstr>lawdayharpremcuptries</vt:lpstr>
      <vt:lpstr>Lawrencebthpts</vt:lpstr>
      <vt:lpstr>Lawrencebthtries</vt:lpstr>
      <vt:lpstr>Laybripts</vt:lpstr>
      <vt:lpstr>Laybritries</vt:lpstr>
      <vt:lpstr>le_Rouxbthpts</vt:lpstr>
      <vt:lpstr>le_Rouxbthtries</vt:lpstr>
      <vt:lpstr>LeicesterPts</vt:lpstr>
      <vt:lpstr>LeicesterTries</vt:lpstr>
      <vt:lpstr>leicspentriespts</vt:lpstr>
      <vt:lpstr>leicspentriestries</vt:lpstr>
      <vt:lpstr>Lennonbripts</vt:lpstr>
      <vt:lpstr>Lennonbritries</vt:lpstr>
      <vt:lpstr>Lewingtontries</vt:lpstr>
      <vt:lpstr>Lewisdaveharpts</vt:lpstr>
      <vt:lpstr>Lewisdavehartries</vt:lpstr>
      <vt:lpstr>Liebenbergleicpts</vt:lpstr>
      <vt:lpstr>Liebenbergleictries</vt:lpstr>
      <vt:lpstr>liebenbergleipremcuppts</vt:lpstr>
      <vt:lpstr>liebenbergleipremcuptries</vt:lpstr>
      <vt:lpstr>Lilleyexepts</vt:lpstr>
      <vt:lpstr>Lilleyexetries</vt:lpstr>
      <vt:lpstr>Lindsay_Haguenewpts</vt:lpstr>
      <vt:lpstr>Lindsay_Haguenewtries</vt:lpstr>
      <vt:lpstr>Linegarbthpremcupatt</vt:lpstr>
      <vt:lpstr>Linegarbthpremcupgls</vt:lpstr>
      <vt:lpstr>linegarbthpremcuppts</vt:lpstr>
      <vt:lpstr>linegarbthpremcuptries</vt:lpstr>
      <vt:lpstr>litchfieldnorpremcuppts</vt:lpstr>
      <vt:lpstr>litchfieldnorpremcuptries</vt:lpstr>
      <vt:lpstr>Litchfieldnorpts</vt:lpstr>
      <vt:lpstr>Litchfieldnortries</vt:lpstr>
      <vt:lpstr>llewellynglopremcuppts</vt:lpstr>
      <vt:lpstr>llewellynglopremcuptries</vt:lpstr>
      <vt:lpstr>LloydBriAtt</vt:lpstr>
      <vt:lpstr>LloydBriGls</vt:lpstr>
      <vt:lpstr>Lloydlirpts</vt:lpstr>
      <vt:lpstr>Lloydlirtries</vt:lpstr>
      <vt:lpstr>Loaderglopts</vt:lpstr>
      <vt:lpstr>Loaderglotries</vt:lpstr>
      <vt:lpstr>Lockettnorpts</vt:lpstr>
      <vt:lpstr>Lockettnortries</vt:lpstr>
      <vt:lpstr>lockwoodnrbpremcuppts</vt:lpstr>
      <vt:lpstr>lockwoodnrbpremcuptries</vt:lpstr>
      <vt:lpstr>Lowkierantries</vt:lpstr>
      <vt:lpstr>Lowlipts</vt:lpstr>
      <vt:lpstr>lozowksisarattcorrect</vt:lpstr>
      <vt:lpstr>lozowskisarglscorrect</vt:lpstr>
      <vt:lpstr>Lozowskisarpremcupatt</vt:lpstr>
      <vt:lpstr>Lozowskisarpremcupgls</vt:lpstr>
      <vt:lpstr>lozowskisarpremcuppts</vt:lpstr>
      <vt:lpstr>lozowskisarpremcuptries</vt:lpstr>
      <vt:lpstr>Lozowskisarptscorrect</vt:lpstr>
      <vt:lpstr>Lozowskisartriescorrect</vt:lpstr>
      <vt:lpstr>ludlowglopremcuppts</vt:lpstr>
      <vt:lpstr>ludlowglopremcuptries</vt:lpstr>
      <vt:lpstr>Ludlowglopts</vt:lpstr>
      <vt:lpstr>Ludlowglotries</vt:lpstr>
      <vt:lpstr>macgintybriatt</vt:lpstr>
      <vt:lpstr>MacGintybrigls</vt:lpstr>
      <vt:lpstr>MacGintybripremcupatt</vt:lpstr>
      <vt:lpstr>MacGintybripremcupgls</vt:lpstr>
      <vt:lpstr>macgintybripremcuppts</vt:lpstr>
      <vt:lpstr>macgintybripremcuptries</vt:lpstr>
      <vt:lpstr>MacGintybripts</vt:lpstr>
      <vt:lpstr>MacGintybritries</vt:lpstr>
      <vt:lpstr>Mafinrbpts</vt:lpstr>
      <vt:lpstr>Mafinrbtries</vt:lpstr>
      <vt:lpstr>malinssarpremcuppts</vt:lpstr>
      <vt:lpstr>malinssarpremcuptries</vt:lpstr>
      <vt:lpstr>Malinssarpts</vt:lpstr>
      <vt:lpstr>malinssarpts2ndspell</vt:lpstr>
      <vt:lpstr>Malinssartries</vt:lpstr>
      <vt:lpstr>Malinssartries2ndspell</vt:lpstr>
      <vt:lpstr>maloneyexepremcuppts</vt:lpstr>
      <vt:lpstr>maloneyexepremcuptries</vt:lpstr>
      <vt:lpstr>Maloneyexepts</vt:lpstr>
      <vt:lpstr>Maloneyexetries</vt:lpstr>
      <vt:lpstr>manzjleipremcuppts</vt:lpstr>
      <vt:lpstr>manzjleipremcuptries</vt:lpstr>
      <vt:lpstr>Manzleicpts</vt:lpstr>
      <vt:lpstr>Manzleictries</vt:lpstr>
      <vt:lpstr>Maraisglopts</vt:lpstr>
      <vt:lpstr>Maraisglotries</vt:lpstr>
      <vt:lpstr>marchantharatt</vt:lpstr>
      <vt:lpstr>Marchanthargls</vt:lpstr>
      <vt:lpstr>Marfoharpts</vt:lpstr>
      <vt:lpstr>Marfohartries</vt:lpstr>
      <vt:lpstr>MarmionBRIpts</vt:lpstr>
      <vt:lpstr>MarmionBRItries</vt:lpstr>
      <vt:lpstr>Marshalllirpts</vt:lpstr>
      <vt:lpstr>Marshalllirtries</vt:lpstr>
      <vt:lpstr>Martinleicpts</vt:lpstr>
      <vt:lpstr>Martinleictries</vt:lpstr>
      <vt:lpstr>martinnorpremcuppts</vt:lpstr>
      <vt:lpstr>martinnorpremcuptries</vt:lpstr>
      <vt:lpstr>Masonbthpremcuppts</vt:lpstr>
      <vt:lpstr>Masonbthpremcuptries</vt:lpstr>
      <vt:lpstr>Masonbthpts</vt:lpstr>
      <vt:lpstr>Masonbthtries</vt:lpstr>
      <vt:lpstr>Matthewsnorpts</vt:lpstr>
      <vt:lpstr>Matthewsnortries</vt:lpstr>
      <vt:lpstr>Maunder_Sexepts</vt:lpstr>
      <vt:lpstr>Maunder_Sexetries</vt:lpstr>
      <vt:lpstr>Mawisarptscorrect</vt:lpstr>
      <vt:lpstr>Mawisartriescorrect</vt:lpstr>
      <vt:lpstr>Mayleicpts</vt:lpstr>
      <vt:lpstr>Mayleictries</vt:lpstr>
      <vt:lpstr>McCallumnewpts</vt:lpstr>
      <vt:lpstr>McCallumnewtries</vt:lpstr>
      <vt:lpstr>mccallumnrbpremcuppts</vt:lpstr>
      <vt:lpstr>mccallumnrbpremcuptries</vt:lpstr>
      <vt:lpstr>mccarthyleipremcuppts</vt:lpstr>
      <vt:lpstr>mccarthyleipremcuptries</vt:lpstr>
      <vt:lpstr>McCormackharpremcuppts</vt:lpstr>
      <vt:lpstr>McCormackharpremcuptries</vt:lpstr>
      <vt:lpstr>McCormackharpts</vt:lpstr>
      <vt:lpstr>McCormackhartries</vt:lpstr>
      <vt:lpstr>McDonaldNEWpts</vt:lpstr>
      <vt:lpstr>McDonaldNEWtries</vt:lpstr>
      <vt:lpstr>mcelroyalpremcuppts</vt:lpstr>
      <vt:lpstr>mcelroyalpremcuptries</vt:lpstr>
      <vt:lpstr>McElroysalpts</vt:lpstr>
      <vt:lpstr>McElroysaltries</vt:lpstr>
      <vt:lpstr>McFarlandsarptscorrect</vt:lpstr>
      <vt:lpstr>McFarlandsartriescorrect</vt:lpstr>
      <vt:lpstr>mcguigannrbpremcuppts</vt:lpstr>
      <vt:lpstr>mcguigannrbpremcuptries</vt:lpstr>
      <vt:lpstr>McIntyresalpts</vt:lpstr>
      <vt:lpstr>McIntyresaltries</vt:lpstr>
      <vt:lpstr>McNallybthpts</vt:lpstr>
      <vt:lpstr>McNallybthtries</vt:lpstr>
      <vt:lpstr>McNallylirpts</vt:lpstr>
      <vt:lpstr>McNallylirtries</vt:lpstr>
      <vt:lpstr>mcparlandnorpremcuppts</vt:lpstr>
      <vt:lpstr>mcparlandnorpremcuptries</vt:lpstr>
      <vt:lpstr>McParlandNORpts</vt:lpstr>
      <vt:lpstr>McParlandNORtries</vt:lpstr>
      <vt:lpstr>Meredithleipts</vt:lpstr>
      <vt:lpstr>Meredithleitries</vt:lpstr>
      <vt:lpstr>Merricknewpts</vt:lpstr>
      <vt:lpstr>Merricknewtries</vt:lpstr>
      <vt:lpstr>michelowsarpremcuppts</vt:lpstr>
      <vt:lpstr>michelowsarpremcuptries</vt:lpstr>
      <vt:lpstr>Mitchellnorpts</vt:lpstr>
      <vt:lpstr>Mitchellnortries</vt:lpstr>
      <vt:lpstr>mitchellnoryratt</vt:lpstr>
      <vt:lpstr>Mitchellnoryrgls</vt:lpstr>
      <vt:lpstr>Montoyaleicpts</vt:lpstr>
      <vt:lpstr>Montoyaleictries</vt:lpstr>
      <vt:lpstr>Moore_Aionosarpts</vt:lpstr>
      <vt:lpstr>Moore_Aionosartries</vt:lpstr>
      <vt:lpstr>Moorenrbpremcuppts</vt:lpstr>
      <vt:lpstr>Moorenrbpremcuptries</vt:lpstr>
      <vt:lpstr>Moorenrbpts</vt:lpstr>
      <vt:lpstr>Moorenrbtries</vt:lpstr>
      <vt:lpstr>Mooresarpts</vt:lpstr>
      <vt:lpstr>Mooresartries</vt:lpstr>
      <vt:lpstr>moroleipremcuppts</vt:lpstr>
      <vt:lpstr>moroleipremcuptries</vt:lpstr>
      <vt:lpstr>morrisjgloatt</vt:lpstr>
      <vt:lpstr>Morrisjglogls</vt:lpstr>
      <vt:lpstr>Morrisjglopts</vt:lpstr>
      <vt:lpstr>Morrisjglotries</vt:lpstr>
      <vt:lpstr>Morrissarptscorrect</vt:lpstr>
      <vt:lpstr>Morrissartriescorrect</vt:lpstr>
      <vt:lpstr>muirbthpremcuppts</vt:lpstr>
      <vt:lpstr>muirbthpremcuptries</vt:lpstr>
      <vt:lpstr>Muirbthpts</vt:lpstr>
      <vt:lpstr>Muirbthtries</vt:lpstr>
      <vt:lpstr>Mulchronelipts</vt:lpstr>
      <vt:lpstr>MulchronelirtriesCORRECT</vt:lpstr>
      <vt:lpstr>Mulchronelitries</vt:lpstr>
      <vt:lpstr>munganorpremcuppts</vt:lpstr>
      <vt:lpstr>munganorpremcuptries</vt:lpstr>
      <vt:lpstr>MungaNORpts</vt:lpstr>
      <vt:lpstr>MungaNORtries</vt:lpstr>
      <vt:lpstr>murleyharpremcuppts</vt:lpstr>
      <vt:lpstr>murleyharpremcuptries</vt:lpstr>
      <vt:lpstr>Murleyharpts</vt:lpstr>
      <vt:lpstr>Murleyhartries</vt:lpstr>
      <vt:lpstr>murrayharpremcuppts</vt:lpstr>
      <vt:lpstr>murrayharpremcuptries</vt:lpstr>
      <vt:lpstr>Murrayharpts</vt:lpstr>
      <vt:lpstr>Murrayhartries</vt:lpstr>
      <vt:lpstr>muskharpremcuppts</vt:lpstr>
      <vt:lpstr>muskharpremcuptries</vt:lpstr>
      <vt:lpstr>Muskharpts</vt:lpstr>
      <vt:lpstr>Muskhartries</vt:lpstr>
      <vt:lpstr>Narrawaylipts</vt:lpstr>
      <vt:lpstr>Neildnewpts</vt:lpstr>
      <vt:lpstr>Neildnewtries</vt:lpstr>
      <vt:lpstr>Neildsalpts</vt:lpstr>
      <vt:lpstr>Neildsaltries</vt:lpstr>
      <vt:lpstr>noreyexepremcuppts</vt:lpstr>
      <vt:lpstr>noreyexepremcuptries</vt:lpstr>
      <vt:lpstr>Noreyexepts</vt:lpstr>
      <vt:lpstr>Noreyexetries</vt:lpstr>
      <vt:lpstr>NorthamptonPts</vt:lpstr>
      <vt:lpstr>NorthamptonTries</vt:lpstr>
      <vt:lpstr>northmoreharpremcuppts</vt:lpstr>
      <vt:lpstr>northmoreharpremcuptries</vt:lpstr>
      <vt:lpstr>Northmoreharpts</vt:lpstr>
      <vt:lpstr>Northmorehartries</vt:lpstr>
      <vt:lpstr>O_Connorleipts</vt:lpstr>
      <vt:lpstr>O_Connorleitries</vt:lpstr>
      <vt:lpstr>Obanobthpts</vt:lpstr>
      <vt:lpstr>Obanobthtries</vt:lpstr>
      <vt:lpstr>obatoyinbohnrbpremcuppts</vt:lpstr>
      <vt:lpstr>obatoyinbohnrbpremcuptries</vt:lpstr>
      <vt:lpstr>Obatoyinbonewpts</vt:lpstr>
      <vt:lpstr>Obatoyinbonewtries</vt:lpstr>
      <vt:lpstr>oconnorleipremcupatt</vt:lpstr>
      <vt:lpstr>oconnorleipremcupgls</vt:lpstr>
      <vt:lpstr>oconnorleipremcuppts</vt:lpstr>
      <vt:lpstr>oconnorleipremcuptries</vt:lpstr>
      <vt:lpstr>odonoghuebthatt</vt:lpstr>
      <vt:lpstr>odonoghuebthgls</vt:lpstr>
      <vt:lpstr>offiahbthpremcuppts</vt:lpstr>
      <vt:lpstr>offiahbthpremcuptries</vt:lpstr>
      <vt:lpstr>Offiahbthpts</vt:lpstr>
      <vt:lpstr>Offiahbthtries</vt:lpstr>
      <vt:lpstr>oflahertysalpremcuppts</vt:lpstr>
      <vt:lpstr>oflahertysalpremcuptries</vt:lpstr>
      <vt:lpstr>oghrebripremcuppts</vt:lpstr>
      <vt:lpstr>oghrebripremcuptries</vt:lpstr>
      <vt:lpstr>Oghrebripts</vt:lpstr>
      <vt:lpstr>Oghrebritries</vt:lpstr>
      <vt:lpstr>ojomohbthpremcuppts</vt:lpstr>
      <vt:lpstr>ojomohbthpremcuptries</vt:lpstr>
      <vt:lpstr>OjomohBTHPTS</vt:lpstr>
      <vt:lpstr>OjomohBTHTRIES</vt:lpstr>
      <vt:lpstr>OosthuizenSALpts</vt:lpstr>
      <vt:lpstr>OosthuizenSALtries</vt:lpstr>
      <vt:lpstr>Osborneharpts</vt:lpstr>
      <vt:lpstr>Osbornehartries</vt:lpstr>
      <vt:lpstr>Ostrikovandreitries</vt:lpstr>
      <vt:lpstr>OStrikovsalpts</vt:lpstr>
      <vt:lpstr>owenbripremcuppts</vt:lpstr>
      <vt:lpstr>owenbripremcuptries</vt:lpstr>
      <vt:lpstr>OwenBRIpts</vt:lpstr>
      <vt:lpstr>OwenBRItries</vt:lpstr>
      <vt:lpstr>PaiceDavidpts</vt:lpstr>
      <vt:lpstr>PaiceDavidptts</vt:lpstr>
      <vt:lpstr>Painterexepts</vt:lpstr>
      <vt:lpstr>Painterexetries</vt:lpstr>
      <vt:lpstr>Palamobrispts</vt:lpstr>
      <vt:lpstr>Palamobristries</vt:lpstr>
      <vt:lpstr>Palframannewpts</vt:lpstr>
      <vt:lpstr>Palframannewtries</vt:lpstr>
      <vt:lpstr>palframannrbpremcuppts</vt:lpstr>
      <vt:lpstr>palframannrbpremcuptries</vt:lpstr>
      <vt:lpstr>palmerleipremcuppts</vt:lpstr>
      <vt:lpstr>palmerleipremcuptries</vt:lpstr>
      <vt:lpstr>Palmerleipts</vt:lpstr>
      <vt:lpstr>Palmerleitries</vt:lpstr>
      <vt:lpstr>Parlingleipts</vt:lpstr>
      <vt:lpstr>Parlingleitries</vt:lpstr>
      <vt:lpstr>Parsonsnewpts</vt:lpstr>
      <vt:lpstr>Parsonsnewtries</vt:lpstr>
      <vt:lpstr>parsonsnrbpremcuppts</vt:lpstr>
      <vt:lpstr>parsonsnrbpremcuptries</vt:lpstr>
      <vt:lpstr>Pasconorpts</vt:lpstr>
      <vt:lpstr>Pasconortries</vt:lpstr>
      <vt:lpstr>paternoratt</vt:lpstr>
      <vt:lpstr>paternorgls</vt:lpstr>
      <vt:lpstr>Paternorpremcupatt</vt:lpstr>
      <vt:lpstr>Paternorpremcupgls</vt:lpstr>
      <vt:lpstr>paternorpremcuppts</vt:lpstr>
      <vt:lpstr>paternorpremcuptries</vt:lpstr>
      <vt:lpstr>Paternorpts</vt:lpstr>
      <vt:lpstr>Paternortries</vt:lpstr>
      <vt:lpstr>Paulolirpts</vt:lpstr>
      <vt:lpstr>paulolirtries</vt:lpstr>
      <vt:lpstr>pearcebripremcuppts</vt:lpstr>
      <vt:lpstr>pearcebripremcuptries</vt:lpstr>
      <vt:lpstr>Pearcebripts</vt:lpstr>
      <vt:lpstr>Pearcebritries</vt:lpstr>
      <vt:lpstr>pearsonexepremcuppts</vt:lpstr>
      <vt:lpstr>pearsonexepremcuptries</vt:lpstr>
      <vt:lpstr>Pearsonexepts</vt:lpstr>
      <vt:lpstr>Pearsonexetries</vt:lpstr>
      <vt:lpstr>pearsonleipremcuppts</vt:lpstr>
      <vt:lpstr>pearsonleipremcuptries</vt:lpstr>
      <vt:lpstr>PearsonNOR_pts</vt:lpstr>
      <vt:lpstr>PearsonNOR_tries</vt:lpstr>
      <vt:lpstr>Penalty_Triesbath</vt:lpstr>
      <vt:lpstr>Penalty_Triesbripts</vt:lpstr>
      <vt:lpstr>Penalty_Triesbritries</vt:lpstr>
      <vt:lpstr>Penalty_Triesexepts</vt:lpstr>
      <vt:lpstr>Penalty_Triesexetries</vt:lpstr>
      <vt:lpstr>Penalty_Triesglopts</vt:lpstr>
      <vt:lpstr>Penalty_Triesglotries</vt:lpstr>
      <vt:lpstr>Penalty_Triesharpts</vt:lpstr>
      <vt:lpstr>Penalty_Trieshartries</vt:lpstr>
      <vt:lpstr>Penalty_Triesnewptscorrect</vt:lpstr>
      <vt:lpstr>Penalty_Triesnewtriescorrect</vt:lpstr>
      <vt:lpstr>Penalty_Triessaintspts</vt:lpstr>
      <vt:lpstr>Penalty_Triessaintstries</vt:lpstr>
      <vt:lpstr>Penalty_Triessalpts</vt:lpstr>
      <vt:lpstr>Penalty_Triessaltries</vt:lpstr>
      <vt:lpstr>Penalty_Triessarptscorrect</vt:lpstr>
      <vt:lpstr>Penalty_Triessartriescorrect</vt:lpstr>
      <vt:lpstr>penaltytriesleipremcuppts</vt:lpstr>
      <vt:lpstr>penaltytriesleipremcuptries</vt:lpstr>
      <vt:lpstr>penaltytriesnorpremcuppts</vt:lpstr>
      <vt:lpstr>penaltytriesnorpremcuptries</vt:lpstr>
      <vt:lpstr>pepperbripremcuppts</vt:lpstr>
      <vt:lpstr>pepperbripremcuptries</vt:lpstr>
      <vt:lpstr>Pepperbthpts</vt:lpstr>
      <vt:lpstr>Pepperbthtries</vt:lpstr>
      <vt:lpstr>pereseleipremcuppts</vt:lpstr>
      <vt:lpstr>pereseleipremcuptries</vt:lpstr>
      <vt:lpstr>Pollocknorpts</vt:lpstr>
      <vt:lpstr>Pollocknortries</vt:lpstr>
      <vt:lpstr>Poreckilirpts</vt:lpstr>
      <vt:lpstr>Poreckilirtries</vt:lpstr>
      <vt:lpstr>Porterharpts</vt:lpstr>
      <vt:lpstr>Porterhartries</vt:lpstr>
      <vt:lpstr>PostlethwaiteEXEpts</vt:lpstr>
      <vt:lpstr>PostlethwaiteEXEtries</vt:lpstr>
      <vt:lpstr>pts</vt:lpstr>
      <vt:lpstr>quinspentriespts</vt:lpstr>
      <vt:lpstr>quinspentriestries</vt:lpstr>
      <vt:lpstr>Quirkesalpts</vt:lpstr>
      <vt:lpstr>Quirkesaltries</vt:lpstr>
      <vt:lpstr>Radwanleipts</vt:lpstr>
      <vt:lpstr>Radwanleitries</vt:lpstr>
      <vt:lpstr>rammnorpremcuppts</vt:lpstr>
      <vt:lpstr>rammnorpremcuptries</vt:lpstr>
      <vt:lpstr>randallbripremcuppts</vt:lpstr>
      <vt:lpstr>randallbripremcuptries</vt:lpstr>
      <vt:lpstr>Randallbripts</vt:lpstr>
      <vt:lpstr>Randallbritries</vt:lpstr>
      <vt:lpstr>Rapava_Ruskinglopts</vt:lpstr>
      <vt:lpstr>Rapava_Ruskinglotries</vt:lpstr>
      <vt:lpstr>Ratuniyarawanorpts</vt:lpstr>
      <vt:lpstr>Ratuniyarawanortries</vt:lpstr>
      <vt:lpstr>Ravouvoubripts</vt:lpstr>
      <vt:lpstr>Ravouvoufijtries</vt:lpstr>
      <vt:lpstr>Readsalpts</vt:lpstr>
      <vt:lpstr>Readsaltries</vt:lpstr>
      <vt:lpstr>redpathbthatt</vt:lpstr>
      <vt:lpstr>Redpathbthpts</vt:lpstr>
      <vt:lpstr>Redpathbthtries</vt:lpstr>
      <vt:lpstr>redshawglopremcuppts</vt:lpstr>
      <vt:lpstr>redshawglopremcuptries</vt:lpstr>
      <vt:lpstr>reedsalpremcuppts</vt:lpstr>
      <vt:lpstr>reedsalpremcuptries</vt:lpstr>
      <vt:lpstr>Rees_Zammitbripts</vt:lpstr>
      <vt:lpstr>Rees_Zammitbritries</vt:lpstr>
      <vt:lpstr>reeszammitbripremcuppts</vt:lpstr>
      <vt:lpstr>reeszammitbripremcuptries</vt:lpstr>
      <vt:lpstr>Reevesglopts</vt:lpstr>
      <vt:lpstr>Reevesglotries</vt:lpstr>
      <vt:lpstr>reffellleipremcuppts</vt:lpstr>
      <vt:lpstr>reffellleipremcuptries</vt:lpstr>
      <vt:lpstr>Reltonexepts</vt:lpstr>
      <vt:lpstr>Reltonexetries</vt:lpstr>
      <vt:lpstr>repathbthgls</vt:lpstr>
      <vt:lpstr>rewcastlenewpremcuppts</vt:lpstr>
      <vt:lpstr>rewcastlenewpremcuptries</vt:lpstr>
      <vt:lpstr>Riccionisarptscorrect</vt:lpstr>
      <vt:lpstr>Riccionisartriescorrect</vt:lpstr>
      <vt:lpstr>Richardsbthpts</vt:lpstr>
      <vt:lpstr>Richardsbthtries</vt:lpstr>
      <vt:lpstr>Ridgwaybthpremcuppts</vt:lpstr>
      <vt:lpstr>Ridgwaybthpremcuptries</vt:lpstr>
      <vt:lpstr>Ridgwaybthpts</vt:lpstr>
      <vt:lpstr>Ridgwaybthtries</vt:lpstr>
      <vt:lpstr>ridlexepremcuppts</vt:lpstr>
      <vt:lpstr>ridlexepremcuptries</vt:lpstr>
      <vt:lpstr>Ridlexepts</vt:lpstr>
      <vt:lpstr>Ridlexetries</vt:lpstr>
      <vt:lpstr>riggexepremcuppts</vt:lpstr>
      <vt:lpstr>riggexepremcuptries</vt:lpstr>
      <vt:lpstr>rileyharpremcuppts</vt:lpstr>
      <vt:lpstr>rileyharpremcuptries</vt:lpstr>
      <vt:lpstr>Rileysalpts</vt:lpstr>
      <vt:lpstr>Rileysaltries</vt:lpstr>
      <vt:lpstr>Robertsbthpts</vt:lpstr>
      <vt:lpstr>Robertsbthtries</vt:lpstr>
      <vt:lpstr>Robertssalpremcuppts</vt:lpstr>
      <vt:lpstr>Robertssalpremcuptries</vt:lpstr>
      <vt:lpstr>Robertssalpts</vt:lpstr>
      <vt:lpstr>Robertssaltries</vt:lpstr>
      <vt:lpstr>Roddsalpts</vt:lpstr>
      <vt:lpstr>Roddsaltries</vt:lpstr>
      <vt:lpstr>Roebucksalpts</vt:lpstr>
      <vt:lpstr>Roebucksaltries</vt:lpstr>
      <vt:lpstr>RogersonLEIpts</vt:lpstr>
      <vt:lpstr>RogersonLEItries</vt:lpstr>
      <vt:lpstr>rootseexepremcuppts</vt:lpstr>
      <vt:lpstr>rootseexepremcuptries</vt:lpstr>
      <vt:lpstr>rootsjexepremcuppts</vt:lpstr>
      <vt:lpstr>rootsjexepremcuptries</vt:lpstr>
      <vt:lpstr>rouebthatt</vt:lpstr>
      <vt:lpstr>rouebthgls</vt:lpstr>
      <vt:lpstr>rouebthpremcupatt</vt:lpstr>
      <vt:lpstr>rouebthpremcupgls</vt:lpstr>
      <vt:lpstr>Rouebthpremcuppts</vt:lpstr>
      <vt:lpstr>Rouebthpremcuptries</vt:lpstr>
      <vt:lpstr>Rouebthpts</vt:lpstr>
      <vt:lpstr>Rouebthtries</vt:lpstr>
      <vt:lpstr>Rouxbthprempts</vt:lpstr>
      <vt:lpstr>Rouxbthpremtries</vt:lpstr>
      <vt:lpstr>rouxbthtries</vt:lpstr>
      <vt:lpstr>rowernorpremcuppts</vt:lpstr>
      <vt:lpstr>rowernorpremcuptries</vt:lpstr>
      <vt:lpstr>Russellbthpts</vt:lpstr>
      <vt:lpstr>Russellbthtries</vt:lpstr>
      <vt:lpstr>SalePts</vt:lpstr>
      <vt:lpstr>Saletries</vt:lpstr>
      <vt:lpstr>Salomonbripts</vt:lpstr>
      <vt:lpstr>Salomonbritries</vt:lpstr>
      <vt:lpstr>Salvijulianpts</vt:lpstr>
      <vt:lpstr>Salvijuliantries</vt:lpstr>
      <vt:lpstr>SaracensPts</vt:lpstr>
      <vt:lpstr>SaracensTries</vt:lpstr>
      <vt:lpstr>Schickerlingexepts</vt:lpstr>
      <vt:lpstr>Schickerlingexetries</vt:lpstr>
      <vt:lpstr>Schmidharpts</vt:lpstr>
      <vt:lpstr>Schmidhartries</vt:lpstr>
      <vt:lpstr>scolanorpremcuppts</vt:lpstr>
      <vt:lpstr>scolanorpremcuptries</vt:lpstr>
      <vt:lpstr>Scolanorpts</vt:lpstr>
      <vt:lpstr>Scolanortries</vt:lpstr>
      <vt:lpstr>Scotland_W_sonharpts</vt:lpstr>
      <vt:lpstr>Scotland_W_sonhartries</vt:lpstr>
      <vt:lpstr>Scott_Youngnorpts</vt:lpstr>
      <vt:lpstr>Scott_Youngnortries</vt:lpstr>
      <vt:lpstr>Scullypts</vt:lpstr>
      <vt:lpstr>searlebthatt</vt:lpstr>
      <vt:lpstr>Searlebthgls</vt:lpstr>
      <vt:lpstr>searleleiatt</vt:lpstr>
      <vt:lpstr>Searleleigls</vt:lpstr>
      <vt:lpstr>Searleleipremcupatt</vt:lpstr>
      <vt:lpstr>Searleleipremcupgls</vt:lpstr>
      <vt:lpstr>searleleipremcuppts</vt:lpstr>
      <vt:lpstr>searleleipremcuptries</vt:lpstr>
      <vt:lpstr>segunsarpremcuppts</vt:lpstr>
      <vt:lpstr>segunsarpremcuptries</vt:lpstr>
      <vt:lpstr>Segunsarptscorrect</vt:lpstr>
      <vt:lpstr>Segunsartriescorrect</vt:lpstr>
      <vt:lpstr>selabthpremcuppts</vt:lpstr>
      <vt:lpstr>selabthpremcuptries</vt:lpstr>
      <vt:lpstr>Selabthpts</vt:lpstr>
      <vt:lpstr>Selabthtries</vt:lpstr>
      <vt:lpstr>shillcockleicatt</vt:lpstr>
      <vt:lpstr>Shillcockleicgls</vt:lpstr>
      <vt:lpstr>Simmonsleicpts</vt:lpstr>
      <vt:lpstr>Simmonsleictries</vt:lpstr>
      <vt:lpstr>Simpson_Gsarpts</vt:lpstr>
      <vt:lpstr>Simpson_Gsartries</vt:lpstr>
      <vt:lpstr>simpsonsarpremcuppts</vt:lpstr>
      <vt:lpstr>simpsonsarpremcuptries</vt:lpstr>
      <vt:lpstr>Sioexepts</vt:lpstr>
      <vt:lpstr>Sioexetries</vt:lpstr>
      <vt:lpstr>Skinner_Hexepts</vt:lpstr>
      <vt:lpstr>Skinner_Hexetries</vt:lpstr>
      <vt:lpstr>Skinnerexeatt</vt:lpstr>
      <vt:lpstr>Skinnerexegls</vt:lpstr>
      <vt:lpstr>Skinnerexepremcupatt</vt:lpstr>
      <vt:lpstr>Skinnerexepremcupgls</vt:lpstr>
      <vt:lpstr>skinnerexepremcuppts</vt:lpstr>
      <vt:lpstr>skinnerexepremcuptries</vt:lpstr>
      <vt:lpstr>sladeatt</vt:lpstr>
      <vt:lpstr>Sladeexepremcupatt</vt:lpstr>
      <vt:lpstr>Sladeexepremcupgls</vt:lpstr>
      <vt:lpstr>sladeexepremcuppts</vt:lpstr>
      <vt:lpstr>sladeexepremcuptries</vt:lpstr>
      <vt:lpstr>Sladeexepts</vt:lpstr>
      <vt:lpstr>Sladeexetries</vt:lpstr>
      <vt:lpstr>sladegoals</vt:lpstr>
      <vt:lpstr>sleightholmenorpremcuppts</vt:lpstr>
      <vt:lpstr>sleightholmenorpremcuptries</vt:lpstr>
      <vt:lpstr>Sleightholmenorpts</vt:lpstr>
      <vt:lpstr>Sleightholmenortries</vt:lpstr>
      <vt:lpstr>sleveinharpremcupatt</vt:lpstr>
      <vt:lpstr>SlevinHARatt</vt:lpstr>
      <vt:lpstr>SlevinHARgls</vt:lpstr>
      <vt:lpstr>SlevinHARglsPERCENT</vt:lpstr>
      <vt:lpstr>Slevinharpremcupgls</vt:lpstr>
      <vt:lpstr>slevinharpremcuppts</vt:lpstr>
      <vt:lpstr>slevinharpremcuptries</vt:lpstr>
      <vt:lpstr>Slevinharpts</vt:lpstr>
      <vt:lpstr>Slevinhartries</vt:lpstr>
      <vt:lpstr>Smith_Rnorpts</vt:lpstr>
      <vt:lpstr>Smith_Rnortries</vt:lpstr>
      <vt:lpstr>smithharatt</vt:lpstr>
      <vt:lpstr>Smithhargls</vt:lpstr>
      <vt:lpstr>Smithharpts</vt:lpstr>
      <vt:lpstr>Smithhartries</vt:lpstr>
      <vt:lpstr>Smithleicpts</vt:lpstr>
      <vt:lpstr>Smithleictries</vt:lpstr>
      <vt:lpstr>smithnoratt</vt:lpstr>
      <vt:lpstr>Smithnorgls</vt:lpstr>
      <vt:lpstr>Smithrnewpts</vt:lpstr>
      <vt:lpstr>Smithrnewtries</vt:lpstr>
      <vt:lpstr>Smithrobbienewpts</vt:lpstr>
      <vt:lpstr>Smithrobbienewtries</vt:lpstr>
      <vt:lpstr>spandlerbthpremcuppts</vt:lpstr>
      <vt:lpstr>spandlerbthpremcuptries</vt:lpstr>
      <vt:lpstr>Spandlerbthpts</vt:lpstr>
      <vt:lpstr>Spandlertbhtries</vt:lpstr>
      <vt:lpstr>spcncerbthgls</vt:lpstr>
      <vt:lpstr>Spencer_Bbthpts</vt:lpstr>
      <vt:lpstr>Spencer_Bbthtries</vt:lpstr>
      <vt:lpstr>spencerbthatt</vt:lpstr>
      <vt:lpstr>spencernrbpremcuppts</vt:lpstr>
      <vt:lpstr>spencernrbpremcuptries</vt:lpstr>
      <vt:lpstr>spinksarpremcuppts</vt:lpstr>
      <vt:lpstr>spinksarpremcuptries</vt:lpstr>
      <vt:lpstr>staddonbthpremcuppts</vt:lpstr>
      <vt:lpstr>staddonbthpremcuptries</vt:lpstr>
      <vt:lpstr>Stanleyglopts</vt:lpstr>
      <vt:lpstr>Stanleyglotries</vt:lpstr>
      <vt:lpstr>Staplesharpremcuppts</vt:lpstr>
      <vt:lpstr>Staplesharpremcuptries</vt:lpstr>
      <vt:lpstr>Staplesharpts</vt:lpstr>
      <vt:lpstr>Stapleshartries</vt:lpstr>
      <vt:lpstr>Steelelipts</vt:lpstr>
      <vt:lpstr>Steelelitries</vt:lpstr>
      <vt:lpstr>Stevensleicpts</vt:lpstr>
      <vt:lpstr>Stevensleictries</vt:lpstr>
      <vt:lpstr>stewardleicatt</vt:lpstr>
      <vt:lpstr>Stewardleicgls</vt:lpstr>
      <vt:lpstr>Stewartbthpts</vt:lpstr>
      <vt:lpstr>Stewartbthtries</vt:lpstr>
      <vt:lpstr>Strangbripts</vt:lpstr>
      <vt:lpstr>Strangbritries</vt:lpstr>
      <vt:lpstr>Stuartbthpts</vt:lpstr>
      <vt:lpstr>Stuartbthtries</vt:lpstr>
      <vt:lpstr>Stuartnrbpremcupatt</vt:lpstr>
      <vt:lpstr>Stuartnrbpremcupgls</vt:lpstr>
      <vt:lpstr>Swinsonsarptscorrect</vt:lpstr>
      <vt:lpstr>Swinsonsartriescorrect</vt:lpstr>
      <vt:lpstr>Sylvestersarpts</vt:lpstr>
      <vt:lpstr>Sylvestersartries</vt:lpstr>
      <vt:lpstr>Terryglopts</vt:lpstr>
      <vt:lpstr>Terryglotries</vt:lpstr>
      <vt:lpstr>thamenorpremcuppts</vt:lpstr>
      <vt:lpstr>thamenorpremcuptries</vt:lpstr>
      <vt:lpstr>ThameNORpts</vt:lpstr>
      <vt:lpstr>ThameNORtries</vt:lpstr>
      <vt:lpstr>Theobald_Thomasleipts</vt:lpstr>
      <vt:lpstr>theobaldthomasleipremcuppts</vt:lpstr>
      <vt:lpstr>theobaldthomasleipremcuptries</vt:lpstr>
      <vt:lpstr>Theobold_Thomasleitries</vt:lpstr>
      <vt:lpstr>thomasalpremcuppts</vt:lpstr>
      <vt:lpstr>thomasalpremcuptries</vt:lpstr>
      <vt:lpstr>Thomasglopts</vt:lpstr>
      <vt:lpstr>Thomasglotries</vt:lpstr>
      <vt:lpstr>ThomasSALpts</vt:lpstr>
      <vt:lpstr>ThomasSALtries</vt:lpstr>
      <vt:lpstr>Thompsonleipts</vt:lpstr>
      <vt:lpstr>Thompsonleitries</vt:lpstr>
      <vt:lpstr>thompstonetries</vt:lpstr>
      <vt:lpstr>thorleyglopremcuppts</vt:lpstr>
      <vt:lpstr>thorleyglopremcuptries</vt:lpstr>
      <vt:lpstr>Thorleygloptscorrect</vt:lpstr>
      <vt:lpstr>Thorleyglotriescorrect</vt:lpstr>
      <vt:lpstr>threlfallleiatt</vt:lpstr>
      <vt:lpstr>threlfallleigls</vt:lpstr>
      <vt:lpstr>threlfallleipremcuppts</vt:lpstr>
      <vt:lpstr>threlfallleipremcuptries</vt:lpstr>
      <vt:lpstr>Threlfallleipts</vt:lpstr>
      <vt:lpstr>Threlfallleitries</vt:lpstr>
      <vt:lpstr>Tiffennewpts</vt:lpstr>
      <vt:lpstr>Tiffennewtries</vt:lpstr>
      <vt:lpstr>Timminsbthpremcuppts</vt:lpstr>
      <vt:lpstr>Timminsbthpremcuptries</vt:lpstr>
      <vt:lpstr>Timminsbthpts</vt:lpstr>
      <vt:lpstr>Timminsbthtries</vt:lpstr>
      <vt:lpstr>titcombeleipremcupatt</vt:lpstr>
      <vt:lpstr>titcombeleipremcupgls</vt:lpstr>
      <vt:lpstr>titcombeleipremcuppts</vt:lpstr>
      <vt:lpstr>titcombeleipremcuptries</vt:lpstr>
      <vt:lpstr>Tizardsarpts</vt:lpstr>
      <vt:lpstr>Tizardsartries</vt:lpstr>
      <vt:lpstr>Todaronorpts</vt:lpstr>
      <vt:lpstr>Todaronortries</vt:lpstr>
      <vt:lpstr>tompkinssarpremcuppts</vt:lpstr>
      <vt:lpstr>tompkinssarpremcuptries</vt:lpstr>
      <vt:lpstr>Tompkinssarptscorrect2</vt:lpstr>
      <vt:lpstr>Tompkinssartriescorrect</vt:lpstr>
      <vt:lpstr>Tonksnorpts</vt:lpstr>
      <vt:lpstr>Tonksnortries</vt:lpstr>
      <vt:lpstr>Townsendexepts</vt:lpstr>
      <vt:lpstr>Townsendexetries</vt:lpstr>
      <vt:lpstr>townsendharpremcuppts</vt:lpstr>
      <vt:lpstr>townsendharpremcuptries</vt:lpstr>
      <vt:lpstr>treadwellharpremcuppts</vt:lpstr>
      <vt:lpstr>treadwellharpremcuptries</vt:lpstr>
      <vt:lpstr>trenholmglopremcuppts</vt:lpstr>
      <vt:lpstr>trenholmglopremcuptries</vt:lpstr>
      <vt:lpstr>Trevettbripts</vt:lpstr>
      <vt:lpstr>Trevettbritries</vt:lpstr>
      <vt:lpstr>Trinderglopts</vt:lpstr>
      <vt:lpstr>Trindertriestries</vt:lpstr>
      <vt:lpstr>Tshiunzaexepts</vt:lpstr>
      <vt:lpstr>Tshiunzaexetries</vt:lpstr>
      <vt:lpstr>Tuaexepts</vt:lpstr>
      <vt:lpstr>Tuaexetries</vt:lpstr>
      <vt:lpstr>tuimaexepremcuppts</vt:lpstr>
      <vt:lpstr>tuimaexepremcuptries</vt:lpstr>
      <vt:lpstr>Tuimaexepts</vt:lpstr>
      <vt:lpstr>Tuimaexetries</vt:lpstr>
      <vt:lpstr>tuipulotubthpremcuppts</vt:lpstr>
      <vt:lpstr>tuipulotubthpremcuptries</vt:lpstr>
      <vt:lpstr>Tuipulotubthpts</vt:lpstr>
      <vt:lpstr>Tuipulotubthtries</vt:lpstr>
      <vt:lpstr>Tuipulotusarpts</vt:lpstr>
      <vt:lpstr>Tuipulotusartries</vt:lpstr>
      <vt:lpstr>Tuitupousampts</vt:lpstr>
      <vt:lpstr>Tuitupousamtries</vt:lpstr>
      <vt:lpstr>TurnerHARPTS</vt:lpstr>
      <vt:lpstr>TurnerHARTRIES</vt:lpstr>
      <vt:lpstr>ulcoqnorpremcuppts</vt:lpstr>
      <vt:lpstr>ulcoqnorpremcuptries</vt:lpstr>
      <vt:lpstr>Underhillbthpts</vt:lpstr>
      <vt:lpstr>Underhillbthtries</vt:lpstr>
      <vt:lpstr>van_der_Flierleipts</vt:lpstr>
      <vt:lpstr>van_der_Flierleitries</vt:lpstr>
      <vt:lpstr>van_der_Lindebthpts</vt:lpstr>
      <vt:lpstr>van_der_Lindebthtries</vt:lpstr>
      <vt:lpstr>van_der_Meschtnorpts</vt:lpstr>
      <vt:lpstr>van_der_Meschtnortries</vt:lpstr>
      <vt:lpstr>van_der_Sluysexepts</vt:lpstr>
      <vt:lpstr>van_der_Sluysexetries</vt:lpstr>
      <vt:lpstr>van_Poortvlietleicpts</vt:lpstr>
      <vt:lpstr>van_Poortvlietleictries</vt:lpstr>
      <vt:lpstr>van_Velzebthpts</vt:lpstr>
      <vt:lpstr>van_Velzebthtries</vt:lpstr>
      <vt:lpstr>van_Vuurenbthpts</vt:lpstr>
      <vt:lpstr>van_Vuurenbthtries</vt:lpstr>
      <vt:lpstr>van_VuurenNEWpts</vt:lpstr>
      <vt:lpstr>van_VuurenNEWtries</vt:lpstr>
      <vt:lpstr>van_Zylsarptscorrect</vt:lpstr>
      <vt:lpstr>van_Zylsartriescorrect</vt:lpstr>
      <vt:lpstr>vanderflierleipremcuppts</vt:lpstr>
      <vt:lpstr>vanderflierleipremcuptries</vt:lpstr>
      <vt:lpstr>vandermeschtnorpremcuppts</vt:lpstr>
      <vt:lpstr>vandermeschtnorpremcuptries</vt:lpstr>
      <vt:lpstr>Vanesleicpts</vt:lpstr>
      <vt:lpstr>Vanesleictries</vt:lpstr>
      <vt:lpstr>vanzylsarpremcuppts</vt:lpstr>
      <vt:lpstr>vanzylsarpremcuptries</vt:lpstr>
      <vt:lpstr>varneyexepremcuppts</vt:lpstr>
      <vt:lpstr>varneyexepremcuptries</vt:lpstr>
      <vt:lpstr>Vermeulensalpts</vt:lpstr>
      <vt:lpstr>Vermeulensaltries</vt:lpstr>
      <vt:lpstr>vintcentexepremcuppts</vt:lpstr>
      <vt:lpstr>vintcentexepremcuptries</vt:lpstr>
      <vt:lpstr>Vunipola_Msaratt</vt:lpstr>
      <vt:lpstr>Vunipola_Msargls</vt:lpstr>
      <vt:lpstr>Wacokecokenewpts</vt:lpstr>
      <vt:lpstr>Wacokecokenewtries</vt:lpstr>
      <vt:lpstr>Waghornharpts</vt:lpstr>
      <vt:lpstr>Waghornhartries</vt:lpstr>
      <vt:lpstr>walkerharpremcuppts</vt:lpstr>
      <vt:lpstr>walkerharpremcuptries</vt:lpstr>
      <vt:lpstr>Walkerharpts</vt:lpstr>
      <vt:lpstr>Walkerhartries</vt:lpstr>
      <vt:lpstr>walkernorpremcuppts</vt:lpstr>
      <vt:lpstr>walkernorpremcuptries</vt:lpstr>
      <vt:lpstr>Walkernorpts</vt:lpstr>
      <vt:lpstr>Walkernortries</vt:lpstr>
      <vt:lpstr>Walshleipts</vt:lpstr>
      <vt:lpstr>Walshleitries</vt:lpstr>
      <vt:lpstr>wandleipremcuppts</vt:lpstr>
      <vt:lpstr>wandleipremcuptries</vt:lpstr>
      <vt:lpstr>Wardglopts</vt:lpstr>
      <vt:lpstr>Wardglotries</vt:lpstr>
      <vt:lpstr>WarrSALatt</vt:lpstr>
      <vt:lpstr>WarrSALgls</vt:lpstr>
      <vt:lpstr>Warrsalpts</vt:lpstr>
      <vt:lpstr>Warrsaltries</vt:lpstr>
      <vt:lpstr>Watersharpts</vt:lpstr>
      <vt:lpstr>Watershartries</vt:lpstr>
      <vt:lpstr>Webbersalpts</vt:lpstr>
      <vt:lpstr>Webbersaltries</vt:lpstr>
      <vt:lpstr>Wehrsalpremcuppts</vt:lpstr>
      <vt:lpstr>Wehrsalpremcuptries</vt:lpstr>
      <vt:lpstr>Wehrsalpts</vt:lpstr>
      <vt:lpstr>Wehrsaltries</vt:lpstr>
      <vt:lpstr>Weimannnorpts</vt:lpstr>
      <vt:lpstr>Weimannnortries</vt:lpstr>
      <vt:lpstr>Wellsleicpts</vt:lpstr>
      <vt:lpstr>Wellsleictries</vt:lpstr>
      <vt:lpstr>westonbriatt</vt:lpstr>
      <vt:lpstr>westonbrigls</vt:lpstr>
      <vt:lpstr>Westonbripremcupatt</vt:lpstr>
      <vt:lpstr>Westonbripremcupgls</vt:lpstr>
      <vt:lpstr>westonbripremcuppts</vt:lpstr>
      <vt:lpstr>westonbripremcuptries</vt:lpstr>
      <vt:lpstr>westsarpremcuppts</vt:lpstr>
      <vt:lpstr>westsarpremcuptries</vt:lpstr>
      <vt:lpstr>Westsarpts</vt:lpstr>
      <vt:lpstr>Westsartries</vt:lpstr>
      <vt:lpstr>whiteleyleiatt</vt:lpstr>
      <vt:lpstr>whiteleyleigls</vt:lpstr>
      <vt:lpstr>Whiteleyleipremcupatt</vt:lpstr>
      <vt:lpstr>Whiteleyleipremcupgls</vt:lpstr>
      <vt:lpstr>whiteleyleipremcuppts</vt:lpstr>
      <vt:lpstr>whiteleyleipremcuptries</vt:lpstr>
      <vt:lpstr>WhiteleyLEIpts</vt:lpstr>
      <vt:lpstr>WhiteleyLEItries</vt:lpstr>
      <vt:lpstr>Whittenpts</vt:lpstr>
      <vt:lpstr>Whittentries</vt:lpstr>
      <vt:lpstr>Wieseleicpts</vt:lpstr>
      <vt:lpstr>Wieseleictries</vt:lpstr>
      <vt:lpstr>Wilkinsnorpts</vt:lpstr>
      <vt:lpstr>Wilkinsnortries</vt:lpstr>
      <vt:lpstr>williamsbriatt</vt:lpstr>
      <vt:lpstr>williamsbrigls</vt:lpstr>
      <vt:lpstr>williamsbripremcuppts</vt:lpstr>
      <vt:lpstr>williamsbripremcuptries</vt:lpstr>
      <vt:lpstr>Williamsbripts</vt:lpstr>
      <vt:lpstr>Williamsbritries</vt:lpstr>
      <vt:lpstr>Williamsexepts</vt:lpstr>
      <vt:lpstr>Williamsexetries</vt:lpstr>
      <vt:lpstr>williamsgloatt</vt:lpstr>
      <vt:lpstr>Williamsglogls</vt:lpstr>
      <vt:lpstr>williamsleipremcuppts</vt:lpstr>
      <vt:lpstr>williamsleipremcuptries</vt:lpstr>
      <vt:lpstr>Williamssalpts</vt:lpstr>
      <vt:lpstr>Williamssaltries</vt:lpstr>
      <vt:lpstr>Williamstomasglotries</vt:lpstr>
      <vt:lpstr>Williamstomosglopts</vt:lpstr>
      <vt:lpstr>willissarpremcuppts</vt:lpstr>
      <vt:lpstr>willissarpremcuptries</vt:lpstr>
      <vt:lpstr>willssalpremcuppts</vt:lpstr>
      <vt:lpstr>willssalpremcuptries</vt:lpstr>
      <vt:lpstr>Wilson_Osarpts</vt:lpstr>
      <vt:lpstr>Wilson_Osartries</vt:lpstr>
      <vt:lpstr>wilsonsalpremcuppts</vt:lpstr>
      <vt:lpstr>wilsonsalpremcuptries</vt:lpstr>
      <vt:lpstr>Wilsonsalpts</vt:lpstr>
      <vt:lpstr>Wilsonsaltries</vt:lpstr>
      <vt:lpstr>Wilsonsarpts</vt:lpstr>
      <vt:lpstr>Wilsonsartries</vt:lpstr>
      <vt:lpstr>wimbushexepremcuppts</vt:lpstr>
      <vt:lpstr>wimbushexepremcuptries</vt:lpstr>
      <vt:lpstr>wintersbthpremcuppts</vt:lpstr>
      <vt:lpstr>wintersbthpremcuptriees</vt:lpstr>
      <vt:lpstr>Wolstenholmebripts</vt:lpstr>
      <vt:lpstr>Wolstenholmebritries</vt:lpstr>
      <vt:lpstr>woodburnexepremcuppts</vt:lpstr>
      <vt:lpstr>woodburnexepremcuptries</vt:lpstr>
      <vt:lpstr>Woodburnexepts</vt:lpstr>
      <vt:lpstr>Woodburnexetries</vt:lpstr>
      <vt:lpstr>Woodwardleipremcupatt</vt:lpstr>
      <vt:lpstr>Woodwardleipremcupgls</vt:lpstr>
      <vt:lpstr>woodwardleipremcuppts</vt:lpstr>
      <vt:lpstr>woodwardleipremcuptries</vt:lpstr>
      <vt:lpstr>WoodwardLEIpts</vt:lpstr>
      <vt:lpstr>WoodwardLEItries</vt:lpstr>
      <vt:lpstr>WoolstencroftEurTries</vt:lpstr>
      <vt:lpstr>Woolstencroftsarptscorrect</vt:lpstr>
      <vt:lpstr>Woolstencroftsartriescorrect</vt:lpstr>
      <vt:lpstr>worsleybriatt</vt:lpstr>
      <vt:lpstr>worsleybrigls</vt:lpstr>
      <vt:lpstr>Worsleybripremcupatt</vt:lpstr>
      <vt:lpstr>Worsleybripremcupgls</vt:lpstr>
      <vt:lpstr>Worsleybripremcuppts</vt:lpstr>
      <vt:lpstr>Worsleybripremcuptries</vt:lpstr>
      <vt:lpstr>Worsleybripts</vt:lpstr>
      <vt:lpstr>Worsleybritries</vt:lpstr>
      <vt:lpstr>wrightnorpremcuppts</vt:lpstr>
      <vt:lpstr>wrightnorpremcuptries</vt:lpstr>
      <vt:lpstr>Wyattexepts</vt:lpstr>
      <vt:lpstr>Wyattexetries</vt:lpstr>
      <vt:lpstr>Yeandlejackpts</vt:lpstr>
      <vt:lpstr>Yeandlejacktries</vt:lpstr>
      <vt:lpstr>Yendleharpremcuppts</vt:lpstr>
      <vt:lpstr>Yendleharpremcuptries</vt:lpstr>
      <vt:lpstr>Yendleharpts</vt:lpstr>
      <vt:lpstr>Yendlehartries</vt:lpstr>
      <vt:lpstr>youngsbatt</vt:lpstr>
      <vt:lpstr>youngsbgoals</vt:lpstr>
      <vt:lpstr>Zamboninexepremcuppts</vt:lpstr>
      <vt:lpstr>Zamboninexepremcuptries</vt:lpstr>
      <vt:lpstr>Zamboninexepts</vt:lpstr>
      <vt:lpstr>Zamboninexetries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cp:lastPrinted>2025-11-03T09:39:13Z</cp:lastPrinted>
  <dcterms:created xsi:type="dcterms:W3CDTF">2012-08-28T10:26:03Z</dcterms:created>
  <dcterms:modified xsi:type="dcterms:W3CDTF">2026-04-13T12:08:27Z</dcterms:modified>
</cp:coreProperties>
</file>