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97d62a7607d3ee9b/PREMIERSHIP RUGBY/Season 2019-20/"/>
    </mc:Choice>
  </mc:AlternateContent>
  <xr:revisionPtr revIDLastSave="7058" documentId="114_{5E3DAC57-1B4B-4638-83C1-9196C8B7CA6B}" xr6:coauthVersionLast="47" xr6:coauthVersionMax="47" xr10:uidLastSave="{9568BE4D-B661-4A21-8570-2FE288768D36}"/>
  <bookViews>
    <workbookView xWindow="-109" yWindow="-109" windowWidth="26301" windowHeight="14169" tabRatio="943" activeTab="16" xr2:uid="{00000000-000D-0000-FFFF-FFFF00000000}"/>
  </bookViews>
  <sheets>
    <sheet name="Sum" sheetId="1" r:id="rId1"/>
    <sheet name="Yr-By-Yr" sheetId="22" r:id="rId2"/>
    <sheet name="19-20 Sum" sheetId="24" r:id="rId3"/>
    <sheet name="Cards" sheetId="2" r:id="rId4"/>
    <sheet name="Stats" sheetId="4" r:id="rId5"/>
    <sheet name="Form" sheetId="5" r:id="rId6"/>
    <sheet name="Table" sheetId="6" r:id="rId7"/>
    <sheet name="Results" sheetId="21" r:id="rId8"/>
    <sheet name="BTH" sheetId="9" r:id="rId9"/>
    <sheet name="BRI" sheetId="14" r:id="rId10"/>
    <sheet name="EXE" sheetId="10" r:id="rId11"/>
    <sheet name="GLO" sheetId="11" r:id="rId12"/>
    <sheet name="HAR" sheetId="12" r:id="rId13"/>
    <sheet name="LEIC" sheetId="13" r:id="rId14"/>
    <sheet name="LIR" sheetId="16" r:id="rId15"/>
    <sheet name="NOR" sheetId="17" r:id="rId16"/>
    <sheet name="SAL" sheetId="18" r:id="rId17"/>
    <sheet name="SAR" sheetId="19" r:id="rId18"/>
    <sheet name="WAS" sheetId="15" r:id="rId19"/>
    <sheet name="WOR" sheetId="23" r:id="rId20"/>
    <sheet name="NEW-CH" sheetId="25" r:id="rId21"/>
  </sheets>
  <definedNames>
    <definedName name="_xlnm._FilterDatabase" localSheetId="6">Table!$A$2:$A$13</definedName>
    <definedName name="bathbonus">BTH!$I$36</definedName>
    <definedName name="bathbonusccorrect">BTH!$H$45</definedName>
    <definedName name="bathconceded">BTH!$G$36</definedName>
    <definedName name="bathdrawn">BTH!$AA$36</definedName>
    <definedName name="bathdropgoals">BTH!$L$36</definedName>
    <definedName name="bathlost">BTH!$AB$36</definedName>
    <definedName name="bathpld">BTH!$Y$36</definedName>
    <definedName name="bathpodrawn">BTH!#REF!</definedName>
    <definedName name="bathpolost">BTH!#REF!</definedName>
    <definedName name="bathpopld">BTH!#REF!</definedName>
    <definedName name="bathpoptsconceded">BTH!#REF!</definedName>
    <definedName name="bathpoptsscored">BTH!#REF!</definedName>
    <definedName name="bathpored">BTH!#REF!</definedName>
    <definedName name="bathpotriesconceded">BTH!#REF!</definedName>
    <definedName name="bathpotriesscored">BTH!#REF!</definedName>
    <definedName name="bathpowon">BTH!#REF!</definedName>
    <definedName name="bathpoyellow">BTH!#REF!</definedName>
    <definedName name="bathred">BTH!$O$36</definedName>
    <definedName name="bathscored">BTH!$F$36</definedName>
    <definedName name="bathtriesconceded">BTH!$R$36</definedName>
    <definedName name="bathtriesscored">BTH!$J$36</definedName>
    <definedName name="bathtrybonus">BTH!$H$36</definedName>
    <definedName name="bathtrybonusconceded">BTH!$P$36</definedName>
    <definedName name="bathwon">BTH!$Z$36</definedName>
    <definedName name="bathyellow">BTH!$N$36</definedName>
    <definedName name="BrieuropeYC">BRI!$N$44</definedName>
    <definedName name="Bristol_Rugbyhistplayed">Sum!$B$5</definedName>
    <definedName name="bristoleuropeseasontotalsdgs">BRI!$L$44</definedName>
    <definedName name="bristoleuropeseasontotalsdrawn">BRI!$AA$44</definedName>
    <definedName name="bristoleuropeseasontotalslosingbonusconceded">BRI!$Q$42</definedName>
    <definedName name="bristoleuropeseasontotalslosingbonusscored">BRI!$I$42</definedName>
    <definedName name="bristoleuropeseasontotalslost">BRI!$AB$44</definedName>
    <definedName name="bristoleuropeseasontotalsplayed">BRI!$Y$44</definedName>
    <definedName name="bristoleuropeseasontotalsptsagainst">BRI!$G$44</definedName>
    <definedName name="bristoleuropeseasontotalsptsscored">BRI!$F$44</definedName>
    <definedName name="bristoleuropeseasontotalsRC">BRI!$O$44</definedName>
    <definedName name="bristoleuropeseasontotalstriesconceded">BRI!$R$44</definedName>
    <definedName name="bristoleuropeseasontotalstriesscored">BRI!$J$44</definedName>
    <definedName name="bristoleuropeseasontotalstrybonussconceded">BRI!$P$42</definedName>
    <definedName name="bristoleuropeseasontotalstrybonusscored">BRI!$H$42</definedName>
    <definedName name="bristoleuropeseasontotalswon">BRI!$Z$44</definedName>
    <definedName name="bristoleuropeseasontotalsYC">BRI!$N$44</definedName>
    <definedName name="Bristolpremseasontotalsdgs">BRI!$L$41</definedName>
    <definedName name="Bristolpremseasontotalsdrawn">BRI!$AA$41</definedName>
    <definedName name="Bristolpremseasontotalslost">BRI!$AB$41</definedName>
    <definedName name="Bristolpremseasontotalsplayed">BRI!$Y$41</definedName>
    <definedName name="Bristolpremseasontotalsptsagainst">BRI!$G$41</definedName>
    <definedName name="Bristolpremseasontotalsptsscored">BRI!$F$41</definedName>
    <definedName name="BristolpremseasontotalsRC">BRI!$O$41</definedName>
    <definedName name="Bristolpremseasontotalstriesconceded">BRI!$R$41</definedName>
    <definedName name="Bristolpremseasontotalstriesscored">BRI!$J$41</definedName>
    <definedName name="Bristolpremseasontotalswon">BRI!$Z$41</definedName>
    <definedName name="BristolpremseasontotalsYC">BRI!$N$41</definedName>
    <definedName name="bstagainst">BRI!$G$39</definedName>
    <definedName name="bstchampscuphistdgs">Sum!$L$80</definedName>
    <definedName name="bstchampscuphistdrawn">Sum!$E$80</definedName>
    <definedName name="bstchampscuphisteon">Sum!$C$80</definedName>
    <definedName name="bstchampscuphistlost">Sum!$D$80</definedName>
    <definedName name="bstchampscuphistplayed">Sum!$B$80</definedName>
    <definedName name="bstchampscuphistptsagainst">Sum!$H$80</definedName>
    <definedName name="bstchampscuphistptsscored">Sum!$G$80</definedName>
    <definedName name="bstchampscuphisttriesagainst">Sum!$K$80</definedName>
    <definedName name="bstchampscuphisttriesscored">Sum!$J$80</definedName>
    <definedName name="bstdrew">BRI!$AA$39</definedName>
    <definedName name="bstdropgoals">BRI!$L$39</definedName>
    <definedName name="bsteurochallcupdgs">BRI!$L$42</definedName>
    <definedName name="bsteurochallcupdrawn">BRI!$AA$42</definedName>
    <definedName name="bsteurochallcuphistorydgs">Sum!$L$55</definedName>
    <definedName name="bsteurochallcuphistorydrawn">Sum!$E$55</definedName>
    <definedName name="bsteurochallcuphistorylost">Sum!$D$55</definedName>
    <definedName name="bsteurochallcuphistoryplayed">Sum!$B$55</definedName>
    <definedName name="bsteurochallcuphistoryptsagainst">Sum!$H$55</definedName>
    <definedName name="bsteurochallcuphistoryptsscored">Sum!$G$55</definedName>
    <definedName name="bsteurochallcuphistorytriesagainst">Sum!$K$55</definedName>
    <definedName name="bsteurochallcuphistorytriesscored">Sum!$J$55</definedName>
    <definedName name="bsteurochallcuphistorywon">Sum!$C$55</definedName>
    <definedName name="bsteurochallcuplost">BRI!$AB$42</definedName>
    <definedName name="bsteurochallcupplayed">BRI!$Y$42</definedName>
    <definedName name="bsteurochallcupptsagainst">BRI!$G$42</definedName>
    <definedName name="bsteurochallcupptsscored">BRI!$F$42</definedName>
    <definedName name="bsteurochallcuptriesagainst">BRI!$R$42</definedName>
    <definedName name="bsteurochallcuptriesscored">BRI!$J$42</definedName>
    <definedName name="bsteurochallcupwon">BRI!$Z$42</definedName>
    <definedName name="Bsteuropeancuphistdgs">Sum!$L$30</definedName>
    <definedName name="Bsteuropeancuphistdrawn">Sum!$E$30</definedName>
    <definedName name="Bsteuropeancuphistlost">Sum!$D$30</definedName>
    <definedName name="Bsteuropeancuphistplayed">Sum!$B$30</definedName>
    <definedName name="Bsteuropeancuphistpointsscored">Sum!$G$30</definedName>
    <definedName name="Bsteuropeancuphistptsagainst">Sum!$H$30</definedName>
    <definedName name="Bsteuropeancuphisttriesagainst">Sum!$K$30</definedName>
    <definedName name="Bsteuropeancuphisttriesscored">Sum!$J$30</definedName>
    <definedName name="Bsteuropeancuphistwon">Sum!$C$30</definedName>
    <definedName name="bsthistagainst">Sum!$H$5</definedName>
    <definedName name="bsthistdgs">Sum!$L$5</definedName>
    <definedName name="bsthistdrawn">Sum!$E$5</definedName>
    <definedName name="bsthistfor">Sum!$G$5</definedName>
    <definedName name="bsthistlost">Sum!$D$5</definedName>
    <definedName name="bsthisttriesagainst">Sum!$K$5</definedName>
    <definedName name="bsthisttriescored">Sum!$J$5</definedName>
    <definedName name="bsthistwon">Sum!$C$5</definedName>
    <definedName name="bstlosingbonusconceded">BRI!$Q$39</definedName>
    <definedName name="bstlosingbonusscored">BRI!$I$39</definedName>
    <definedName name="bstlost">BRI!$AB$39</definedName>
    <definedName name="bstplayed">BRI!$Y$39</definedName>
    <definedName name="bstred">BRI!$O$39</definedName>
    <definedName name="bstscored">BRI!$F$39</definedName>
    <definedName name="bsttriesconceded">BRI!$R$39</definedName>
    <definedName name="bsttriesscored">BRI!$J$39</definedName>
    <definedName name="bsttrybonusconceded">BRI!$P$39</definedName>
    <definedName name="bsttrybonusscored">BRI!$H$39</definedName>
    <definedName name="bstwon">BRI!$Z$39</definedName>
    <definedName name="bstyellow">BRI!$N$39</definedName>
    <definedName name="bthchallcupagainst">BTH!$G$39</definedName>
    <definedName name="bthchallcupdgs">BTH!$L$39</definedName>
    <definedName name="bthchallcupdrawn">BTH!$AA$39</definedName>
    <definedName name="bthchallcuphistagainst">Sum!$H$53</definedName>
    <definedName name="bthchallcuphistdgs">Sum!$L$53</definedName>
    <definedName name="bthchallcuphistdrawn">Sum!$E$53</definedName>
    <definedName name="bthchallcuphistlost">Sum!$D$53</definedName>
    <definedName name="bthchallcuphistplayed">Sum!$B$53</definedName>
    <definedName name="bthchallcuphistscored">Sum!$G$53</definedName>
    <definedName name="bthchallcuphisttriesagainst">Sum!$K$53</definedName>
    <definedName name="bthchallcuphisttriesscored">Sum!$J$53</definedName>
    <definedName name="bthchallcuphistwon">Sum!$C$53</definedName>
    <definedName name="bthchallcuplost">BTH!$AB$39</definedName>
    <definedName name="bthchallcupplayed">BTH!$Y$39</definedName>
    <definedName name="bthchallcupscored">BTH!$F$39</definedName>
    <definedName name="bthchallcuptriesconceded">BTH!$R$39</definedName>
    <definedName name="bthchallcuptriesscored">BTH!$H$39</definedName>
    <definedName name="bthchallcuptriesscoredcorrect">BTH!$J$39</definedName>
    <definedName name="bthchallcupwon">BTH!$Z$39</definedName>
    <definedName name="bthchampscuphistdgs">Sum!$L$78</definedName>
    <definedName name="bthchampscuphistdrawn">Sum!$E$78</definedName>
    <definedName name="bthchampscuphistlost">Sum!$D$78</definedName>
    <definedName name="bthchampscuphistplayed">Sum!$B$78</definedName>
    <definedName name="bthchampscuphistptsagainst">Sum!$H$78</definedName>
    <definedName name="bthchampscuphistptsscored">Sum!$G$78</definedName>
    <definedName name="bthchampscuphisttriesagainst">Sum!$K$78</definedName>
    <definedName name="bthchampscuphisttriesscored">Sum!$J$78</definedName>
    <definedName name="bthchampscuphistwon">Sum!$C$78</definedName>
    <definedName name="btheuropeancuphistagainst">Sum!$H$28</definedName>
    <definedName name="btheuropeancuphistdgs">Sum!$L$28</definedName>
    <definedName name="btheuropeancuphistdrawn">Sum!$E$28</definedName>
    <definedName name="btheuropeancuphistlost">Sum!$D$28</definedName>
    <definedName name="btheuropeancuphistplayed">Sum!$B$28</definedName>
    <definedName name="btheuropeancuphistscored">Sum!$G$28</definedName>
    <definedName name="btheuropeancuphisttriesagainst">Sum!$K$28</definedName>
    <definedName name="btheuropeancuphisttriesscored">Sum!$J$28</definedName>
    <definedName name="btheuropeancuphistwon">Sum!$C$28</definedName>
    <definedName name="btheuropeseasontotalsdgs">BTH!$L$41</definedName>
    <definedName name="btheuropeseasontotalsdrawn">BTH!$AA$41</definedName>
    <definedName name="btheuropeseasontotalslosingbonusconceded">BTH!$Q$41</definedName>
    <definedName name="btheuropeseasontotalslosingbonusscored">BTH!$I$41</definedName>
    <definedName name="btheuropeseasontotalslost">BTH!$AB$41</definedName>
    <definedName name="btheuropeseasontotalsplayed">BTH!$Y$41</definedName>
    <definedName name="btheuropeseasontotalsptsagainst">BTH!$G$41</definedName>
    <definedName name="btheuropeseasontotalsptsscored">BTH!$F$41</definedName>
    <definedName name="btheuropeseasontotalsRC">BTH!$O$41</definedName>
    <definedName name="btheuropeseasontotalstriesconceded">BTH!$R$41</definedName>
    <definedName name="btheuropeseasontotalstriesscored">BTH!$J$41</definedName>
    <definedName name="btheuropeseasontotalstrybonusconceded">BTH!$P$41</definedName>
    <definedName name="btheuropeseasontotalstrybonusscored">BTH!$H$41</definedName>
    <definedName name="btheuropeseasontotalswon">BTH!$Z$41</definedName>
    <definedName name="btheuropeseasontotalsYC">BTH!$N$41</definedName>
    <definedName name="btheuropeYC">BTH!$N$41</definedName>
    <definedName name="Bthhistagainst">Sum!$H$3</definedName>
    <definedName name="Bthhistdgs">Sum!$L$3</definedName>
    <definedName name="Bthhistdrawn">Sum!$E$3</definedName>
    <definedName name="Bthhistfor">Sum!$G$3</definedName>
    <definedName name="Bthhistlost">Sum!$D$3</definedName>
    <definedName name="Bthhistplayed">Sum!$B$3</definedName>
    <definedName name="Bthhisttriesconceded">Sum!$K$3</definedName>
    <definedName name="Bthhisttriesscored">Sum!$J$3</definedName>
    <definedName name="Bthhistwon">Sum!$C$3</definedName>
    <definedName name="bthpodgsscored">BTH!$L$37</definedName>
    <definedName name="bthpolost">BTH!$AB$37</definedName>
    <definedName name="bthpoplayed">BTH!$Y$37</definedName>
    <definedName name="bthpoptsagainst">BTH!$G$37</definedName>
    <definedName name="bthpoptsscored">BTH!$F$37</definedName>
    <definedName name="bthpored">BTH!$O$37</definedName>
    <definedName name="bthpotriesscored">BTH!$J$37</definedName>
    <definedName name="bthpotriesscoredcorrect">BTH!$R$37</definedName>
    <definedName name="bthpowon">BTH!$Z$37</definedName>
    <definedName name="bthpoyellow">BTH!$N$37</definedName>
    <definedName name="bthpremseasontotalsdgs">BTH!$L$38</definedName>
    <definedName name="bthpremseasontotalsdrawn">BTH!$AA$38</definedName>
    <definedName name="bthpremseasontotalslosingbonusconceded">BTH!$Q$38</definedName>
    <definedName name="bthpremseasontotalslosingbonuspointsscored">BTH!$I$38</definedName>
    <definedName name="bthpremseasontotalslost">BTH!$AB$38</definedName>
    <definedName name="bthpremseasontotalsplayed">BTH!$Y$38</definedName>
    <definedName name="bthpremseasontotalsptsagainst">BTH!$G$38</definedName>
    <definedName name="bthpremseasontotalsptsscored">BTH!$F$38</definedName>
    <definedName name="bthpremseasontotalsRC">BTH!$O$38</definedName>
    <definedName name="bthpremseasontotalstriesconceded">BTH!$R$38</definedName>
    <definedName name="bthpremseasontotalstriesscored">BTH!$J$38</definedName>
    <definedName name="bthpremseasontotalstrybonusconceded">BTH!$P$38</definedName>
    <definedName name="bthpremseasontotalstrybonuspointsscored">BTH!$H$38</definedName>
    <definedName name="bthpremseasontotalswon">BTH!$Y$38</definedName>
    <definedName name="bthpremseasontotalswoncorrect">BTH!$Z$38</definedName>
    <definedName name="bthpremseasontotalsYC">BTH!$N$38</definedName>
    <definedName name="Champions_Cup_2017_18_Cards">#REF!</definedName>
    <definedName name="dgs">Sum!$L$19</definedName>
    <definedName name="Exechampscupdgs">EXE!$L$44</definedName>
    <definedName name="Exechampscupdrawn">EXE!$AA$44</definedName>
    <definedName name="exechampscuphistdgs">Sum!$L$81</definedName>
    <definedName name="exechampscuphistdrawn">Sum!$E$81</definedName>
    <definedName name="exechampscuphistlost">Sum!$D$81</definedName>
    <definedName name="exechampscuphistplayed">Sum!$B$81</definedName>
    <definedName name="exechampscuphistptsagainst">Sum!$H$81</definedName>
    <definedName name="exechampscuphistptsscored">Sum!$G$81</definedName>
    <definedName name="exechampscuphisttrieseagainst">Sum!$K$81</definedName>
    <definedName name="exechampscuphisttriesscored">Sum!$J$81</definedName>
    <definedName name="exechampscuphistwon">Sum!$C$81</definedName>
    <definedName name="Exechampscuplost">EXE!$AB$44</definedName>
    <definedName name="Exechampscupplayed">EXE!$Y$44</definedName>
    <definedName name="Exechampscuppointsscored">EXE!$F$44</definedName>
    <definedName name="Exechampscupptsagainst">EXE!$G$44</definedName>
    <definedName name="Exechampscuptriesconceded">EXE!$R$44</definedName>
    <definedName name="Exechampscuptriesscored">EXE!$J$44</definedName>
    <definedName name="Exechampscupwon">EXE!$Z$44</definedName>
    <definedName name="exedropgoals">EXE!#REF!</definedName>
    <definedName name="Exeeuropeancuphistdgs">Sum!$L$31</definedName>
    <definedName name="Exeeuropeancuphistdrawn">Sum!$E$31</definedName>
    <definedName name="Exeeuropeancuphistlost">Sum!$D$31</definedName>
    <definedName name="Exeeuropeancuphistplayed">Sum!$B$31</definedName>
    <definedName name="Exeeuropeancuphistptsagainst">Sum!$H$31</definedName>
    <definedName name="Exeeuropeancuphistptsscored">Sum!$G$31</definedName>
    <definedName name="Exeeuropeancuphisttriesagainst">Sum!$K$31</definedName>
    <definedName name="Exeeuropeancuphisttriesscored">Sum!$J$31</definedName>
    <definedName name="Exeeuropeancuphistwon">Sum!$C$31</definedName>
    <definedName name="Exeeuropeancupplayed">EXE!$F$44</definedName>
    <definedName name="exeeuropeYC">EXE!$N$46</definedName>
    <definedName name="exepolost">EXE!#REF!</definedName>
    <definedName name="exepopld">EXE!#REF!</definedName>
    <definedName name="exepoptsag">EXE!#REF!</definedName>
    <definedName name="exepoptsscored">EXE!#REF!</definedName>
    <definedName name="exepored">EXE!#REF!</definedName>
    <definedName name="exepotriescon">EXE!#REF!</definedName>
    <definedName name="exepotriesscored">EXE!#REF!</definedName>
    <definedName name="exepowon">EXE!#REF!</definedName>
    <definedName name="exepoyellow">EXE!#REF!</definedName>
    <definedName name="Exepremhist">Sum!$B$6</definedName>
    <definedName name="exepremhistdgsscored">Sum!$L$6</definedName>
    <definedName name="exepremhistdrawn">Sum!$E$6</definedName>
    <definedName name="exepremhistlost">Sum!$D$6</definedName>
    <definedName name="exepremhistptsagainst">Sum!$H$6</definedName>
    <definedName name="exepremhistptsscored">Sum!$G$6</definedName>
    <definedName name="exepremhisttriesagainst">Sum!$K$6</definedName>
    <definedName name="exepremhisttriesscored">Sum!$J$6</definedName>
    <definedName name="exepremhistwon">Sum!$C$6</definedName>
    <definedName name="exeprempodgs">EXE!$L$42</definedName>
    <definedName name="exeprempolost">EXE!$AB$42</definedName>
    <definedName name="exeprempoplayed">EXE!$Y$42</definedName>
    <definedName name="exeprempoptsagainst">EXE!$G$42</definedName>
    <definedName name="exeprempoptsscored">EXE!$F$42</definedName>
    <definedName name="exeprempoRC">EXE!$O$42</definedName>
    <definedName name="exeprempotriesagainst">EXE!$R$42</definedName>
    <definedName name="exeprempotriesscored">EXE!$J$42</definedName>
    <definedName name="exeprempowon">EXE!$Z$42</definedName>
    <definedName name="exeprempoYC">EXE!$N$42</definedName>
    <definedName name="Exepremtotalsdgs">EXE!$L$43</definedName>
    <definedName name="Exepremtotalslost">EXE!$AB$43</definedName>
    <definedName name="Exepremtotalsplayed">EXE!$Y$43</definedName>
    <definedName name="Exepremtotalsptsagainst">EXE!$G$43</definedName>
    <definedName name="Exepremtotalsptsscored">EXE!$F$43</definedName>
    <definedName name="Exepremtotalsrc">EXE!$O$43</definedName>
    <definedName name="Exepremtotalstriesconceded">EXE!$R$43</definedName>
    <definedName name="Exepremtotalstriesscored">EXE!$J$43</definedName>
    <definedName name="Exepremtotalswon">EXE!$Z$43</definedName>
    <definedName name="Exepremtotalsyc">EXE!$N$43</definedName>
    <definedName name="exeterbonus">EXE!#REF!</definedName>
    <definedName name="exeterconceded">EXE!#REF!</definedName>
    <definedName name="exeterdrawn">EXE!#REF!</definedName>
    <definedName name="exetereuropeseasontotalsdgs">EXE!$L$46</definedName>
    <definedName name="exetereuropeseasontotalsdrawn">EXE!$AA$46</definedName>
    <definedName name="exetereuropeseasontotalslosingbonusconceded">EXE!$Q$44</definedName>
    <definedName name="exetereuropeseasontotalslost">EXE!$AB$46</definedName>
    <definedName name="exetereuropeseasontotalsplayed">EXE!$Y$46</definedName>
    <definedName name="exetereuropeseasontotalsptsagainst">EXE!$G$46</definedName>
    <definedName name="exetereuropeseasontotalsptsscored">EXE!$F$46</definedName>
    <definedName name="exetereuropeseasontotalsRC">EXE!$O$46</definedName>
    <definedName name="exetereuropeseasontotalstlosingbonusscored">EXE!$I$44</definedName>
    <definedName name="exetereuropeseasontotalstriesconceded">EXE!$R$46</definedName>
    <definedName name="exetereuropeseasontotalstriesscored">EXE!$J$46</definedName>
    <definedName name="exetereuropeseasontotalstrybonusconceded">EXE!$P$44</definedName>
    <definedName name="exetereuropeseasontotalstrybonusscored">EXE!$H$44</definedName>
    <definedName name="exetereuropeseasontotalswon">EXE!$Z$46</definedName>
    <definedName name="exetereuropeseasontotalsYC">EXE!$N$46</definedName>
    <definedName name="exeterlosingbonus">EXE!#REF!</definedName>
    <definedName name="exeterlosingbonusconceded">EXE!#REF!</definedName>
    <definedName name="exeterlost">EXE!#REF!</definedName>
    <definedName name="exeterpld">EXE!#REF!</definedName>
    <definedName name="exeterpremdrawn">EXE!$AA$41</definedName>
    <definedName name="exeterpremdropgoalsscored">EXE!$L$41</definedName>
    <definedName name="exeterpremlosingbonusconc">EXE!$Q$41</definedName>
    <definedName name="exeterpremlosingbonusscored">EXE!$I$41</definedName>
    <definedName name="exeterpremlost">EXE!$AB$41</definedName>
    <definedName name="exeterpremplayed">EXE!$Y$41</definedName>
    <definedName name="exeterpremptsagainst">EXE!$G$41</definedName>
    <definedName name="exeterpremptsscored">EXE!$F$41</definedName>
    <definedName name="exeterpremred">EXE!$O$41</definedName>
    <definedName name="exeterpremtriesconc">EXE!$R$41</definedName>
    <definedName name="exeterpremtriesscored">EXE!$J$41</definedName>
    <definedName name="exeterpremtrybonusconc">EXE!$P$41</definedName>
    <definedName name="exeterpremtrybonusscored">EXE!$H$41</definedName>
    <definedName name="exeterpremwon">EXE!$Z$41</definedName>
    <definedName name="exeterpremyellow">EXE!$N$41</definedName>
    <definedName name="exeterred">EXE!#REF!</definedName>
    <definedName name="exeterscored">EXE!#REF!</definedName>
    <definedName name="exetertriesconceded">EXE!#REF!</definedName>
    <definedName name="exetertriesscored">EXE!#REF!</definedName>
    <definedName name="exetertrybonusconceded">EXE!#REF!</definedName>
    <definedName name="exetertrybonusscored">EXE!#REF!</definedName>
    <definedName name="exeterwon">EXE!#REF!</definedName>
    <definedName name="exeteryellow">EXE!#REF!</definedName>
    <definedName name="glochallcupdgs">GLO!$L$38</definedName>
    <definedName name="glochallcupdrawn">GLO!$AA$38</definedName>
    <definedName name="glochallcuphistdgs">Sum!$L$57</definedName>
    <definedName name="glochallcuphistdrawn">Sum!$E$57</definedName>
    <definedName name="glochallcuphistlost">Sum!$D$57</definedName>
    <definedName name="glochallcuphistplayed">Sum!$B$57</definedName>
    <definedName name="glochallcuphistptsagainst">Sum!$H$57</definedName>
    <definedName name="glochallcuphistptsscored">Sum!$G$57</definedName>
    <definedName name="glochallcuphisttriesagainst">Sum!$K$57</definedName>
    <definedName name="glochallcuphisttriesscored">Sum!$J$57</definedName>
    <definedName name="glochallcuphistwon">Sum!$C$57</definedName>
    <definedName name="glochallcuplost">GLO!$AB$38</definedName>
    <definedName name="glochallcupplayed">GLO!$Y$38</definedName>
    <definedName name="glochallcuppltsscored">GLO!$F$38</definedName>
    <definedName name="glochallcupptsagainst">GLO!$G$38</definedName>
    <definedName name="glochallcuptriesagainst">GLO!$R$38</definedName>
    <definedName name="glochallcuptriesscored">GLO!$J$38</definedName>
    <definedName name="glochallcupwon">GLO!$Z$38</definedName>
    <definedName name="glochampscuphistdgs">Sum!$L$82</definedName>
    <definedName name="glochampscuphistdrawn">Sum!$E$82</definedName>
    <definedName name="glochampscuphistlost">Sum!$D$82</definedName>
    <definedName name="Glochampscuphistplayed">Sum!$B$82</definedName>
    <definedName name="glochampscuphistptsagainst">Sum!$H$82</definedName>
    <definedName name="glochampscuphistptsscored">Sum!$G$82</definedName>
    <definedName name="glochampscuphisttriesagainst">Sum!$K$82</definedName>
    <definedName name="glochampscuphisttriesscored">Sum!$J$82</definedName>
    <definedName name="glochampscuphistwon">Sum!$C$82</definedName>
    <definedName name="glochampscuppohistdgs">Sum!$L$107</definedName>
    <definedName name="glochampscuppohistdrawn">Sum!$E$107</definedName>
    <definedName name="glochampscuppohistlost">Sum!$D$107</definedName>
    <definedName name="glochampscuppohistplayed">Sum!$B$107</definedName>
    <definedName name="glochampscuppohistptsagainst">Sum!$H$107</definedName>
    <definedName name="glochampscuppohistptsscored">Sum!$G$107</definedName>
    <definedName name="glochampscuppohisttriesagainst">Sum!$K$107</definedName>
    <definedName name="glochampscuppohisttriesscored">Sum!$J$107</definedName>
    <definedName name="glochampscuppohistwon">Sum!$C$107</definedName>
    <definedName name="glodg">GLO!#REF!</definedName>
    <definedName name="Gloeuropeancuphistdgs">Sum!$L$32</definedName>
    <definedName name="Gloeuropeancuphistdrawn">Sum!$E$32</definedName>
    <definedName name="Gloeuropeancuphistlost">Sum!$D$32</definedName>
    <definedName name="Gloeuropeancuphistplayed">Sum!$B$32</definedName>
    <definedName name="Gloeuropeancuphistptsagainst">Sum!$H$32</definedName>
    <definedName name="Gloeuropeancuphistptsscored">Sum!$G$32</definedName>
    <definedName name="Gloeuropeancuphisttriesagainst">Sum!$K$32</definedName>
    <definedName name="Gloeuropeancuphisttriesscored">Sum!$J$32</definedName>
    <definedName name="Gloeuropeancuphistwon">Sum!$C$32</definedName>
    <definedName name="glosbonus">GLO!#REF!</definedName>
    <definedName name="glosconceded">GLO!#REF!</definedName>
    <definedName name="glosdrawn">GLO!#REF!</definedName>
    <definedName name="gloslosingbonus">GLO!#REF!</definedName>
    <definedName name="gloslosingbonusconceded">GLO!#REF!</definedName>
    <definedName name="gloslost">GLO!#REF!</definedName>
    <definedName name="glosplayed">GLO!#REF!</definedName>
    <definedName name="GlosPremhistdgs">Sum!$L$7</definedName>
    <definedName name="GlosPremhistdrawn">Sum!$E$7</definedName>
    <definedName name="GlosPremhistlost">Sum!$D$7</definedName>
    <definedName name="GlosPremhistplayed">Sum!$B$7</definedName>
    <definedName name="GlosPremhistptsagainst">Sum!$H$7</definedName>
    <definedName name="GlosPremhistptsscored">Sum!$G$7</definedName>
    <definedName name="GlosPremhisttriesagainst">Sum!$K$7</definedName>
    <definedName name="GlosPremhisttriesscored">Sum!$J$7</definedName>
    <definedName name="GlosPremhistwon">Sum!$C$7</definedName>
    <definedName name="glosred">GLO!#REF!</definedName>
    <definedName name="glosscored">GLO!#REF!</definedName>
    <definedName name="glostries">GLO!#REF!</definedName>
    <definedName name="glostriesconceded">GLO!#REF!</definedName>
    <definedName name="glostrybonus">GLO!#REF!</definedName>
    <definedName name="glostrybonusconceded">GLO!#REF!</definedName>
    <definedName name="gloswon">GLO!#REF!</definedName>
    <definedName name="glosyellow">GLO!#REF!</definedName>
    <definedName name="gloucestereuropeseasontotalsdgs">GLO!$L$40</definedName>
    <definedName name="gloucestereuropeseasontotalsdrawn">GLO!$AA$40</definedName>
    <definedName name="gloucestereuropeseasontotalslosingbonusconceded">GLO!$Q$38</definedName>
    <definedName name="gloucestereuropeseasontotalslosingbonusscored">GLO!$I$40</definedName>
    <definedName name="gloucestereuropeseasontotalslost">GLO!$AB$40</definedName>
    <definedName name="gloucestereuropeseasontotalsplayed">GLO!$Y$40</definedName>
    <definedName name="gloucestereuropeseasontotalsptsagainst">GLO!$G$40</definedName>
    <definedName name="gloucestereuropeseasontotalsptsscored">GLO!$F$40</definedName>
    <definedName name="gloucestereuropeseasontotalsRC">GLO!$O$40</definedName>
    <definedName name="gloucestereuropeseasontotalstriesconceded">GLO!$R$40</definedName>
    <definedName name="gloucestereuropeseasontotalstriesscored">GLO!$J$40</definedName>
    <definedName name="gloucestereuropeseasontotalstrybonusconceded">GLO!$P$38</definedName>
    <definedName name="gloucestereuropeseasontotalstrybonusscored">GLO!$H$40</definedName>
    <definedName name="gloucestereuropeseasontotalswon">GLO!$Z$40</definedName>
    <definedName name="gloucestereuropeseasontotalsYC">GLO!$N$40</definedName>
    <definedName name="gloucesterpremdrawsn">GLO!$AA$35</definedName>
    <definedName name="gloucesterpremdropgoalsscored">GLO!$L$35</definedName>
    <definedName name="gloucesterpremlosingbonusconc">GLO!$Q$35</definedName>
    <definedName name="gloucesterpremlosingbonusscored">GLO!$I$35</definedName>
    <definedName name="gloucesterpremlost">GLO!$AB$35</definedName>
    <definedName name="gloucesterpremplayed">GLO!$Y$35</definedName>
    <definedName name="gloucesterpremptsagainst">GLO!$G$35</definedName>
    <definedName name="gloucesterpremptsscored">GLO!$F$35</definedName>
    <definedName name="gloucesterpremred">GLO!$O$35</definedName>
    <definedName name="gloucesterpremseasontotalsdgs">GLO!$L$37</definedName>
    <definedName name="gloucesterpremseasontotalsdrawn">GLO!$AA$37</definedName>
    <definedName name="gloucesterpremseasontotalslost">GLO!$AB$37</definedName>
    <definedName name="gloucesterpremseasontotalsplayed">GLO!$Y$37</definedName>
    <definedName name="gloucesterpremseasontotalsptsagainst">GLO!$G$37</definedName>
    <definedName name="gloucesterpremseasontotalsptsscored">GLO!$F$37</definedName>
    <definedName name="gloucesterpremseasontotalsRC">GLO!$O$37</definedName>
    <definedName name="gloucesterpremseasontotalstriesconceded">GLO!$R$37</definedName>
    <definedName name="gloucesterpremseasontotalstriesscored">GLO!$J$37</definedName>
    <definedName name="gloucesterpremseasontotalswon">GLO!$Z$37</definedName>
    <definedName name="gloucesterpremseasontotalsYC">GLO!$N$37</definedName>
    <definedName name="gloucesterpremtriesconc">GLO!$R$35</definedName>
    <definedName name="gloucesterpremtriesscored">GLO!$J$35</definedName>
    <definedName name="gloucesterpremtrybonusconc">GLO!$P$35</definedName>
    <definedName name="gloucesterpremtrybonusscored">GLO!$H$35</definedName>
    <definedName name="gloucesterpremwon">GLO!$Z$35</definedName>
    <definedName name="gloucesterpremyellow">GLO!$N$35</definedName>
    <definedName name="harbonus">HAR!#REF!</definedName>
    <definedName name="Harchallcupdgs">HAR!#REF!</definedName>
    <definedName name="Harchallcupdrawn">HAR!#REF!</definedName>
    <definedName name="Harchallcuplost">HAR!#REF!</definedName>
    <definedName name="Harchallcupplayed">HAR!#REF!</definedName>
    <definedName name="Harchallcupptsagainst">HAR!#REF!</definedName>
    <definedName name="Harchallcupptsscored">HAR!#REF!</definedName>
    <definedName name="Harchallcuptriesagainst">HAR!#REF!</definedName>
    <definedName name="Harchallcuptriesscored">HAR!#REF!</definedName>
    <definedName name="Harchallcupwon">HAR!#REF!</definedName>
    <definedName name="harchampscuphistdgs">Sum!$L$83</definedName>
    <definedName name="harchampscuphistdrawn">Sum!$E$83</definedName>
    <definedName name="harchampscuphistlost">Sum!$D$83</definedName>
    <definedName name="harchampscuphistplayed">Sum!$B$83</definedName>
    <definedName name="harchampscuphistptsagainst">Sum!$H$83</definedName>
    <definedName name="harchampscuphistptsscored">Sum!$G$83</definedName>
    <definedName name="harchampscuphisttriesagainst">Sum!$K$83</definedName>
    <definedName name="harchampscuphisttriesscored">Sum!$J$83</definedName>
    <definedName name="harchampscuphistwon">Sum!$C$83</definedName>
    <definedName name="harchampscuppohistdgs">Sum!$L$108</definedName>
    <definedName name="harchampscuppohistdrawn">Sum!$E$108</definedName>
    <definedName name="harchampscuppohistlost">Sum!$D$108</definedName>
    <definedName name="harchampscuppohistplayed">Sum!$B$108</definedName>
    <definedName name="harchampscuppohistptsagainst">Sum!$H$108</definedName>
    <definedName name="harchampscuppohistptsscored">Sum!$G$108</definedName>
    <definedName name="harchampscuppohisttriesagainst">Sum!$K$108</definedName>
    <definedName name="harchampscuppohisttriesscopred">Sum!$J$108</definedName>
    <definedName name="harchampscuppohistwon">Sum!$C$108</definedName>
    <definedName name="harchampscuppoolagainst">HAR!$G$40</definedName>
    <definedName name="harchampscuppooldgs">HAR!$L$40</definedName>
    <definedName name="harchampscuppooldrawn">HAR!$AA$40</definedName>
    <definedName name="harchampscuppoollost">HAR!$AB$40</definedName>
    <definedName name="harchampscuppoolplayed">HAR!$Y$40</definedName>
    <definedName name="harchampscuppoolscored">HAR!$F$40</definedName>
    <definedName name="harchampscuppooltriesagainst">HAR!$R$40</definedName>
    <definedName name="harchampscuppooltriesscored">HAR!$J$40</definedName>
    <definedName name="harchampscuppoolwon">HAR!$Z$40</definedName>
    <definedName name="harconceded">HAR!#REF!</definedName>
    <definedName name="hardg">HAR!#REF!</definedName>
    <definedName name="hardrawn">HAR!#REF!</definedName>
    <definedName name="hareuropeancuphistdgs">Sum!$L$33</definedName>
    <definedName name="hareuropeancuphistdrawn">Sum!$E$33</definedName>
    <definedName name="hareuropeancuphistlost">Sum!$D$33</definedName>
    <definedName name="hareuropeancuphistplayed">Sum!$B$33</definedName>
    <definedName name="hareuropeancuphistptsagainst">Sum!$H$33</definedName>
    <definedName name="hareuropeancuphistptsscored">Sum!$G$33</definedName>
    <definedName name="hareuropeancuphisttriesagainst">Sum!$K$33</definedName>
    <definedName name="hareuropeancuphisttriesscored">Sum!$J$33</definedName>
    <definedName name="hareuropeancuphistwon">Sum!$C$33</definedName>
    <definedName name="harlequinseuropeseasontotalsdgs">HAR!$L$41</definedName>
    <definedName name="harlequinseuropeseasontotalsdgscorrect">HAR!$L$42</definedName>
    <definedName name="harlequinseuropeseasontotalsdrawn">HAR!$AA$42</definedName>
    <definedName name="harlequinseuropeseasontotalslosingbonusconceded">HAR!$Q$40</definedName>
    <definedName name="harlequinseuropeseasontotalslosingbonusscored">HAR!$I$40</definedName>
    <definedName name="harlequinseuropeseasontotalslost">HAR!$AB$42</definedName>
    <definedName name="harlequinseuropeseasontotalsplayed">HAR!$Y$42</definedName>
    <definedName name="harlequinseuropeseasontotalsptsagainst">HAR!$G$42</definedName>
    <definedName name="harlequinseuropeseasontotalsptsscored">HAR!$F$42</definedName>
    <definedName name="harlequinseuropeseasontotalsRC">HAR!$O$41</definedName>
    <definedName name="harlequinseuropeseasontotalsRCorrect">HAR!$O$42</definedName>
    <definedName name="harlequinseuropeseasontotalstriesconceded">HAR!$R$42</definedName>
    <definedName name="harlequinseuropeseasontotalstriesscored">HAR!$J$41</definedName>
    <definedName name="harlequinseuropeseasontotalstriesscoredcorrect">HAR!$J$42</definedName>
    <definedName name="harlequinseuropeseasontotalstrybonusconceded">HAR!$P$40</definedName>
    <definedName name="harlequinseuropeseasontotalstrybonusscored">HAR!$H$40</definedName>
    <definedName name="harlequinseuropeseasontotalswon">HAR!$Z$42</definedName>
    <definedName name="harlequinseuropeseasontotalsYC">HAR!$N$41</definedName>
    <definedName name="harlequinseuropeseasontotalsYCcorrect">HAR!$N$42</definedName>
    <definedName name="harlequinspremdrawn">HAR!$AA$37</definedName>
    <definedName name="harlequinspremdropgoalsscored">HAR!$L$37</definedName>
    <definedName name="harlequinspremlosingbonbusconc">HAR!$Q$37</definedName>
    <definedName name="harlequinspremlosingbonusscored">HAR!$I$37</definedName>
    <definedName name="harlequinspremlost">HAR!$AB$37</definedName>
    <definedName name="harlequinspremplayed">HAR!$F$37</definedName>
    <definedName name="harlequinspremplayedcorrect">HAR!$F$37</definedName>
    <definedName name="harlequinspremplayedthisone">HAR!$Y$37</definedName>
    <definedName name="harlequinspremptsagaiants">HAR!$G$37</definedName>
    <definedName name="harlequinspremptsscored">HAR!$F$37</definedName>
    <definedName name="harlequinspremred">HAR!$O$37</definedName>
    <definedName name="harlequinspremseasontotalsdgs">HAR!$L$39</definedName>
    <definedName name="harlequinspremseasontotalsdrawn">HAR!$AA$39</definedName>
    <definedName name="harlequinspremseasontotalslost">HAR!$AB$39</definedName>
    <definedName name="harlequinspremseasontotalsplayed">HAR!$Y$39</definedName>
    <definedName name="harlequinspremseasontotalsptsagainst">HAR!$G$39</definedName>
    <definedName name="harlequinspremseasontotalsptsscored">HAR!$F$39</definedName>
    <definedName name="harlequinspremseasontotalsRC">HAR!$O$39</definedName>
    <definedName name="harlequinspremseasontotalstriesconceded">HAR!$R$39</definedName>
    <definedName name="harlequinspremseasontotalstriesscored">HAR!$J$39</definedName>
    <definedName name="harlequinspremseasontotalswon">HAR!$Z$39</definedName>
    <definedName name="harlequinspremseasontotalsYC">HAR!$N$39</definedName>
    <definedName name="harlequinspremtriesconc">HAR!$R$37</definedName>
    <definedName name="harlequinspremtriesscored">HAR!$J$37</definedName>
    <definedName name="harlequinspremtrybonuscon">HAR!$P$37</definedName>
    <definedName name="harlequinspremtrybonusscored">HAR!$H$37</definedName>
    <definedName name="harlequinspremwon">HAR!$Z$37</definedName>
    <definedName name="harlequinspremyellow">HAR!$N$37</definedName>
    <definedName name="harlosingbonus">HAR!#REF!</definedName>
    <definedName name="harlosingbonusconceded">HAR!#REF!</definedName>
    <definedName name="harlost">HAR!#REF!</definedName>
    <definedName name="harplayed">HAR!#REF!</definedName>
    <definedName name="harpremhistdgs">Sum!$L$58</definedName>
    <definedName name="harpremhistdrawn">Sum!$E$58</definedName>
    <definedName name="harpremhistlost">Sum!$D$58</definedName>
    <definedName name="harpremhistplayed">Sum!$B$58</definedName>
    <definedName name="harpremhistptsagainst">Sum!$H$58</definedName>
    <definedName name="harpremhistptsscored">Sum!$G$58</definedName>
    <definedName name="harpremhisttriesagainst">Sum!$K$58</definedName>
    <definedName name="harpremhisttriesscored">Sum!$J$58</definedName>
    <definedName name="harpremhistwon">Sum!$C$58</definedName>
    <definedName name="harred">HAR!#REF!</definedName>
    <definedName name="harscored">HAR!#REF!</definedName>
    <definedName name="hartriesconceded">HAR!#REF!</definedName>
    <definedName name="hartriesscored">HAR!#REF!</definedName>
    <definedName name="hartrybonus">HAR!#REF!</definedName>
    <definedName name="hartrybonusconceded">HAR!#REF!</definedName>
    <definedName name="harwon">HAR!#REF!</definedName>
    <definedName name="haryellow">HAR!#REF!</definedName>
    <definedName name="Hqpremhistdgs">Sum!$L$8</definedName>
    <definedName name="Hqpremhistdrawn">Sum!$E$8</definedName>
    <definedName name="Hqpremhistlost">Sum!$D$8</definedName>
    <definedName name="Hqpremhistplayed">Sum!$B$8</definedName>
    <definedName name="Hqpremhistptsagainst">Sum!$H$8</definedName>
    <definedName name="Hqpremhistptsscored">Sum!$G$8</definedName>
    <definedName name="Hqpremhisttriesagainst">Sum!$K$8</definedName>
    <definedName name="Hqpremhisttriesscored">Sum!$J$8</definedName>
    <definedName name="Hqpremhistwon">Sum!$C$8</definedName>
    <definedName name="leicestereuropeseasontotalsdgs">LEIC!$L$42</definedName>
    <definedName name="leicestereuropeseasontotalsdrawn">LEIC!$AA$42</definedName>
    <definedName name="leicestereuropeseasontotalslost">LEIC!$AB$42</definedName>
    <definedName name="leicestereuropeseasontotalsplayed">LEIC!$Y$42</definedName>
    <definedName name="leicestereuropeseasontotalsptsagainst">LEIC!$G$42</definedName>
    <definedName name="leicestereuropeseasontotalsptsscored">LEIC!$F$42</definedName>
    <definedName name="leicestereuropeseasontotalsRC">LEIC!$O$42</definedName>
    <definedName name="leicestereuropeseasontotalstriesconceded">LEIC!$R$42</definedName>
    <definedName name="leicestereuropeseasontotalstriesscored">LEIC!$J$42</definedName>
    <definedName name="leicestereuropeseasontotalswon">LEIC!$Z$42</definedName>
    <definedName name="leicestereuropeseasontotalsYC">LEIC!$N$42</definedName>
    <definedName name="leicesterpoconceded">LEIC!#REF!</definedName>
    <definedName name="leicesterpolost">LEIC!#REF!</definedName>
    <definedName name="leicesterpoplayed">LEIC!#REF!</definedName>
    <definedName name="leicesterpored">LEIC!#REF!</definedName>
    <definedName name="leicesterposcored">LEIC!#REF!</definedName>
    <definedName name="leicesterpotriesconceded">LEIC!#REF!</definedName>
    <definedName name="leicesterpotriesscored">LEIC!#REF!</definedName>
    <definedName name="leicesterpowon">LEIC!#REF!</definedName>
    <definedName name="leicesterpoyellow">LEIC!#REF!</definedName>
    <definedName name="leicesterpremdrawn">LEIC!$AA$37</definedName>
    <definedName name="leicesterpremdropgoalsscored">LEIC!$L$37</definedName>
    <definedName name="leicesterpremlosingbonusconc">LEIC!$Q$37</definedName>
    <definedName name="leicesterpremlosingbonusscored">LEIC!$I$37</definedName>
    <definedName name="leicesterpremlost">LEIC!$AB$37</definedName>
    <definedName name="leicesterpremplayed">LEIC!$Y$37</definedName>
    <definedName name="leicesterpremptsagainst">LEIC!$G$37</definedName>
    <definedName name="leicesterpremptsscored">LEIC!$F$37</definedName>
    <definedName name="leicesterpremred">LEIC!$O$37</definedName>
    <definedName name="leicesterpremseasontotalsdgs">LEIC!$L$39</definedName>
    <definedName name="leicesterpremseasontotalsdrawn">LEIC!$AA$39</definedName>
    <definedName name="leicesterpremseasontotalslost">LEIC!$AB$39</definedName>
    <definedName name="leicesterpremseasontotalsplayed">LEIC!$Y$39</definedName>
    <definedName name="leicesterpremseasontotalsptsagainst">LEIC!$G$39</definedName>
    <definedName name="leicesterpremseasontotalsptsscored">LEIC!$F$39</definedName>
    <definedName name="leicesterpremseasontotalsRC">LEIC!$O$39</definedName>
    <definedName name="leicesterpremseasontotalstriesconceded">LEIC!$R$39</definedName>
    <definedName name="leicesterpremseasontotalstriesscored">LEIC!$J$39</definedName>
    <definedName name="leicesterpremseasontotalswon">LEIC!$Z$39</definedName>
    <definedName name="leicesterpremseasontotalsYC">LEIC!$N$39</definedName>
    <definedName name="leicesterpremtriescomc">LEIC!$R$37</definedName>
    <definedName name="leicesterpremtriesscored">LEIC!$J$37</definedName>
    <definedName name="leicesterpremtrybonusconc">LEIC!$I$37</definedName>
    <definedName name="leicesterpremtrybonusconccorrect">LEIC!$P$37</definedName>
    <definedName name="leicesterpremtrybonusscored">LEIC!$H$37</definedName>
    <definedName name="leicesterpremwon">LEIC!$Z$37</definedName>
    <definedName name="leicesterpremyellow">LEIC!$N$37</definedName>
    <definedName name="Leichallcuphistdgs">Sum!$L$59</definedName>
    <definedName name="Leichallcuphistdrawn">Sum!$E$59</definedName>
    <definedName name="Leichallcuphistlost">Sum!$D$59</definedName>
    <definedName name="Leichallcuphistplayed">Sum!$B$59</definedName>
    <definedName name="Leichallcuphistptsagainst">Sum!$H$59</definedName>
    <definedName name="Leichallcuphistptsscored">Sum!$G$59</definedName>
    <definedName name="Leichallcuphisttriesagainst">Sum!$K$59</definedName>
    <definedName name="Leichallcuphisttriesscored">Sum!$J$59</definedName>
    <definedName name="Leichallcuphistwon">Sum!$C$59</definedName>
    <definedName name="Leichampscupdgs">LEIC!$L$40</definedName>
    <definedName name="Leichampscupdrawn">LEIC!$AA$40</definedName>
    <definedName name="Leichampscuphistdgs">Sum!$L$84</definedName>
    <definedName name="Leichampscuphistdrawn">Sum!$E$84</definedName>
    <definedName name="Leichampscuphistlost">Sum!$D$84</definedName>
    <definedName name="Leichampscuphistplayed">Sum!$B$84</definedName>
    <definedName name="Leichampscuphistptsagainst">Sum!$H$84</definedName>
    <definedName name="Leichampscuphistptsscored">Sum!$G$84</definedName>
    <definedName name="Leichampscuphisttriesagainst">Sum!$K$84</definedName>
    <definedName name="Leichampscuphisttriesscored">Sum!$J$84</definedName>
    <definedName name="Leichampscuphistwon">Sum!$C$84</definedName>
    <definedName name="Leichampscuplost">LEIC!$AB$40</definedName>
    <definedName name="Leichampscupplayed">LEIC!$Y$40</definedName>
    <definedName name="Leichampscuppohistdgs">Sum!$L$109</definedName>
    <definedName name="Leichampscuppohistdrawn">Sum!$E$109</definedName>
    <definedName name="Leichampscuppohistlost">Sum!$D$109</definedName>
    <definedName name="Leichampscuppohistplayed">Sum!$B$109</definedName>
    <definedName name="Leichampscuppohistptsagainst">Sum!$H$109</definedName>
    <definedName name="Leichampscuppohistptsscored">Sum!$G$109</definedName>
    <definedName name="Leichampscuppohisttriesagainst">Sum!$K$109</definedName>
    <definedName name="Leichampscuppohisttriesscored">Sum!$J$109</definedName>
    <definedName name="Leichampscuppohistwon">Sum!$C$109</definedName>
    <definedName name="Leichampscupptsagainst">LEIC!$G$40</definedName>
    <definedName name="Leichampscupptsscored">LEIC!$F$40</definedName>
    <definedName name="Leichampscuptriesagainst">LEIC!$R$40</definedName>
    <definedName name="Leichampscuptriesscored">LEIC!$J$40</definedName>
    <definedName name="Leichampscupwon">LEIC!$Z$40</definedName>
    <definedName name="Leicprempodgs">LEIC!$L$38</definedName>
    <definedName name="Leicprempolost">LEIC!$AB$38</definedName>
    <definedName name="Leicprempoplayed">LEIC!$Y$38</definedName>
    <definedName name="Leicprempoptsagainst">LEIC!$G$38</definedName>
    <definedName name="Leicprempoptsscored">LEIC!$F$38</definedName>
    <definedName name="LeicprempoRC">LEIC!$O$38</definedName>
    <definedName name="Leicprempotriesagainst">LEIC!$R$38</definedName>
    <definedName name="Leicprempotriesscored">LEIC!$J$38</definedName>
    <definedName name="Leicprempowon">LEIC!$Z$38</definedName>
    <definedName name="LeicprempoYC">LEIC!$N$38</definedName>
    <definedName name="leicsbonus">LEIC!#REF!</definedName>
    <definedName name="leicsconceded">LEIC!#REF!</definedName>
    <definedName name="leicsdrawn">LEIC!#REF!</definedName>
    <definedName name="leicslosingbonus">LEIC!#REF!</definedName>
    <definedName name="leicslosingbonusconceded">LEIC!#REF!</definedName>
    <definedName name="leicslost">LEIC!#REF!</definedName>
    <definedName name="leicsplayed">LEIC!#REF!</definedName>
    <definedName name="leicspotriesconceded">LEIC!#REF!</definedName>
    <definedName name="Leicspotriesscored">LEIC!#REF!</definedName>
    <definedName name="leicsred">LEIC!#REF!</definedName>
    <definedName name="leicsscored">LEIC!#REF!</definedName>
    <definedName name="leicstries">LEIC!#REF!</definedName>
    <definedName name="leicstriesconceded">LEIC!#REF!</definedName>
    <definedName name="leicstrybonus">LEIC!#REF!</definedName>
    <definedName name="leicstrybonusconceded">LEIC!#REF!</definedName>
    <definedName name="leicswon">LEIC!#REF!</definedName>
    <definedName name="leicsyellow">LEIC!#REF!</definedName>
    <definedName name="leidg">LEIC!#REF!</definedName>
    <definedName name="Leieuropeancuphistdgs">Sum!$L$34</definedName>
    <definedName name="Leieuropeancuphistdrawn">Sum!$E$34</definedName>
    <definedName name="Leieuropeancuphistlost">Sum!$D$34</definedName>
    <definedName name="Leieuropeancuphistplayed">Sum!$B$34</definedName>
    <definedName name="Leieuropeancuphistptsscored">Sum!$G$34</definedName>
    <definedName name="Leieuropeancuphistptssgainst">Sum!$H$34</definedName>
    <definedName name="Leieuropeancuphisttriesagainst">Sum!$K$34</definedName>
    <definedName name="Leieuropeancuphisttriesscored">Sum!$J$34</definedName>
    <definedName name="Leieuropeancuphistwon">Sum!$C$34</definedName>
    <definedName name="leipolost">LEIC!#REF!</definedName>
    <definedName name="leipoplayed">LEIC!#REF!</definedName>
    <definedName name="leipoptsag">LEIC!#REF!</definedName>
    <definedName name="leipoptsfor">LEIC!#REF!</definedName>
    <definedName name="leipotriesscored">LEIC!#REF!</definedName>
    <definedName name="leipremhistdgs">Sum!$L$9</definedName>
    <definedName name="leipremhistdrawn">Sum!$E$9</definedName>
    <definedName name="leipremhistlost">Sum!$D$9</definedName>
    <definedName name="leipremhistplayed">Sum!$B$9</definedName>
    <definedName name="leipremhistptsagainst">Sum!$H$9</definedName>
    <definedName name="leipremhistptsscored">Sum!$G$9</definedName>
    <definedName name="leipremhisttriesagainst">Sum!$K$9</definedName>
    <definedName name="leipremhisttriesscored">Sum!$J$9</definedName>
    <definedName name="leipremhistwon">Sum!$C$9</definedName>
    <definedName name="libonus">BRI!#REF!</definedName>
    <definedName name="liconceded">BRI!#REF!</definedName>
    <definedName name="lidg">BRI!#REF!</definedName>
    <definedName name="lidrawn">BRI!#REF!</definedName>
    <definedName name="lilosingbonus">BRI!#REF!</definedName>
    <definedName name="lilosingbonusconceded">BRI!#REF!</definedName>
    <definedName name="lilost">BRI!#REF!</definedName>
    <definedName name="liplayed">BRI!#REF!</definedName>
    <definedName name="lirdgsscored">BRI!$L$39</definedName>
    <definedName name="lirdrawn">BRI!$AA$39</definedName>
    <definedName name="lired">BRI!#REF!</definedName>
    <definedName name="lirlosingbonusconceded">BRI!$Q$39</definedName>
    <definedName name="lirlosingbonusscored">BRI!$I$39</definedName>
    <definedName name="lirlost">BRI!$AB$39</definedName>
    <definedName name="lirplayed">BRI!$Y$39</definedName>
    <definedName name="lirpodgsscored">BRI!$L$40</definedName>
    <definedName name="lirpolost">BRI!$AB$40</definedName>
    <definedName name="lirpoplayed">BRI!$Y$40</definedName>
    <definedName name="lirpoptsagainst">BRI!$G$40</definedName>
    <definedName name="lirpoptsscored">BRI!$F$40</definedName>
    <definedName name="lirpored">BRI!$O$40</definedName>
    <definedName name="lirpotriesagainst">BRI!$R$40</definedName>
    <definedName name="lirpotriesscored">BRI!$J$40</definedName>
    <definedName name="lirpowon">BRI!$Z$40</definedName>
    <definedName name="lirpoyellow">BRI!$N$40</definedName>
    <definedName name="lirptsagainst">BRI!$G$39</definedName>
    <definedName name="lirptsscored">BRI!$F$39</definedName>
    <definedName name="lirred">BRI!$O$39</definedName>
    <definedName name="lirtriesagainst">BRI!$R$39</definedName>
    <definedName name="lirtriesconceded">BRI!$K$39</definedName>
    <definedName name="lirtriesconcededcorrect">BRI!$R$39</definedName>
    <definedName name="lirtriesscored">BRI!$J$39</definedName>
    <definedName name="lirtrybonusconceded">BRI!$P$39</definedName>
    <definedName name="lirtrybonusscored">BRI!$H$39</definedName>
    <definedName name="lirwon">BRI!$Z$39</definedName>
    <definedName name="liryellow">BRI!$N$39</definedName>
    <definedName name="liscored">BRI!#REF!</definedName>
    <definedName name="litries">BRI!#REF!</definedName>
    <definedName name="litriesconceded">BRI!#REF!</definedName>
    <definedName name="litrybonus">BRI!#REF!</definedName>
    <definedName name="litrybonusconceded">BRI!#REF!</definedName>
    <definedName name="liwon">BRI!#REF!</definedName>
    <definedName name="liyellow">BRI!#REF!</definedName>
    <definedName name="London_Irisheuropeanchallengecupdgs">Sum!$L$60</definedName>
    <definedName name="London_Irisheuropeanchallengecupdrawn">Sum!$E$60</definedName>
    <definedName name="London_Irisheuropeanchallengecuplost">Sum!$D$60</definedName>
    <definedName name="London_Irisheuropeanchallengecupplayed">Sum!$B$60</definedName>
    <definedName name="London_Irisheuropeanchallengecupptsagainst">Sum!$H$60</definedName>
    <definedName name="London_Irisheuropeanchallengecupptsscored">Sum!$G$60</definedName>
    <definedName name="London_Irisheuropeanchallengecuptriesagainst">Sum!$K$60</definedName>
    <definedName name="London_Irisheuropeanchallengecuptriesscored">Sum!$J$60</definedName>
    <definedName name="London_Irisheuropeanchallengecupwon">Sum!$C$60</definedName>
    <definedName name="London_Irisheuropeancuphistdgs">Sum!$L$35</definedName>
    <definedName name="London_Irisheuropeancuphistdrawn">Sum!$E$35</definedName>
    <definedName name="London_Irisheuropeancuphistlost">Sum!$D$35</definedName>
    <definedName name="London_Irisheuropeancuphistplayed">Sum!$B$35</definedName>
    <definedName name="London_Irisheuropeancuphistptsagainst">Sum!$H$35</definedName>
    <definedName name="London_Irisheuropeancuphistptsscored">Sum!$G$35</definedName>
    <definedName name="London_Irisheuropeancuphisttriesagainst">Sum!$K$35</definedName>
    <definedName name="London_Irisheuropeancuphisttriesscored">Sum!$J$35</definedName>
    <definedName name="London_Irisheuropeancuphistwon">Sum!$C$35</definedName>
    <definedName name="London_Irisheuropepoolsdgs">BRI!$L$42</definedName>
    <definedName name="London_Irisheuropepoolsdrawn">BRI!$AA$42</definedName>
    <definedName name="London_Irisheuropepoolslosingbonusconceded">BRI!$Q$42</definedName>
    <definedName name="London_Irisheuropepoolslosingbonusscored">BRI!$I$42</definedName>
    <definedName name="London_Irisheuropepoolslost">BRI!$AB$42</definedName>
    <definedName name="London_Irisheuropepoolsplayed">BRI!$F$42</definedName>
    <definedName name="London_IrisheuropepoolsplayedCORRECT">BRI!$Y$42</definedName>
    <definedName name="London_Irisheuropepoolsptsagainst">BRI!$G$42</definedName>
    <definedName name="London_Irisheuropepoolsptsscored">BRI!$F$42</definedName>
    <definedName name="London_Irisheuropepoolsred">BRI!$O$42</definedName>
    <definedName name="London_Irisheuropepoolstriesconceded">BRI!$R$42</definedName>
    <definedName name="London_Irisheuropepoolstriesscored">BRI!$J$42</definedName>
    <definedName name="London_Irisheuropepoolstrybonusconceded">BRI!$P$42</definedName>
    <definedName name="London_Irisheuropepoolstrybonusscored">BRI!$H$42</definedName>
    <definedName name="London_Irisheuropepoolswon">BRI!$Z$42</definedName>
    <definedName name="London_Irisheuropepoolsyellow">BRI!$N$42</definedName>
    <definedName name="London_Irishpremhistdgs">Sum!$L$10</definedName>
    <definedName name="London_Irishpremhistdrawn">Sum!$E$10</definedName>
    <definedName name="London_Irishpremhistlost">Sum!$D$10</definedName>
    <definedName name="London_Irishpremhistplayed">Sum!$B$10</definedName>
    <definedName name="London_Irishpremhistptsagainst">Sum!$H$10</definedName>
    <definedName name="London_Irishpremhistptsscored">Sum!$G$10</definedName>
    <definedName name="London_Irishpremhisttriesagainst">Sum!$K$10</definedName>
    <definedName name="London_Irishpremhisttriesscored">Sum!$J$10</definedName>
    <definedName name="London_Irishpremhistwon">Sum!$C$10</definedName>
    <definedName name="lweagainst">#REF!</definedName>
    <definedName name="lwedrawn">#REF!</definedName>
    <definedName name="lwelosingbonus">#REF!</definedName>
    <definedName name="lwelosingbonusonceded">#REF!</definedName>
    <definedName name="lwelost">#REF!</definedName>
    <definedName name="lweplayed">#REF!</definedName>
    <definedName name="lwered">#REF!</definedName>
    <definedName name="lwescored">#REF!</definedName>
    <definedName name="lwetriesconceded">#REF!</definedName>
    <definedName name="lwetriesscored">#REF!</definedName>
    <definedName name="lwetrybonus">#REF!</definedName>
    <definedName name="lwetrybonusconceded">#REF!</definedName>
    <definedName name="lwewon">#REF!</definedName>
    <definedName name="lweyellow">#REF!</definedName>
    <definedName name="newcastleeuropeseasontotalsdgs">LIR!$L$40</definedName>
    <definedName name="newcastleeuropeseasontotalsdrawn">LIR!$AA$40</definedName>
    <definedName name="newcastleeuropeseasontotalslost">LIR!$AB$40</definedName>
    <definedName name="newcastleeuropeseasontotalsplayed">LIR!$Y$40</definedName>
    <definedName name="newcastleeuropeseasontotalsptsagainst">LIR!$G$40</definedName>
    <definedName name="newcastleeuropeseasontotalsptsscored">LIR!$F$40</definedName>
    <definedName name="newcastleeuropeseasontotalsRC">LIR!$O$40</definedName>
    <definedName name="newcastleeuropeseasontotalstriesagainst">LIR!$R$40</definedName>
    <definedName name="newcastleeuropeseasontotalstriesscored">LIR!$J$40</definedName>
    <definedName name="newcastleeuropeseasontotalswon">LIR!$Z$40</definedName>
    <definedName name="newcastleeuropeseasontotalsYC">LIR!$N$40</definedName>
    <definedName name="newcastlepremdrawn">LIR!$AA$35</definedName>
    <definedName name="newcastlepremdropgoalsscored">LIR!$L$35</definedName>
    <definedName name="newcastlepremlosingboinusconc">LIR!$Q$35</definedName>
    <definedName name="newcastlepremlosingbonusscored">LIR!$I$35</definedName>
    <definedName name="newcastlepremlost">LIR!$AB$35</definedName>
    <definedName name="newcastlepremplayed">LIR!$Y$35</definedName>
    <definedName name="newcastlepremptsagaionst">LIR!$G$35</definedName>
    <definedName name="newcastlepremptsscored">LIR!$F$35</definedName>
    <definedName name="newcastlepremred">LIR!$O$35</definedName>
    <definedName name="Newcastlepremtotalsdgs">LIR!$L$37</definedName>
    <definedName name="newcastlepremtotalsdrawn">LIR!$AA$35</definedName>
    <definedName name="Newcastlepremtotalslost">LIR!$AB$37</definedName>
    <definedName name="Newcastlepremtotalsplayed">LIR!$Y$37</definedName>
    <definedName name="Newcastlepremtotalsptsagainst">LIR!$G$37</definedName>
    <definedName name="Newcastlepremtotalsptsscored">LIR!$F$37</definedName>
    <definedName name="Newcastlepremtotalsrc">LIR!$O$37</definedName>
    <definedName name="Newcastlepremtotalstriesconceded">LIR!$R$37</definedName>
    <definedName name="Newcastlepremtotalstriesscored">LIR!$J$37</definedName>
    <definedName name="Newcastlepremtotalswon">LIR!$Z$37</definedName>
    <definedName name="Newcastlepremtotalsyc">LIR!$N$37</definedName>
    <definedName name="newcastlepremtriesconc">LIR!$R$35</definedName>
    <definedName name="newcastlepremtriesscored">LIR!$J$35</definedName>
    <definedName name="newcastlepremtrybonuscocn">LIR!$P$35</definedName>
    <definedName name="newcastlepremtrybonusscored">LIR!$H$35</definedName>
    <definedName name="newcastlepremwon">LIR!$Z$35</definedName>
    <definedName name="newcastlepremyellow">LIR!$N$35</definedName>
    <definedName name="newcbonus">LIR!#REF!</definedName>
    <definedName name="newcconceded">LIR!#REF!</definedName>
    <definedName name="newcdrawn">LIR!#REF!</definedName>
    <definedName name="Newchallcupdgs">LIR!$L$38</definedName>
    <definedName name="Newchallcupdrawn">LIR!$AA$38</definedName>
    <definedName name="Newchallcuplost">LIR!$AB$38</definedName>
    <definedName name="Newchallcupplayed">LIR!$Y$38</definedName>
    <definedName name="Newchallcupptsagainst">LIR!$G$38</definedName>
    <definedName name="Newchallcupptsscored">LIR!$F$38</definedName>
    <definedName name="Newchallcuptriesagainst">LIR!$R$38</definedName>
    <definedName name="Newchallcuptriesscored">LIR!$J$38</definedName>
    <definedName name="Newchallcupwon">LIR!$Z$38</definedName>
    <definedName name="Newchampscuphistdgs">Sum!$L$88</definedName>
    <definedName name="Newchampscuphistdrawn">Sum!$E$88</definedName>
    <definedName name="Newchampscuphistlost">Sum!$D$88</definedName>
    <definedName name="Newchampscuphistplayed">Sum!$B$88</definedName>
    <definedName name="Newchampscuphistptsagainst">Sum!$H$88</definedName>
    <definedName name="Newchampscuphistptsscored">Sum!$G$88</definedName>
    <definedName name="Newchampscuphisttriesagainst">Sum!$K$88</definedName>
    <definedName name="Newchampscuphisttriesscored">Sum!$J$88</definedName>
    <definedName name="Newchampscuphistwon">Sum!$C$88</definedName>
    <definedName name="Newchampscuppohistdgs">Sum!$L$113</definedName>
    <definedName name="Newchampscuppohistdrawn">Sum!$E$113</definedName>
    <definedName name="Newchampscuppohistlost">Sum!$D$113</definedName>
    <definedName name="Newchampscuppohistplayed">Sum!$B$113</definedName>
    <definedName name="Newchampscuppohistptsagainst">Sum!$H$113</definedName>
    <definedName name="Newchampscuppohistptsscored">Sum!$G$113</definedName>
    <definedName name="Newchampscuppohisttriesagainst">Sum!$K$113</definedName>
    <definedName name="Newchampscuppohisttriesscored">Sum!$J$113</definedName>
    <definedName name="Newchampscuppohistwon">Sum!$C$113</definedName>
    <definedName name="newclosingbonus">LIR!#REF!</definedName>
    <definedName name="newclosingbonusconceded">LIR!#REF!</definedName>
    <definedName name="newclost">LIR!#REF!</definedName>
    <definedName name="newcplayed">LIR!#REF!</definedName>
    <definedName name="newcpremhistdgs">Sum!$L$13</definedName>
    <definedName name="newcpremhistdrawn">Sum!$E$13</definedName>
    <definedName name="newcpremhistlost">Sum!$D$13</definedName>
    <definedName name="newcpremhistplayed">Sum!$B$13</definedName>
    <definedName name="newcpremhistptsagainst">Sum!$H$13</definedName>
    <definedName name="newcpremhistptsscored">Sum!$G$13</definedName>
    <definedName name="newcpremhisttriesagainst">Sum!$K$13</definedName>
    <definedName name="newcpremhisttriesscored">Sum!$J$13</definedName>
    <definedName name="newcpremhistwon">Sum!$C$13</definedName>
    <definedName name="newcred">LIR!#REF!</definedName>
    <definedName name="newcscored">LIR!#REF!</definedName>
    <definedName name="newctriesconceded">LIR!#REF!</definedName>
    <definedName name="newctriesscored">LIR!#REF!</definedName>
    <definedName name="newctrybonus">LIR!#REF!</definedName>
    <definedName name="newctrybonusconceded">LIR!#REF!</definedName>
    <definedName name="newcwon">LIR!#REF!</definedName>
    <definedName name="newcyellow">LIR!#REF!</definedName>
    <definedName name="newdg">LIR!#REF!</definedName>
    <definedName name="Neweuropeancuphistdgs">Sum!$L$38</definedName>
    <definedName name="Neweuropeancuphistdrawn">Sum!$E$38</definedName>
    <definedName name="Neweuropeancuphistlost">Sum!$D$38</definedName>
    <definedName name="Neweuropeancuphistplayed">Sum!$B$38</definedName>
    <definedName name="Neweuropeancuphistptsagainst">Sum!$H$38</definedName>
    <definedName name="Neweuropeancuphistptsscored">Sum!$G$38</definedName>
    <definedName name="Neweuropeancuphisttriesagainst">Sum!$K$38</definedName>
    <definedName name="Neweuropeancuphisttriesscored">Sum!$J$38</definedName>
    <definedName name="Neweuropeancuphistwon">Sum!$C$38</definedName>
    <definedName name="Newpremhistdgs">Sum!$L$63</definedName>
    <definedName name="Newpremhistdrawn">Sum!$E$63</definedName>
    <definedName name="Newpremhistlost">Sum!$D$63</definedName>
    <definedName name="Newpremhistplayed">Sum!$B$63</definedName>
    <definedName name="Newpremhistptsagainst">Sum!$H$63</definedName>
    <definedName name="Newpremhistptsscored">Sum!$G$63</definedName>
    <definedName name="Newpremhisttriesagainst">Sum!$K$63</definedName>
    <definedName name="Newpremhisttriesscored">Sum!$J$63</definedName>
    <definedName name="Newpremhistwon">Sum!$C$63</definedName>
    <definedName name="Norchallcuphistdgs">Sum!$L$64</definedName>
    <definedName name="Norchallcuphistdrawn">Sum!$E$64</definedName>
    <definedName name="Norchallcuphistlost">Sum!$D$64</definedName>
    <definedName name="Norchallcuphistplayed">Sum!$B$64</definedName>
    <definedName name="Norchallcuphistptsagainst">Sum!$H$64</definedName>
    <definedName name="Norchallcuphistptsscored">Sum!$G$64</definedName>
    <definedName name="Norchallcuphisttriesagainst">Sum!$K$64</definedName>
    <definedName name="Norchallcuphisttriesscored">Sum!$J$64</definedName>
    <definedName name="Norchallcuphistwon">Sum!$C$64</definedName>
    <definedName name="Norchampscupdgs">NOR!$L$39</definedName>
    <definedName name="Norchampscupdrawn">NOR!$AA$39</definedName>
    <definedName name="Norchampscuphistdgs">Sum!$L$89</definedName>
    <definedName name="Norchampscuphistdrawn">Sum!$E$89</definedName>
    <definedName name="Norchampscuphistlost">Sum!$D$89</definedName>
    <definedName name="Norchampscuphistplayed">Sum!$B$89</definedName>
    <definedName name="Norchampscuphistptsagainst">Sum!$H$89</definedName>
    <definedName name="Norchampscuphistptsscored">Sum!$G$89</definedName>
    <definedName name="Norchampscuphisttriesagainst">Sum!$K$89</definedName>
    <definedName name="Norchampscuphisttriesscored">Sum!$J$89</definedName>
    <definedName name="Norchampscuphistwon">Sum!$C$89</definedName>
    <definedName name="Norchampscuplost">NOR!$AB$39</definedName>
    <definedName name="Norchampscupplayed">NOR!$Y$39</definedName>
    <definedName name="norchampscuppoagainst">Sum!$H$114</definedName>
    <definedName name="norchampscuppodgs">Sum!$L$114</definedName>
    <definedName name="Norchampscuppohistdgs">Sum!$L$114</definedName>
    <definedName name="Norchampscuppohistdrawn">Sum!$E$114</definedName>
    <definedName name="Norchampscuppohistlost">Sum!$D$114</definedName>
    <definedName name="Norchampscuppohistplayed">Sum!$B$114</definedName>
    <definedName name="Norchampscuppohistptsagainst">Sum!$H$114</definedName>
    <definedName name="Norchampscuppohistptsscored">Sum!$G$114</definedName>
    <definedName name="Norchampscuppohisttriesagainst">Sum!$K$114</definedName>
    <definedName name="Norchampscuppohisttriesscored">Sum!$J$114</definedName>
    <definedName name="Norchampscuppohistwon">Sum!$C$114</definedName>
    <definedName name="norchampscuppolost">Sum!$D$114</definedName>
    <definedName name="norchampscuppoplayed">Sum!$B$114</definedName>
    <definedName name="norchampscupposcored">Sum!$G$114</definedName>
    <definedName name="norchampscuppotriesagainst">Sum!$K$114</definedName>
    <definedName name="norchampscuppotriesscored">Sum!$J$114</definedName>
    <definedName name="norchampscuppowon">Sum!$C$114</definedName>
    <definedName name="Norchampscupptsagainst">NOR!$G$39</definedName>
    <definedName name="Norchampscupptsscored">NOR!$F$39</definedName>
    <definedName name="Norchampscuptriesagainst">NOR!$R$39</definedName>
    <definedName name="Norchampscuptriesscored">NOR!$J$39</definedName>
    <definedName name="Norchampscupwon">NOR!$Z$39</definedName>
    <definedName name="nordg">NOR!#REF!</definedName>
    <definedName name="Noreuropeancuphistdgs">Sum!$L$39</definedName>
    <definedName name="Noreuropeancuphistdrawn">Sum!$E$39</definedName>
    <definedName name="Noreuropeancuphistlost">Sum!$D$39</definedName>
    <definedName name="Noreuropeancuphistplayed">Sum!$B$39</definedName>
    <definedName name="Noreuropeancuphistptsagainst">Sum!$H$39</definedName>
    <definedName name="Noreuropeancuphistptsscored">Sum!$G$39</definedName>
    <definedName name="Noreuropeancuphisttriesagainst">Sum!$K$39</definedName>
    <definedName name="Noreuropeancuphisttriesscored">Sum!$J$39</definedName>
    <definedName name="Noreuropeancuphistwon">Sum!$C$39</definedName>
    <definedName name="Norpremhistdgs">Sum!$L$14</definedName>
    <definedName name="Norpremhistdrawn">Sum!$E$14</definedName>
    <definedName name="Norpremhistlost">Sum!$D$14</definedName>
    <definedName name="Norpremhistplayed">Sum!$B$14</definedName>
    <definedName name="Norpremhistptsagainst">Sum!$H$14</definedName>
    <definedName name="Norpremhistptsscored">Sum!$G$14</definedName>
    <definedName name="Norpremhisttriersscored">Sum!$J$14</definedName>
    <definedName name="Norpremhisttriesagainst">Sum!$K$14</definedName>
    <definedName name="Norpremhistwon">Sum!$C$14</definedName>
    <definedName name="Nortbscored">NOR!$H$38</definedName>
    <definedName name="northamptoneuropeseasontotalsdgs">NOR!$L$41</definedName>
    <definedName name="northamptoneuropeseasontotalsdrawn">NOR!$AA$41</definedName>
    <definedName name="northamptoneuropeseasontotalslost">NOR!$AB$41</definedName>
    <definedName name="northamptoneuropeseasontotalsplayed">NOR!$Y$41</definedName>
    <definedName name="northamptoneuropeseasontotalsptsagainst">NOR!$G$41</definedName>
    <definedName name="northamptoneuropeseasontotalsptsscored">NOR!$F$41</definedName>
    <definedName name="northamptoneuropeseasontotalsRC">NOR!$O$41</definedName>
    <definedName name="northamptoneuropeseasontotalstriesconceded">NOR!$R$41</definedName>
    <definedName name="northamptoneuropeseasontotalstriesscored">NOR!$J$41</definedName>
    <definedName name="northamptoneuropeseasontotalswon">NOR!$Z$41</definedName>
    <definedName name="northamptoneuropeseasontotalsYC">NOR!$N$41</definedName>
    <definedName name="northamptonpremdrawn">NOR!$AA$36</definedName>
    <definedName name="northamptonpremdropgoalsscored">NOR!$L$36</definedName>
    <definedName name="northamptonpremlosingbonusconc">NOR!$Q$36</definedName>
    <definedName name="northamptonpremlosingbonusscored">NOR!$I$36</definedName>
    <definedName name="northamptonpremlost">NOR!$AB$36</definedName>
    <definedName name="northamptonpremplayed">NOR!$Y$36</definedName>
    <definedName name="northamptonpremptsagainst">NOR!$G$36</definedName>
    <definedName name="northamptonpremptsscored">NOR!$F$36</definedName>
    <definedName name="northamptonpremred">NOR!$O$36</definedName>
    <definedName name="northamptonpremseasontotalsdgs">NOR!$L$38</definedName>
    <definedName name="northamptonpremseasontotalsdrawn">NOR!$AA$38</definedName>
    <definedName name="northamptonpremseasontotalslost">NOR!$AB$38</definedName>
    <definedName name="northamptonpremseasontotalsplayed">NOR!$Y$38</definedName>
    <definedName name="northamptonpremseasontotalsptsagainst">NOR!$G$38</definedName>
    <definedName name="northamptonpremseasontotalsptsscored">NOR!$F$38</definedName>
    <definedName name="northamptonpremseasontotalsRC">NOR!$O$38</definedName>
    <definedName name="northamptonpremseasontotalstriesconceded">NOR!$R$38</definedName>
    <definedName name="northamptonpremseasontotalstriesscored">NOR!$J$38</definedName>
    <definedName name="northamptonpremseasontotalswon">NOR!$Z$38</definedName>
    <definedName name="northamptonpremseasontotalsYC">NOR!$N$38</definedName>
    <definedName name="northamptonpremtriesagainst">NOR!$R$36</definedName>
    <definedName name="northamptonpremtriesconc">NOR!$R$36</definedName>
    <definedName name="northamptonpremtriesscored">NOR!$J$36</definedName>
    <definedName name="northamptonpremtrybonusconc">NOR!$P$36</definedName>
    <definedName name="northamptonpremtrybonusscored">NOR!$H$8</definedName>
    <definedName name="northamptonpremwon">NOR!$Z$36</definedName>
    <definedName name="northamptonpremyellow">NOR!$N$36</definedName>
    <definedName name="OLE_LINK1" localSheetId="6">Table!#REF!</definedName>
    <definedName name="quinspoconceded">HAR!#REF!</definedName>
    <definedName name="quinspolost">HAR!#REF!</definedName>
    <definedName name="quinspoplayed">HAR!#REF!</definedName>
    <definedName name="quinspored">HAR!#REF!</definedName>
    <definedName name="quinsposcored">HAR!#REF!</definedName>
    <definedName name="quinspotriesconceded">HAR!#REF!</definedName>
    <definedName name="quinspotriesscored">HAR!#REF!</definedName>
    <definedName name="quinspowon">HAR!#REF!</definedName>
    <definedName name="quinspoyellow">HAR!#REF!</definedName>
    <definedName name="sainstpotriesconcededcorrect">NOR!#REF!</definedName>
    <definedName name="sainstpowon">NOR!#REF!</definedName>
    <definedName name="saintsbonus">NOR!#REF!</definedName>
    <definedName name="saintsconceded">NOR!#REF!</definedName>
    <definedName name="saintsdrawn">NOR!#REF!</definedName>
    <definedName name="saintslosingbonus">NOR!#REF!</definedName>
    <definedName name="saintslosingbonusconceded">NOR!#REF!</definedName>
    <definedName name="saintslost">NOR!#REF!</definedName>
    <definedName name="saintsplayed">NOR!#REF!</definedName>
    <definedName name="saintspoconceded">NOR!#REF!</definedName>
    <definedName name="saintspodrawn">NOR!#REF!</definedName>
    <definedName name="saintspolost">NOR!#REF!</definedName>
    <definedName name="saintspoplayed">NOR!#REF!</definedName>
    <definedName name="saintspored">NOR!#REF!</definedName>
    <definedName name="saintsposcored">NOR!#REF!</definedName>
    <definedName name="saintspotriesconceded">NOR!#REF!</definedName>
    <definedName name="saintspotriesscored">NOR!#REF!</definedName>
    <definedName name="Saintspoyellow">NOR!#REF!</definedName>
    <definedName name="saintsred">NOR!#REF!</definedName>
    <definedName name="saintsscored">NOR!#REF!</definedName>
    <definedName name="saintstriesconceded">NOR!#REF!</definedName>
    <definedName name="saintstriesscored">NOR!#REF!</definedName>
    <definedName name="saintstrybonus">NOR!#REF!</definedName>
    <definedName name="saintstrybonusconceded">NOR!#REF!</definedName>
    <definedName name="saintswon">NOR!#REF!</definedName>
    <definedName name="saintsyellow">NOR!#REF!</definedName>
    <definedName name="Salchallcuphistdgs">Sum!$L$67</definedName>
    <definedName name="Salchallcuphistdrawn">Sum!$E$67</definedName>
    <definedName name="Salchallcuphistlost">Sum!$D$67</definedName>
    <definedName name="Salchallcuphistplayed">Sum!$B$67</definedName>
    <definedName name="Salchallcuphistptsagainst">Sum!$H$67</definedName>
    <definedName name="Salchallcuphistptsscored">Sum!$G$67</definedName>
    <definedName name="Salchallcuphisttriesagainst">Sum!$K$67</definedName>
    <definedName name="Salchallcuphisttriesscored">Sum!$J$67</definedName>
    <definedName name="Salchallcuphistwon">Sum!$C$67</definedName>
    <definedName name="Salchampscupdgs">SAL!#REF!</definedName>
    <definedName name="Salchampscupdrawn">SAL!#REF!</definedName>
    <definedName name="Salchampscuphistdgs">Sum!$L$92</definedName>
    <definedName name="Salchampscuphistdrawn">Sum!$E$92</definedName>
    <definedName name="Salchampscuphistlost">Sum!$D$92</definedName>
    <definedName name="Salchampscuphistplayed">Sum!$B$92</definedName>
    <definedName name="Salchampscuphistptsagainst">Sum!$H$92</definedName>
    <definedName name="Salchampscuphistptsscored">Sum!$G$92</definedName>
    <definedName name="Salchampscuphisttriesagainst">Sum!$K$92</definedName>
    <definedName name="Salchampscuphisttriesscored">Sum!$J$92</definedName>
    <definedName name="Salchampscuphistwon">Sum!$C$92</definedName>
    <definedName name="Salchampscuplost">SAL!#REF!</definedName>
    <definedName name="Salchampscupplayed">SAL!#REF!</definedName>
    <definedName name="Salchampscuppohistdgs">Sum!$L$117</definedName>
    <definedName name="Salchampscuppohistdrawn">Sum!$E$117</definedName>
    <definedName name="Salchampscuppohistlost">Sum!$D$117</definedName>
    <definedName name="Salchampscuppohistplayed">Sum!$B$117</definedName>
    <definedName name="Salchampscuppohistptsagainst">Sum!$H$117</definedName>
    <definedName name="Salchampscuppohistptsscored">Sum!$G$117</definedName>
    <definedName name="Salchampscuppohisttriesagainst">Sum!$K$117</definedName>
    <definedName name="Salchampscuppohisttriesscored">Sum!$J$117</definedName>
    <definedName name="Salchampscuppohistwon">Sum!$C$117</definedName>
    <definedName name="Salchampscupptsagainst">SAL!#REF!</definedName>
    <definedName name="Salchampscupptsscored">SAL!#REF!</definedName>
    <definedName name="Salchampscuptriesagainst">SAL!#REF!</definedName>
    <definedName name="Salchampscuptriesscored">SAL!#REF!</definedName>
    <definedName name="Salchampscupwon">SAL!#REF!</definedName>
    <definedName name="saldg">SAL!#REF!</definedName>
    <definedName name="salebonus">SAL!#REF!</definedName>
    <definedName name="saleconceded">SAL!#REF!</definedName>
    <definedName name="saledrawn">SAL!#REF!</definedName>
    <definedName name="saleeuropeseasontotalsdgs">SAL!$L$42</definedName>
    <definedName name="saleeuropeseasontotalsdrawn">SAL!$AA$42</definedName>
    <definedName name="saleeuropeseasontotalslost">SAL!$AB$42</definedName>
    <definedName name="saleeuropeseasontotalsplayed">SAL!$Y$42</definedName>
    <definedName name="saleeuropeseasontotalsptsagainst">SAL!$G$42</definedName>
    <definedName name="saleeuropeseasontotalsptsscorewd">SAL!$F$42</definedName>
    <definedName name="saleeuropeseasontotalsRC">SAL!$O$42</definedName>
    <definedName name="saleeuropeseasontotalstriesconceded">SAL!$R$42</definedName>
    <definedName name="saleeuropeseasontotalstriesscored">SAL!$J$42</definedName>
    <definedName name="saleeuropeseasontotalswon">SAL!$Z$42</definedName>
    <definedName name="saleeuropeseasontotalsYC">SAL!$N$42</definedName>
    <definedName name="salelosingbonus">SAL!#REF!</definedName>
    <definedName name="salelosingbonusconceded">SAL!#REF!</definedName>
    <definedName name="salelost">SAL!#REF!</definedName>
    <definedName name="saleplayed">SAL!#REF!</definedName>
    <definedName name="salepremdrawn">SAL!$AA$37</definedName>
    <definedName name="salepremdropgoalsscored">SAL!$L$37</definedName>
    <definedName name="salepremlosingbonusconc">SAL!$Q$37</definedName>
    <definedName name="salepremlosingbonusscored">SAL!$I$37</definedName>
    <definedName name="salepremlost">SAL!$AB$37</definedName>
    <definedName name="salepremplayed">SAL!$Y$37</definedName>
    <definedName name="salepremptsdagainst">SAL!$G$37</definedName>
    <definedName name="salepremptsscored">SAL!$F$37</definedName>
    <definedName name="salepremred">SAL!$O$37</definedName>
    <definedName name="salepremseasontotalsdgs">SAL!$L$39</definedName>
    <definedName name="salepremseasontotalsdrawn">SAL!$AA$39</definedName>
    <definedName name="salepremseasontotalslost">SAL!$AB$39</definedName>
    <definedName name="salepremseasontotalsplayed">SAL!$Y$39</definedName>
    <definedName name="salepremseasontotalsptsagainst">SAL!$G$39</definedName>
    <definedName name="salepremseasontotalsptsscored">SAL!$F$39</definedName>
    <definedName name="salepremseasontotalsRC">SAL!$O$39</definedName>
    <definedName name="salepremseasontotalstriesconceded">SAL!$R$39</definedName>
    <definedName name="salepremseasontotalstriesscored">SAL!$J$39</definedName>
    <definedName name="salepremseasontotalswon">SAL!$Z$39</definedName>
    <definedName name="salepremseasontotalsYC">SAL!$N$39</definedName>
    <definedName name="salepremtriesconc">SAL!$R$37</definedName>
    <definedName name="salepremtriesscored">SAL!$J$37</definedName>
    <definedName name="salepremtrybonusconc">SAL!$P$37</definedName>
    <definedName name="salepremtrybonusscored">SAL!$H$37</definedName>
    <definedName name="salepremwon">SAL!$Z$37</definedName>
    <definedName name="salepremyellow">SAL!$N$37</definedName>
    <definedName name="salered">SAL!#REF!</definedName>
    <definedName name="salescored">SAL!#REF!</definedName>
    <definedName name="saletriesconceded">SAL!#REF!</definedName>
    <definedName name="saletriesscored">SAL!#REF!</definedName>
    <definedName name="saletrybonus">SAL!#REF!</definedName>
    <definedName name="saletrybonusconceded">SAL!#REF!</definedName>
    <definedName name="Saleuropeancuphistdgs">Sum!$L$42</definedName>
    <definedName name="Saleuropeancuphistdrawn">Sum!$E$42</definedName>
    <definedName name="Saleuropeancuphistlost">Sum!$D$42</definedName>
    <definedName name="Saleuropeancuphistplayed">Sum!$B$42</definedName>
    <definedName name="Saleuropeancuphistptsagainst">Sum!$H$42</definedName>
    <definedName name="Saleuropeancuphistptsscored">Sum!$G$42</definedName>
    <definedName name="Saleuropeancuphisttriesagainst">Sum!$K$42</definedName>
    <definedName name="Saleuropeancuphisttriesscored">Sum!$J$42</definedName>
    <definedName name="Saleuropeancuphistwon">Sum!$C$42</definedName>
    <definedName name="saleuropepoolagainst">SAL!$G$40</definedName>
    <definedName name="saleuropepooldgs">SAL!$L$40</definedName>
    <definedName name="saleuropepooldrawn">SAL!$AA$40</definedName>
    <definedName name="saleuropepoollost">SAL!$AB$40</definedName>
    <definedName name="saleuropepoolplayed">SAL!$Y$40</definedName>
    <definedName name="saleuropepoolscored">SAL!$F$40</definedName>
    <definedName name="saleuropepooltriesagainst">SAL!$R$40</definedName>
    <definedName name="saleuropepooltriesscored">SAL!$J$40</definedName>
    <definedName name="saleuropepoolwon">SAL!$Z$40</definedName>
    <definedName name="salewon">SAL!#REF!</definedName>
    <definedName name="saleyellow">SAL!#REF!</definedName>
    <definedName name="Salpremhistdgs">Sum!$L$17</definedName>
    <definedName name="Salpremhistdrawn">Sum!$E$17</definedName>
    <definedName name="Salpremhistlost">Sum!$D$17</definedName>
    <definedName name="Salpremhistplayed">Sum!$B$17</definedName>
    <definedName name="Salpremhistptsagainst">Sum!$H$17</definedName>
    <definedName name="Salpremhistptsscored">Sum!$G$17</definedName>
    <definedName name="Salpremhisttriesagainst">Sum!$K$17</definedName>
    <definedName name="Salpremhisttriesscored">Sum!$J$17</definedName>
    <definedName name="Salpremhistwon">Sum!$C$17</definedName>
    <definedName name="saracenseuropeseasontotalsdgs">SAR!$L$43</definedName>
    <definedName name="saracenseuropeseasontotalsdrawn">SAR!$AA$43</definedName>
    <definedName name="saracenseuropeseasontotalslost">SAR!$AB$43</definedName>
    <definedName name="saracenseuropeseasontotalsplayed">SAR!$Y$43</definedName>
    <definedName name="saracenseuropeseasontotalsptsagainst">SAR!$G$43</definedName>
    <definedName name="saracenseuropeseasontotalsptsscored">SAR!$F$43</definedName>
    <definedName name="saracenseuropeseasontotalsRC">SAR!$O$43</definedName>
    <definedName name="saracenseuropeseasontotalstriesconceded">SAR!$R$43</definedName>
    <definedName name="saracenseuropeseasontotalstriesscored">SAR!$J$43</definedName>
    <definedName name="saracenseuropeseasontotalswon">SAR!$Z$43</definedName>
    <definedName name="saracenseuropeseasontotalsYC">SAR!$N$43</definedName>
    <definedName name="saracenspoconceded">SAR!#REF!</definedName>
    <definedName name="saracenspolost">SAR!#REF!</definedName>
    <definedName name="saracenspoplayed">SAR!#REF!</definedName>
    <definedName name="saracenspored">SAR!#REF!</definedName>
    <definedName name="saracensposcored">SAR!#REF!</definedName>
    <definedName name="saracenspotriesconceded">SAR!#REF!</definedName>
    <definedName name="saracenspotriesscored">SAR!#REF!</definedName>
    <definedName name="saracenspowon">SAR!#REF!</definedName>
    <definedName name="saracenspoyellow">SAR!#REF!</definedName>
    <definedName name="saracenspremdrawn">SAR!$AA$38</definedName>
    <definedName name="saracenspremdropgoalsscored">SAR!$L$38</definedName>
    <definedName name="saracenspremlosingbonusconc">SAR!$Q$38</definedName>
    <definedName name="saracenspremlosingbonusscored">SAR!$I$38</definedName>
    <definedName name="saracenspremlost">SAR!$AB$38</definedName>
    <definedName name="saracenspremplayed">SAR!$Y$38</definedName>
    <definedName name="saracensprempodgs">SAR!$L$39</definedName>
    <definedName name="saracensprempolost">SAR!$AB$39</definedName>
    <definedName name="saracensprempoplayed">SAR!$Y$39</definedName>
    <definedName name="saracensprempoptsagainst">SAR!$G$39</definedName>
    <definedName name="saracensprempoptsscored">SAR!$F$39</definedName>
    <definedName name="saracensprempoRC">SAR!$O$39</definedName>
    <definedName name="saracensprempotriesagainst">SAR!$R$39</definedName>
    <definedName name="saracensprempotriesscored">SAR!$J$39</definedName>
    <definedName name="saracensprempowon">SAR!$Z$39</definedName>
    <definedName name="saracensprempoYC">SAR!$N$39</definedName>
    <definedName name="saracenspremptsagainst">SAR!$G$38</definedName>
    <definedName name="saracenspremptsscored">SAR!$F$38</definedName>
    <definedName name="saracenspremred">SAR!$O$38</definedName>
    <definedName name="saracenspremtotalsdrawn">SAR!$AA$40</definedName>
    <definedName name="saracenspremtriesconceded">SAR!$R$38</definedName>
    <definedName name="saracenspremtriesscopred">SAR!$J$38</definedName>
    <definedName name="saracenspremtrybonusconc">SAR!$P$38</definedName>
    <definedName name="saracenspremtrybonusscored">SAR!$H$38</definedName>
    <definedName name="saracenspremwon">SAR!$Z$38</definedName>
    <definedName name="saracenspremyellow">SAR!$N$38</definedName>
    <definedName name="Sarchallcuphistdgs">Sum!$L$68</definedName>
    <definedName name="Sarchallcuphistdrawn">Sum!$E$68</definedName>
    <definedName name="Sarchallcuphistlost">Sum!$D$68</definedName>
    <definedName name="Sarchallcuphistplayed">Sum!$B$68</definedName>
    <definedName name="Sarchallcuphistptsagainst">Sum!$H$68</definedName>
    <definedName name="Sarchallcuphistptsscored">Sum!$G$68</definedName>
    <definedName name="Sarchallcuphisttriesagainst">Sum!$K$68</definedName>
    <definedName name="Sarchallcuphisttriesscored">Sum!$J$68</definedName>
    <definedName name="Sarchallcuphistwon">Sum!$C$68</definedName>
    <definedName name="Sarchampscupdgs">SAR!$L$41</definedName>
    <definedName name="Sarchampscupdrawn">SAR!$AA$41</definedName>
    <definedName name="Sarchampscuphistdgs">Sum!$L$93</definedName>
    <definedName name="Sarchampscuphistdrawn">Sum!$E$93</definedName>
    <definedName name="Sarchampscuphistlost">Sum!$D$93</definedName>
    <definedName name="Sarchampscuphistplayed">Sum!$B$93</definedName>
    <definedName name="Sarchampscuphistptsagainst">Sum!$H$93</definedName>
    <definedName name="Sarchampscuphistptsscored">Sum!$G$93</definedName>
    <definedName name="Sarchampscuphisttriesagainst">Sum!$K$93</definedName>
    <definedName name="Sarchampscuphisttriesscored">Sum!$J$93</definedName>
    <definedName name="Sarchampscuphistwon">Sum!$C$93</definedName>
    <definedName name="Sarchampscupkodgs">SAR!$L$42</definedName>
    <definedName name="Sarchampscupkolost">SAR!$AB$42</definedName>
    <definedName name="Sarchampscupkoplayedcorrect">SAR!$Y$42</definedName>
    <definedName name="Sarchampscupkopld">SAR!$F$42</definedName>
    <definedName name="Sarchampscupkoptsagainst">SAR!$G$42</definedName>
    <definedName name="Sarchampscupkoptsscored">SAR!$F$42</definedName>
    <definedName name="Sarchampscupkotriesagainst">SAR!$R$42</definedName>
    <definedName name="Sarchampscupkotriesscored">SAR!$J$42</definedName>
    <definedName name="Sarchampscupkowon">SAR!$Z$42</definedName>
    <definedName name="Sarchampscuplost">SAR!$AB$41</definedName>
    <definedName name="Sarchampscupplayed">SAR!$Y$41</definedName>
    <definedName name="Sarchampscuppohistdgs">Sum!$L$118</definedName>
    <definedName name="Sarchampscuppohistdrawn">Sum!$E$118</definedName>
    <definedName name="Sarchampscuppohistlost">Sum!$D$118</definedName>
    <definedName name="Sarchampscuppohistplayed">Sum!$B$118</definedName>
    <definedName name="Sarchampscuppohistptsagainst">Sum!$H$118</definedName>
    <definedName name="Sarchampscuppohistptsscored">Sum!$G$118</definedName>
    <definedName name="Sarchampscuppohisttriesagainst">Sum!$K$118</definedName>
    <definedName name="Sarchampscuppohisttriesscored">Sum!$J$118</definedName>
    <definedName name="Sarchampscuppohistwon">Sum!$C$118</definedName>
    <definedName name="Sarchampscupptsagainst">SAR!$G$41</definedName>
    <definedName name="Sarchampscupptsscored">SAR!$F$41</definedName>
    <definedName name="Sarchampscuptriesagainst">SAR!$R$41</definedName>
    <definedName name="Sarchampscuptriesscored">SAR!$J$41</definedName>
    <definedName name="Sarchampscupwon">SAR!$Z$41</definedName>
    <definedName name="sardg">SAR!#REF!</definedName>
    <definedName name="Sareuropeancuphistdgs">Sum!$L$43</definedName>
    <definedName name="Sareuropeancuphistdrawn">Sum!$E$43</definedName>
    <definedName name="Sareuropeancuphistlost">Sum!$D$43</definedName>
    <definedName name="Sareuropeancuphistplayed">Sum!$B$43</definedName>
    <definedName name="Sareuropeancuphistptsagainst">Sum!$H$43</definedName>
    <definedName name="Sareuropeancuphistptsscored">Sum!$G$43</definedName>
    <definedName name="Sareuropeancuphisttriesagainst">Sum!$K$43</definedName>
    <definedName name="Sareuropeancuphisttriesscored">Sum!$J$43</definedName>
    <definedName name="Sareuropeancuphistwon">Sum!$C$43</definedName>
    <definedName name="Sarpremhistdgs">Sum!$L$18</definedName>
    <definedName name="Sarpremhistdrawn">Sum!$E$18</definedName>
    <definedName name="Sarpremhistlost">Sum!$D$18</definedName>
    <definedName name="Sarpremhistplayed">Sum!$B$18</definedName>
    <definedName name="Sarpremhistptsagainst">Sum!$H$18</definedName>
    <definedName name="Sarpremhistptsscored">Sum!$G$18</definedName>
    <definedName name="Sarpremhisttriesagainst">Sum!$K$18</definedName>
    <definedName name="Sarpremhisttriesscored">Sum!$J$18</definedName>
    <definedName name="Sarpremhistwon">Sum!$C$18</definedName>
    <definedName name="Sarpremtotalsdgs">SAR!$L$40</definedName>
    <definedName name="Sarpremtotalslost">SAR!$AB$40</definedName>
    <definedName name="Sarpremtotalsplayed">SAR!$Y$40</definedName>
    <definedName name="Sarpremtotalsptsagainst">SAR!$G$40</definedName>
    <definedName name="Sarpremtotalsptsscored">SAR!$F$40</definedName>
    <definedName name="Sarpremtotalsrc">SAR!$O$40</definedName>
    <definedName name="Sarpremtotalstriesconceded">SAR!$R$40</definedName>
    <definedName name="Sarpremtotalstriesscored">SAR!$J$40</definedName>
    <definedName name="Sarpremtotalswon">SAR!$Z$40</definedName>
    <definedName name="Sarpremtotalsyc">SAR!$N$40</definedName>
    <definedName name="sarriesbonus">SAR!#REF!</definedName>
    <definedName name="sarriesconceded">SAR!#REF!</definedName>
    <definedName name="sarriesdrawn">SAR!#REF!</definedName>
    <definedName name="sarrieslosingbonus">SAR!#REF!</definedName>
    <definedName name="sarrieslosingbonusconceded">SAR!#REF!</definedName>
    <definedName name="sarrieslost">SAR!#REF!</definedName>
    <definedName name="sarriesplayed">SAR!#REF!</definedName>
    <definedName name="sarriesred">SAR!#REF!</definedName>
    <definedName name="sarriesscored">SAR!#REF!</definedName>
    <definedName name="sarriestriesconceded">SAR!#REF!</definedName>
    <definedName name="sarriestriesscored">SAR!#REF!</definedName>
    <definedName name="sarriestrybonus">SAR!#REF!</definedName>
    <definedName name="sarriestrybonusconceded">SAR!#REF!</definedName>
    <definedName name="sarrieswon">SAR!#REF!</definedName>
    <definedName name="sarriesyellow">SAR!#REF!</definedName>
    <definedName name="Waschallcuphistdgs">Sum!$L$69</definedName>
    <definedName name="Waschallcuphistdrawn">Sum!$E$69</definedName>
    <definedName name="Waschallcuphistlost">Sum!$D$69</definedName>
    <definedName name="Waschallcuphistplayed">Sum!$B$69</definedName>
    <definedName name="Waschallcuphistptsagainst">Sum!$H$69</definedName>
    <definedName name="Waschallcuphistptsscored">Sum!$G$69</definedName>
    <definedName name="Waschallcuphisttriesagainst">Sum!$K$69</definedName>
    <definedName name="Waschallcuphisttriesscored">Sum!$J$69</definedName>
    <definedName name="Waschallcuphistwon">Sum!$C$69</definedName>
    <definedName name="Waschampscupdgs">WAS!$L$40</definedName>
    <definedName name="Waschampscupdrawn">WAS!$AA$40</definedName>
    <definedName name="Waschampscuphistdgs">Sum!$L$94</definedName>
    <definedName name="Waschampscuphistdrawn">Sum!$E$94</definedName>
    <definedName name="Waschampscuphistlost">Sum!$D$94</definedName>
    <definedName name="Waschampscuphistplayed">Sum!$B$94</definedName>
    <definedName name="Waschampscuphistptsagainst">Sum!$H$94</definedName>
    <definedName name="Waschampscuphistptsscored">Sum!$G$94</definedName>
    <definedName name="Waschampscuphisttriesagainst">Sum!$K$94</definedName>
    <definedName name="Waschampscuphisttriesscored">Sum!$J$94</definedName>
    <definedName name="Waschampscuphistwon">Sum!$C$94</definedName>
    <definedName name="Waschampscuplost">WAS!$AB$40</definedName>
    <definedName name="Waschampscupplayed">WAS!$Y$40</definedName>
    <definedName name="Waschampscuppohistdgs">Sum!$L$119</definedName>
    <definedName name="Waschampscuppohistdrawn">Sum!$E$119</definedName>
    <definedName name="Waschampscuppohistlost">Sum!$D$119</definedName>
    <definedName name="Waschampscuppohistplayed">Sum!$B$119</definedName>
    <definedName name="Waschampscuppohistptsagainst">Sum!$H$119</definedName>
    <definedName name="Waschampscuppohistptsscored">Sum!$G$119</definedName>
    <definedName name="Waschampscuppohisttriesagainst">Sum!$K$119</definedName>
    <definedName name="Waschampscuppohisttriesscored">Sum!$J$119</definedName>
    <definedName name="Waschampscuppohistwon">Sum!$C$119</definedName>
    <definedName name="Waschampscupptsagainst">WAS!$G$40</definedName>
    <definedName name="Waschampscupptsscored">WAS!$F$40</definedName>
    <definedName name="Waschampscuptriesagainst">WAS!$R$40</definedName>
    <definedName name="Waschampscuptriesscored">WAS!$J$40</definedName>
    <definedName name="Waschampscupwon">WAS!$Z$40</definedName>
    <definedName name="wasdg">WAS!#REF!</definedName>
    <definedName name="waspolost">WAS!#REF!</definedName>
    <definedName name="waspopld">WAS!#REF!</definedName>
    <definedName name="waspoptsag">WAS!#REF!</definedName>
    <definedName name="waspoptsscored">WAS!#REF!</definedName>
    <definedName name="waspotriesag">WAS!#REF!</definedName>
    <definedName name="waspotriesscored">WAS!#REF!</definedName>
    <definedName name="waspoyellow">WAS!#REF!</definedName>
    <definedName name="Waspremhistdgs">Sum!$L$44</definedName>
    <definedName name="Waspremhistdrawn">Sum!$E$44</definedName>
    <definedName name="Waspremhistlost">Sum!$D$44</definedName>
    <definedName name="Waspremhistplayed">Sum!$B$44</definedName>
    <definedName name="Waspremhistptsagainst">Sum!$H$44</definedName>
    <definedName name="Waspremhistptsscored">Sum!$G$44</definedName>
    <definedName name="Waspremhisttriesagainst">Sum!$K$44</definedName>
    <definedName name="Waspremhisttriesscored">Sum!$J$44</definedName>
    <definedName name="Waspremhistwon">Sum!$C$44</definedName>
    <definedName name="waspsbonus">WAS!#REF!</definedName>
    <definedName name="waspsconceded">WAS!#REF!</definedName>
    <definedName name="waspsdrawn">WAS!#REF!</definedName>
    <definedName name="waspsdrawncorrect">WAS!#REF!</definedName>
    <definedName name="waspseuropeseasontotalscorrect">WAS!$F$42</definedName>
    <definedName name="waspseuropeseasontotalsdgs">WAS!$L$42</definedName>
    <definedName name="waspseuropeseasontotalsdgscorrect">WAS!$L$42</definedName>
    <definedName name="waspseuropeseasontotalsdrawn">WAS!$AA$42</definedName>
    <definedName name="waspseuropeseasontotalsdrawncorrect">WAS!$AA$42</definedName>
    <definedName name="waspseuropeseasontotalslost">WAS!$AB$42</definedName>
    <definedName name="waspseuropeseasontotalslostcorrect">WAS!$AB$42</definedName>
    <definedName name="waspseuropeseasontotalsplayed">WAS!$Y$42</definedName>
    <definedName name="waspseuropeseasontotalsplayedcorrect">WAS!$Y$42</definedName>
    <definedName name="waspseuropeseasontotalsptsagainst">WAS!$G$42</definedName>
    <definedName name="waspseuropeseasontotalsptsagainstcorrect">WAS!$G$42</definedName>
    <definedName name="waspseuropeseasontotalsptsscored">WAS!$F$42</definedName>
    <definedName name="waspseuropeseasontotalsptsscoredcorrect">WAS!$F$42</definedName>
    <definedName name="waspseuropeseasontotalsRC">WAS!$O$42</definedName>
    <definedName name="waspseuropeseasontotalsRCcorrect">WAS!$O$42</definedName>
    <definedName name="waspseuropeseasontotalstriesconceded">WAS!$R$42</definedName>
    <definedName name="waspseuropeseasontotalstriesconcededcorrect">WAS!$R$42</definedName>
    <definedName name="waspseuropeseasontotalstriesscored">WAS!$J$42</definedName>
    <definedName name="waspseuropeseasontotalstriesscoredcorrect">WAS!$J$42</definedName>
    <definedName name="waspseuropeseasontotalswon">WAS!$Z$42</definedName>
    <definedName name="waspseuropeseasontotalswoncorrect">WAS!$Z$42</definedName>
    <definedName name="waspseuropeseasontotalsYC">WAS!$N$42</definedName>
    <definedName name="waspseuropeseasontotalsYCcorrect">WAS!$N$42</definedName>
    <definedName name="waspslosingbonus">WAS!#REF!</definedName>
    <definedName name="waspslosingbonusconceded">WAS!#REF!</definedName>
    <definedName name="waspslost">WAS!#REF!</definedName>
    <definedName name="waspsplayed">WAS!#REF!</definedName>
    <definedName name="waspspremdrawn">WAS!$AA$37</definedName>
    <definedName name="waspspremdropgoalsscored">WAS!$L$37</definedName>
    <definedName name="Waspspremhistdrawn">Sum!$E$19</definedName>
    <definedName name="Waspspremhistlost">Sum!$D$19</definedName>
    <definedName name="Waspspremhistplayed">Sum!$B$19</definedName>
    <definedName name="Waspspremhistptsagainst">Sum!$H$19</definedName>
    <definedName name="Waspspremhistptsscored">Sum!$G$19</definedName>
    <definedName name="Waspspremhisttriesagainst">Sum!$K$19</definedName>
    <definedName name="Waspspremhisttriesscored">Sum!$J$19</definedName>
    <definedName name="Waspspremhistwon">Sum!$C$19</definedName>
    <definedName name="waspspremlosingbonusconc">WAS!$Q$37</definedName>
    <definedName name="waspspremlosingbonusscored">WAS!$I$37</definedName>
    <definedName name="waspspremlost">WAS!$AB$37</definedName>
    <definedName name="waspspremplayed">WAS!$Y$37</definedName>
    <definedName name="waspsprempodgs">WAS!$L$38</definedName>
    <definedName name="waspsprempolost">WAS!$AB$38</definedName>
    <definedName name="waspsprempoplayed">WAS!$Y$38</definedName>
    <definedName name="waspsprempoptsagainst">WAS!$G$38</definedName>
    <definedName name="waspsprempoptsscored">WAS!$F$38</definedName>
    <definedName name="waspsprempoRC">WAS!$O$38</definedName>
    <definedName name="waspsprempotriesagainst">WAS!$R$38</definedName>
    <definedName name="waspsprempotriesscored">WAS!$J$38</definedName>
    <definedName name="waspsprempowon">WAS!$Z$38</definedName>
    <definedName name="waspsprempoYC">WAS!$N$38</definedName>
    <definedName name="waspspremptsagainst">WAS!$G$37</definedName>
    <definedName name="waspspremptsscored">WAS!$F$37</definedName>
    <definedName name="waspspremred">WAS!$O$37</definedName>
    <definedName name="Waspspremtotalsdgs">WAS!$L$39</definedName>
    <definedName name="waspspremtotalsdrawn">WAS!$AA$39</definedName>
    <definedName name="Waspspremtotalslost">WAS!$AB$39</definedName>
    <definedName name="Waspspremtotalsplayed">WAS!$Y$39</definedName>
    <definedName name="Waspspremtotalsptsagainst">WAS!$G$39</definedName>
    <definedName name="Waspspremtotalsptsscored">WAS!$F$39</definedName>
    <definedName name="Waspspremtotalsrc">WAS!$O$39</definedName>
    <definedName name="Waspspremtotalstriesconceded">WAS!$R$39</definedName>
    <definedName name="Waspspremtotalstriesscored">WAS!$J$39</definedName>
    <definedName name="Waspspremtotalswon">WAS!$Z$39</definedName>
    <definedName name="Waspspremtotalsyc">WAS!$N$39</definedName>
    <definedName name="waspspremtriesconceded">WAS!$R$37</definedName>
    <definedName name="waspspremtriesscored">WAS!$J$37</definedName>
    <definedName name="waspspremtrybonusconc">WAS!$P$37</definedName>
    <definedName name="waspspremtrybonusscored">WAS!$H$37</definedName>
    <definedName name="waspspremwon">WAS!$Z$37</definedName>
    <definedName name="waspspremyellow">WAS!$N$37</definedName>
    <definedName name="waspsred">WAS!#REF!</definedName>
    <definedName name="waspsscored">WAS!#REF!</definedName>
    <definedName name="waspstriesconceded">WAS!#REF!</definedName>
    <definedName name="waspstriesscored">WAS!#REF!</definedName>
    <definedName name="waspstrybonus">WAS!#REF!</definedName>
    <definedName name="waspstrybonusconceded">WAS!#REF!</definedName>
    <definedName name="waspswon">WAS!#REF!</definedName>
    <definedName name="waspsyellow">WAS!#REF!</definedName>
    <definedName name="welshlosingbonus">#REF!</definedName>
    <definedName name="welshtrybonus">#REF!</definedName>
    <definedName name="wor1516drawn">WOR!#REF!</definedName>
    <definedName name="wor1516lb">WOR!#REF!</definedName>
    <definedName name="wor1516lbcon">WOR!#REF!</definedName>
    <definedName name="wor1516lost">WOR!#REF!</definedName>
    <definedName name="wor1516ptsagainst">WOR!#REF!</definedName>
    <definedName name="wor1516ptsscored">WOR!#REF!</definedName>
    <definedName name="wor1516red">WOR!#REF!</definedName>
    <definedName name="wor1516tb">WOR!#REF!</definedName>
    <definedName name="wor1516tbcon">WOR!#REF!</definedName>
    <definedName name="wor1516triescon">WOR!#REF!</definedName>
    <definedName name="wor1516triesscored">WOR!#REF!</definedName>
    <definedName name="Wor1516won">WOR!#REF!</definedName>
    <definedName name="wor1516yellow">WOR!#REF!</definedName>
    <definedName name="worbonus">#REF!</definedName>
    <definedName name="worcester201314triesagainst">#REF!</definedName>
    <definedName name="worcestereuropeseasontotalsdgs">WOR!$L$40</definedName>
    <definedName name="worcestereuropeseasontotalsdrawn">WOR!$AA$40</definedName>
    <definedName name="worcestereuropeseasontotalslost">WOR!$AB$40</definedName>
    <definedName name="worcestereuropeseasontotalsplayed">WOR!$Y$40</definedName>
    <definedName name="worcestereuropeseasontotalsptsagainst">WOR!$G$40</definedName>
    <definedName name="worcestereuropeseasontotalsptsscored">WOR!$F$40</definedName>
    <definedName name="worcestereuropeseasontotalsRC">WOR!$O$40</definedName>
    <definedName name="worcestereuropeseasontotalstriesconceded">WOR!$R$40</definedName>
    <definedName name="worcestereuropeseasontotalstriesscored">WOR!$J$40</definedName>
    <definedName name="worcestereuropeseasontotalswon">WOR!$Z$40</definedName>
    <definedName name="worcestereuropeseasontotalsYC">WOR!$N$40</definedName>
    <definedName name="worcesterpremdrawn">WOR!$AA$35</definedName>
    <definedName name="worcesterpremdropgoalsscored">WOR!$L$35</definedName>
    <definedName name="Worcesterpremhistorydrawn">Sum!$E$21</definedName>
    <definedName name="worcesterpremhistorydropgoals">Sum!$L$21</definedName>
    <definedName name="Worcesterpremhistorylost">Sum!$D$21</definedName>
    <definedName name="Worcesterpremhistoryplayed">Sum!$B$21</definedName>
    <definedName name="worcesterpremhistoryptsagainst">Sum!$H$21</definedName>
    <definedName name="Worcesterpremhistoryptsscored">Sum!$G$21</definedName>
    <definedName name="worcesterpremhistorytriesagainst">Sum!$K$21</definedName>
    <definedName name="worcesterpremhistorytriesscored">Sum!$J$21</definedName>
    <definedName name="Worcesterpremhistorywon">Sum!$C$21</definedName>
    <definedName name="worcesterpremlosingbonussconc">WOR!$Q$35</definedName>
    <definedName name="worcesterpremlosingbonusscored">WOR!$I$35</definedName>
    <definedName name="worcesterpremlostr">WOR!$AB$35</definedName>
    <definedName name="worcesterpremplayed">WOR!$Y$35</definedName>
    <definedName name="worcesterpremptsagainst">WOR!$G$35</definedName>
    <definedName name="worcesterpremptsscored">WOR!$F$35</definedName>
    <definedName name="worcesterpremred">WOR!$O$35</definedName>
    <definedName name="worcesterpremseasontotalsdgs">WOR!$L$37</definedName>
    <definedName name="worcesterpremseasontotalsdrawn">WOR!$AA$37</definedName>
    <definedName name="worcesterpremseasontotalslost">WOR!$AB$37</definedName>
    <definedName name="worcesterpremseasontotalsplayed">WOR!$Y$37</definedName>
    <definedName name="worcesterpremseasontotalsptsagainst">WOR!$G$37</definedName>
    <definedName name="worcesterpremseasontotalsptsscored">WOR!$F$37</definedName>
    <definedName name="worcesterpremseasontotalsRC">WOR!$O$37</definedName>
    <definedName name="worcesterpremseasontotalstriesconceded">WOR!$R$37</definedName>
    <definedName name="worcesterpremseasontotalstriesscored">WOR!$H$37</definedName>
    <definedName name="worcesterpremseasontotalstriesscoredcorrect">WOR!$J$37</definedName>
    <definedName name="worcesterpremseasontotalswon">WOR!$Z$37</definedName>
    <definedName name="worcesterpremseasontotalsYC">WOR!$N$37</definedName>
    <definedName name="worcesterpremtriesscored">WOR!$J$35</definedName>
    <definedName name="worcesterpremtrioesconc">WOR!$R$35</definedName>
    <definedName name="worcesterpremtrybonusconc">WOR!$P$35</definedName>
    <definedName name="worcesterpremtrybonusscored">WOR!$H$35</definedName>
    <definedName name="worcesterpremwon">WOR!$Z$35</definedName>
    <definedName name="worcesterpremyellow">WOR!$N$35</definedName>
    <definedName name="worcestertriesscored">#REF!</definedName>
    <definedName name="Worchallcupdgs">WOR!$L$38</definedName>
    <definedName name="Worchallcupdrawn">WOR!$AA$38</definedName>
    <definedName name="Worchallcuphistdgs">Sum!$L$71</definedName>
    <definedName name="Worchallcuphistdrawn">Sum!$E$71</definedName>
    <definedName name="Worchallcuphistlost">Sum!$D$71</definedName>
    <definedName name="Worchallcuphistplayed">Sum!$B$71</definedName>
    <definedName name="Worchallcuphistptsagainst">Sum!$H$71</definedName>
    <definedName name="Worchallcuphistptsscored">Sum!$G$71</definedName>
    <definedName name="Worchallcuphisttriesagainst">Sum!$K$71</definedName>
    <definedName name="Worchallcuphisttriesscored">Sum!$J$71</definedName>
    <definedName name="Worchallcuphistwon">Sum!$C$71</definedName>
    <definedName name="Worchallcuplost">WOR!$AB$38</definedName>
    <definedName name="Worchallcupplayed">WOR!$Y$38</definedName>
    <definedName name="Worchallcupptsagainst">WOR!$G$38</definedName>
    <definedName name="Worchallcupptsscored">WOR!$F$38</definedName>
    <definedName name="Worchallcuptriesagainst">WOR!$R$38</definedName>
    <definedName name="Worchallcuptriesscored">WOR!$J$38</definedName>
    <definedName name="Worchallcupwon">WOR!$Z$38</definedName>
    <definedName name="Worchampscuphistdgs">Sum!$L$96</definedName>
    <definedName name="Worchampscuphistdrawn">Sum!$E$96</definedName>
    <definedName name="Worchampscuphistlost">Sum!$D$96</definedName>
    <definedName name="Worchampscuphistplayed">Sum!$B$96</definedName>
    <definedName name="Worchampscuphistptsagainst">Sum!$H$96</definedName>
    <definedName name="Worchampscuphistptsscored">Sum!$G$96</definedName>
    <definedName name="Worchampscuphisttriesagaionst">Sum!$K$96</definedName>
    <definedName name="Worchampscuphisttriesscored">Sum!$J$96</definedName>
    <definedName name="Worchampscuphistwon">Sum!$C$96</definedName>
    <definedName name="Worchampscuppohistdgs">Sum!$L$121</definedName>
    <definedName name="Worchampscuppohistdrawn">Sum!$E$121</definedName>
    <definedName name="Worchampscuppohistlost">Sum!$D$121</definedName>
    <definedName name="Worchampscuppohistplayed">Sum!$B$121</definedName>
    <definedName name="Worchampscuppohistptsagainst">Sum!$H$121</definedName>
    <definedName name="Worchampscuppohistptsscored">Sum!$G$121</definedName>
    <definedName name="Worchampscuppohisttriesagainst">Sum!$K$121</definedName>
    <definedName name="Worchampscuppohisttriesscored">Sum!$J$121</definedName>
    <definedName name="Worchampscuppohistwon">Sum!$C$121</definedName>
    <definedName name="worconceded">#REF!</definedName>
    <definedName name="wordg">WOR!#REF!</definedName>
    <definedName name="wordrawn">#REF!</definedName>
    <definedName name="Woreuropeancuphistdgs">Sum!$L$46</definedName>
    <definedName name="Woreuropeancuphistdrawn">Sum!$E$46</definedName>
    <definedName name="Woreuropeancuphistlost">Sum!$D$46</definedName>
    <definedName name="Woreuropeancuphistplayed">Sum!$B$46</definedName>
    <definedName name="Woreuropeancuphistptsagainst">Sum!$H$46</definedName>
    <definedName name="Woreuropeancuphistptsscored">Sum!$G$46</definedName>
    <definedName name="Woreuropeancuphisttriesagainst">Sum!$K$46</definedName>
    <definedName name="Woreuropeancuphisttriesscored">Sum!$J$46</definedName>
    <definedName name="Woreuropeancuphistwon">Sum!$C$46</definedName>
    <definedName name="worlosingbonus">#REF!</definedName>
    <definedName name="worlosingbonusconceded">#REF!</definedName>
    <definedName name="worlost">#REF!</definedName>
    <definedName name="worplayed">#REF!</definedName>
    <definedName name="Worpld">WOR!#REF!</definedName>
    <definedName name="Worpremhistdgs">Sum!$L$46</definedName>
    <definedName name="Worpremhistdrawn">Sum!$E$46</definedName>
    <definedName name="Worpremhistlost">Sum!$D$46</definedName>
    <definedName name="Worpremhistplayed">Sum!$B$46</definedName>
    <definedName name="Worpremhistptsagainst">Sum!$H$46</definedName>
    <definedName name="Worpremhistptsscored">Sum!$G$46</definedName>
    <definedName name="Worpremhisttriesagainst">Sum!$K$46</definedName>
    <definedName name="Worpremhisttriesscored">Sum!$J$46</definedName>
    <definedName name="Worpremhistwon">Sum!$C$46</definedName>
    <definedName name="worred">#REF!</definedName>
    <definedName name="worscored">#REF!</definedName>
    <definedName name="wortriesconceded">#REF!</definedName>
    <definedName name="wortriesscored">#REF!</definedName>
    <definedName name="wortrybonus">#REF!</definedName>
    <definedName name="wortrybonusconceded">#REF!</definedName>
    <definedName name="worwon">#REF!</definedName>
    <definedName name="woryellow">#REF!</definedName>
  </definedNames>
  <calcPr calcId="191029"/>
  <fileRecoveryPr autoRecover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J39" i="18" l="1"/>
  <c r="AG39" i="18"/>
  <c r="AB39" i="18"/>
  <c r="Y39" i="18"/>
  <c r="Y37" i="18"/>
  <c r="AD37" i="23"/>
  <c r="AC37" i="23"/>
  <c r="Z37" i="23"/>
  <c r="Y37" i="23"/>
  <c r="J37" i="23"/>
  <c r="H37" i="23"/>
  <c r="F37" i="23"/>
  <c r="G39" i="18"/>
  <c r="AB38" i="17"/>
  <c r="AJ38" i="17"/>
  <c r="AG38" i="17"/>
  <c r="AC38" i="17"/>
  <c r="AF38" i="17"/>
  <c r="Y38" i="17"/>
  <c r="R37" i="9"/>
  <c r="Q37" i="9"/>
  <c r="P37" i="9"/>
  <c r="O37" i="9"/>
  <c r="N37" i="9"/>
  <c r="M37" i="9"/>
  <c r="L37" i="9"/>
  <c r="K37" i="9"/>
  <c r="J37" i="9"/>
  <c r="I37" i="9"/>
  <c r="H37" i="9"/>
  <c r="G37" i="9"/>
  <c r="B18" i="1"/>
  <c r="AF37" i="15"/>
  <c r="AE37" i="15"/>
  <c r="AD37" i="15"/>
  <c r="AC37" i="15"/>
  <c r="R13" i="24"/>
  <c r="Q13" i="24"/>
  <c r="P13" i="24"/>
  <c r="M16" i="24"/>
  <c r="L16" i="24"/>
  <c r="K16" i="24"/>
  <c r="AN37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F37" i="9"/>
  <c r="Q43" i="10"/>
  <c r="P43" i="10"/>
  <c r="I43" i="10"/>
  <c r="H43" i="10"/>
  <c r="Q41" i="14"/>
  <c r="P41" i="14"/>
  <c r="I41" i="14"/>
  <c r="H41" i="14"/>
  <c r="AN40" i="14"/>
  <c r="AM40" i="14"/>
  <c r="AL40" i="14"/>
  <c r="AK40" i="14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R40" i="14"/>
  <c r="O40" i="14"/>
  <c r="N40" i="14"/>
  <c r="M40" i="14"/>
  <c r="L40" i="14"/>
  <c r="K40" i="14"/>
  <c r="J40" i="14"/>
  <c r="G40" i="14"/>
  <c r="F40" i="14"/>
  <c r="Q39" i="15"/>
  <c r="P39" i="15"/>
  <c r="I39" i="15"/>
  <c r="H39" i="15"/>
  <c r="N10" i="5"/>
  <c r="N3" i="5"/>
  <c r="N11" i="5"/>
  <c r="N7" i="5"/>
  <c r="N14" i="5"/>
  <c r="N13" i="5"/>
  <c r="N12" i="5"/>
  <c r="N6" i="5"/>
  <c r="N9" i="5"/>
  <c r="N8" i="5"/>
  <c r="N5" i="5"/>
  <c r="N4" i="5"/>
  <c r="AN41" i="13"/>
  <c r="AM41" i="13"/>
  <c r="AL41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R41" i="13"/>
  <c r="O41" i="13"/>
  <c r="N41" i="13"/>
  <c r="M41" i="13"/>
  <c r="L41" i="13"/>
  <c r="K41" i="13"/>
  <c r="J41" i="13"/>
  <c r="G41" i="13"/>
  <c r="F41" i="13"/>
  <c r="AN42" i="19"/>
  <c r="AM42" i="19"/>
  <c r="AL42" i="19"/>
  <c r="AK42" i="19"/>
  <c r="AJ42" i="19"/>
  <c r="AI42" i="19"/>
  <c r="AH42" i="19"/>
  <c r="AG42" i="19"/>
  <c r="AF42" i="19"/>
  <c r="AE42" i="19"/>
  <c r="AD42" i="19"/>
  <c r="AC42" i="19"/>
  <c r="AB42" i="19"/>
  <c r="AA42" i="19"/>
  <c r="Z42" i="19"/>
  <c r="Y42" i="19"/>
  <c r="R42" i="19"/>
  <c r="O42" i="19"/>
  <c r="N42" i="19"/>
  <c r="M42" i="19"/>
  <c r="L42" i="19"/>
  <c r="K42" i="19"/>
  <c r="J42" i="19"/>
  <c r="G42" i="19"/>
  <c r="F42" i="19"/>
  <c r="AN40" i="17"/>
  <c r="AM40" i="17"/>
  <c r="AL40" i="17"/>
  <c r="AK40" i="17"/>
  <c r="AJ40" i="17"/>
  <c r="AI40" i="17"/>
  <c r="AH40" i="17"/>
  <c r="AG40" i="17"/>
  <c r="AF40" i="17"/>
  <c r="AE40" i="17"/>
  <c r="AD40" i="17"/>
  <c r="AC40" i="17"/>
  <c r="AB40" i="17"/>
  <c r="AA40" i="17"/>
  <c r="Z40" i="17"/>
  <c r="Y40" i="17"/>
  <c r="R40" i="17"/>
  <c r="O40" i="17"/>
  <c r="N40" i="17"/>
  <c r="M40" i="17"/>
  <c r="L40" i="17"/>
  <c r="K40" i="17"/>
  <c r="J40" i="17"/>
  <c r="G40" i="17"/>
  <c r="F40" i="17"/>
  <c r="AN45" i="10"/>
  <c r="AM45" i="10"/>
  <c r="AL45" i="10"/>
  <c r="AK45" i="10"/>
  <c r="AJ45" i="10"/>
  <c r="AI45" i="10"/>
  <c r="AH45" i="10"/>
  <c r="AG45" i="10"/>
  <c r="AF45" i="10"/>
  <c r="AE45" i="10"/>
  <c r="AD45" i="10"/>
  <c r="AC45" i="10"/>
  <c r="AB45" i="10"/>
  <c r="AA45" i="10"/>
  <c r="Z45" i="10"/>
  <c r="Y45" i="10"/>
  <c r="R45" i="10"/>
  <c r="O45" i="10"/>
  <c r="N45" i="10"/>
  <c r="M45" i="10"/>
  <c r="L45" i="10"/>
  <c r="K45" i="10"/>
  <c r="J45" i="10"/>
  <c r="G45" i="10"/>
  <c r="F45" i="10"/>
  <c r="F38" i="19"/>
  <c r="AN43" i="14"/>
  <c r="AM43" i="14"/>
  <c r="AL43" i="14"/>
  <c r="AK43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R43" i="14"/>
  <c r="O43" i="14"/>
  <c r="N43" i="14"/>
  <c r="M43" i="14"/>
  <c r="L43" i="14"/>
  <c r="K43" i="14"/>
  <c r="J43" i="14"/>
  <c r="G43" i="14"/>
  <c r="F43" i="14"/>
  <c r="AG35" i="11"/>
  <c r="AF35" i="11"/>
  <c r="AE35" i="11"/>
  <c r="AD35" i="11"/>
  <c r="AC35" i="11"/>
  <c r="F35" i="11"/>
  <c r="T64" i="5"/>
  <c r="T66" i="5"/>
  <c r="T67" i="5"/>
  <c r="T65" i="5"/>
  <c r="T63" i="5"/>
  <c r="T62" i="5"/>
  <c r="T57" i="5"/>
  <c r="T58" i="5"/>
  <c r="T61" i="5"/>
  <c r="T60" i="5"/>
  <c r="T56" i="5"/>
  <c r="T59" i="5"/>
  <c r="F37" i="18"/>
  <c r="AN44" i="18"/>
  <c r="AM44" i="18"/>
  <c r="AL44" i="18"/>
  <c r="AK44" i="18"/>
  <c r="AJ44" i="18"/>
  <c r="AI44" i="18"/>
  <c r="AH44" i="18"/>
  <c r="AG44" i="18"/>
  <c r="AF44" i="18"/>
  <c r="AE44" i="18"/>
  <c r="AD44" i="18"/>
  <c r="AC44" i="18"/>
  <c r="AB44" i="18"/>
  <c r="AA44" i="18"/>
  <c r="Z44" i="18"/>
  <c r="Y44" i="18"/>
  <c r="R44" i="18"/>
  <c r="O44" i="18"/>
  <c r="N44" i="18"/>
  <c r="M44" i="18"/>
  <c r="L44" i="18"/>
  <c r="K44" i="18"/>
  <c r="J44" i="18"/>
  <c r="G44" i="18"/>
  <c r="F44" i="18"/>
  <c r="AN44" i="12"/>
  <c r="AM44" i="12"/>
  <c r="AL44" i="12"/>
  <c r="AK44" i="12"/>
  <c r="AJ44" i="12"/>
  <c r="AI44" i="12"/>
  <c r="AH44" i="12"/>
  <c r="AG44" i="12"/>
  <c r="AF44" i="12"/>
  <c r="AE44" i="12"/>
  <c r="AD44" i="12"/>
  <c r="AC44" i="12"/>
  <c r="AB44" i="12"/>
  <c r="AA44" i="12"/>
  <c r="Z44" i="12"/>
  <c r="Y44" i="12"/>
  <c r="R44" i="12"/>
  <c r="O44" i="12"/>
  <c r="N44" i="12"/>
  <c r="M44" i="12"/>
  <c r="L44" i="12"/>
  <c r="K44" i="12"/>
  <c r="J44" i="12"/>
  <c r="G44" i="12"/>
  <c r="F44" i="12"/>
  <c r="L25" i="18"/>
  <c r="F27" i="24"/>
  <c r="E27" i="24"/>
  <c r="AN45" i="19"/>
  <c r="AM45" i="19"/>
  <c r="AL45" i="19"/>
  <c r="AK45" i="19"/>
  <c r="AJ45" i="19"/>
  <c r="AI45" i="19"/>
  <c r="AH45" i="19"/>
  <c r="AG45" i="19"/>
  <c r="AF45" i="19"/>
  <c r="AE45" i="19"/>
  <c r="AD45" i="19"/>
  <c r="AC45" i="19"/>
  <c r="AB45" i="19"/>
  <c r="AA45" i="19"/>
  <c r="Z45" i="19"/>
  <c r="Y45" i="19"/>
  <c r="R45" i="19"/>
  <c r="O45" i="19"/>
  <c r="N45" i="19"/>
  <c r="M45" i="19"/>
  <c r="L45" i="19"/>
  <c r="K45" i="19"/>
  <c r="J45" i="19"/>
  <c r="G45" i="19"/>
  <c r="F45" i="19"/>
  <c r="AN48" i="10"/>
  <c r="AM48" i="10"/>
  <c r="AL48" i="10"/>
  <c r="AK48" i="10"/>
  <c r="AJ48" i="10"/>
  <c r="AI48" i="10"/>
  <c r="AH48" i="10"/>
  <c r="AG48" i="10"/>
  <c r="AF48" i="10"/>
  <c r="AE48" i="10"/>
  <c r="AD48" i="10"/>
  <c r="AC48" i="10"/>
  <c r="AB48" i="10"/>
  <c r="AA48" i="10"/>
  <c r="Z48" i="10"/>
  <c r="Y48" i="10"/>
  <c r="R48" i="10"/>
  <c r="O48" i="10"/>
  <c r="N48" i="10"/>
  <c r="M48" i="10"/>
  <c r="L48" i="10"/>
  <c r="K48" i="10"/>
  <c r="J48" i="10"/>
  <c r="G48" i="10"/>
  <c r="F48" i="10"/>
  <c r="AT47" i="5"/>
  <c r="AT39" i="5"/>
  <c r="AT44" i="5"/>
  <c r="AT43" i="5"/>
  <c r="AT50" i="5"/>
  <c r="AT49" i="5"/>
  <c r="AT48" i="5"/>
  <c r="AT45" i="5"/>
  <c r="AT46" i="5"/>
  <c r="AT41" i="5"/>
  <c r="AT40" i="5"/>
  <c r="AT42" i="5"/>
  <c r="H36" i="17"/>
  <c r="K26" i="22"/>
  <c r="J26" i="22"/>
  <c r="L25" i="22"/>
  <c r="I26" i="22"/>
  <c r="H26" i="22"/>
  <c r="E26" i="22"/>
  <c r="D26" i="22"/>
  <c r="F25" i="22"/>
  <c r="C26" i="22"/>
  <c r="B26" i="22"/>
  <c r="H3" i="24"/>
  <c r="H4" i="24"/>
  <c r="G4" i="24"/>
  <c r="G3" i="24"/>
  <c r="BF22" i="15"/>
  <c r="BE22" i="15"/>
  <c r="BD22" i="15"/>
  <c r="BC22" i="15"/>
  <c r="Z35" i="11"/>
  <c r="E8" i="6"/>
  <c r="AN44" i="23"/>
  <c r="AM44" i="23"/>
  <c r="AL44" i="23"/>
  <c r="AK44" i="23"/>
  <c r="AJ44" i="23"/>
  <c r="AI44" i="23"/>
  <c r="AH44" i="23"/>
  <c r="AG44" i="23"/>
  <c r="AF44" i="23"/>
  <c r="AE44" i="23"/>
  <c r="AD44" i="23"/>
  <c r="AC44" i="23"/>
  <c r="AB44" i="23"/>
  <c r="AA44" i="23"/>
  <c r="Z44" i="23"/>
  <c r="Y44" i="23"/>
  <c r="R44" i="23"/>
  <c r="Q44" i="23"/>
  <c r="P44" i="23"/>
  <c r="O44" i="23"/>
  <c r="N44" i="23"/>
  <c r="M44" i="23"/>
  <c r="L44" i="23"/>
  <c r="K44" i="23"/>
  <c r="J44" i="23"/>
  <c r="I44" i="23"/>
  <c r="H44" i="23"/>
  <c r="G44" i="23"/>
  <c r="F44" i="23"/>
  <c r="AN41" i="23"/>
  <c r="AM41" i="23"/>
  <c r="AL41" i="23"/>
  <c r="AK41" i="23"/>
  <c r="AK43" i="23"/>
  <c r="AJ41" i="23"/>
  <c r="AI41" i="23"/>
  <c r="AH41" i="23"/>
  <c r="AG41" i="23"/>
  <c r="AG43" i="23"/>
  <c r="AF41" i="23"/>
  <c r="AF43" i="23"/>
  <c r="AE41" i="23"/>
  <c r="AD41" i="23"/>
  <c r="AC41" i="23"/>
  <c r="AB41" i="23"/>
  <c r="AA41" i="23"/>
  <c r="AA43" i="23"/>
  <c r="Z41" i="23"/>
  <c r="Y41" i="23"/>
  <c r="Y43" i="23"/>
  <c r="R41" i="23"/>
  <c r="Q41" i="23"/>
  <c r="Q43" i="23"/>
  <c r="P41" i="23"/>
  <c r="P43" i="23"/>
  <c r="O41" i="23"/>
  <c r="N41" i="23"/>
  <c r="M41" i="23"/>
  <c r="M43" i="23"/>
  <c r="L41" i="23"/>
  <c r="L43" i="23"/>
  <c r="K41" i="23"/>
  <c r="J41" i="23"/>
  <c r="I41" i="23"/>
  <c r="I43" i="23"/>
  <c r="H41" i="23"/>
  <c r="H43" i="23"/>
  <c r="G41" i="23"/>
  <c r="G43" i="23"/>
  <c r="F41" i="23"/>
  <c r="F43" i="23"/>
  <c r="AN38" i="23"/>
  <c r="AN40" i="23"/>
  <c r="AM38" i="23"/>
  <c r="AL38" i="23"/>
  <c r="AK38" i="23"/>
  <c r="AJ38" i="23"/>
  <c r="AJ40" i="23"/>
  <c r="AI38" i="23"/>
  <c r="AH38" i="23"/>
  <c r="AG38" i="23"/>
  <c r="AF38" i="23"/>
  <c r="AF40" i="23"/>
  <c r="AE38" i="23"/>
  <c r="AD38" i="23"/>
  <c r="AC38" i="23"/>
  <c r="AB38" i="23"/>
  <c r="AB40" i="23"/>
  <c r="D71" i="1"/>
  <c r="BA8" i="23"/>
  <c r="AA38" i="23"/>
  <c r="Z38" i="23"/>
  <c r="Y38" i="23"/>
  <c r="R38" i="23"/>
  <c r="R40" i="23"/>
  <c r="K71" i="1"/>
  <c r="BA12" i="23"/>
  <c r="Q38" i="23"/>
  <c r="Q40" i="23"/>
  <c r="P38" i="23"/>
  <c r="P40" i="23"/>
  <c r="O38" i="23"/>
  <c r="N38" i="23"/>
  <c r="M38" i="23"/>
  <c r="L38" i="23"/>
  <c r="L40" i="23"/>
  <c r="L71" i="1"/>
  <c r="K38" i="23"/>
  <c r="J38" i="23"/>
  <c r="I38" i="23"/>
  <c r="I40" i="23"/>
  <c r="H38" i="23"/>
  <c r="H40" i="23"/>
  <c r="G38" i="23"/>
  <c r="F38" i="23"/>
  <c r="AN35" i="23"/>
  <c r="AJ35" i="23"/>
  <c r="AF35" i="23"/>
  <c r="AB35" i="23"/>
  <c r="G10" i="6"/>
  <c r="R35" i="23"/>
  <c r="N35" i="23"/>
  <c r="J35" i="23"/>
  <c r="F35" i="23"/>
  <c r="H10" i="6"/>
  <c r="AM35" i="23"/>
  <c r="AM37" i="23"/>
  <c r="AL35" i="23"/>
  <c r="AK35" i="23"/>
  <c r="AK37" i="23"/>
  <c r="AI35" i="23"/>
  <c r="AH35" i="23"/>
  <c r="AG35" i="23"/>
  <c r="AE35" i="23"/>
  <c r="AD35" i="23"/>
  <c r="AC35" i="23"/>
  <c r="AA35" i="23"/>
  <c r="F10" i="6"/>
  <c r="Z35" i="23"/>
  <c r="Y35" i="23"/>
  <c r="Q35" i="23"/>
  <c r="Q37" i="23"/>
  <c r="P35" i="23"/>
  <c r="P37" i="23"/>
  <c r="O35" i="23"/>
  <c r="O37" i="23"/>
  <c r="D12" i="2"/>
  <c r="M35" i="23"/>
  <c r="L35" i="23"/>
  <c r="K35" i="23"/>
  <c r="I35" i="23"/>
  <c r="I37" i="23"/>
  <c r="H35" i="23"/>
  <c r="G35" i="23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AL43" i="15"/>
  <c r="AH43" i="15"/>
  <c r="AD43" i="15"/>
  <c r="Z43" i="15"/>
  <c r="Z45" i="15"/>
  <c r="Q43" i="15"/>
  <c r="Q45" i="15"/>
  <c r="P43" i="15"/>
  <c r="P45" i="15"/>
  <c r="M43" i="15"/>
  <c r="L43" i="15"/>
  <c r="I43" i="15"/>
  <c r="I45" i="15"/>
  <c r="H43" i="15"/>
  <c r="H45" i="15"/>
  <c r="AM43" i="15"/>
  <c r="AM45" i="15"/>
  <c r="AI43" i="15"/>
  <c r="AI45" i="15"/>
  <c r="AE43" i="15"/>
  <c r="AE45" i="15"/>
  <c r="AA43" i="15"/>
  <c r="AA45" i="15"/>
  <c r="AN43" i="15"/>
  <c r="AK43" i="15"/>
  <c r="AK45" i="15"/>
  <c r="AJ43" i="15"/>
  <c r="AJ45" i="15"/>
  <c r="AG43" i="15"/>
  <c r="AF43" i="15"/>
  <c r="AF45" i="15"/>
  <c r="AC43" i="15"/>
  <c r="AB43" i="15"/>
  <c r="AB45" i="15"/>
  <c r="Y43" i="15"/>
  <c r="R43" i="15"/>
  <c r="R45" i="15"/>
  <c r="O43" i="15"/>
  <c r="O45" i="15"/>
  <c r="N43" i="15"/>
  <c r="K43" i="15"/>
  <c r="J43" i="15"/>
  <c r="G43" i="15"/>
  <c r="G45" i="15"/>
  <c r="F43" i="15"/>
  <c r="F45" i="15"/>
  <c r="AK40" i="15"/>
  <c r="AG40" i="15"/>
  <c r="AC40" i="15"/>
  <c r="Y40" i="15"/>
  <c r="P40" i="15"/>
  <c r="P42" i="15"/>
  <c r="O40" i="15"/>
  <c r="L40" i="15"/>
  <c r="K40" i="15"/>
  <c r="H40" i="15"/>
  <c r="H42" i="15"/>
  <c r="G40" i="15"/>
  <c r="AL40" i="15"/>
  <c r="AH40" i="15"/>
  <c r="AD40" i="15"/>
  <c r="Z40" i="15"/>
  <c r="AN40" i="15"/>
  <c r="AM40" i="15"/>
  <c r="AJ40" i="15"/>
  <c r="AI40" i="15"/>
  <c r="AI42" i="15"/>
  <c r="AF40" i="15"/>
  <c r="AE40" i="15"/>
  <c r="AB40" i="15"/>
  <c r="AA40" i="15"/>
  <c r="AA42" i="15"/>
  <c r="E69" i="1"/>
  <c r="BA7" i="15"/>
  <c r="R40" i="15"/>
  <c r="Q40" i="15"/>
  <c r="Q42" i="15"/>
  <c r="N40" i="15"/>
  <c r="M40" i="15"/>
  <c r="J40" i="15"/>
  <c r="I40" i="15"/>
  <c r="I42" i="15"/>
  <c r="F40" i="15"/>
  <c r="AN37" i="15"/>
  <c r="AN38" i="15"/>
  <c r="AJ37" i="15"/>
  <c r="AJ38" i="15"/>
  <c r="AF38" i="15"/>
  <c r="AB37" i="15"/>
  <c r="AB38" i="15"/>
  <c r="R37" i="15"/>
  <c r="R38" i="15"/>
  <c r="N37" i="15"/>
  <c r="N38" i="15"/>
  <c r="J37" i="15"/>
  <c r="J38" i="15"/>
  <c r="F37" i="15"/>
  <c r="H3" i="6"/>
  <c r="F38" i="15"/>
  <c r="AM38" i="15"/>
  <c r="AL38" i="15"/>
  <c r="AK38" i="15"/>
  <c r="AK37" i="15"/>
  <c r="AI38" i="15"/>
  <c r="AH38" i="15"/>
  <c r="AG38" i="15"/>
  <c r="AG37" i="15"/>
  <c r="AE38" i="15"/>
  <c r="AD38" i="15"/>
  <c r="AC38" i="15"/>
  <c r="AA38" i="15"/>
  <c r="Z38" i="15"/>
  <c r="Y38" i="15"/>
  <c r="Y37" i="15"/>
  <c r="D3" i="6"/>
  <c r="O38" i="15"/>
  <c r="O37" i="15"/>
  <c r="M38" i="15"/>
  <c r="L38" i="15"/>
  <c r="K38" i="15"/>
  <c r="K37" i="15"/>
  <c r="G38" i="15"/>
  <c r="G37" i="15"/>
  <c r="I3" i="6"/>
  <c r="AM37" i="15"/>
  <c r="AL37" i="15"/>
  <c r="AL39" i="15"/>
  <c r="AI37" i="15"/>
  <c r="AH37" i="15"/>
  <c r="AE39" i="15"/>
  <c r="AD39" i="15"/>
  <c r="AA37" i="15"/>
  <c r="F3" i="6"/>
  <c r="Z37" i="15"/>
  <c r="E3" i="6"/>
  <c r="Q37" i="15"/>
  <c r="P37" i="15"/>
  <c r="M37" i="15"/>
  <c r="L37" i="15"/>
  <c r="I37" i="15"/>
  <c r="H37" i="15"/>
  <c r="AN44" i="16"/>
  <c r="AM44" i="16"/>
  <c r="AL44" i="16"/>
  <c r="AK44" i="16"/>
  <c r="AJ44" i="16"/>
  <c r="AI44" i="16"/>
  <c r="AH44" i="16"/>
  <c r="AG44" i="16"/>
  <c r="AF44" i="16"/>
  <c r="AE44" i="16"/>
  <c r="AD44" i="16"/>
  <c r="AC44" i="16"/>
  <c r="AB44" i="16"/>
  <c r="AA44" i="16"/>
  <c r="Z44" i="16"/>
  <c r="Y44" i="16"/>
  <c r="R44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AN41" i="16"/>
  <c r="AK41" i="16"/>
  <c r="AJ41" i="16"/>
  <c r="AG41" i="16"/>
  <c r="AG43" i="16"/>
  <c r="AF41" i="16"/>
  <c r="AC41" i="16"/>
  <c r="AB41" i="16"/>
  <c r="Y41" i="16"/>
  <c r="Y43" i="16"/>
  <c r="R41" i="16"/>
  <c r="O41" i="16"/>
  <c r="K41" i="16"/>
  <c r="G41" i="16"/>
  <c r="G43" i="16"/>
  <c r="F41" i="16"/>
  <c r="N41" i="16"/>
  <c r="J41" i="16"/>
  <c r="AM41" i="16"/>
  <c r="AM43" i="16"/>
  <c r="AL41" i="16"/>
  <c r="AL43" i="16"/>
  <c r="AI41" i="16"/>
  <c r="AI43" i="16"/>
  <c r="AH41" i="16"/>
  <c r="AH43" i="16"/>
  <c r="AE41" i="16"/>
  <c r="AE43" i="16"/>
  <c r="AD41" i="16"/>
  <c r="AD43" i="16"/>
  <c r="AA41" i="16"/>
  <c r="AA43" i="16"/>
  <c r="Z41" i="16"/>
  <c r="Q41" i="16"/>
  <c r="Q43" i="16"/>
  <c r="P41" i="16"/>
  <c r="P43" i="16"/>
  <c r="M41" i="16"/>
  <c r="L41" i="16"/>
  <c r="L43" i="16"/>
  <c r="I41" i="16"/>
  <c r="I43" i="16"/>
  <c r="H41" i="16"/>
  <c r="H43" i="16"/>
  <c r="AN38" i="16"/>
  <c r="AN40" i="16"/>
  <c r="AM38" i="16"/>
  <c r="AL38" i="16"/>
  <c r="AK38" i="16"/>
  <c r="AJ38" i="16"/>
  <c r="AI38" i="16"/>
  <c r="AH38" i="16"/>
  <c r="AG38" i="16"/>
  <c r="AF38" i="16"/>
  <c r="AF40" i="16"/>
  <c r="AE38" i="16"/>
  <c r="AD38" i="16"/>
  <c r="AC38" i="16"/>
  <c r="AB38" i="16"/>
  <c r="AB40" i="16"/>
  <c r="D60" i="1"/>
  <c r="BA8" i="16"/>
  <c r="AA38" i="16"/>
  <c r="Z38" i="16"/>
  <c r="Y38" i="16"/>
  <c r="R38" i="16"/>
  <c r="R40" i="16"/>
  <c r="K60" i="1"/>
  <c r="BA12" i="16"/>
  <c r="Q38" i="16"/>
  <c r="Q40" i="16"/>
  <c r="P38" i="16"/>
  <c r="P40" i="16"/>
  <c r="O38" i="16"/>
  <c r="N38" i="16"/>
  <c r="M38" i="16"/>
  <c r="L38" i="16"/>
  <c r="L40" i="16"/>
  <c r="L60" i="1"/>
  <c r="K38" i="16"/>
  <c r="J38" i="16"/>
  <c r="I38" i="16"/>
  <c r="I40" i="16"/>
  <c r="H38" i="16"/>
  <c r="H40" i="16"/>
  <c r="G38" i="16"/>
  <c r="F38" i="16"/>
  <c r="F40" i="16"/>
  <c r="AM35" i="16"/>
  <c r="AL35" i="16"/>
  <c r="AI35" i="16"/>
  <c r="AH35" i="16"/>
  <c r="AE35" i="16"/>
  <c r="AD35" i="16"/>
  <c r="AA35" i="16"/>
  <c r="F11" i="6"/>
  <c r="Z35" i="16"/>
  <c r="E11" i="6"/>
  <c r="Q35" i="16"/>
  <c r="P35" i="16"/>
  <c r="H14" i="4"/>
  <c r="M35" i="16"/>
  <c r="L35" i="16"/>
  <c r="I35" i="16"/>
  <c r="H35" i="16"/>
  <c r="D10" i="4"/>
  <c r="AN35" i="16"/>
  <c r="AN37" i="16"/>
  <c r="AK35" i="16"/>
  <c r="AJ35" i="16"/>
  <c r="AJ37" i="16"/>
  <c r="AG35" i="16"/>
  <c r="AF35" i="16"/>
  <c r="AF37" i="16"/>
  <c r="AC35" i="16"/>
  <c r="AB35" i="16"/>
  <c r="AB37" i="16"/>
  <c r="D10" i="1"/>
  <c r="AR7" i="16"/>
  <c r="Y35" i="16"/>
  <c r="D11" i="6"/>
  <c r="R35" i="16"/>
  <c r="R37" i="16"/>
  <c r="F14" i="4"/>
  <c r="O35" i="16"/>
  <c r="N35" i="16"/>
  <c r="N37" i="16"/>
  <c r="B13" i="2"/>
  <c r="K35" i="16"/>
  <c r="J35" i="16"/>
  <c r="J37" i="16"/>
  <c r="B12" i="4"/>
  <c r="G35" i="16"/>
  <c r="F35" i="16"/>
  <c r="F37" i="16"/>
  <c r="G10" i="1"/>
  <c r="AN46" i="13"/>
  <c r="AM46" i="13"/>
  <c r="AL46" i="13"/>
  <c r="AK46" i="13"/>
  <c r="AJ46" i="13"/>
  <c r="AI46" i="13"/>
  <c r="AH46" i="13"/>
  <c r="AG46" i="13"/>
  <c r="AF46" i="13"/>
  <c r="AE46" i="13"/>
  <c r="AD46" i="13"/>
  <c r="AC46" i="13"/>
  <c r="AB46" i="13"/>
  <c r="AA46" i="13"/>
  <c r="Z46" i="13"/>
  <c r="Y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AL43" i="13"/>
  <c r="AH43" i="13"/>
  <c r="AH45" i="13"/>
  <c r="AD43" i="13"/>
  <c r="Z43" i="13"/>
  <c r="P43" i="13"/>
  <c r="P45" i="13"/>
  <c r="L43" i="13"/>
  <c r="H43" i="13"/>
  <c r="H45" i="13"/>
  <c r="AN43" i="13"/>
  <c r="AN45" i="13"/>
  <c r="AM43" i="13"/>
  <c r="AM45" i="13"/>
  <c r="AK43" i="13"/>
  <c r="AJ43" i="13"/>
  <c r="AJ45" i="13"/>
  <c r="AI43" i="13"/>
  <c r="AG43" i="13"/>
  <c r="AG45" i="13"/>
  <c r="AF43" i="13"/>
  <c r="AE43" i="13"/>
  <c r="AE45" i="13"/>
  <c r="AC43" i="13"/>
  <c r="AB43" i="13"/>
  <c r="AB45" i="13"/>
  <c r="AA43" i="13"/>
  <c r="Y43" i="13"/>
  <c r="Y45" i="13"/>
  <c r="R43" i="13"/>
  <c r="Q43" i="13"/>
  <c r="Q45" i="13"/>
  <c r="O43" i="13"/>
  <c r="N43" i="13"/>
  <c r="N45" i="13"/>
  <c r="M43" i="13"/>
  <c r="K43" i="13"/>
  <c r="J43" i="13"/>
  <c r="J45" i="13"/>
  <c r="I43" i="13"/>
  <c r="I45" i="13"/>
  <c r="G43" i="13"/>
  <c r="F43" i="13"/>
  <c r="F45" i="13"/>
  <c r="AN40" i="13"/>
  <c r="AN42" i="13"/>
  <c r="AM40" i="13"/>
  <c r="AM42" i="13"/>
  <c r="AL40" i="13"/>
  <c r="AL42" i="13"/>
  <c r="AK40" i="13"/>
  <c r="AK42" i="13"/>
  <c r="AJ40" i="13"/>
  <c r="AJ42" i="13"/>
  <c r="AI40" i="13"/>
  <c r="AI42" i="13"/>
  <c r="AH40" i="13"/>
  <c r="AG40" i="13"/>
  <c r="AG42" i="13"/>
  <c r="AF40" i="13"/>
  <c r="AF42" i="13"/>
  <c r="AE40" i="13"/>
  <c r="AD40" i="13"/>
  <c r="AC40" i="13"/>
  <c r="AC42" i="13"/>
  <c r="AB40" i="13"/>
  <c r="AB42" i="13"/>
  <c r="D59" i="1"/>
  <c r="AY8" i="13"/>
  <c r="AA40" i="13"/>
  <c r="AA42" i="13"/>
  <c r="Z40" i="13"/>
  <c r="Z42" i="13"/>
  <c r="C59" i="1"/>
  <c r="AY6" i="13"/>
  <c r="Y40" i="13"/>
  <c r="Y42" i="13"/>
  <c r="B59" i="1"/>
  <c r="AY5" i="13"/>
  <c r="R40" i="13"/>
  <c r="R42" i="13"/>
  <c r="Q40" i="13"/>
  <c r="Q42" i="13"/>
  <c r="P40" i="13"/>
  <c r="P42" i="13"/>
  <c r="O40" i="13"/>
  <c r="N40" i="13"/>
  <c r="M40" i="13"/>
  <c r="L40" i="13"/>
  <c r="K40" i="13"/>
  <c r="J40" i="13"/>
  <c r="J42" i="13"/>
  <c r="J59" i="1"/>
  <c r="AY11" i="13"/>
  <c r="I40" i="13"/>
  <c r="I42" i="13"/>
  <c r="H40" i="13"/>
  <c r="H42" i="13"/>
  <c r="G40" i="13"/>
  <c r="F40" i="13"/>
  <c r="F42" i="13"/>
  <c r="G59" i="1"/>
  <c r="AN37" i="13"/>
  <c r="AJ37" i="13"/>
  <c r="AF37" i="13"/>
  <c r="AB37" i="13"/>
  <c r="AB39" i="13"/>
  <c r="D9" i="1"/>
  <c r="AR7" i="13"/>
  <c r="R37" i="13"/>
  <c r="N37" i="13"/>
  <c r="J37" i="13"/>
  <c r="F37" i="13"/>
  <c r="F39" i="13"/>
  <c r="G9" i="1"/>
  <c r="AM37" i="13"/>
  <c r="AM39" i="13"/>
  <c r="AL37" i="13"/>
  <c r="AL39" i="13"/>
  <c r="AK37" i="13"/>
  <c r="AK39" i="13"/>
  <c r="AI37" i="13"/>
  <c r="AH37" i="13"/>
  <c r="AG37" i="13"/>
  <c r="AE37" i="13"/>
  <c r="AD37" i="13"/>
  <c r="AC37" i="13"/>
  <c r="AA37" i="13"/>
  <c r="F12" i="6"/>
  <c r="Z37" i="13"/>
  <c r="Z39" i="13"/>
  <c r="C9" i="1"/>
  <c r="AR5" i="13"/>
  <c r="Y37" i="13"/>
  <c r="D12" i="6"/>
  <c r="Q37" i="13"/>
  <c r="Q39" i="13"/>
  <c r="P37" i="13"/>
  <c r="P39" i="13"/>
  <c r="O37" i="13"/>
  <c r="O39" i="13"/>
  <c r="M37" i="13"/>
  <c r="L37" i="13"/>
  <c r="K37" i="13"/>
  <c r="I37" i="13"/>
  <c r="H37" i="13"/>
  <c r="D14" i="4"/>
  <c r="G37" i="13"/>
  <c r="AN48" i="14"/>
  <c r="AM48" i="14"/>
  <c r="AL48" i="14"/>
  <c r="AK48" i="14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AN45" i="14"/>
  <c r="AJ45" i="14"/>
  <c r="AF45" i="14"/>
  <c r="AB45" i="14"/>
  <c r="R45" i="14"/>
  <c r="O45" i="14"/>
  <c r="K45" i="14"/>
  <c r="K47" i="14"/>
  <c r="F45" i="14"/>
  <c r="F47" i="14"/>
  <c r="AK45" i="14"/>
  <c r="AG45" i="14"/>
  <c r="AG47" i="14"/>
  <c r="AC45" i="14"/>
  <c r="Y45" i="14"/>
  <c r="N45" i="14"/>
  <c r="J45" i="14"/>
  <c r="G45" i="14"/>
  <c r="G47" i="14"/>
  <c r="AM45" i="14"/>
  <c r="AL45" i="14"/>
  <c r="AL47" i="14"/>
  <c r="AI45" i="14"/>
  <c r="AI47" i="14"/>
  <c r="AH45" i="14"/>
  <c r="AH47" i="14"/>
  <c r="AE45" i="14"/>
  <c r="AE47" i="14"/>
  <c r="AD45" i="14"/>
  <c r="AD47" i="14"/>
  <c r="AA45" i="14"/>
  <c r="Z45" i="14"/>
  <c r="Q45" i="14"/>
  <c r="Q47" i="14"/>
  <c r="P45" i="14"/>
  <c r="P47" i="14"/>
  <c r="M45" i="14"/>
  <c r="L45" i="14"/>
  <c r="I45" i="14"/>
  <c r="I47" i="14"/>
  <c r="H45" i="14"/>
  <c r="H47" i="14"/>
  <c r="AN42" i="14"/>
  <c r="AM42" i="14"/>
  <c r="AL42" i="14"/>
  <c r="AK42" i="14"/>
  <c r="AJ42" i="14"/>
  <c r="AI42" i="14"/>
  <c r="AI44" i="14"/>
  <c r="AH42" i="14"/>
  <c r="AG42" i="14"/>
  <c r="AF42" i="14"/>
  <c r="AE42" i="14"/>
  <c r="AD42" i="14"/>
  <c r="AC42" i="14"/>
  <c r="AB42" i="14"/>
  <c r="AA42" i="14"/>
  <c r="AA44" i="14"/>
  <c r="E55" i="1"/>
  <c r="BA7" i="14"/>
  <c r="Z42" i="14"/>
  <c r="Y42" i="14"/>
  <c r="R42" i="14"/>
  <c r="Q42" i="14"/>
  <c r="Q44" i="14"/>
  <c r="P42" i="14"/>
  <c r="P44" i="14"/>
  <c r="O42" i="14"/>
  <c r="N42" i="14"/>
  <c r="M42" i="14"/>
  <c r="L42" i="14"/>
  <c r="K42" i="14"/>
  <c r="K44" i="14"/>
  <c r="J42" i="14"/>
  <c r="I42" i="14"/>
  <c r="I44" i="14"/>
  <c r="H42" i="14"/>
  <c r="H44" i="14"/>
  <c r="G42" i="14"/>
  <c r="F42" i="14"/>
  <c r="AL39" i="14"/>
  <c r="AH39" i="14"/>
  <c r="AD39" i="14"/>
  <c r="AM39" i="14"/>
  <c r="AI39" i="14"/>
  <c r="AE39" i="14"/>
  <c r="AN39" i="14"/>
  <c r="AK39" i="14"/>
  <c r="AJ39" i="14"/>
  <c r="AG39" i="14"/>
  <c r="AF39" i="14"/>
  <c r="AC39" i="14"/>
  <c r="AB39" i="14"/>
  <c r="G4" i="6"/>
  <c r="AA39" i="14"/>
  <c r="F4" i="6"/>
  <c r="Z39" i="14"/>
  <c r="Y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H4" i="6"/>
  <c r="N76" i="18"/>
  <c r="Z75" i="18"/>
  <c r="M76" i="18"/>
  <c r="O75" i="18"/>
  <c r="Y75" i="18"/>
  <c r="L76" i="18"/>
  <c r="X75" i="18"/>
  <c r="K76" i="18"/>
  <c r="W75" i="18"/>
  <c r="H76" i="18"/>
  <c r="G76" i="18"/>
  <c r="I75" i="18"/>
  <c r="F76" i="18"/>
  <c r="AN46" i="18"/>
  <c r="AM46" i="18"/>
  <c r="AL46" i="18"/>
  <c r="AK46" i="18"/>
  <c r="AJ46" i="18"/>
  <c r="AI46" i="18"/>
  <c r="AH46" i="18"/>
  <c r="AG46" i="18"/>
  <c r="AF46" i="18"/>
  <c r="AE46" i="18"/>
  <c r="AD46" i="18"/>
  <c r="AC46" i="18"/>
  <c r="AB46" i="18"/>
  <c r="AA46" i="18"/>
  <c r="Z46" i="18"/>
  <c r="Y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AL43" i="18"/>
  <c r="AH43" i="18"/>
  <c r="AD43" i="18"/>
  <c r="Z43" i="18"/>
  <c r="Q43" i="18"/>
  <c r="Q45" i="18"/>
  <c r="P43" i="18"/>
  <c r="P45" i="18"/>
  <c r="M43" i="18"/>
  <c r="L43" i="18"/>
  <c r="I43" i="18"/>
  <c r="I45" i="18"/>
  <c r="H43" i="18"/>
  <c r="H45" i="18"/>
  <c r="AM43" i="18"/>
  <c r="AI43" i="18"/>
  <c r="AE43" i="18"/>
  <c r="AA43" i="18"/>
  <c r="AN43" i="18"/>
  <c r="AK43" i="18"/>
  <c r="AJ43" i="18"/>
  <c r="AJ45" i="18"/>
  <c r="AG43" i="18"/>
  <c r="AG45" i="18"/>
  <c r="AF43" i="18"/>
  <c r="AF45" i="18"/>
  <c r="AC43" i="18"/>
  <c r="AB43" i="18"/>
  <c r="Y43" i="18"/>
  <c r="R43" i="18"/>
  <c r="O43" i="18"/>
  <c r="N43" i="18"/>
  <c r="K43" i="18"/>
  <c r="J43" i="18"/>
  <c r="G43" i="18"/>
  <c r="F43" i="18"/>
  <c r="AN40" i="18"/>
  <c r="AM40" i="18"/>
  <c r="AL40" i="18"/>
  <c r="AL42" i="18"/>
  <c r="AK40" i="18"/>
  <c r="AJ40" i="18"/>
  <c r="AI40" i="18"/>
  <c r="AH40" i="18"/>
  <c r="AH42" i="18"/>
  <c r="AG40" i="18"/>
  <c r="AG42" i="18"/>
  <c r="AF40" i="18"/>
  <c r="AE40" i="18"/>
  <c r="AD40" i="18"/>
  <c r="AD42" i="18"/>
  <c r="AC40" i="18"/>
  <c r="AC42" i="18"/>
  <c r="AB40" i="18"/>
  <c r="AA40" i="18"/>
  <c r="Z40" i="18"/>
  <c r="Z42" i="18"/>
  <c r="C42" i="1"/>
  <c r="AU6" i="18"/>
  <c r="Y40" i="18"/>
  <c r="Y42" i="18"/>
  <c r="B42" i="1"/>
  <c r="AU5" i="18"/>
  <c r="R40" i="18"/>
  <c r="Q40" i="18"/>
  <c r="Q42" i="18"/>
  <c r="P40" i="18"/>
  <c r="P42" i="18"/>
  <c r="O40" i="18"/>
  <c r="N40" i="18"/>
  <c r="N42" i="18"/>
  <c r="M40" i="18"/>
  <c r="L40" i="18"/>
  <c r="K40" i="18"/>
  <c r="J40" i="18"/>
  <c r="J42" i="18"/>
  <c r="I40" i="18"/>
  <c r="I42" i="18"/>
  <c r="H40" i="18"/>
  <c r="H42" i="18"/>
  <c r="G40" i="18"/>
  <c r="G42" i="18"/>
  <c r="H92" i="1"/>
  <c r="AW10" i="18"/>
  <c r="F40" i="18"/>
  <c r="AN37" i="18"/>
  <c r="AJ37" i="18"/>
  <c r="AF37" i="18"/>
  <c r="AB37" i="18"/>
  <c r="G6" i="6"/>
  <c r="R37" i="18"/>
  <c r="N37" i="18"/>
  <c r="J37" i="18"/>
  <c r="AK37" i="18"/>
  <c r="AG37" i="18"/>
  <c r="AC37" i="18"/>
  <c r="O37" i="18"/>
  <c r="K37" i="18"/>
  <c r="G37" i="18"/>
  <c r="AM37" i="18"/>
  <c r="AL37" i="18"/>
  <c r="AI37" i="18"/>
  <c r="AI39" i="18"/>
  <c r="AH37" i="18"/>
  <c r="AH39" i="18"/>
  <c r="AE37" i="18"/>
  <c r="AD37" i="18"/>
  <c r="AA37" i="18"/>
  <c r="AA39" i="18"/>
  <c r="E17" i="1"/>
  <c r="AR6" i="18"/>
  <c r="Z37" i="18"/>
  <c r="Q37" i="18"/>
  <c r="P37" i="18"/>
  <c r="M37" i="18"/>
  <c r="M39" i="18"/>
  <c r="L37" i="18"/>
  <c r="I37" i="18"/>
  <c r="H37" i="18"/>
  <c r="AN45" i="17"/>
  <c r="AM45" i="17"/>
  <c r="AL45" i="17"/>
  <c r="AK45" i="17"/>
  <c r="AJ45" i="17"/>
  <c r="AI45" i="17"/>
  <c r="AH45" i="17"/>
  <c r="AG45" i="17"/>
  <c r="AF45" i="17"/>
  <c r="AE45" i="17"/>
  <c r="AD45" i="17"/>
  <c r="AC45" i="17"/>
  <c r="AB45" i="17"/>
  <c r="AA45" i="17"/>
  <c r="Z45" i="17"/>
  <c r="Y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AN42" i="17"/>
  <c r="AN44" i="17"/>
  <c r="AJ42" i="17"/>
  <c r="AJ44" i="17"/>
  <c r="AF42" i="17"/>
  <c r="AF44" i="17"/>
  <c r="AB42" i="17"/>
  <c r="R42" i="17"/>
  <c r="R44" i="17"/>
  <c r="O42" i="17"/>
  <c r="N42" i="17"/>
  <c r="N44" i="17"/>
  <c r="K42" i="17"/>
  <c r="J42" i="17"/>
  <c r="J44" i="17"/>
  <c r="F42" i="17"/>
  <c r="AK42" i="17"/>
  <c r="AK44" i="17"/>
  <c r="AG42" i="17"/>
  <c r="AC42" i="17"/>
  <c r="AB44" i="17"/>
  <c r="Y42" i="17"/>
  <c r="Y44" i="17"/>
  <c r="G42" i="17"/>
  <c r="AM42" i="17"/>
  <c r="AL42" i="17"/>
  <c r="AI42" i="17"/>
  <c r="AI44" i="17"/>
  <c r="AH42" i="17"/>
  <c r="AH44" i="17"/>
  <c r="AE42" i="17"/>
  <c r="AD42" i="17"/>
  <c r="AA42" i="17"/>
  <c r="AA44" i="17"/>
  <c r="Z42" i="17"/>
  <c r="Z44" i="17"/>
  <c r="Q42" i="17"/>
  <c r="Q44" i="17"/>
  <c r="P42" i="17"/>
  <c r="P44" i="17"/>
  <c r="M42" i="17"/>
  <c r="M44" i="17"/>
  <c r="L42" i="17"/>
  <c r="I42" i="17"/>
  <c r="I44" i="17"/>
  <c r="H42" i="17"/>
  <c r="H44" i="17"/>
  <c r="AN39" i="17"/>
  <c r="AM39" i="17"/>
  <c r="AL39" i="17"/>
  <c r="AK39" i="17"/>
  <c r="AJ39" i="17"/>
  <c r="AI39" i="17"/>
  <c r="AH39" i="17"/>
  <c r="AG39" i="17"/>
  <c r="AF39" i="17"/>
  <c r="AE39" i="17"/>
  <c r="AD39" i="17"/>
  <c r="AC39" i="17"/>
  <c r="AB39" i="17"/>
  <c r="AA39" i="17"/>
  <c r="Z39" i="17"/>
  <c r="Y39" i="17"/>
  <c r="R39" i="17"/>
  <c r="Q39" i="17"/>
  <c r="Q41" i="17"/>
  <c r="P39" i="17"/>
  <c r="P41" i="17"/>
  <c r="O39" i="17"/>
  <c r="N39" i="17"/>
  <c r="M39" i="17"/>
  <c r="L39" i="17"/>
  <c r="K39" i="17"/>
  <c r="J39" i="17"/>
  <c r="I39" i="17"/>
  <c r="I41" i="17"/>
  <c r="H39" i="17"/>
  <c r="H41" i="17"/>
  <c r="G39" i="17"/>
  <c r="F39" i="17"/>
  <c r="AL36" i="17"/>
  <c r="AH36" i="17"/>
  <c r="AD36" i="17"/>
  <c r="Z36" i="17"/>
  <c r="E9" i="6"/>
  <c r="P36" i="17"/>
  <c r="H11" i="4"/>
  <c r="L36" i="17"/>
  <c r="AM36" i="17"/>
  <c r="AI36" i="17"/>
  <c r="AE36" i="17"/>
  <c r="AA36" i="17"/>
  <c r="F9" i="6"/>
  <c r="Q36" i="17"/>
  <c r="M36" i="17"/>
  <c r="I36" i="17"/>
  <c r="H38" i="17"/>
  <c r="D12" i="4"/>
  <c r="AN36" i="17"/>
  <c r="AN38" i="17"/>
  <c r="AK36" i="17"/>
  <c r="AJ36" i="17"/>
  <c r="AG36" i="17"/>
  <c r="AF36" i="17"/>
  <c r="AC36" i="17"/>
  <c r="AB36" i="17"/>
  <c r="Y36" i="17"/>
  <c r="B14" i="1"/>
  <c r="R36" i="17"/>
  <c r="R38" i="17"/>
  <c r="F11" i="4"/>
  <c r="O36" i="17"/>
  <c r="D14" i="2"/>
  <c r="N36" i="17"/>
  <c r="B14" i="2"/>
  <c r="K36" i="17"/>
  <c r="J36" i="17"/>
  <c r="G36" i="17"/>
  <c r="I9" i="6"/>
  <c r="F36" i="17"/>
  <c r="AN46" i="12"/>
  <c r="AM46" i="12"/>
  <c r="AL46" i="12"/>
  <c r="AK46" i="12"/>
  <c r="AJ46" i="12"/>
  <c r="AI46" i="12"/>
  <c r="AH46" i="12"/>
  <c r="AG46" i="12"/>
  <c r="AF46" i="12"/>
  <c r="AE46" i="12"/>
  <c r="AD46" i="12"/>
  <c r="AC46" i="12"/>
  <c r="AB46" i="12"/>
  <c r="AA46" i="12"/>
  <c r="Z46" i="12"/>
  <c r="Y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AL43" i="12"/>
  <c r="AH43" i="12"/>
  <c r="AD43" i="12"/>
  <c r="Z43" i="12"/>
  <c r="P43" i="12"/>
  <c r="P45" i="12"/>
  <c r="L43" i="12"/>
  <c r="H43" i="12"/>
  <c r="H45" i="12"/>
  <c r="AK43" i="12"/>
  <c r="AG43" i="12"/>
  <c r="AC43" i="12"/>
  <c r="Y43" i="12"/>
  <c r="O43" i="12"/>
  <c r="K43" i="12"/>
  <c r="G43" i="12"/>
  <c r="AN43" i="12"/>
  <c r="AN45" i="12"/>
  <c r="AM43" i="12"/>
  <c r="AJ43" i="12"/>
  <c r="AI43" i="12"/>
  <c r="AF43" i="12"/>
  <c r="AE43" i="12"/>
  <c r="AB43" i="12"/>
  <c r="AA43" i="12"/>
  <c r="R43" i="12"/>
  <c r="Q43" i="12"/>
  <c r="Q45" i="12"/>
  <c r="N43" i="12"/>
  <c r="M43" i="12"/>
  <c r="J43" i="12"/>
  <c r="I43" i="12"/>
  <c r="I45" i="12"/>
  <c r="F43" i="12"/>
  <c r="AN40" i="12"/>
  <c r="AM40" i="12"/>
  <c r="AL40" i="12"/>
  <c r="AK40" i="12"/>
  <c r="AJ40" i="12"/>
  <c r="AI40" i="12"/>
  <c r="AH40" i="12"/>
  <c r="AH42" i="12"/>
  <c r="AG40" i="12"/>
  <c r="AF40" i="12"/>
  <c r="AE40" i="12"/>
  <c r="AD40" i="12"/>
  <c r="AD42" i="12"/>
  <c r="AC40" i="12"/>
  <c r="AB40" i="12"/>
  <c r="AA40" i="12"/>
  <c r="Z40" i="12"/>
  <c r="Z42" i="12"/>
  <c r="C83" i="1"/>
  <c r="AW6" i="12"/>
  <c r="Y40" i="12"/>
  <c r="R40" i="12"/>
  <c r="Q40" i="12"/>
  <c r="Q42" i="12"/>
  <c r="P40" i="12"/>
  <c r="P42" i="12"/>
  <c r="O40" i="12"/>
  <c r="N40" i="12"/>
  <c r="M40" i="12"/>
  <c r="L40" i="12"/>
  <c r="K40" i="12"/>
  <c r="J40" i="12"/>
  <c r="I40" i="12"/>
  <c r="I42" i="12"/>
  <c r="H40" i="12"/>
  <c r="H42" i="12"/>
  <c r="G40" i="12"/>
  <c r="F40" i="12"/>
  <c r="AN37" i="12"/>
  <c r="AJ37" i="12"/>
  <c r="AF37" i="12"/>
  <c r="AB37" i="12"/>
  <c r="R37" i="12"/>
  <c r="N37" i="12"/>
  <c r="J37" i="12"/>
  <c r="F37" i="12"/>
  <c r="AM37" i="12"/>
  <c r="AI37" i="12"/>
  <c r="AE37" i="12"/>
  <c r="AA37" i="12"/>
  <c r="AA39" i="12"/>
  <c r="E8" i="1"/>
  <c r="AR6" i="12"/>
  <c r="Q37" i="12"/>
  <c r="M37" i="12"/>
  <c r="I37" i="12"/>
  <c r="AL37" i="12"/>
  <c r="AK37" i="12"/>
  <c r="AK39" i="12"/>
  <c r="AH37" i="12"/>
  <c r="AG37" i="12"/>
  <c r="AD37" i="12"/>
  <c r="AC37" i="12"/>
  <c r="Z37" i="12"/>
  <c r="Z39" i="12"/>
  <c r="C8" i="1"/>
  <c r="AR5" i="12"/>
  <c r="Y37" i="12"/>
  <c r="Y39" i="12"/>
  <c r="B8" i="1"/>
  <c r="P37" i="12"/>
  <c r="O37" i="12"/>
  <c r="O39" i="12"/>
  <c r="D8" i="2"/>
  <c r="L37" i="12"/>
  <c r="K37" i="12"/>
  <c r="H37" i="12"/>
  <c r="G37" i="12"/>
  <c r="AN44" i="11"/>
  <c r="AM44" i="11"/>
  <c r="AL44" i="11"/>
  <c r="AK44" i="11"/>
  <c r="AJ44" i="11"/>
  <c r="AI44" i="11"/>
  <c r="AH44" i="11"/>
  <c r="AG44" i="11"/>
  <c r="AF44" i="11"/>
  <c r="AE44" i="11"/>
  <c r="AD44" i="11"/>
  <c r="AC44" i="11"/>
  <c r="AB44" i="11"/>
  <c r="AA44" i="11"/>
  <c r="Z44" i="11"/>
  <c r="Y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AL41" i="11"/>
  <c r="AH41" i="11"/>
  <c r="AD41" i="11"/>
  <c r="Z41" i="11"/>
  <c r="P41" i="11"/>
  <c r="P43" i="11"/>
  <c r="L41" i="11"/>
  <c r="H41" i="11"/>
  <c r="H43" i="11"/>
  <c r="AN41" i="11"/>
  <c r="AM41" i="11"/>
  <c r="AM43" i="11"/>
  <c r="AK41" i="11"/>
  <c r="AJ41" i="11"/>
  <c r="AI41" i="11"/>
  <c r="AI43" i="11"/>
  <c r="AG41" i="11"/>
  <c r="AG43" i="11"/>
  <c r="AF41" i="11"/>
  <c r="AE41" i="11"/>
  <c r="AE43" i="11"/>
  <c r="AC41" i="11"/>
  <c r="AB41" i="11"/>
  <c r="AB43" i="11"/>
  <c r="AA41" i="11"/>
  <c r="AA43" i="11"/>
  <c r="Y41" i="11"/>
  <c r="R41" i="11"/>
  <c r="R43" i="11"/>
  <c r="Q41" i="11"/>
  <c r="Q43" i="11"/>
  <c r="O41" i="11"/>
  <c r="O43" i="11"/>
  <c r="N41" i="11"/>
  <c r="N43" i="11"/>
  <c r="M41" i="11"/>
  <c r="K41" i="11"/>
  <c r="K43" i="11"/>
  <c r="J41" i="11"/>
  <c r="J43" i="11"/>
  <c r="I41" i="11"/>
  <c r="I43" i="11"/>
  <c r="G41" i="11"/>
  <c r="G43" i="11"/>
  <c r="F41" i="11"/>
  <c r="F43" i="11"/>
  <c r="AN38" i="11"/>
  <c r="AM38" i="11"/>
  <c r="AL38" i="11"/>
  <c r="AK38" i="11"/>
  <c r="AJ38" i="11"/>
  <c r="AI38" i="11"/>
  <c r="AH38" i="11"/>
  <c r="AG38" i="11"/>
  <c r="AF38" i="11"/>
  <c r="AE38" i="11"/>
  <c r="AD38" i="11"/>
  <c r="AC38" i="11"/>
  <c r="AB38" i="11"/>
  <c r="AA38" i="11"/>
  <c r="AA40" i="11"/>
  <c r="Z38" i="11"/>
  <c r="Y38" i="11"/>
  <c r="R38" i="11"/>
  <c r="Q38" i="11"/>
  <c r="Q40" i="11"/>
  <c r="P38" i="11"/>
  <c r="P40" i="11"/>
  <c r="O38" i="11"/>
  <c r="N38" i="11"/>
  <c r="M38" i="11"/>
  <c r="M40" i="11"/>
  <c r="L38" i="11"/>
  <c r="K38" i="11"/>
  <c r="J38" i="11"/>
  <c r="I38" i="11"/>
  <c r="I40" i="11"/>
  <c r="H38" i="11"/>
  <c r="H40" i="11"/>
  <c r="G38" i="11"/>
  <c r="G40" i="11"/>
  <c r="H82" i="1"/>
  <c r="AW10" i="11"/>
  <c r="F38" i="11"/>
  <c r="AM35" i="11"/>
  <c r="AI35" i="11"/>
  <c r="AA35" i="11"/>
  <c r="F8" i="6"/>
  <c r="Q35" i="11"/>
  <c r="M35" i="11"/>
  <c r="I35" i="11"/>
  <c r="AN35" i="11"/>
  <c r="AJ35" i="11"/>
  <c r="AF37" i="11"/>
  <c r="AB35" i="11"/>
  <c r="G8" i="6"/>
  <c r="R35" i="11"/>
  <c r="N35" i="11"/>
  <c r="J35" i="11"/>
  <c r="AL35" i="11"/>
  <c r="AK35" i="11"/>
  <c r="AH35" i="11"/>
  <c r="AD37" i="11"/>
  <c r="AC37" i="11"/>
  <c r="Z37" i="11"/>
  <c r="C7" i="1"/>
  <c r="AR5" i="11"/>
  <c r="Y35" i="11"/>
  <c r="D8" i="6"/>
  <c r="P35" i="11"/>
  <c r="H8" i="4"/>
  <c r="O35" i="11"/>
  <c r="L35" i="11"/>
  <c r="K35" i="11"/>
  <c r="H35" i="11"/>
  <c r="G35" i="11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AL47" i="10"/>
  <c r="AH47" i="10"/>
  <c r="AD47" i="10"/>
  <c r="Z47" i="10"/>
  <c r="P47" i="10"/>
  <c r="P49" i="10"/>
  <c r="L47" i="10"/>
  <c r="H47" i="10"/>
  <c r="H49" i="10"/>
  <c r="AK47" i="10"/>
  <c r="AK49" i="10"/>
  <c r="AG47" i="10"/>
  <c r="AC47" i="10"/>
  <c r="AC49" i="10"/>
  <c r="Y47" i="10"/>
  <c r="O47" i="10"/>
  <c r="K47" i="10"/>
  <c r="K49" i="10"/>
  <c r="G47" i="10"/>
  <c r="G49" i="10"/>
  <c r="AN47" i="10"/>
  <c r="AM47" i="10"/>
  <c r="AJ47" i="10"/>
  <c r="AJ49" i="10"/>
  <c r="AI47" i="10"/>
  <c r="AF47" i="10"/>
  <c r="AF49" i="10"/>
  <c r="AE47" i="10"/>
  <c r="AE49" i="10"/>
  <c r="AB47" i="10"/>
  <c r="AA47" i="10"/>
  <c r="R47" i="10"/>
  <c r="Q47" i="10"/>
  <c r="Q49" i="10"/>
  <c r="N47" i="10"/>
  <c r="M47" i="10"/>
  <c r="J47" i="10"/>
  <c r="J49" i="10"/>
  <c r="I47" i="10"/>
  <c r="I49" i="10"/>
  <c r="F47" i="10"/>
  <c r="F49" i="10"/>
  <c r="AK44" i="10"/>
  <c r="AN44" i="10"/>
  <c r="AN46" i="10"/>
  <c r="AM44" i="10"/>
  <c r="AL44" i="10"/>
  <c r="AJ44" i="10"/>
  <c r="AJ46" i="10"/>
  <c r="AI44" i="10"/>
  <c r="AH44" i="10"/>
  <c r="AH46" i="10"/>
  <c r="AG44" i="10"/>
  <c r="AG46" i="10"/>
  <c r="AF44" i="10"/>
  <c r="AF46" i="10"/>
  <c r="AE44" i="10"/>
  <c r="AE46" i="10"/>
  <c r="AD44" i="10"/>
  <c r="AD46" i="10"/>
  <c r="AC44" i="10"/>
  <c r="AC46" i="10"/>
  <c r="AB44" i="10"/>
  <c r="AB46" i="10"/>
  <c r="AA44" i="10"/>
  <c r="Z44" i="10"/>
  <c r="Z46" i="10"/>
  <c r="Y44" i="10"/>
  <c r="Y46" i="10"/>
  <c r="B81" i="1"/>
  <c r="AW5" i="10"/>
  <c r="R44" i="10"/>
  <c r="R46" i="10"/>
  <c r="Q44" i="10"/>
  <c r="Q46" i="10"/>
  <c r="P44" i="10"/>
  <c r="P46" i="10"/>
  <c r="O44" i="10"/>
  <c r="N44" i="10"/>
  <c r="M44" i="10"/>
  <c r="L44" i="10"/>
  <c r="L46" i="10"/>
  <c r="K44" i="10"/>
  <c r="J44" i="10"/>
  <c r="I44" i="10"/>
  <c r="I46" i="10"/>
  <c r="H44" i="10"/>
  <c r="H46" i="10"/>
  <c r="G44" i="10"/>
  <c r="G46" i="10"/>
  <c r="F44" i="10"/>
  <c r="F46" i="10"/>
  <c r="AN41" i="10"/>
  <c r="AJ41" i="10"/>
  <c r="AF41" i="10"/>
  <c r="AB41" i="10"/>
  <c r="G2" i="6"/>
  <c r="R41" i="10"/>
  <c r="N41" i="10"/>
  <c r="J41" i="10"/>
  <c r="F41" i="10"/>
  <c r="AN42" i="10"/>
  <c r="AM42" i="10"/>
  <c r="AM41" i="10"/>
  <c r="AL42" i="10"/>
  <c r="AK42" i="10"/>
  <c r="AJ42" i="10"/>
  <c r="AI42" i="10"/>
  <c r="AI41" i="10"/>
  <c r="AH42" i="10"/>
  <c r="AG42" i="10"/>
  <c r="AF42" i="10"/>
  <c r="AE42" i="10"/>
  <c r="AE41" i="10"/>
  <c r="AD42" i="10"/>
  <c r="AC42" i="10"/>
  <c r="AB42" i="10"/>
  <c r="AA42" i="10"/>
  <c r="AA41" i="10"/>
  <c r="F2" i="6"/>
  <c r="Z42" i="10"/>
  <c r="Y42" i="10"/>
  <c r="R42" i="10"/>
  <c r="Q41" i="10"/>
  <c r="O42" i="10"/>
  <c r="N42" i="10"/>
  <c r="M42" i="10"/>
  <c r="L42" i="10"/>
  <c r="K42" i="10"/>
  <c r="J42" i="10"/>
  <c r="G42" i="10"/>
  <c r="F42" i="10"/>
  <c r="AL41" i="10"/>
  <c r="AK41" i="10"/>
  <c r="AH41" i="10"/>
  <c r="AG41" i="10"/>
  <c r="AG43" i="10"/>
  <c r="AD41" i="10"/>
  <c r="AC41" i="10"/>
  <c r="Z41" i="10"/>
  <c r="E2" i="6"/>
  <c r="Y41" i="10"/>
  <c r="P41" i="10"/>
  <c r="O41" i="10"/>
  <c r="M41" i="10"/>
  <c r="L41" i="10"/>
  <c r="K41" i="10"/>
  <c r="I41" i="10"/>
  <c r="H41" i="10"/>
  <c r="G41" i="10"/>
  <c r="AN45" i="9"/>
  <c r="AM45" i="9"/>
  <c r="AL45" i="9"/>
  <c r="AK45" i="9"/>
  <c r="AJ45" i="9"/>
  <c r="AI45" i="9"/>
  <c r="AH45" i="9"/>
  <c r="AG45" i="9"/>
  <c r="AF45" i="9"/>
  <c r="AE45" i="9"/>
  <c r="AD45" i="9"/>
  <c r="AC45" i="9"/>
  <c r="AB45" i="9"/>
  <c r="AA45" i="9"/>
  <c r="Z45" i="9"/>
  <c r="Y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AL42" i="9"/>
  <c r="AL44" i="9"/>
  <c r="AH42" i="9"/>
  <c r="AD42" i="9"/>
  <c r="AD44" i="9"/>
  <c r="Z42" i="9"/>
  <c r="P42" i="9"/>
  <c r="P44" i="9"/>
  <c r="L42" i="9"/>
  <c r="H42" i="9"/>
  <c r="H44" i="9"/>
  <c r="AN42" i="9"/>
  <c r="AN44" i="9"/>
  <c r="AM42" i="9"/>
  <c r="AK42" i="9"/>
  <c r="AK44" i="9"/>
  <c r="AJ42" i="9"/>
  <c r="AJ44" i="9"/>
  <c r="AI42" i="9"/>
  <c r="AI44" i="9"/>
  <c r="AG42" i="9"/>
  <c r="AF42" i="9"/>
  <c r="AF44" i="9"/>
  <c r="AE42" i="9"/>
  <c r="AC42" i="9"/>
  <c r="AB42" i="9"/>
  <c r="AB44" i="9"/>
  <c r="AA42" i="9"/>
  <c r="Y42" i="9"/>
  <c r="R42" i="9"/>
  <c r="R44" i="9"/>
  <c r="Q42" i="9"/>
  <c r="Q44" i="9"/>
  <c r="O42" i="9"/>
  <c r="N42" i="9"/>
  <c r="N44" i="9"/>
  <c r="M42" i="9"/>
  <c r="K42" i="9"/>
  <c r="J42" i="9"/>
  <c r="J44" i="9"/>
  <c r="I42" i="9"/>
  <c r="I44" i="9"/>
  <c r="G42" i="9"/>
  <c r="F42" i="9"/>
  <c r="F44" i="9"/>
  <c r="AN39" i="9"/>
  <c r="AM39" i="9"/>
  <c r="AL39" i="9"/>
  <c r="AK39" i="9"/>
  <c r="AJ39" i="9"/>
  <c r="AI39" i="9"/>
  <c r="AH39" i="9"/>
  <c r="AG39" i="9"/>
  <c r="AF39" i="9"/>
  <c r="AF41" i="9"/>
  <c r="AE39" i="9"/>
  <c r="AD39" i="9"/>
  <c r="AC39" i="9"/>
  <c r="AB39" i="9"/>
  <c r="AB41" i="9"/>
  <c r="AA39" i="9"/>
  <c r="E109" i="1"/>
  <c r="F109" i="1"/>
  <c r="Z39" i="9"/>
  <c r="Y39" i="9"/>
  <c r="R39" i="9"/>
  <c r="Q39" i="9"/>
  <c r="Q41" i="9"/>
  <c r="P39" i="9"/>
  <c r="P41" i="9"/>
  <c r="O39" i="9"/>
  <c r="N39" i="9"/>
  <c r="M39" i="9"/>
  <c r="M41" i="9"/>
  <c r="L39" i="9"/>
  <c r="L41" i="9"/>
  <c r="K39" i="9"/>
  <c r="J39" i="9"/>
  <c r="I39" i="9"/>
  <c r="I41" i="9"/>
  <c r="H39" i="9"/>
  <c r="H41" i="9"/>
  <c r="G39" i="9"/>
  <c r="F39" i="9"/>
  <c r="AN36" i="9"/>
  <c r="AJ36" i="9"/>
  <c r="AF36" i="9"/>
  <c r="AB36" i="9"/>
  <c r="R36" i="9"/>
  <c r="N36" i="9"/>
  <c r="J36" i="9"/>
  <c r="F36" i="9"/>
  <c r="AM36" i="9"/>
  <c r="AL36" i="9"/>
  <c r="AK36" i="9"/>
  <c r="AI36" i="9"/>
  <c r="AH36" i="9"/>
  <c r="AG36" i="9"/>
  <c r="AE36" i="9"/>
  <c r="AD36" i="9"/>
  <c r="AC36" i="9"/>
  <c r="AA36" i="9"/>
  <c r="F5" i="6"/>
  <c r="Z36" i="9"/>
  <c r="Y36" i="9"/>
  <c r="Q36" i="9"/>
  <c r="P36" i="9"/>
  <c r="H6" i="4"/>
  <c r="O36" i="9"/>
  <c r="M36" i="9"/>
  <c r="L36" i="9"/>
  <c r="K36" i="9"/>
  <c r="I36" i="9"/>
  <c r="H36" i="9"/>
  <c r="D8" i="4"/>
  <c r="G36" i="9"/>
  <c r="I5" i="6"/>
  <c r="AN47" i="19"/>
  <c r="AM47" i="19"/>
  <c r="AL47" i="19"/>
  <c r="AK47" i="19"/>
  <c r="AJ47" i="19"/>
  <c r="AI47" i="19"/>
  <c r="AH47" i="19"/>
  <c r="AG47" i="19"/>
  <c r="AF47" i="19"/>
  <c r="AE47" i="19"/>
  <c r="AD47" i="19"/>
  <c r="AC47" i="19"/>
  <c r="AB47" i="19"/>
  <c r="AA47" i="19"/>
  <c r="Z47" i="19"/>
  <c r="Y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AN44" i="19"/>
  <c r="AM44" i="19"/>
  <c r="AM46" i="19"/>
  <c r="AL44" i="19"/>
  <c r="AL46" i="19"/>
  <c r="AK44" i="19"/>
  <c r="AK46" i="19"/>
  <c r="AJ44" i="19"/>
  <c r="AJ46" i="19"/>
  <c r="AI44" i="19"/>
  <c r="AH44" i="19"/>
  <c r="AG44" i="19"/>
  <c r="AG46" i="19"/>
  <c r="AF44" i="19"/>
  <c r="AE44" i="19"/>
  <c r="AE46" i="19"/>
  <c r="AD44" i="19"/>
  <c r="AD46" i="19"/>
  <c r="AC44" i="19"/>
  <c r="AB44" i="19"/>
  <c r="AA44" i="19"/>
  <c r="AA46" i="19"/>
  <c r="Z44" i="19"/>
  <c r="Y44" i="19"/>
  <c r="R44" i="19"/>
  <c r="R46" i="19"/>
  <c r="Q44" i="19"/>
  <c r="Q46" i="19"/>
  <c r="P44" i="19"/>
  <c r="O44" i="19"/>
  <c r="O46" i="19"/>
  <c r="N44" i="19"/>
  <c r="M44" i="19"/>
  <c r="M46" i="19"/>
  <c r="L44" i="19"/>
  <c r="L46" i="19"/>
  <c r="K44" i="19"/>
  <c r="K46" i="19"/>
  <c r="J44" i="19"/>
  <c r="J46" i="19"/>
  <c r="I44" i="19"/>
  <c r="I46" i="19"/>
  <c r="H44" i="19"/>
  <c r="G44" i="19"/>
  <c r="G46" i="19"/>
  <c r="F44" i="19"/>
  <c r="F46" i="19"/>
  <c r="AN41" i="19"/>
  <c r="AM41" i="19"/>
  <c r="AM43" i="19"/>
  <c r="AL41" i="19"/>
  <c r="AK41" i="19"/>
  <c r="AJ41" i="19"/>
  <c r="AI41" i="19"/>
  <c r="AI43" i="19"/>
  <c r="AH41" i="19"/>
  <c r="AG41" i="19"/>
  <c r="AF41" i="19"/>
  <c r="AE41" i="19"/>
  <c r="AE43" i="19"/>
  <c r="AD41" i="19"/>
  <c r="AC41" i="19"/>
  <c r="AB41" i="19"/>
  <c r="AA41" i="19"/>
  <c r="AA43" i="19"/>
  <c r="Z41" i="19"/>
  <c r="Y41" i="19"/>
  <c r="R41" i="19"/>
  <c r="Q41" i="19"/>
  <c r="Q43" i="19"/>
  <c r="P41" i="19"/>
  <c r="P43" i="19"/>
  <c r="O41" i="19"/>
  <c r="O43" i="19"/>
  <c r="N41" i="19"/>
  <c r="N43" i="19"/>
  <c r="M41" i="19"/>
  <c r="L41" i="19"/>
  <c r="L43" i="19"/>
  <c r="K41" i="19"/>
  <c r="K43" i="19"/>
  <c r="J41" i="19"/>
  <c r="J43" i="19"/>
  <c r="I41" i="19"/>
  <c r="H41" i="19"/>
  <c r="H43" i="19"/>
  <c r="G41" i="19"/>
  <c r="G43" i="19"/>
  <c r="F41" i="19"/>
  <c r="AN38" i="19"/>
  <c r="AM38" i="19"/>
  <c r="AM40" i="19"/>
  <c r="AL38" i="19"/>
  <c r="AK38" i="19"/>
  <c r="AK40" i="19"/>
  <c r="AJ38" i="19"/>
  <c r="AI38" i="19"/>
  <c r="AI40" i="19"/>
  <c r="AH38" i="19"/>
  <c r="AG38" i="19"/>
  <c r="AG40" i="19"/>
  <c r="AF38" i="19"/>
  <c r="AE38" i="19"/>
  <c r="AE40" i="19"/>
  <c r="AD38" i="19"/>
  <c r="AC38" i="19"/>
  <c r="AC40" i="19"/>
  <c r="AB38" i="19"/>
  <c r="G13" i="6"/>
  <c r="AA38" i="19"/>
  <c r="AA40" i="19"/>
  <c r="E18" i="1"/>
  <c r="AR6" i="19"/>
  <c r="Z38" i="19"/>
  <c r="E13" i="6"/>
  <c r="Y38" i="19"/>
  <c r="D13" i="6"/>
  <c r="R38" i="19"/>
  <c r="Q38" i="19"/>
  <c r="Q40" i="19"/>
  <c r="P38" i="19"/>
  <c r="O38" i="19"/>
  <c r="O40" i="19"/>
  <c r="D5" i="2"/>
  <c r="N38" i="19"/>
  <c r="M38" i="19"/>
  <c r="M40" i="19"/>
  <c r="L38" i="19"/>
  <c r="K38" i="19"/>
  <c r="K40" i="19"/>
  <c r="J38" i="19"/>
  <c r="J40" i="19"/>
  <c r="I38" i="19"/>
  <c r="I40" i="19"/>
  <c r="H38" i="19"/>
  <c r="G38" i="19"/>
  <c r="G40" i="19"/>
  <c r="H18" i="1"/>
  <c r="AR9" i="19"/>
  <c r="AU12" i="16"/>
  <c r="AU11" i="16"/>
  <c r="AU10" i="16"/>
  <c r="AU9" i="16"/>
  <c r="AU8" i="16"/>
  <c r="AU7" i="16"/>
  <c r="AU6" i="16"/>
  <c r="AU5" i="16"/>
  <c r="AL83" i="5"/>
  <c r="AL82" i="5"/>
  <c r="AL81" i="5"/>
  <c r="AL80" i="5"/>
  <c r="AL79" i="5"/>
  <c r="AL78" i="5"/>
  <c r="AL77" i="5"/>
  <c r="AL76" i="5"/>
  <c r="AL75" i="5"/>
  <c r="AL74" i="5"/>
  <c r="AL73" i="5"/>
  <c r="AL72" i="5"/>
  <c r="J83" i="1"/>
  <c r="AW11" i="12"/>
  <c r="J33" i="1"/>
  <c r="AU11" i="12"/>
  <c r="Z74" i="18"/>
  <c r="O74" i="18"/>
  <c r="Y74" i="18"/>
  <c r="X74" i="18"/>
  <c r="W74" i="18"/>
  <c r="I74" i="18"/>
  <c r="Z73" i="18"/>
  <c r="Y73" i="18"/>
  <c r="X73" i="18"/>
  <c r="W73" i="18"/>
  <c r="O73" i="18"/>
  <c r="I73" i="18"/>
  <c r="BJ20" i="15"/>
  <c r="BI20" i="15"/>
  <c r="BH20" i="15"/>
  <c r="BG20" i="15"/>
  <c r="L24" i="22"/>
  <c r="F24" i="22"/>
  <c r="AY12" i="14"/>
  <c r="AW12" i="14"/>
  <c r="AU12" i="14"/>
  <c r="AY11" i="14"/>
  <c r="AW11" i="14"/>
  <c r="AU11" i="14"/>
  <c r="AY10" i="14"/>
  <c r="AW10" i="14"/>
  <c r="AU10" i="14"/>
  <c r="AY9" i="14"/>
  <c r="AW9" i="14"/>
  <c r="AU9" i="14"/>
  <c r="AY8" i="14"/>
  <c r="AW8" i="14"/>
  <c r="AU8" i="14"/>
  <c r="AU7" i="14"/>
  <c r="AY6" i="14"/>
  <c r="AW6" i="14"/>
  <c r="AU6" i="14"/>
  <c r="AY5" i="14"/>
  <c r="AW5" i="14"/>
  <c r="AU5" i="14"/>
  <c r="AI46" i="19"/>
  <c r="AC46" i="19"/>
  <c r="AB46" i="19"/>
  <c r="Z46" i="19"/>
  <c r="Y46" i="19"/>
  <c r="AN46" i="19"/>
  <c r="AH46" i="19"/>
  <c r="AF46" i="19"/>
  <c r="P46" i="19"/>
  <c r="N46" i="19"/>
  <c r="H46" i="19"/>
  <c r="I43" i="19"/>
  <c r="G60" i="1"/>
  <c r="BA9" i="16"/>
  <c r="BC9" i="16"/>
  <c r="K59" i="1"/>
  <c r="AY12" i="13"/>
  <c r="I94" i="1"/>
  <c r="I67" i="1"/>
  <c r="I44" i="1"/>
  <c r="BJ18" i="15"/>
  <c r="BI18" i="15"/>
  <c r="BH18" i="15"/>
  <c r="BG18" i="15"/>
  <c r="BJ19" i="15"/>
  <c r="BI19" i="15"/>
  <c r="BH19" i="15"/>
  <c r="BG19" i="15"/>
  <c r="BJ17" i="15"/>
  <c r="BI17" i="15"/>
  <c r="BH17" i="15"/>
  <c r="BG17" i="15"/>
  <c r="BB22" i="15"/>
  <c r="BA22" i="15"/>
  <c r="AZ22" i="15"/>
  <c r="AY22" i="15"/>
  <c r="F23" i="22"/>
  <c r="AY12" i="23"/>
  <c r="AW12" i="23"/>
  <c r="AU12" i="23"/>
  <c r="AY11" i="23"/>
  <c r="AW11" i="23"/>
  <c r="AU11" i="23"/>
  <c r="AY10" i="23"/>
  <c r="AW10" i="23"/>
  <c r="AU10" i="23"/>
  <c r="AY9" i="23"/>
  <c r="AW9" i="23"/>
  <c r="AU9" i="23"/>
  <c r="AY8" i="23"/>
  <c r="AW8" i="23"/>
  <c r="AU8" i="23"/>
  <c r="AU7" i="23"/>
  <c r="AY6" i="23"/>
  <c r="AW6" i="23"/>
  <c r="AU6" i="23"/>
  <c r="AY5" i="23"/>
  <c r="AW5" i="23"/>
  <c r="AU5" i="23"/>
  <c r="AW9" i="15"/>
  <c r="AY12" i="15"/>
  <c r="AY11" i="15"/>
  <c r="AY10" i="15"/>
  <c r="AY9" i="15"/>
  <c r="AY8" i="15"/>
  <c r="AY7" i="15"/>
  <c r="AY6" i="15"/>
  <c r="AY5" i="15"/>
  <c r="AY12" i="19"/>
  <c r="AY11" i="19"/>
  <c r="AY10" i="19"/>
  <c r="AY9" i="19"/>
  <c r="AY8" i="19"/>
  <c r="AY7" i="19"/>
  <c r="AY6" i="19"/>
  <c r="AY5" i="19"/>
  <c r="T76" i="18"/>
  <c r="S76" i="18"/>
  <c r="R76" i="18"/>
  <c r="Q76" i="18"/>
  <c r="X76" i="18"/>
  <c r="Z72" i="18"/>
  <c r="Y72" i="18"/>
  <c r="X72" i="18"/>
  <c r="W72" i="18"/>
  <c r="O72" i="18"/>
  <c r="I72" i="18"/>
  <c r="Z71" i="18"/>
  <c r="Y71" i="18"/>
  <c r="X71" i="18"/>
  <c r="W71" i="18"/>
  <c r="O71" i="18"/>
  <c r="I71" i="18"/>
  <c r="Z70" i="18"/>
  <c r="Y70" i="18"/>
  <c r="X70" i="18"/>
  <c r="W70" i="18"/>
  <c r="O70" i="18"/>
  <c r="I70" i="18"/>
  <c r="Z69" i="18"/>
  <c r="Y69" i="18"/>
  <c r="X69" i="18"/>
  <c r="W69" i="18"/>
  <c r="O69" i="18"/>
  <c r="I69" i="18"/>
  <c r="Z68" i="18"/>
  <c r="Y68" i="18"/>
  <c r="X68" i="18"/>
  <c r="W68" i="18"/>
  <c r="O68" i="18"/>
  <c r="I68" i="18"/>
  <c r="Z67" i="18"/>
  <c r="Y67" i="18"/>
  <c r="X67" i="18"/>
  <c r="W67" i="18"/>
  <c r="O67" i="18"/>
  <c r="I67" i="18"/>
  <c r="Z66" i="18"/>
  <c r="Y66" i="18"/>
  <c r="X66" i="18"/>
  <c r="W66" i="18"/>
  <c r="O66" i="18"/>
  <c r="I66" i="18"/>
  <c r="Z65" i="18"/>
  <c r="Y65" i="18"/>
  <c r="X65" i="18"/>
  <c r="W65" i="18"/>
  <c r="O65" i="18"/>
  <c r="I65" i="18"/>
  <c r="Z64" i="18"/>
  <c r="Y64" i="18"/>
  <c r="X64" i="18"/>
  <c r="W64" i="18"/>
  <c r="O64" i="18"/>
  <c r="I64" i="18"/>
  <c r="Z63" i="18"/>
  <c r="Y63" i="18"/>
  <c r="X63" i="18"/>
  <c r="W63" i="18"/>
  <c r="O63" i="18"/>
  <c r="I63" i="18"/>
  <c r="Z62" i="18"/>
  <c r="Y62" i="18"/>
  <c r="X62" i="18"/>
  <c r="W62" i="18"/>
  <c r="U62" i="18"/>
  <c r="O62" i="18"/>
  <c r="I62" i="18"/>
  <c r="Z61" i="18"/>
  <c r="Y61" i="18"/>
  <c r="X61" i="18"/>
  <c r="W61" i="18"/>
  <c r="O61" i="18"/>
  <c r="I61" i="18"/>
  <c r="Z60" i="18"/>
  <c r="Y60" i="18"/>
  <c r="X60" i="18"/>
  <c r="W60" i="18"/>
  <c r="O60" i="18"/>
  <c r="I60" i="18"/>
  <c r="Z59" i="18"/>
  <c r="Y59" i="18"/>
  <c r="X59" i="18"/>
  <c r="W59" i="18"/>
  <c r="O59" i="18"/>
  <c r="I59" i="18"/>
  <c r="Z58" i="18"/>
  <c r="Y58" i="18"/>
  <c r="AA58" i="18"/>
  <c r="X58" i="18"/>
  <c r="W58" i="18"/>
  <c r="O58" i="18"/>
  <c r="I58" i="18"/>
  <c r="Z57" i="18"/>
  <c r="Y57" i="18"/>
  <c r="X57" i="18"/>
  <c r="W57" i="18"/>
  <c r="O57" i="18"/>
  <c r="I57" i="18"/>
  <c r="Z56" i="18"/>
  <c r="Y56" i="18"/>
  <c r="X56" i="18"/>
  <c r="W56" i="18"/>
  <c r="O56" i="18"/>
  <c r="I56" i="18"/>
  <c r="Z55" i="18"/>
  <c r="Y55" i="18"/>
  <c r="X55" i="18"/>
  <c r="W55" i="18"/>
  <c r="O55" i="18"/>
  <c r="I55" i="18"/>
  <c r="Z54" i="18"/>
  <c r="Y54" i="18"/>
  <c r="X54" i="18"/>
  <c r="W54" i="18"/>
  <c r="O54" i="18"/>
  <c r="I54" i="18"/>
  <c r="BA7" i="18"/>
  <c r="BA6" i="18"/>
  <c r="BA5" i="18"/>
  <c r="BA12" i="18"/>
  <c r="BA11" i="18"/>
  <c r="BA10" i="18"/>
  <c r="AY12" i="18"/>
  <c r="AY11" i="18"/>
  <c r="AY10" i="18"/>
  <c r="AY9" i="18"/>
  <c r="AY8" i="18"/>
  <c r="AY6" i="18"/>
  <c r="AY5" i="18"/>
  <c r="BA12" i="17"/>
  <c r="AY12" i="17"/>
  <c r="BA11" i="17"/>
  <c r="AY11" i="17"/>
  <c r="BA10" i="17"/>
  <c r="AY10" i="17"/>
  <c r="BA9" i="17"/>
  <c r="AY9" i="17"/>
  <c r="BA8" i="17"/>
  <c r="AY8" i="17"/>
  <c r="BA7" i="17"/>
  <c r="BA6" i="17"/>
  <c r="AY6" i="17"/>
  <c r="BA5" i="17"/>
  <c r="AY5" i="17"/>
  <c r="AU8" i="13"/>
  <c r="AU6" i="13"/>
  <c r="AU5" i="13"/>
  <c r="AW12" i="13"/>
  <c r="AU11" i="13"/>
  <c r="AW9" i="13"/>
  <c r="BA12" i="12"/>
  <c r="AY12" i="12"/>
  <c r="BA11" i="12"/>
  <c r="AY11" i="12"/>
  <c r="BA10" i="12"/>
  <c r="AY10" i="12"/>
  <c r="BA9" i="12"/>
  <c r="AY9" i="12"/>
  <c r="BA8" i="12"/>
  <c r="AY8" i="12"/>
  <c r="BA7" i="12"/>
  <c r="BA6" i="12"/>
  <c r="AY6" i="12"/>
  <c r="BA5" i="12"/>
  <c r="AY5" i="12"/>
  <c r="BA7" i="11"/>
  <c r="BA5" i="11"/>
  <c r="BA9" i="11"/>
  <c r="AY12" i="11"/>
  <c r="AY11" i="11"/>
  <c r="AY10" i="11"/>
  <c r="AY9" i="11"/>
  <c r="AY7" i="11"/>
  <c r="AY6" i="11"/>
  <c r="AY5" i="11"/>
  <c r="AX12" i="9"/>
  <c r="AX11" i="9"/>
  <c r="AX10" i="9"/>
  <c r="AX9" i="9"/>
  <c r="AX8" i="9"/>
  <c r="AX6" i="9"/>
  <c r="AX5" i="9"/>
  <c r="G162" i="21"/>
  <c r="C162" i="21"/>
  <c r="AT33" i="5"/>
  <c r="AT32" i="5"/>
  <c r="AT31" i="5"/>
  <c r="AT30" i="5"/>
  <c r="AT29" i="5"/>
  <c r="AT28" i="5"/>
  <c r="AT23" i="5"/>
  <c r="AT27" i="5"/>
  <c r="AT26" i="5"/>
  <c r="AT25" i="5"/>
  <c r="AT24" i="5"/>
  <c r="AT22" i="5"/>
  <c r="N36" i="2"/>
  <c r="M36" i="2"/>
  <c r="L36" i="2"/>
  <c r="K36" i="2"/>
  <c r="J36" i="2"/>
  <c r="I36" i="2"/>
  <c r="O35" i="2"/>
  <c r="O34" i="2"/>
  <c r="P34" i="2"/>
  <c r="O33" i="2"/>
  <c r="P33" i="2"/>
  <c r="O32" i="2"/>
  <c r="Q32" i="2"/>
  <c r="O31" i="2"/>
  <c r="P31" i="2"/>
  <c r="O30" i="2"/>
  <c r="O29" i="2"/>
  <c r="P29" i="2"/>
  <c r="O28" i="2"/>
  <c r="P28" i="2"/>
  <c r="O27" i="2"/>
  <c r="P27" i="2"/>
  <c r="O26" i="2"/>
  <c r="O25" i="2"/>
  <c r="P25" i="2"/>
  <c r="O24" i="2"/>
  <c r="P24" i="2"/>
  <c r="N15" i="2"/>
  <c r="M15" i="2"/>
  <c r="L15" i="2"/>
  <c r="K15" i="2"/>
  <c r="J15" i="2"/>
  <c r="I15" i="2"/>
  <c r="O14" i="2"/>
  <c r="R14" i="2"/>
  <c r="O13" i="2"/>
  <c r="Q13" i="2"/>
  <c r="O12" i="2"/>
  <c r="O11" i="2"/>
  <c r="R11" i="2"/>
  <c r="O10" i="2"/>
  <c r="Q10" i="2"/>
  <c r="O9" i="2"/>
  <c r="R9" i="2"/>
  <c r="O8" i="2"/>
  <c r="O7" i="2"/>
  <c r="O6" i="2"/>
  <c r="R6" i="2"/>
  <c r="O5" i="2"/>
  <c r="O4" i="2"/>
  <c r="R4" i="2"/>
  <c r="O3" i="2"/>
  <c r="Q3" i="2"/>
  <c r="L23" i="22"/>
  <c r="L22" i="22"/>
  <c r="F22" i="22"/>
  <c r="L21" i="22"/>
  <c r="F21" i="22"/>
  <c r="L20" i="22"/>
  <c r="F20" i="22"/>
  <c r="L19" i="22"/>
  <c r="F19" i="22"/>
  <c r="L18" i="22"/>
  <c r="F18" i="22"/>
  <c r="L17" i="22"/>
  <c r="F17" i="22"/>
  <c r="L16" i="22"/>
  <c r="F16" i="22"/>
  <c r="L15" i="22"/>
  <c r="F15" i="22"/>
  <c r="L14" i="22"/>
  <c r="F14" i="22"/>
  <c r="L13" i="22"/>
  <c r="F13" i="22"/>
  <c r="L12" i="22"/>
  <c r="F12" i="22"/>
  <c r="L11" i="22"/>
  <c r="F11" i="22"/>
  <c r="L10" i="22"/>
  <c r="F10" i="22"/>
  <c r="L9" i="22"/>
  <c r="F9" i="22"/>
  <c r="L8" i="22"/>
  <c r="F8" i="22"/>
  <c r="L7" i="22"/>
  <c r="F7" i="22"/>
  <c r="L6" i="22"/>
  <c r="F6" i="22"/>
  <c r="L5" i="22"/>
  <c r="F5" i="22"/>
  <c r="L4" i="22"/>
  <c r="F4" i="22"/>
  <c r="L3" i="22"/>
  <c r="F3" i="22"/>
  <c r="L123" i="1"/>
  <c r="K123" i="1"/>
  <c r="J123" i="1"/>
  <c r="H123" i="1"/>
  <c r="G123" i="1"/>
  <c r="D123" i="1"/>
  <c r="C123" i="1"/>
  <c r="I122" i="1"/>
  <c r="I121" i="1"/>
  <c r="I120" i="1"/>
  <c r="I119" i="1"/>
  <c r="F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F107" i="1"/>
  <c r="I106" i="1"/>
  <c r="I105" i="1"/>
  <c r="I104" i="1"/>
  <c r="I103" i="1"/>
  <c r="I97" i="1"/>
  <c r="I96" i="1"/>
  <c r="I95" i="1"/>
  <c r="I91" i="1"/>
  <c r="I90" i="1"/>
  <c r="I88" i="1"/>
  <c r="I87" i="1"/>
  <c r="I86" i="1"/>
  <c r="I85" i="1"/>
  <c r="I80" i="1"/>
  <c r="I79" i="1"/>
  <c r="I72" i="1"/>
  <c r="F72" i="1"/>
  <c r="I70" i="1"/>
  <c r="I68" i="1"/>
  <c r="F68" i="1"/>
  <c r="I66" i="1"/>
  <c r="F66" i="1"/>
  <c r="I65" i="1"/>
  <c r="F65" i="1"/>
  <c r="I64" i="1"/>
  <c r="F64" i="1"/>
  <c r="I62" i="1"/>
  <c r="F62" i="1"/>
  <c r="I61" i="1"/>
  <c r="BA12" i="11"/>
  <c r="BA10" i="11"/>
  <c r="BA6" i="11"/>
  <c r="I56" i="1"/>
  <c r="F56" i="1"/>
  <c r="I54" i="1"/>
  <c r="F54" i="1"/>
  <c r="I53" i="1"/>
  <c r="I47" i="1"/>
  <c r="F47" i="1"/>
  <c r="I46" i="1"/>
  <c r="I45" i="1"/>
  <c r="AU7" i="15"/>
  <c r="I41" i="1"/>
  <c r="F41" i="1"/>
  <c r="I40" i="1"/>
  <c r="F40" i="1"/>
  <c r="I38" i="1"/>
  <c r="I37" i="1"/>
  <c r="I36" i="1"/>
  <c r="I35" i="1"/>
  <c r="F35" i="1"/>
  <c r="I30" i="1"/>
  <c r="F30" i="1"/>
  <c r="I29" i="1"/>
  <c r="I22" i="1"/>
  <c r="F22" i="1"/>
  <c r="I20" i="1"/>
  <c r="F20" i="1"/>
  <c r="I16" i="1"/>
  <c r="F16" i="1"/>
  <c r="I15" i="1"/>
  <c r="F15" i="1"/>
  <c r="I12" i="1"/>
  <c r="F12" i="1"/>
  <c r="I11" i="1"/>
  <c r="F11" i="1"/>
  <c r="I4" i="1"/>
  <c r="F4" i="1"/>
  <c r="AW8" i="15"/>
  <c r="BA8" i="11"/>
  <c r="AU5" i="15"/>
  <c r="AU6" i="15"/>
  <c r="AU9" i="13"/>
  <c r="E117" i="1"/>
  <c r="AY7" i="18"/>
  <c r="AX7" i="9"/>
  <c r="AW6" i="15"/>
  <c r="AW6" i="13"/>
  <c r="AW5" i="15"/>
  <c r="AU8" i="15"/>
  <c r="AW11" i="15"/>
  <c r="AW7" i="15"/>
  <c r="AU10" i="15"/>
  <c r="AW12" i="15"/>
  <c r="AX22" i="15"/>
  <c r="AW10" i="15"/>
  <c r="AU9" i="15"/>
  <c r="AU11" i="15"/>
  <c r="AW22" i="15"/>
  <c r="BI22" i="15"/>
  <c r="AW11" i="13"/>
  <c r="AU12" i="13"/>
  <c r="AU10" i="13"/>
  <c r="AW8" i="13"/>
  <c r="F88" i="1"/>
  <c r="AU12" i="15"/>
  <c r="AV22" i="15"/>
  <c r="AU22" i="15"/>
  <c r="L26" i="22"/>
  <c r="BA11" i="11"/>
  <c r="F57" i="1"/>
  <c r="BA8" i="18"/>
  <c r="BA9" i="18"/>
  <c r="AW10" i="13"/>
  <c r="I84" i="1"/>
  <c r="AU7" i="13"/>
  <c r="F34" i="1"/>
  <c r="AW5" i="13"/>
  <c r="I57" i="1"/>
  <c r="F53" i="1"/>
  <c r="I63" i="1"/>
  <c r="F63" i="1"/>
  <c r="I34" i="1"/>
  <c r="AM38" i="9"/>
  <c r="M38" i="9"/>
  <c r="AI38" i="9"/>
  <c r="AH43" i="10"/>
  <c r="Y43" i="10"/>
  <c r="B6" i="1"/>
  <c r="AR4" i="10"/>
  <c r="L43" i="10"/>
  <c r="L6" i="1"/>
  <c r="K39" i="18"/>
  <c r="L37" i="11"/>
  <c r="L7" i="1"/>
  <c r="I37" i="11"/>
  <c r="I39" i="13"/>
  <c r="AE39" i="13"/>
  <c r="BC12" i="16"/>
  <c r="AD39" i="18"/>
  <c r="L39" i="18"/>
  <c r="L17" i="1"/>
  <c r="E76" i="18"/>
  <c r="I76" i="18"/>
  <c r="F38" i="17"/>
  <c r="G14" i="1"/>
  <c r="AR8" i="17"/>
  <c r="J38" i="17"/>
  <c r="J14" i="1"/>
  <c r="AR10" i="17"/>
  <c r="K38" i="17"/>
  <c r="M46" i="10"/>
  <c r="AI46" i="10"/>
  <c r="G43" i="10"/>
  <c r="H6" i="1"/>
  <c r="AR9" i="10"/>
  <c r="N42" i="13"/>
  <c r="J39" i="13"/>
  <c r="J9" i="1"/>
  <c r="AR10" i="13"/>
  <c r="AF39" i="13"/>
  <c r="N39" i="13"/>
  <c r="S8" i="2"/>
  <c r="L39" i="13"/>
  <c r="L9" i="1"/>
  <c r="AH39" i="13"/>
  <c r="L42" i="13"/>
  <c r="L59" i="1"/>
  <c r="M43" i="19"/>
  <c r="G41" i="14"/>
  <c r="H5" i="1"/>
  <c r="AR9" i="14"/>
  <c r="K41" i="14"/>
  <c r="O41" i="14"/>
  <c r="D7" i="2"/>
  <c r="Y41" i="14"/>
  <c r="B5" i="1"/>
  <c r="AR4" i="14"/>
  <c r="AC41" i="14"/>
  <c r="AM44" i="14"/>
  <c r="AG41" i="14"/>
  <c r="K45" i="18"/>
  <c r="AN45" i="18"/>
  <c r="AE45" i="12"/>
  <c r="R8" i="2"/>
  <c r="Q8" i="2"/>
  <c r="M37" i="23"/>
  <c r="AI37" i="23"/>
  <c r="B21" i="1"/>
  <c r="AR4" i="23"/>
  <c r="AE40" i="23"/>
  <c r="AI40" i="23"/>
  <c r="K37" i="23"/>
  <c r="K40" i="23"/>
  <c r="G37" i="23"/>
  <c r="H21" i="1"/>
  <c r="AR9" i="23"/>
  <c r="AL40" i="23"/>
  <c r="F6" i="6"/>
  <c r="F14" i="2"/>
  <c r="Q14" i="2"/>
  <c r="E85" i="1"/>
  <c r="F85" i="1"/>
  <c r="Q25" i="2"/>
  <c r="S10" i="2"/>
  <c r="L40" i="19"/>
  <c r="L18" i="1"/>
  <c r="P40" i="19"/>
  <c r="AD40" i="19"/>
  <c r="F43" i="19"/>
  <c r="G43" i="1"/>
  <c r="R43" i="19"/>
  <c r="K93" i="1"/>
  <c r="AW12" i="19"/>
  <c r="AB43" i="19"/>
  <c r="D93" i="1"/>
  <c r="AW8" i="19"/>
  <c r="AF43" i="19"/>
  <c r="AJ43" i="19"/>
  <c r="AN43" i="19"/>
  <c r="AH40" i="19"/>
  <c r="AL40" i="19"/>
  <c r="H43" i="1"/>
  <c r="AU10" i="19"/>
  <c r="BA10" i="19"/>
  <c r="Y43" i="19"/>
  <c r="B93" i="1"/>
  <c r="AW5" i="19"/>
  <c r="AC43" i="19"/>
  <c r="AG43" i="19"/>
  <c r="AK43" i="19"/>
  <c r="N40" i="19"/>
  <c r="B5" i="2"/>
  <c r="F5" i="2"/>
  <c r="R40" i="19"/>
  <c r="K18" i="1"/>
  <c r="AR11" i="19"/>
  <c r="AF40" i="19"/>
  <c r="AJ40" i="19"/>
  <c r="AN40" i="19"/>
  <c r="Z43" i="19"/>
  <c r="C93" i="1"/>
  <c r="AW6" i="19"/>
  <c r="AD43" i="19"/>
  <c r="AH43" i="19"/>
  <c r="AL43" i="19"/>
  <c r="R45" i="18"/>
  <c r="O45" i="18"/>
  <c r="T8" i="2"/>
  <c r="D10" i="2"/>
  <c r="AM45" i="12"/>
  <c r="AJ45" i="12"/>
  <c r="E6" i="1"/>
  <c r="AR6" i="10"/>
  <c r="AB49" i="10"/>
  <c r="O43" i="10"/>
  <c r="D9" i="2"/>
  <c r="AK43" i="10"/>
  <c r="J46" i="10"/>
  <c r="J81" i="1"/>
  <c r="N46" i="10"/>
  <c r="AD43" i="10"/>
  <c r="AL43" i="10"/>
  <c r="AM43" i="10"/>
  <c r="J43" i="10"/>
  <c r="B3" i="4"/>
  <c r="K46" i="10"/>
  <c r="AL46" i="10"/>
  <c r="AH49" i="10"/>
  <c r="AN49" i="10"/>
  <c r="AM49" i="10"/>
  <c r="AI49" i="10"/>
  <c r="N49" i="10"/>
  <c r="L49" i="10"/>
  <c r="Q28" i="2"/>
  <c r="Q24" i="2"/>
  <c r="R13" i="2"/>
  <c r="Q27" i="2"/>
  <c r="D10" i="6"/>
  <c r="E10" i="1"/>
  <c r="AR6" i="16"/>
  <c r="AK37" i="11"/>
  <c r="F40" i="19"/>
  <c r="G18" i="1"/>
  <c r="I18" i="1"/>
  <c r="AG49" i="10"/>
  <c r="N37" i="11"/>
  <c r="Z40" i="11"/>
  <c r="C32" i="1"/>
  <c r="AU6" i="11"/>
  <c r="BC6" i="11"/>
  <c r="AD40" i="11"/>
  <c r="AH40" i="11"/>
  <c r="AL40" i="11"/>
  <c r="F45" i="12"/>
  <c r="M45" i="12"/>
  <c r="Z45" i="12"/>
  <c r="M38" i="17"/>
  <c r="Z41" i="17"/>
  <c r="C39" i="1"/>
  <c r="AU6" i="17"/>
  <c r="BC6" i="17"/>
  <c r="AD41" i="17"/>
  <c r="AH41" i="17"/>
  <c r="AK45" i="18"/>
  <c r="G45" i="18"/>
  <c r="AB45" i="18"/>
  <c r="AI45" i="18"/>
  <c r="AH45" i="18"/>
  <c r="O76" i="18"/>
  <c r="Z44" i="14"/>
  <c r="C55" i="1"/>
  <c r="BA6" i="14"/>
  <c r="BC6" i="14"/>
  <c r="AD44" i="14"/>
  <c r="AL44" i="14"/>
  <c r="BA5" i="13"/>
  <c r="G37" i="16"/>
  <c r="H10" i="1"/>
  <c r="AR9" i="16"/>
  <c r="O37" i="16"/>
  <c r="D13" i="2"/>
  <c r="F13" i="2"/>
  <c r="AC37" i="16"/>
  <c r="AK37" i="16"/>
  <c r="M40" i="16"/>
  <c r="AA40" i="16"/>
  <c r="AE40" i="16"/>
  <c r="AI40" i="16"/>
  <c r="AM40" i="16"/>
  <c r="C21" i="1"/>
  <c r="AR5" i="23" s="1"/>
  <c r="M40" i="23"/>
  <c r="Q26" i="2"/>
  <c r="P26" i="2"/>
  <c r="R49" i="10"/>
  <c r="BC8" i="16"/>
  <c r="BE8" i="23"/>
  <c r="R12" i="2"/>
  <c r="Q12" i="2"/>
  <c r="AA43" i="10"/>
  <c r="Y49" i="10"/>
  <c r="K37" i="11"/>
  <c r="J40" i="11"/>
  <c r="J32" i="1"/>
  <c r="AU11" i="11"/>
  <c r="BC11" i="11"/>
  <c r="N40" i="11"/>
  <c r="O45" i="12"/>
  <c r="G38" i="17"/>
  <c r="H14" i="1"/>
  <c r="AR9" i="17"/>
  <c r="AK38" i="17"/>
  <c r="J41" i="17"/>
  <c r="J39" i="1"/>
  <c r="AU11" i="17"/>
  <c r="BC11" i="17"/>
  <c r="N41" i="17"/>
  <c r="AC39" i="18"/>
  <c r="F45" i="18"/>
  <c r="L41" i="14"/>
  <c r="L5" i="1"/>
  <c r="Z41" i="14"/>
  <c r="C5" i="1"/>
  <c r="AR5" i="14"/>
  <c r="AE41" i="14"/>
  <c r="F44" i="14"/>
  <c r="G55" i="1"/>
  <c r="BA9" i="14"/>
  <c r="BC9" i="14"/>
  <c r="R39" i="13"/>
  <c r="K9" i="1"/>
  <c r="AR11" i="13"/>
  <c r="AN39" i="13"/>
  <c r="M42" i="13"/>
  <c r="K37" i="16"/>
  <c r="L37" i="23"/>
  <c r="L21" i="1"/>
  <c r="Y40" i="23"/>
  <c r="B71" i="1"/>
  <c r="BA5" i="23"/>
  <c r="BE5" i="23"/>
  <c r="AC40" i="23"/>
  <c r="AG40" i="23"/>
  <c r="Z49" i="10"/>
  <c r="BA11" i="13"/>
  <c r="AA55" i="18"/>
  <c r="AA54" i="18"/>
  <c r="AA63" i="18"/>
  <c r="AA67" i="18"/>
  <c r="AA68" i="18"/>
  <c r="AA69" i="18"/>
  <c r="AA71" i="18"/>
  <c r="Y76" i="18"/>
  <c r="Y45" i="18"/>
  <c r="J45" i="18"/>
  <c r="L42" i="18"/>
  <c r="L42" i="1"/>
  <c r="B92" i="1"/>
  <c r="AW5" i="18"/>
  <c r="AL39" i="18"/>
  <c r="AA59" i="18"/>
  <c r="AA62" i="18"/>
  <c r="AA64" i="18"/>
  <c r="AA65" i="18"/>
  <c r="AA66" i="18"/>
  <c r="AA70" i="18"/>
  <c r="U76" i="18"/>
  <c r="H42" i="1"/>
  <c r="AU10" i="18"/>
  <c r="BC10" i="18"/>
  <c r="M42" i="18"/>
  <c r="AC45" i="18"/>
  <c r="P39" i="18"/>
  <c r="AA74" i="18"/>
  <c r="Z39" i="18"/>
  <c r="C17" i="1"/>
  <c r="AR5" i="18"/>
  <c r="B17" i="1"/>
  <c r="AR4" i="18" s="1"/>
  <c r="F42" i="18"/>
  <c r="G42" i="1"/>
  <c r="AU9" i="18"/>
  <c r="BC9" i="18"/>
  <c r="AB42" i="18"/>
  <c r="D42" i="1"/>
  <c r="AU8" i="18"/>
  <c r="BC8" i="18"/>
  <c r="AF42" i="18"/>
  <c r="AJ42" i="18"/>
  <c r="N45" i="18"/>
  <c r="E6" i="6"/>
  <c r="J39" i="18"/>
  <c r="K42" i="18"/>
  <c r="O42" i="18"/>
  <c r="BC5" i="18"/>
  <c r="AM45" i="18"/>
  <c r="N39" i="18"/>
  <c r="B11" i="2"/>
  <c r="AA45" i="18"/>
  <c r="L45" i="18"/>
  <c r="F39" i="18"/>
  <c r="AA56" i="18"/>
  <c r="AA57" i="18"/>
  <c r="AA60" i="18"/>
  <c r="AA61" i="18"/>
  <c r="AA72" i="18"/>
  <c r="AA73" i="18"/>
  <c r="I39" i="18"/>
  <c r="Q39" i="18"/>
  <c r="AE39" i="18"/>
  <c r="AM39" i="18"/>
  <c r="O39" i="18"/>
  <c r="D11" i="2"/>
  <c r="AK39" i="18"/>
  <c r="AE42" i="18"/>
  <c r="AI42" i="18"/>
  <c r="AM42" i="18"/>
  <c r="AE45" i="18"/>
  <c r="M45" i="18"/>
  <c r="H10" i="4"/>
  <c r="Q30" i="2"/>
  <c r="P30" i="2"/>
  <c r="K10" i="6"/>
  <c r="I6" i="6"/>
  <c r="H17" i="1"/>
  <c r="AR9" i="18"/>
  <c r="C92" i="1"/>
  <c r="AW6" i="18"/>
  <c r="Z40" i="19"/>
  <c r="C18" i="1"/>
  <c r="AR5" i="19"/>
  <c r="R7" i="2"/>
  <c r="Q7" i="2"/>
  <c r="Q35" i="2"/>
  <c r="P35" i="2"/>
  <c r="AB39" i="15"/>
  <c r="D19" i="1"/>
  <c r="AR7" i="15"/>
  <c r="AJ39" i="15"/>
  <c r="BH22" i="15"/>
  <c r="L42" i="15"/>
  <c r="L69" i="1"/>
  <c r="AF42" i="15"/>
  <c r="BG22" i="15"/>
  <c r="AJ42" i="15"/>
  <c r="Z42" i="15"/>
  <c r="C69" i="1"/>
  <c r="BA6" i="15"/>
  <c r="BC6" i="15"/>
  <c r="AL42" i="15"/>
  <c r="AC42" i="15"/>
  <c r="O42" i="15"/>
  <c r="K42" i="12"/>
  <c r="O42" i="12"/>
  <c r="J45" i="12"/>
  <c r="AD45" i="12"/>
  <c r="D7" i="6"/>
  <c r="BC11" i="12"/>
  <c r="R45" i="12"/>
  <c r="AI45" i="12"/>
  <c r="P39" i="12"/>
  <c r="AL39" i="12"/>
  <c r="I39" i="12"/>
  <c r="AE39" i="12"/>
  <c r="AA42" i="12"/>
  <c r="E83" i="1"/>
  <c r="AE42" i="12"/>
  <c r="AM42" i="12"/>
  <c r="K45" i="12"/>
  <c r="J42" i="12"/>
  <c r="N42" i="12"/>
  <c r="N45" i="12"/>
  <c r="AA45" i="12"/>
  <c r="AF45" i="12"/>
  <c r="AH45" i="12"/>
  <c r="L39" i="12"/>
  <c r="L8" i="1"/>
  <c r="AH39" i="12"/>
  <c r="Q39" i="12"/>
  <c r="AM39" i="12"/>
  <c r="G42" i="12"/>
  <c r="H83" i="1"/>
  <c r="AW10" i="12"/>
  <c r="Y42" i="12"/>
  <c r="B83" i="1"/>
  <c r="AW5" i="12"/>
  <c r="AC42" i="12"/>
  <c r="AG42" i="12"/>
  <c r="AK42" i="12"/>
  <c r="AB45" i="12"/>
  <c r="J39" i="12"/>
  <c r="J8" i="1"/>
  <c r="AR10" i="12"/>
  <c r="AF39" i="12"/>
  <c r="AC39" i="12"/>
  <c r="N39" i="12"/>
  <c r="B8" i="2"/>
  <c r="F8" i="2"/>
  <c r="AJ39" i="12"/>
  <c r="L42" i="12"/>
  <c r="G45" i="12"/>
  <c r="L45" i="12"/>
  <c r="AC45" i="12"/>
  <c r="AG45" i="12"/>
  <c r="G39" i="12"/>
  <c r="H8" i="1"/>
  <c r="AR9" i="12"/>
  <c r="AD39" i="12"/>
  <c r="R39" i="12"/>
  <c r="K8" i="1"/>
  <c r="AR11" i="12"/>
  <c r="M42" i="12"/>
  <c r="K39" i="12"/>
  <c r="AG39" i="12"/>
  <c r="M39" i="12"/>
  <c r="AI39" i="12"/>
  <c r="F39" i="12"/>
  <c r="G8" i="1"/>
  <c r="AR8" i="12"/>
  <c r="AB39" i="12"/>
  <c r="D8" i="1"/>
  <c r="AR7" i="12"/>
  <c r="F42" i="12"/>
  <c r="R42" i="12"/>
  <c r="AB42" i="12"/>
  <c r="AJ42" i="12"/>
  <c r="AN42" i="12"/>
  <c r="Y45" i="12"/>
  <c r="AK45" i="12"/>
  <c r="AL45" i="12"/>
  <c r="J10" i="1"/>
  <c r="AR10" i="16"/>
  <c r="H39" i="12"/>
  <c r="D11" i="4"/>
  <c r="D3" i="4"/>
  <c r="Q33" i="2"/>
  <c r="D7" i="4"/>
  <c r="I4" i="6"/>
  <c r="J4" i="6"/>
  <c r="D4" i="6"/>
  <c r="H40" i="19"/>
  <c r="D5" i="4"/>
  <c r="R39" i="18"/>
  <c r="H39" i="18"/>
  <c r="D9" i="4"/>
  <c r="D13" i="4"/>
  <c r="AB37" i="23"/>
  <c r="D21" i="1"/>
  <c r="AR7" i="23"/>
  <c r="H37" i="11"/>
  <c r="D6" i="4"/>
  <c r="E97" i="1"/>
  <c r="F97" i="1"/>
  <c r="J41" i="9"/>
  <c r="J78" i="1"/>
  <c r="AV11" i="9"/>
  <c r="E86" i="1"/>
  <c r="F86" i="1"/>
  <c r="E87" i="1"/>
  <c r="F87" i="1"/>
  <c r="E110" i="1"/>
  <c r="F110" i="1"/>
  <c r="J38" i="9"/>
  <c r="B10" i="4"/>
  <c r="AF38" i="9"/>
  <c r="K41" i="9"/>
  <c r="AA41" i="9"/>
  <c r="E28" i="1"/>
  <c r="AT7" i="9"/>
  <c r="AZ7" i="9"/>
  <c r="AE41" i="9"/>
  <c r="AI41" i="9"/>
  <c r="AM41" i="9"/>
  <c r="E90" i="1"/>
  <c r="F90" i="1"/>
  <c r="E112" i="1"/>
  <c r="F112" i="1"/>
  <c r="K38" i="9"/>
  <c r="AG38" i="9"/>
  <c r="E105" i="1"/>
  <c r="F105" i="1"/>
  <c r="E95" i="1"/>
  <c r="F95" i="1"/>
  <c r="E118" i="1"/>
  <c r="F118" i="1"/>
  <c r="E91" i="1"/>
  <c r="F91" i="1"/>
  <c r="E116" i="1"/>
  <c r="F116" i="1"/>
  <c r="E121" i="1"/>
  <c r="F121" i="1"/>
  <c r="E120" i="1"/>
  <c r="F120" i="1"/>
  <c r="E78" i="1"/>
  <c r="AV7" i="9"/>
  <c r="L38" i="9"/>
  <c r="L3" i="1"/>
  <c r="AH38" i="9"/>
  <c r="O41" i="9"/>
  <c r="Y41" i="9"/>
  <c r="B78" i="1"/>
  <c r="AV5" i="9"/>
  <c r="AG41" i="9"/>
  <c r="AK41" i="9"/>
  <c r="E79" i="1"/>
  <c r="F79" i="1"/>
  <c r="E111" i="1"/>
  <c r="F111" i="1"/>
  <c r="E104" i="1"/>
  <c r="F104" i="1"/>
  <c r="E80" i="1"/>
  <c r="F80" i="1"/>
  <c r="E108" i="1"/>
  <c r="F108" i="1"/>
  <c r="F117" i="1"/>
  <c r="E114" i="1"/>
  <c r="F114" i="1"/>
  <c r="E96" i="1"/>
  <c r="AW7" i="23"/>
  <c r="E113" i="1"/>
  <c r="F113" i="1"/>
  <c r="E115" i="1"/>
  <c r="F115" i="1"/>
  <c r="E103" i="1"/>
  <c r="F103" i="1"/>
  <c r="E106" i="1"/>
  <c r="F106" i="1"/>
  <c r="E122" i="1"/>
  <c r="F122" i="1"/>
  <c r="Y38" i="9"/>
  <c r="C3" i="1"/>
  <c r="Z41" i="9"/>
  <c r="C78" i="1"/>
  <c r="AV6" i="9"/>
  <c r="AD41" i="9"/>
  <c r="AH41" i="9"/>
  <c r="AF43" i="10"/>
  <c r="N43" i="10"/>
  <c r="B9" i="2"/>
  <c r="AJ43" i="10"/>
  <c r="O46" i="10"/>
  <c r="M49" i="10"/>
  <c r="AD49" i="10"/>
  <c r="AL49" i="10"/>
  <c r="D4" i="4"/>
  <c r="M43" i="10"/>
  <c r="Z43" i="10"/>
  <c r="C6" i="1"/>
  <c r="AE43" i="10"/>
  <c r="R43" i="10"/>
  <c r="F6" i="4"/>
  <c r="AN43" i="10"/>
  <c r="O49" i="10"/>
  <c r="AC43" i="10"/>
  <c r="AI43" i="10"/>
  <c r="F43" i="10"/>
  <c r="G6" i="1"/>
  <c r="AR8" i="10"/>
  <c r="AB43" i="10"/>
  <c r="D6" i="1"/>
  <c r="AR7" i="10"/>
  <c r="AA46" i="10"/>
  <c r="E81" i="1"/>
  <c r="AW7" i="10"/>
  <c r="AM46" i="10"/>
  <c r="AK46" i="10"/>
  <c r="AA49" i="10"/>
  <c r="G7" i="6"/>
  <c r="I11" i="6"/>
  <c r="Q11" i="2"/>
  <c r="AN39" i="18"/>
  <c r="AF39" i="18"/>
  <c r="D2" i="6"/>
  <c r="K2" i="6"/>
  <c r="L2" i="6"/>
  <c r="H3" i="4"/>
  <c r="Y40" i="19"/>
  <c r="AR4" i="19"/>
  <c r="J42" i="1"/>
  <c r="AU11" i="18"/>
  <c r="BC11" i="18"/>
  <c r="J92" i="1"/>
  <c r="AW11" i="18"/>
  <c r="L28" i="1"/>
  <c r="L78" i="1"/>
  <c r="AL42" i="12"/>
  <c r="H9" i="4"/>
  <c r="L93" i="1"/>
  <c r="L43" i="1"/>
  <c r="J43" i="1"/>
  <c r="AU11" i="19"/>
  <c r="BA11" i="19"/>
  <c r="J93" i="1"/>
  <c r="AW11" i="19"/>
  <c r="E43" i="1"/>
  <c r="AU7" i="19"/>
  <c r="BA7" i="19"/>
  <c r="E93" i="1"/>
  <c r="AW7" i="19"/>
  <c r="AI42" i="12"/>
  <c r="AF42" i="12"/>
  <c r="C33" i="1"/>
  <c r="G81" i="1"/>
  <c r="AW9" i="10"/>
  <c r="G31" i="1"/>
  <c r="AU9" i="10"/>
  <c r="BA9" i="10"/>
  <c r="D31" i="1"/>
  <c r="AU8" i="10"/>
  <c r="BA8" i="10"/>
  <c r="D81" i="1"/>
  <c r="AW8" i="10"/>
  <c r="E31" i="1"/>
  <c r="AU7" i="10"/>
  <c r="BA7" i="10"/>
  <c r="B31" i="1"/>
  <c r="AU5" i="10"/>
  <c r="BA5" i="10"/>
  <c r="R42" i="18"/>
  <c r="AN42" i="18"/>
  <c r="AA42" i="18"/>
  <c r="BC6" i="18"/>
  <c r="AJ41" i="9"/>
  <c r="J28" i="1"/>
  <c r="AT11" i="9"/>
  <c r="AZ11" i="9"/>
  <c r="H5" i="4"/>
  <c r="I2" i="6"/>
  <c r="G11" i="6"/>
  <c r="Q29" i="2"/>
  <c r="H12" i="4"/>
  <c r="I10" i="6"/>
  <c r="J10" i="6"/>
  <c r="F7" i="6"/>
  <c r="E7" i="6"/>
  <c r="H7" i="6"/>
  <c r="J18" i="1"/>
  <c r="AR10" i="19"/>
  <c r="B6" i="4"/>
  <c r="K13" i="6"/>
  <c r="H13" i="6"/>
  <c r="F13" i="6"/>
  <c r="AI37" i="11"/>
  <c r="R10" i="2"/>
  <c r="Q31" i="2"/>
  <c r="R3" i="2"/>
  <c r="AA37" i="23"/>
  <c r="E21" i="1"/>
  <c r="AR6" i="23"/>
  <c r="J40" i="23"/>
  <c r="J71" i="1"/>
  <c r="BA11" i="23"/>
  <c r="BE11" i="23"/>
  <c r="R43" i="23"/>
  <c r="AN43" i="23"/>
  <c r="K43" i="23"/>
  <c r="AE43" i="23"/>
  <c r="AI43" i="23"/>
  <c r="BE12" i="23"/>
  <c r="AE37" i="23"/>
  <c r="Z40" i="23"/>
  <c r="C71" i="1"/>
  <c r="BA6" i="23"/>
  <c r="BE6" i="23"/>
  <c r="AK40" i="23"/>
  <c r="AA40" i="23"/>
  <c r="E71" i="1"/>
  <c r="BA7" i="23"/>
  <c r="AC43" i="23"/>
  <c r="G21" i="1"/>
  <c r="AR8" i="23"/>
  <c r="AD43" i="23"/>
  <c r="O43" i="23"/>
  <c r="AM43" i="23"/>
  <c r="AG37" i="23"/>
  <c r="B13" i="4"/>
  <c r="F40" i="23"/>
  <c r="G71" i="1"/>
  <c r="BA9" i="23"/>
  <c r="BE9" i="23"/>
  <c r="O40" i="23"/>
  <c r="AM40" i="23"/>
  <c r="G40" i="23"/>
  <c r="H71" i="1"/>
  <c r="BA10" i="23"/>
  <c r="BE10" i="23"/>
  <c r="J43" i="23"/>
  <c r="AH43" i="23"/>
  <c r="N37" i="23"/>
  <c r="AF37" i="23"/>
  <c r="N40" i="23"/>
  <c r="AH40" i="23"/>
  <c r="N43" i="23"/>
  <c r="Z43" i="23"/>
  <c r="AL43" i="23"/>
  <c r="R37" i="23"/>
  <c r="AJ37" i="23"/>
  <c r="K42" i="15"/>
  <c r="Y42" i="15"/>
  <c r="B69" i="1"/>
  <c r="BA5" i="15"/>
  <c r="BC5" i="15"/>
  <c r="AL45" i="15"/>
  <c r="BC7" i="15"/>
  <c r="J39" i="15"/>
  <c r="J19" i="1"/>
  <c r="AR10" i="15"/>
  <c r="AE42" i="15"/>
  <c r="AB42" i="15"/>
  <c r="D69" i="1"/>
  <c r="BA8" i="15"/>
  <c r="BC8" i="15"/>
  <c r="N45" i="15"/>
  <c r="G42" i="15"/>
  <c r="H69" i="1"/>
  <c r="BA10" i="15"/>
  <c r="BC10" i="15"/>
  <c r="BJ22" i="15"/>
  <c r="G3" i="6"/>
  <c r="L39" i="15"/>
  <c r="L19" i="1"/>
  <c r="Z39" i="15"/>
  <c r="C19" i="1"/>
  <c r="AR5" i="15"/>
  <c r="AH39" i="15"/>
  <c r="K39" i="15"/>
  <c r="O39" i="15"/>
  <c r="AG39" i="15"/>
  <c r="AK39" i="15"/>
  <c r="N42" i="15"/>
  <c r="M42" i="15"/>
  <c r="AH42" i="15"/>
  <c r="AN42" i="15"/>
  <c r="J45" i="15"/>
  <c r="M45" i="15"/>
  <c r="J42" i="15"/>
  <c r="J69" i="1"/>
  <c r="BA11" i="15"/>
  <c r="BC11" i="15"/>
  <c r="AF39" i="15"/>
  <c r="AN39" i="15"/>
  <c r="AM42" i="15"/>
  <c r="K45" i="15"/>
  <c r="AN45" i="15"/>
  <c r="M39" i="15"/>
  <c r="AA39" i="15"/>
  <c r="E19" i="1"/>
  <c r="AR6" i="15"/>
  <c r="AI39" i="15"/>
  <c r="F39" i="15"/>
  <c r="G19" i="1"/>
  <c r="AR8" i="15"/>
  <c r="AD42" i="15"/>
  <c r="AC45" i="15"/>
  <c r="L45" i="15"/>
  <c r="AH45" i="15"/>
  <c r="F42" i="15"/>
  <c r="G69" i="1"/>
  <c r="R42" i="15"/>
  <c r="K69" i="1"/>
  <c r="BA12" i="15"/>
  <c r="BC12" i="15"/>
  <c r="AK42" i="15"/>
  <c r="Y45" i="15"/>
  <c r="G41" i="17"/>
  <c r="K41" i="17"/>
  <c r="O41" i="17"/>
  <c r="AC41" i="17"/>
  <c r="AG41" i="17"/>
  <c r="AK41" i="17"/>
  <c r="L44" i="17"/>
  <c r="AE44" i="17"/>
  <c r="AC44" i="17"/>
  <c r="O44" i="17"/>
  <c r="D9" i="6"/>
  <c r="D14" i="1"/>
  <c r="AR7" i="17"/>
  <c r="P38" i="17"/>
  <c r="AL38" i="17"/>
  <c r="M41" i="17"/>
  <c r="AA41" i="17"/>
  <c r="E89" i="1"/>
  <c r="AW7" i="17"/>
  <c r="AE41" i="17"/>
  <c r="AI41" i="17"/>
  <c r="AM41" i="17"/>
  <c r="K44" i="17"/>
  <c r="K9" i="6"/>
  <c r="L9" i="6"/>
  <c r="O38" i="17"/>
  <c r="Q38" i="17"/>
  <c r="AI38" i="17"/>
  <c r="AM38" i="17"/>
  <c r="L41" i="17"/>
  <c r="AJ41" i="17"/>
  <c r="AN41" i="17"/>
  <c r="AG44" i="17"/>
  <c r="AL44" i="17"/>
  <c r="H9" i="6"/>
  <c r="J9" i="6"/>
  <c r="K14" i="1"/>
  <c r="AR11" i="17"/>
  <c r="I38" i="17"/>
  <c r="AE38" i="17"/>
  <c r="F41" i="17"/>
  <c r="R41" i="17"/>
  <c r="AB41" i="17"/>
  <c r="Y41" i="17"/>
  <c r="G44" i="17"/>
  <c r="AD44" i="17"/>
  <c r="N38" i="17"/>
  <c r="AD38" i="17"/>
  <c r="AF41" i="17"/>
  <c r="AL41" i="17"/>
  <c r="AM44" i="17"/>
  <c r="F44" i="17"/>
  <c r="J40" i="16"/>
  <c r="J60" i="1"/>
  <c r="BA11" i="16"/>
  <c r="BC11" i="16"/>
  <c r="N40" i="16"/>
  <c r="AC43" i="16"/>
  <c r="AK43" i="16"/>
  <c r="K10" i="1"/>
  <c r="AR11" i="16"/>
  <c r="Y37" i="16"/>
  <c r="B10" i="1"/>
  <c r="AR4" i="16"/>
  <c r="AG37" i="16"/>
  <c r="G40" i="16"/>
  <c r="H60" i="1"/>
  <c r="BA10" i="16"/>
  <c r="BC10" i="16"/>
  <c r="K40" i="16"/>
  <c r="O40" i="16"/>
  <c r="Y40" i="16"/>
  <c r="B60" i="1"/>
  <c r="BA5" i="16"/>
  <c r="BC5" i="16"/>
  <c r="AC40" i="16"/>
  <c r="AG40" i="16"/>
  <c r="AK40" i="16"/>
  <c r="M43" i="16"/>
  <c r="Z40" i="16"/>
  <c r="C60" i="1"/>
  <c r="BA6" i="16"/>
  <c r="BC6" i="16"/>
  <c r="AD40" i="16"/>
  <c r="AH40" i="16"/>
  <c r="AL40" i="16"/>
  <c r="O43" i="16"/>
  <c r="S9" i="2"/>
  <c r="F43" i="16"/>
  <c r="R43" i="16"/>
  <c r="AF43" i="16"/>
  <c r="AN43" i="16"/>
  <c r="K43" i="16"/>
  <c r="K11" i="6"/>
  <c r="L11" i="6"/>
  <c r="J43" i="16"/>
  <c r="AB43" i="16"/>
  <c r="AJ43" i="16"/>
  <c r="K39" i="13"/>
  <c r="AA39" i="13"/>
  <c r="E9" i="1"/>
  <c r="AR6" i="13"/>
  <c r="AG39" i="13"/>
  <c r="O42" i="13"/>
  <c r="O45" i="13"/>
  <c r="AA45" i="13"/>
  <c r="AL45" i="13"/>
  <c r="BA12" i="13"/>
  <c r="E12" i="6"/>
  <c r="G39" i="13"/>
  <c r="H9" i="1"/>
  <c r="AR9" i="13"/>
  <c r="AC39" i="13"/>
  <c r="K42" i="13"/>
  <c r="BA6" i="13"/>
  <c r="K45" i="13"/>
  <c r="H12" i="6"/>
  <c r="K12" i="6"/>
  <c r="AD45" i="13"/>
  <c r="E84" i="1"/>
  <c r="E59" i="1"/>
  <c r="AY9" i="13"/>
  <c r="BA9" i="13"/>
  <c r="BA8" i="13"/>
  <c r="H13" i="4"/>
  <c r="H39" i="13"/>
  <c r="M39" i="13"/>
  <c r="Y39" i="13"/>
  <c r="B9" i="1"/>
  <c r="AD39" i="13"/>
  <c r="AI39" i="13"/>
  <c r="AJ39" i="13"/>
  <c r="G42" i="13"/>
  <c r="H59" i="1"/>
  <c r="AY10" i="13"/>
  <c r="BA10" i="13"/>
  <c r="AE42" i="13"/>
  <c r="G45" i="13"/>
  <c r="M45" i="13"/>
  <c r="R45" i="13"/>
  <c r="AC45" i="13"/>
  <c r="AI45" i="13"/>
  <c r="Z45" i="13"/>
  <c r="AH42" i="13"/>
  <c r="L45" i="13"/>
  <c r="O47" i="14"/>
  <c r="M41" i="14"/>
  <c r="AA41" i="14"/>
  <c r="E5" i="1"/>
  <c r="G44" i="14"/>
  <c r="H55" i="1"/>
  <c r="BA10" i="14"/>
  <c r="BC10" i="14"/>
  <c r="AM47" i="14"/>
  <c r="R47" i="14"/>
  <c r="AN47" i="14"/>
  <c r="AJ47" i="14"/>
  <c r="F41" i="14"/>
  <c r="G5" i="1"/>
  <c r="AR8" i="14"/>
  <c r="J41" i="14"/>
  <c r="B5" i="4"/>
  <c r="N41" i="14"/>
  <c r="B7" i="2"/>
  <c r="R41" i="14"/>
  <c r="K5" i="1"/>
  <c r="AR11" i="14"/>
  <c r="AB41" i="14"/>
  <c r="D5" i="1"/>
  <c r="AR7" i="14"/>
  <c r="AJ41" i="14"/>
  <c r="AM41" i="14"/>
  <c r="AH41" i="14"/>
  <c r="N44" i="14"/>
  <c r="R44" i="14"/>
  <c r="K55" i="1"/>
  <c r="AB44" i="14"/>
  <c r="D55" i="1"/>
  <c r="AF44" i="14"/>
  <c r="AJ44" i="14"/>
  <c r="AN44" i="14"/>
  <c r="L47" i="14"/>
  <c r="Z47" i="14"/>
  <c r="N47" i="14"/>
  <c r="Y47" i="14"/>
  <c r="AK47" i="14"/>
  <c r="AB47" i="14"/>
  <c r="AK41" i="14"/>
  <c r="AL41" i="14"/>
  <c r="Y44" i="14"/>
  <c r="B55" i="1"/>
  <c r="BA5" i="14"/>
  <c r="BC5" i="14"/>
  <c r="AC44" i="14"/>
  <c r="AG44" i="14"/>
  <c r="AK44" i="14"/>
  <c r="M47" i="14"/>
  <c r="AA47" i="14"/>
  <c r="AF47" i="14"/>
  <c r="O44" i="14"/>
  <c r="AE44" i="14"/>
  <c r="J47" i="14"/>
  <c r="AC47" i="14"/>
  <c r="AI41" i="14"/>
  <c r="L44" i="14"/>
  <c r="L55" i="1"/>
  <c r="AF41" i="14"/>
  <c r="J44" i="14"/>
  <c r="J55" i="1"/>
  <c r="F96" i="1"/>
  <c r="I38" i="9"/>
  <c r="O38" i="9"/>
  <c r="AE38" i="9"/>
  <c r="AK38" i="9"/>
  <c r="Z44" i="9"/>
  <c r="AA38" i="9"/>
  <c r="F41" i="9"/>
  <c r="G28" i="1"/>
  <c r="N41" i="9"/>
  <c r="G44" i="9"/>
  <c r="M44" i="9"/>
  <c r="AC44" i="9"/>
  <c r="L44" i="9"/>
  <c r="D5" i="6"/>
  <c r="G38" i="9"/>
  <c r="H3" i="1"/>
  <c r="AQ9" i="9" s="1"/>
  <c r="Q38" i="9"/>
  <c r="AC38" i="9"/>
  <c r="D28" i="1"/>
  <c r="AT8" i="9"/>
  <c r="AZ8" i="9"/>
  <c r="D78" i="1"/>
  <c r="AV8" i="9"/>
  <c r="H38" i="9"/>
  <c r="AD38" i="9"/>
  <c r="N38" i="9"/>
  <c r="B6" i="2"/>
  <c r="AJ38" i="9"/>
  <c r="AN41" i="9"/>
  <c r="Y44" i="9"/>
  <c r="AE44" i="9"/>
  <c r="Z38" i="9"/>
  <c r="R38" i="9"/>
  <c r="K3" i="1" s="1"/>
  <c r="O44" i="9"/>
  <c r="AA44" i="9"/>
  <c r="P38" i="9"/>
  <c r="AL38" i="9"/>
  <c r="F38" i="9"/>
  <c r="G3" i="1"/>
  <c r="AQ8" i="9"/>
  <c r="AB38" i="9"/>
  <c r="D3" i="1"/>
  <c r="AQ7" i="9"/>
  <c r="R41" i="9"/>
  <c r="AL41" i="9"/>
  <c r="G41" i="9"/>
  <c r="AC41" i="9"/>
  <c r="K44" i="9"/>
  <c r="AG44" i="9"/>
  <c r="AM44" i="9"/>
  <c r="AH44" i="9"/>
  <c r="E3" i="1"/>
  <c r="AQ6" i="9"/>
  <c r="K5" i="6"/>
  <c r="Q34" i="2"/>
  <c r="N39" i="15"/>
  <c r="B4" i="2"/>
  <c r="K3" i="6"/>
  <c r="L3" i="6"/>
  <c r="H4" i="4"/>
  <c r="Y37" i="11"/>
  <c r="B7" i="1"/>
  <c r="AR4" i="11"/>
  <c r="AI40" i="11"/>
  <c r="AM40" i="11"/>
  <c r="AJ43" i="11"/>
  <c r="Y40" i="11"/>
  <c r="B32" i="1"/>
  <c r="AC40" i="11"/>
  <c r="AG40" i="11"/>
  <c r="AK40" i="11"/>
  <c r="F40" i="11"/>
  <c r="G32" i="1"/>
  <c r="AU9" i="11"/>
  <c r="BC9" i="11"/>
  <c r="AB40" i="11"/>
  <c r="AF40" i="11"/>
  <c r="AJ40" i="11"/>
  <c r="Y43" i="11"/>
  <c r="AD43" i="11"/>
  <c r="E32" i="1"/>
  <c r="E82" i="1"/>
  <c r="AW7" i="11"/>
  <c r="C82" i="1"/>
  <c r="AW6" i="11"/>
  <c r="G37" i="11"/>
  <c r="H7" i="1"/>
  <c r="AR9" i="11"/>
  <c r="AG37" i="11"/>
  <c r="AL37" i="11"/>
  <c r="AE40" i="11"/>
  <c r="AF43" i="11"/>
  <c r="L43" i="11"/>
  <c r="AH43" i="11"/>
  <c r="K8" i="6"/>
  <c r="L8" i="6"/>
  <c r="H32" i="1"/>
  <c r="AU10" i="11"/>
  <c r="BC10" i="11"/>
  <c r="O37" i="11"/>
  <c r="D3" i="2"/>
  <c r="AH37" i="11"/>
  <c r="F37" i="11"/>
  <c r="G7" i="1"/>
  <c r="AR8" i="11"/>
  <c r="R37" i="11"/>
  <c r="F5" i="4"/>
  <c r="AA37" i="11"/>
  <c r="E7" i="1"/>
  <c r="AR6" i="11"/>
  <c r="AN37" i="11"/>
  <c r="Q37" i="11"/>
  <c r="AM37" i="11"/>
  <c r="K40" i="11"/>
  <c r="M43" i="11"/>
  <c r="AC43" i="11"/>
  <c r="AN43" i="11"/>
  <c r="AL43" i="11"/>
  <c r="I8" i="6"/>
  <c r="P37" i="11"/>
  <c r="J37" i="11"/>
  <c r="B7" i="4"/>
  <c r="AB37" i="11"/>
  <c r="D7" i="1"/>
  <c r="AR7" i="11"/>
  <c r="L40" i="11"/>
  <c r="L32" i="1"/>
  <c r="R40" i="11"/>
  <c r="O40" i="11"/>
  <c r="AK43" i="11"/>
  <c r="Z43" i="11"/>
  <c r="K43" i="10"/>
  <c r="H2" i="6"/>
  <c r="AN37" i="23"/>
  <c r="AH37" i="23"/>
  <c r="E10" i="6"/>
  <c r="T14" i="2"/>
  <c r="H5" i="6"/>
  <c r="J5" i="6"/>
  <c r="AN38" i="9"/>
  <c r="G5" i="6"/>
  <c r="E5" i="6"/>
  <c r="AM39" i="15"/>
  <c r="Y39" i="15"/>
  <c r="B19" i="1"/>
  <c r="AR4" i="15"/>
  <c r="Q9" i="2"/>
  <c r="Q37" i="16"/>
  <c r="M37" i="16"/>
  <c r="I37" i="16"/>
  <c r="AR8" i="16"/>
  <c r="H11" i="6"/>
  <c r="AM37" i="16"/>
  <c r="AI37" i="16"/>
  <c r="AE37" i="16"/>
  <c r="AA37" i="16"/>
  <c r="AB40" i="19"/>
  <c r="D18" i="1"/>
  <c r="AR7" i="19"/>
  <c r="T12" i="2"/>
  <c r="I13" i="6"/>
  <c r="Q6" i="2"/>
  <c r="H8" i="6"/>
  <c r="AE37" i="11"/>
  <c r="G12" i="6"/>
  <c r="I12" i="6"/>
  <c r="AR8" i="13"/>
  <c r="T7" i="2"/>
  <c r="K7" i="6"/>
  <c r="I7" i="6"/>
  <c r="AN39" i="12"/>
  <c r="F8" i="1"/>
  <c r="AR4" i="12"/>
  <c r="AH38" i="17"/>
  <c r="G9" i="6"/>
  <c r="AA38" i="17"/>
  <c r="E14" i="1"/>
  <c r="AR6" i="17"/>
  <c r="Z38" i="17"/>
  <c r="C14" i="1"/>
  <c r="AR5" i="17"/>
  <c r="AR4" i="17"/>
  <c r="T10" i="2"/>
  <c r="L38" i="17"/>
  <c r="L14" i="1"/>
  <c r="G163" i="21"/>
  <c r="K6" i="6"/>
  <c r="H6" i="6"/>
  <c r="G17" i="1"/>
  <c r="D17" i="1"/>
  <c r="AR7" i="18"/>
  <c r="D6" i="6"/>
  <c r="D14" i="6" s="1"/>
  <c r="AN41" i="14"/>
  <c r="E4" i="6"/>
  <c r="H7" i="4"/>
  <c r="P32" i="2"/>
  <c r="K4" i="6"/>
  <c r="H81" i="1"/>
  <c r="H31" i="1"/>
  <c r="C81" i="1"/>
  <c r="C31" i="1"/>
  <c r="O15" i="2"/>
  <c r="R5" i="2"/>
  <c r="Q5" i="2"/>
  <c r="J3" i="6"/>
  <c r="F26" i="22"/>
  <c r="L31" i="1"/>
  <c r="L81" i="1"/>
  <c r="K31" i="1"/>
  <c r="K81" i="1"/>
  <c r="AW12" i="10"/>
  <c r="Q4" i="2"/>
  <c r="O36" i="2"/>
  <c r="M37" i="11"/>
  <c r="Z76" i="18"/>
  <c r="W76" i="18"/>
  <c r="AJ37" i="11"/>
  <c r="AN40" i="11"/>
  <c r="AD45" i="18"/>
  <c r="AD41" i="14"/>
  <c r="AD42" i="13"/>
  <c r="H37" i="16"/>
  <c r="P37" i="16"/>
  <c r="AD37" i="16"/>
  <c r="AL37" i="16"/>
  <c r="AJ40" i="16"/>
  <c r="AL45" i="18"/>
  <c r="M44" i="14"/>
  <c r="AK42" i="18"/>
  <c r="Z45" i="18"/>
  <c r="AA75" i="18"/>
  <c r="AH44" i="14"/>
  <c r="L37" i="16"/>
  <c r="L10" i="1"/>
  <c r="Z37" i="16"/>
  <c r="C10" i="1"/>
  <c r="AH37" i="16"/>
  <c r="R39" i="15"/>
  <c r="AG42" i="15"/>
  <c r="AG45" i="15"/>
  <c r="AD45" i="15"/>
  <c r="AL37" i="23"/>
  <c r="AB43" i="23"/>
  <c r="AJ43" i="23"/>
  <c r="AK45" i="13"/>
  <c r="AC39" i="15"/>
  <c r="AF45" i="13"/>
  <c r="Z43" i="16"/>
  <c r="N43" i="16"/>
  <c r="G39" i="15"/>
  <c r="H19" i="1"/>
  <c r="AD40" i="23"/>
  <c r="AY7" i="14"/>
  <c r="BC7" i="14"/>
  <c r="AY7" i="12"/>
  <c r="T4" i="2"/>
  <c r="G82" i="1"/>
  <c r="AW9" i="11"/>
  <c r="B11" i="4"/>
  <c r="I10" i="1"/>
  <c r="F7" i="2"/>
  <c r="B10" i="2"/>
  <c r="F10" i="2"/>
  <c r="F8" i="4"/>
  <c r="J31" i="1"/>
  <c r="J48" i="1"/>
  <c r="F6" i="1"/>
  <c r="B14" i="4"/>
  <c r="G93" i="1"/>
  <c r="S12" i="2"/>
  <c r="C43" i="1"/>
  <c r="AU6" i="19"/>
  <c r="BA6" i="19"/>
  <c r="K43" i="1"/>
  <c r="AU12" i="19"/>
  <c r="BA12" i="19"/>
  <c r="B43" i="1"/>
  <c r="AU5" i="19"/>
  <c r="BA5" i="19"/>
  <c r="D43" i="1"/>
  <c r="AU8" i="19"/>
  <c r="BA8" i="19"/>
  <c r="F5" i="1"/>
  <c r="D92" i="1"/>
  <c r="AW8" i="18"/>
  <c r="AR8" i="19"/>
  <c r="I14" i="1"/>
  <c r="T5" i="2"/>
  <c r="F13" i="4"/>
  <c r="F11" i="2"/>
  <c r="T3" i="2"/>
  <c r="D6" i="2"/>
  <c r="F6" i="2"/>
  <c r="B3" i="1"/>
  <c r="AQ4" i="9"/>
  <c r="S14" i="2"/>
  <c r="B12" i="2"/>
  <c r="F12" i="2"/>
  <c r="I21" i="1"/>
  <c r="F4" i="4"/>
  <c r="H93" i="1"/>
  <c r="AW10" i="19"/>
  <c r="T13" i="2"/>
  <c r="D4" i="2"/>
  <c r="F4" i="2"/>
  <c r="J6" i="1"/>
  <c r="AR10" i="10"/>
  <c r="AR5" i="10"/>
  <c r="K7" i="1"/>
  <c r="AR11" i="11"/>
  <c r="S6" i="2"/>
  <c r="B3" i="2"/>
  <c r="F3" i="2"/>
  <c r="F9" i="2"/>
  <c r="L13" i="6"/>
  <c r="L10" i="6"/>
  <c r="T9" i="2"/>
  <c r="J82" i="1"/>
  <c r="AW11" i="11"/>
  <c r="C28" i="1"/>
  <c r="L73" i="1"/>
  <c r="F17" i="1"/>
  <c r="F10" i="4"/>
  <c r="E60" i="1"/>
  <c r="BA7" i="16"/>
  <c r="BC7" i="16"/>
  <c r="E38" i="1"/>
  <c r="F38" i="1"/>
  <c r="J89" i="1"/>
  <c r="AW11" i="17"/>
  <c r="C89" i="1"/>
  <c r="AW6" i="17"/>
  <c r="E33" i="1"/>
  <c r="AU7" i="12"/>
  <c r="BC7" i="12"/>
  <c r="L92" i="1"/>
  <c r="AA76" i="18"/>
  <c r="G92" i="1"/>
  <c r="AW9" i="18"/>
  <c r="S11" i="2"/>
  <c r="L6" i="6"/>
  <c r="T11" i="2"/>
  <c r="J17" i="1"/>
  <c r="AR10" i="18"/>
  <c r="B8" i="4"/>
  <c r="S5" i="2"/>
  <c r="J6" i="6"/>
  <c r="K6" i="1"/>
  <c r="AR11" i="10"/>
  <c r="F7" i="4"/>
  <c r="F69" i="1"/>
  <c r="B33" i="1"/>
  <c r="AU5" i="12"/>
  <c r="BC5" i="12"/>
  <c r="AW7" i="12"/>
  <c r="F83" i="1"/>
  <c r="B9" i="4"/>
  <c r="H33" i="1"/>
  <c r="AU10" i="12"/>
  <c r="BC10" i="12"/>
  <c r="I8" i="1"/>
  <c r="S7" i="2"/>
  <c r="D33" i="1"/>
  <c r="AU8" i="12"/>
  <c r="BC8" i="12"/>
  <c r="D83" i="1"/>
  <c r="AW8" i="12"/>
  <c r="K33" i="1"/>
  <c r="AU12" i="12"/>
  <c r="BC12" i="12"/>
  <c r="K83" i="1"/>
  <c r="AW12" i="12"/>
  <c r="L83" i="1"/>
  <c r="L33" i="1"/>
  <c r="G33" i="1"/>
  <c r="AU9" i="12"/>
  <c r="BC9" i="12"/>
  <c r="G83" i="1"/>
  <c r="J3" i="1"/>
  <c r="AQ10" i="9" s="1"/>
  <c r="F3" i="4"/>
  <c r="K17" i="1"/>
  <c r="AR11" i="18"/>
  <c r="I6" i="1"/>
  <c r="D15" i="4"/>
  <c r="AW7" i="14"/>
  <c r="AY7" i="17"/>
  <c r="AY7" i="23"/>
  <c r="BE7" i="23"/>
  <c r="S3" i="2"/>
  <c r="E123" i="1"/>
  <c r="G78" i="1"/>
  <c r="AV9" i="9"/>
  <c r="B28" i="1"/>
  <c r="AT5" i="9"/>
  <c r="AZ5" i="9"/>
  <c r="J11" i="6"/>
  <c r="F14" i="6"/>
  <c r="S4" i="2"/>
  <c r="B4" i="4"/>
  <c r="F18" i="1"/>
  <c r="F78" i="1"/>
  <c r="B82" i="1"/>
  <c r="AW5" i="11"/>
  <c r="AW9" i="19"/>
  <c r="I43" i="1"/>
  <c r="AU9" i="19"/>
  <c r="BA9" i="19"/>
  <c r="AU6" i="12"/>
  <c r="BC6" i="12"/>
  <c r="K92" i="1"/>
  <c r="AW12" i="18"/>
  <c r="K42" i="1"/>
  <c r="AU12" i="18"/>
  <c r="BC12" i="18"/>
  <c r="E92" i="1"/>
  <c r="AW7" i="18"/>
  <c r="E42" i="1"/>
  <c r="AU7" i="18"/>
  <c r="BC7" i="18"/>
  <c r="L4" i="6"/>
  <c r="L12" i="6"/>
  <c r="J13" i="6"/>
  <c r="J2" i="6"/>
  <c r="I5" i="1"/>
  <c r="J12" i="6"/>
  <c r="F21" i="1"/>
  <c r="L7" i="6"/>
  <c r="J7" i="6"/>
  <c r="T6" i="2"/>
  <c r="J7" i="1"/>
  <c r="AR10" i="11"/>
  <c r="F7" i="1"/>
  <c r="G73" i="1"/>
  <c r="C73" i="1"/>
  <c r="J21" i="1"/>
  <c r="J23" i="1" s="1"/>
  <c r="AR10" i="23"/>
  <c r="K21" i="1"/>
  <c r="AR11" i="23"/>
  <c r="F12" i="4"/>
  <c r="BA9" i="15"/>
  <c r="BC9" i="15"/>
  <c r="I69" i="1"/>
  <c r="E39" i="1"/>
  <c r="AU7" i="17"/>
  <c r="L23" i="1"/>
  <c r="H39" i="1"/>
  <c r="AU10" i="17"/>
  <c r="BC10" i="17"/>
  <c r="H89" i="1"/>
  <c r="AW10" i="17"/>
  <c r="K89" i="1"/>
  <c r="AW12" i="17"/>
  <c r="K39" i="1"/>
  <c r="AU12" i="17"/>
  <c r="BC12" i="17"/>
  <c r="L39" i="1"/>
  <c r="L89" i="1"/>
  <c r="G39" i="1"/>
  <c r="AU9" i="17"/>
  <c r="BC9" i="17"/>
  <c r="G89" i="1"/>
  <c r="AW9" i="17"/>
  <c r="B39" i="1"/>
  <c r="AU5" i="17"/>
  <c r="BC5" i="17"/>
  <c r="B89" i="1"/>
  <c r="AW5" i="17"/>
  <c r="D39" i="1"/>
  <c r="AU8" i="17"/>
  <c r="BC8" i="17"/>
  <c r="D89" i="1"/>
  <c r="AW8" i="17"/>
  <c r="H73" i="1"/>
  <c r="I60" i="1"/>
  <c r="I9" i="1"/>
  <c r="AR4" i="13"/>
  <c r="F9" i="1"/>
  <c r="AY7" i="13"/>
  <c r="BA7" i="13"/>
  <c r="E73" i="1"/>
  <c r="H15" i="4"/>
  <c r="AW7" i="13"/>
  <c r="F84" i="1"/>
  <c r="I59" i="1"/>
  <c r="J5" i="1"/>
  <c r="AR10" i="14"/>
  <c r="AR6" i="14"/>
  <c r="BA12" i="14"/>
  <c r="BC12" i="14"/>
  <c r="K73" i="1"/>
  <c r="D73" i="1"/>
  <c r="BA8" i="14"/>
  <c r="BC8" i="14"/>
  <c r="BA11" i="14"/>
  <c r="BC11" i="14"/>
  <c r="J73" i="1"/>
  <c r="AT9" i="9"/>
  <c r="AZ9" i="9"/>
  <c r="I3" i="1"/>
  <c r="K28" i="1"/>
  <c r="AT12" i="9"/>
  <c r="AZ12" i="9"/>
  <c r="K78" i="1"/>
  <c r="AV12" i="9"/>
  <c r="H78" i="1"/>
  <c r="H28" i="1"/>
  <c r="AT6" i="9"/>
  <c r="AZ6" i="9"/>
  <c r="G23" i="1"/>
  <c r="G14" i="6"/>
  <c r="E23" i="1"/>
  <c r="L5" i="6"/>
  <c r="S13" i="2"/>
  <c r="D32" i="1"/>
  <c r="D82" i="1"/>
  <c r="L82" i="1"/>
  <c r="J8" i="6"/>
  <c r="I82" i="1"/>
  <c r="I32" i="1"/>
  <c r="I7" i="1"/>
  <c r="K32" i="1"/>
  <c r="AU12" i="11"/>
  <c r="BC12" i="11"/>
  <c r="K82" i="1"/>
  <c r="AW12" i="11"/>
  <c r="AU7" i="11"/>
  <c r="BC7" i="11"/>
  <c r="I14" i="6"/>
  <c r="E14" i="6"/>
  <c r="H14" i="6"/>
  <c r="K14" i="6"/>
  <c r="F14" i="1"/>
  <c r="AR8" i="18"/>
  <c r="I17" i="1"/>
  <c r="I19" i="1"/>
  <c r="AR9" i="15"/>
  <c r="K19" i="1"/>
  <c r="AR11" i="15"/>
  <c r="F9" i="4"/>
  <c r="AU12" i="10"/>
  <c r="BA12" i="10"/>
  <c r="F31" i="1"/>
  <c r="AU6" i="10"/>
  <c r="BA6" i="10"/>
  <c r="C23" i="1"/>
  <c r="AQ5" i="9"/>
  <c r="AU11" i="10"/>
  <c r="BA11" i="10"/>
  <c r="Q15" i="2"/>
  <c r="R15" i="2"/>
  <c r="AU5" i="11"/>
  <c r="BC5" i="11"/>
  <c r="F32" i="1"/>
  <c r="AW6" i="10"/>
  <c r="F81" i="1"/>
  <c r="AR5" i="16"/>
  <c r="F10" i="1"/>
  <c r="H23" i="1"/>
  <c r="AW11" i="10"/>
  <c r="AU10" i="10"/>
  <c r="BA10" i="10"/>
  <c r="I31" i="1"/>
  <c r="P36" i="2"/>
  <c r="Q36" i="2"/>
  <c r="AW10" i="10"/>
  <c r="I81" i="1"/>
  <c r="J98" i="1"/>
  <c r="F3" i="1"/>
  <c r="C48" i="1"/>
  <c r="I93" i="1"/>
  <c r="D15" i="2"/>
  <c r="B15" i="2"/>
  <c r="T15" i="2"/>
  <c r="F60" i="1"/>
  <c r="C98" i="1"/>
  <c r="F33" i="1"/>
  <c r="BC7" i="17"/>
  <c r="F28" i="1"/>
  <c r="B15" i="4"/>
  <c r="L48" i="1"/>
  <c r="AW9" i="12"/>
  <c r="I83" i="1"/>
  <c r="I33" i="1"/>
  <c r="S15" i="2"/>
  <c r="F82" i="1"/>
  <c r="L98" i="1"/>
  <c r="F15" i="4"/>
  <c r="E48" i="1"/>
  <c r="E98" i="1"/>
  <c r="K98" i="1"/>
  <c r="L14" i="6"/>
  <c r="J14" i="6"/>
  <c r="G48" i="1"/>
  <c r="G98" i="1"/>
  <c r="AV10" i="9"/>
  <c r="H98" i="1"/>
  <c r="K48" i="1"/>
  <c r="I78" i="1"/>
  <c r="AT10" i="9"/>
  <c r="AZ10" i="9"/>
  <c r="H48" i="1"/>
  <c r="I28" i="1"/>
  <c r="AW8" i="11"/>
  <c r="D98" i="1"/>
  <c r="AU8" i="11"/>
  <c r="BC8" i="11"/>
  <c r="D48" i="1"/>
  <c r="D23" i="1" l="1"/>
  <c r="B23" i="1"/>
  <c r="K23" i="1"/>
  <c r="AQ11" i="9"/>
</calcChain>
</file>

<file path=xl/sharedStrings.xml><?xml version="1.0" encoding="utf-8"?>
<sst xmlns="http://schemas.openxmlformats.org/spreadsheetml/2006/main" count="9200" uniqueCount="1043">
  <si>
    <t>Won</t>
  </si>
  <si>
    <t>Lost</t>
  </si>
  <si>
    <t>Draw</t>
  </si>
  <si>
    <t>%</t>
  </si>
  <si>
    <t>Diff</t>
  </si>
  <si>
    <t>Bedford Blues</t>
  </si>
  <si>
    <t>Bristol Rugby</t>
  </si>
  <si>
    <t>Exeter Chiefs</t>
  </si>
  <si>
    <t>Gloucester Rugby</t>
  </si>
  <si>
    <t>Harlequins</t>
  </si>
  <si>
    <t>Leicester Tigers</t>
  </si>
  <si>
    <t>London Irish</t>
  </si>
  <si>
    <t>London Scottish</t>
  </si>
  <si>
    <t>London Welsh</t>
  </si>
  <si>
    <t>Newcastle Falcons</t>
  </si>
  <si>
    <t>Northampton Saints</t>
  </si>
  <si>
    <t>Richmond</t>
  </si>
  <si>
    <t>Rotherham Titans</t>
  </si>
  <si>
    <t>Sale Sharks</t>
  </si>
  <si>
    <t>Saracens</t>
  </si>
  <si>
    <t>West Hartlepool</t>
  </si>
  <si>
    <t>Worcester Warriors</t>
  </si>
  <si>
    <t>Bath</t>
  </si>
  <si>
    <t>Worcester</t>
  </si>
  <si>
    <t>Gloucester</t>
  </si>
  <si>
    <t>Northampton</t>
  </si>
  <si>
    <t>Leicester</t>
  </si>
  <si>
    <t>Sale</t>
  </si>
  <si>
    <t>Exeter</t>
  </si>
  <si>
    <t>Pos</t>
  </si>
  <si>
    <t>Chg</t>
  </si>
  <si>
    <t>PL</t>
  </si>
  <si>
    <t>W</t>
  </si>
  <si>
    <t>D</t>
  </si>
  <si>
    <t>L</t>
  </si>
  <si>
    <t>F</t>
  </si>
  <si>
    <t>A</t>
  </si>
  <si>
    <t>BP</t>
  </si>
  <si>
    <t>PTS</t>
  </si>
  <si>
    <t>→</t>
  </si>
  <si>
    <t>Scores</t>
  </si>
  <si>
    <t>Cards</t>
  </si>
  <si>
    <t>Att</t>
  </si>
  <si>
    <t>HT</t>
  </si>
  <si>
    <t>Referee</t>
  </si>
  <si>
    <t>TMO</t>
  </si>
  <si>
    <t>T</t>
  </si>
  <si>
    <t>C</t>
  </si>
  <si>
    <t>P</t>
  </si>
  <si>
    <t>Y</t>
  </si>
  <si>
    <t>R</t>
  </si>
  <si>
    <r>
      <t>ROUND</t>
    </r>
    <r>
      <rPr>
        <b/>
        <sz val="11"/>
        <color theme="1"/>
        <rFont val="Calibri"/>
        <family val="2"/>
      </rPr>
      <t>→</t>
    </r>
  </si>
  <si>
    <t>Pts</t>
  </si>
  <si>
    <t>Res</t>
  </si>
  <si>
    <t>wb</t>
  </si>
  <si>
    <t>w</t>
  </si>
  <si>
    <t>lb</t>
  </si>
  <si>
    <t>l</t>
  </si>
  <si>
    <t>d</t>
  </si>
  <si>
    <t>TOTALS</t>
  </si>
  <si>
    <t>Opponents</t>
  </si>
  <si>
    <t>Cmp</t>
  </si>
  <si>
    <t>Date</t>
  </si>
  <si>
    <t>OVERALL TOTALS</t>
  </si>
  <si>
    <t>OVERALL</t>
  </si>
  <si>
    <t xml:space="preserve">HOME </t>
  </si>
  <si>
    <t>AWAY</t>
  </si>
  <si>
    <t>TB</t>
  </si>
  <si>
    <t>LB</t>
  </si>
  <si>
    <t>Bonus</t>
  </si>
  <si>
    <t>Result</t>
  </si>
  <si>
    <t>Gd</t>
  </si>
  <si>
    <t>Conceded</t>
  </si>
  <si>
    <t>Tries Scored</t>
  </si>
  <si>
    <t>Try Bonus Points</t>
  </si>
  <si>
    <t>Tries Conceded</t>
  </si>
  <si>
    <t>Try Bonus Conceded</t>
  </si>
  <si>
    <t>na</t>
  </si>
  <si>
    <t xml:space="preserve">RD-BY RD </t>
  </si>
  <si>
    <t>Home games in green</t>
  </si>
  <si>
    <t>2013/14</t>
  </si>
  <si>
    <t>Versus</t>
  </si>
  <si>
    <t>Tries For</t>
  </si>
  <si>
    <t>Tries Ag</t>
  </si>
  <si>
    <t>Pts For</t>
  </si>
  <si>
    <t>Pts Aga</t>
  </si>
  <si>
    <t>Clubs ordered on unofficial “points” ratio of “2” for a Red, “1” for a Yellow</t>
  </si>
  <si>
    <t xml:space="preserve"> </t>
  </si>
  <si>
    <t>Totals</t>
  </si>
  <si>
    <t>14 men</t>
  </si>
  <si>
    <t>13 men</t>
  </si>
  <si>
    <t>Minutes S/handed</t>
  </si>
  <si>
    <t>Ave per 10 mins</t>
  </si>
  <si>
    <t>Yellows</t>
  </si>
  <si>
    <t>Reds</t>
  </si>
  <si>
    <t>Points Scored</t>
  </si>
  <si>
    <t>Total</t>
  </si>
  <si>
    <t>Opponent</t>
  </si>
  <si>
    <t>Also S/H</t>
  </si>
  <si>
    <t>12 men</t>
  </si>
  <si>
    <t>11 men</t>
  </si>
  <si>
    <t>AR1</t>
  </si>
  <si>
    <t>AR2</t>
  </si>
  <si>
    <t>CMQ</t>
  </si>
  <si>
    <t>CM</t>
  </si>
  <si>
    <t>PREMIERSHIP (REG)</t>
  </si>
  <si>
    <t>Wasps</t>
  </si>
  <si>
    <t>© Hillsport Media Ltd</t>
  </si>
  <si>
    <t>2014/15</t>
  </si>
  <si>
    <t>Round 1</t>
  </si>
  <si>
    <t>Round 2</t>
  </si>
  <si>
    <t>Round 3</t>
  </si>
  <si>
    <t>Round 4</t>
  </si>
  <si>
    <t>Round 5</t>
  </si>
  <si>
    <t>Final</t>
  </si>
  <si>
    <t>Dgs</t>
  </si>
  <si>
    <t>ltb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</si>
  <si>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</si>
  <si>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</si>
  <si>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</si>
  <si>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</si>
  <si>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</si>
  <si>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</si>
  <si>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</si>
  <si>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</si>
  <si>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</si>
  <si>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</si>
  <si>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</si>
  <si>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</si>
  <si>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</si>
  <si>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</si>
  <si>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</si>
  <si>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HOME</t>
  </si>
  <si>
    <t>1997/98</t>
  </si>
  <si>
    <t>WIN%</t>
  </si>
  <si>
    <t>HOME TEAMS</t>
  </si>
  <si>
    <t>AWAY TEAMS</t>
  </si>
  <si>
    <t>NEUTRAL</t>
  </si>
  <si>
    <t>PREMIERSHIP: SEASON-BY-SEASON</t>
  </si>
  <si>
    <t>2015/16</t>
  </si>
  <si>
    <t>CLS</t>
  </si>
  <si>
    <t>CLQ</t>
  </si>
  <si>
    <t>CL</t>
  </si>
  <si>
    <t>Yorkshire Carnegie</t>
  </si>
  <si>
    <t>CHAMPS CUP (POOL)</t>
  </si>
  <si>
    <t>15 v 14</t>
  </si>
  <si>
    <t>BT Sport</t>
  </si>
  <si>
    <t>15 v 13</t>
  </si>
  <si>
    <t>Round 6</t>
  </si>
  <si>
    <t>Round 7</t>
  </si>
  <si>
    <t>Round 8</t>
  </si>
  <si>
    <t>Round 9</t>
  </si>
  <si>
    <t>Round 10</t>
  </si>
  <si>
    <t>Round 11</t>
  </si>
  <si>
    <t>Round 12</t>
  </si>
  <si>
    <t>Round 13</t>
  </si>
  <si>
    <t>Round 14</t>
  </si>
  <si>
    <t>Round 15</t>
  </si>
  <si>
    <t>Round 16</t>
  </si>
  <si>
    <t>Round 17</t>
  </si>
  <si>
    <t>Round 18</t>
  </si>
  <si>
    <t>Round 19</t>
  </si>
  <si>
    <t>Round 20</t>
  </si>
  <si>
    <t>tb</t>
  </si>
  <si>
    <t>Round 21</t>
  </si>
  <si>
    <t>Bristol</t>
  </si>
  <si>
    <t>2016/17</t>
  </si>
  <si>
    <t>Played</t>
  </si>
  <si>
    <t>Drawn</t>
  </si>
  <si>
    <t>Pts Scored</t>
  </si>
  <si>
    <t>Pts Conceded</t>
  </si>
  <si>
    <t>PREM</t>
  </si>
  <si>
    <t>CHAMPIONS CUP</t>
  </si>
  <si>
    <t>CHALLENGE CUP</t>
  </si>
  <si>
    <t>TOTAL</t>
  </si>
  <si>
    <t>Pts Conc</t>
  </si>
  <si>
    <t>Tries Conc</t>
  </si>
  <si>
    <t>EUROPE</t>
  </si>
  <si>
    <t>PREMIERSHIP</t>
  </si>
  <si>
    <t>EUROPEAN CUP</t>
  </si>
  <si>
    <t>EXETER</t>
  </si>
  <si>
    <t>GLOUCESTER</t>
  </si>
  <si>
    <t>CHAMPIONS CUP PLAY-OFFS</t>
  </si>
  <si>
    <t>BATH</t>
  </si>
  <si>
    <t>HARLEQUINS</t>
  </si>
  <si>
    <t>CHAMPIONS CUP (2014/15-)</t>
  </si>
  <si>
    <t>LEICESTER</t>
  </si>
  <si>
    <t>CHAMPS CUP PO</t>
  </si>
  <si>
    <t>NORTHAMPTON</t>
  </si>
  <si>
    <t>SALE</t>
  </si>
  <si>
    <t>SARACENS</t>
  </si>
  <si>
    <t>WASPS</t>
  </si>
  <si>
    <t>WORCESTER</t>
  </si>
  <si>
    <t>EUROPEAN SHIELD</t>
  </si>
  <si>
    <t>tlb</t>
  </si>
  <si>
    <t>CHAMPS CUP (KO)</t>
  </si>
  <si>
    <t>Round 22</t>
  </si>
  <si>
    <t>PREMIERSHIP (PO)</t>
  </si>
  <si>
    <t>2017/18</t>
  </si>
  <si>
    <t>PR</t>
  </si>
  <si>
    <t>PRS</t>
  </si>
  <si>
    <t>PRF</t>
  </si>
  <si>
    <t>n/a</t>
  </si>
  <si>
    <t>ROUND</t>
  </si>
  <si>
    <t>HOME WINS</t>
  </si>
  <si>
    <t>AWAY WINS</t>
  </si>
  <si>
    <t>DRAWS</t>
  </si>
  <si>
    <t>TRIES</t>
  </si>
  <si>
    <t>POINTS</t>
  </si>
  <si>
    <t>SEASON TRIES</t>
  </si>
  <si>
    <t>SEASON</t>
  </si>
  <si>
    <t>S-FINAL</t>
  </si>
  <si>
    <t>FINAL</t>
  </si>
  <si>
    <t>First to 100 Points:</t>
  </si>
  <si>
    <t>First to 150 Points:</t>
  </si>
  <si>
    <t>First to 200 Points:</t>
  </si>
  <si>
    <t>SEASON 2018/19</t>
  </si>
  <si>
    <t>AT RICOH ARENA</t>
  </si>
  <si>
    <t>-</t>
  </si>
  <si>
    <t>PREMIERSHIP (TOTALS)</t>
  </si>
  <si>
    <t>2018/19</t>
  </si>
  <si>
    <t>TV</t>
  </si>
  <si>
    <t>PC</t>
  </si>
  <si>
    <t>PCS</t>
  </si>
  <si>
    <t>PCF</t>
  </si>
  <si>
    <t>CMS</t>
  </si>
  <si>
    <t>CMF</t>
  </si>
  <si>
    <t>PR CUP (POOL)</t>
  </si>
  <si>
    <t>PR CUP (KO)</t>
  </si>
  <si>
    <t>PR CUP (TOTALS)</t>
  </si>
  <si>
    <t>CHAMPS CUP (TOTALS)</t>
  </si>
  <si>
    <t>Sp 21</t>
  </si>
  <si>
    <t>Sp 28</t>
  </si>
  <si>
    <t>Oc 5</t>
  </si>
  <si>
    <t>Nv 16</t>
  </si>
  <si>
    <t>Nv 23</t>
  </si>
  <si>
    <t>Nv 30</t>
  </si>
  <si>
    <t>Nv 9</t>
  </si>
  <si>
    <t>Oc 26</t>
  </si>
  <si>
    <t>Nv 2</t>
  </si>
  <si>
    <t>BRISTOL</t>
  </si>
  <si>
    <t>Oc 12</t>
  </si>
  <si>
    <t>Oc 19</t>
  </si>
  <si>
    <t>Dc 7</t>
  </si>
  <si>
    <t>Dc 14</t>
  </si>
  <si>
    <t>Ja 11</t>
  </si>
  <si>
    <t>Ja 18</t>
  </si>
  <si>
    <t>:</t>
  </si>
  <si>
    <t>Ashton Gate</t>
  </si>
  <si>
    <t>Sixways</t>
  </si>
  <si>
    <t>Sandy Park</t>
  </si>
  <si>
    <t>AW/PREMIERSHIP CUP</t>
  </si>
  <si>
    <t>ARTIFICIAL PITCHES</t>
  </si>
  <si>
    <t>Ricoh Arena</t>
  </si>
  <si>
    <t>Allianz Park</t>
  </si>
  <si>
    <r>
      <t>POWERPLAYS (</t>
    </r>
    <r>
      <rPr>
        <b/>
        <sz val="11"/>
        <color rgb="FFFF0000"/>
        <rFont val="Calibri"/>
        <family val="2"/>
        <scheme val="minor"/>
      </rPr>
      <t xml:space="preserve">periods when teams are playing against short-handed opposition </t>
    </r>
    <r>
      <rPr>
        <b/>
        <u/>
        <sz val="11"/>
        <color rgb="FFFF0000"/>
        <rFont val="Calibri"/>
        <family val="2"/>
        <scheme val="minor"/>
      </rPr>
      <t>only</t>
    </r>
    <r>
      <rPr>
        <b/>
        <sz val="11"/>
        <color theme="1"/>
        <rFont val="Calibri"/>
        <family val="2"/>
        <scheme val="minor"/>
      </rPr>
      <t>)</t>
    </r>
  </si>
  <si>
    <t>Dc 21</t>
  </si>
  <si>
    <t>Dc 28</t>
  </si>
  <si>
    <t>Ja 4</t>
  </si>
  <si>
    <t>Fb 15</t>
  </si>
  <si>
    <t>Fb 22</t>
  </si>
  <si>
    <t>CHALL CUP (POOL)</t>
  </si>
  <si>
    <t>CHALL CUP (KO)</t>
  </si>
  <si>
    <t>CHALL CUP (TOTALS)</t>
  </si>
  <si>
    <t>15 v 12</t>
  </si>
  <si>
    <t>15 v 11</t>
  </si>
  <si>
    <t>2019 CALENDAR YEAR TABLE</t>
  </si>
  <si>
    <t>PD</t>
  </si>
  <si>
    <t>Excludes the 17 Finals</t>
  </si>
  <si>
    <t>2019/20</t>
  </si>
  <si>
    <t>as at 17/10/19</t>
  </si>
  <si>
    <t>SEASON 2019/20</t>
  </si>
  <si>
    <t>After Round 1 2019-20 (Oct 20 Evening - Oct 25 Morning)</t>
  </si>
  <si>
    <t xml:space="preserve">Exeter </t>
  </si>
  <si>
    <t xml:space="preserve">Bath </t>
  </si>
  <si>
    <t>BATH 2019/20</t>
  </si>
  <si>
    <t>BRISTOL 2019/20</t>
  </si>
  <si>
    <t>EXETER 2019/20</t>
  </si>
  <si>
    <t>GLOUCESTER 2019/20</t>
  </si>
  <si>
    <t>HARLEQUINS 2019/20</t>
  </si>
  <si>
    <t>LEICESTER 2019/20</t>
  </si>
  <si>
    <t>LONDON IRISH 2019/20</t>
  </si>
  <si>
    <t>NORTHAMPTON 2019/20</t>
  </si>
  <si>
    <t>SALE 2019/20</t>
  </si>
  <si>
    <t>SARACENS 2019/20</t>
  </si>
  <si>
    <t>WASPS 2019/20</t>
  </si>
  <si>
    <t>WORCESTER 2019/20</t>
  </si>
  <si>
    <t xml:space="preserve">PL13 W7 L5 D1 </t>
  </si>
  <si>
    <t xml:space="preserve">PL15 W3 L11 D1 </t>
  </si>
  <si>
    <t>All 3 wins at Kingston Pk, draw at Sixways</t>
  </si>
  <si>
    <t>as at 14/11/19</t>
  </si>
  <si>
    <t>LONDON IRISH</t>
  </si>
  <si>
    <t>PREM - as at 17/10/19</t>
  </si>
  <si>
    <t>Ja 25</t>
  </si>
  <si>
    <t>Fb 29</t>
  </si>
  <si>
    <t>Mr 7</t>
  </si>
  <si>
    <t>Penalty Tries: v Xxx (Xx XX)</t>
  </si>
  <si>
    <t>CLF</t>
  </si>
  <si>
    <t>Sp 20</t>
  </si>
  <si>
    <t>H</t>
  </si>
  <si>
    <t>17-5</t>
  </si>
  <si>
    <t>5-17</t>
  </si>
  <si>
    <t>14-25</t>
  </si>
  <si>
    <t>25-14</t>
  </si>
  <si>
    <t>Jack Makepeace</t>
  </si>
  <si>
    <t>John Meredith</t>
  </si>
  <si>
    <t>Wayne Falla</t>
  </si>
  <si>
    <t>21-0</t>
  </si>
  <si>
    <t>Adam Leal</t>
  </si>
  <si>
    <t>0-21</t>
  </si>
  <si>
    <t>15-22</t>
  </si>
  <si>
    <t>22-15</t>
  </si>
  <si>
    <t>15-3</t>
  </si>
  <si>
    <t>3-15</t>
  </si>
  <si>
    <t>31-13</t>
  </si>
  <si>
    <t>13-31</t>
  </si>
  <si>
    <t>Paul Dix</t>
  </si>
  <si>
    <t>Shane Lewis</t>
  </si>
  <si>
    <t>Ian Tempest</t>
  </si>
  <si>
    <t>Simon McConnell</t>
  </si>
  <si>
    <t>Andrew Jackson</t>
  </si>
  <si>
    <t>Tim Wigglesworth</t>
  </si>
  <si>
    <t>Steve Lee</t>
  </si>
  <si>
    <t>Anthony Woodthorpe</t>
  </si>
  <si>
    <t>JP Doyle</t>
  </si>
  <si>
    <t>Peter Allan</t>
  </si>
  <si>
    <t>Christophe Ridley</t>
  </si>
  <si>
    <t>Sam Collins</t>
  </si>
  <si>
    <t>Rob Warburton</t>
  </si>
  <si>
    <t>Sean Davey</t>
  </si>
  <si>
    <t>David Rose</t>
  </si>
  <si>
    <t>N/A</t>
  </si>
  <si>
    <t>Semi-Finals</t>
  </si>
  <si>
    <t>The Stoop</t>
  </si>
  <si>
    <t>12</t>
  </si>
  <si>
    <t>50</t>
  </si>
  <si>
    <t>14</t>
  </si>
  <si>
    <t>49</t>
  </si>
  <si>
    <t>18</t>
  </si>
  <si>
    <t>23</t>
  </si>
  <si>
    <t>Kingsholm</t>
  </si>
  <si>
    <t>AJ Bell</t>
  </si>
  <si>
    <t>Premiership</t>
  </si>
  <si>
    <t>Simon Harding</t>
  </si>
  <si>
    <t>George Selwood</t>
  </si>
  <si>
    <t>Sara Cox</t>
  </si>
  <si>
    <t>Jonathan Healy</t>
  </si>
  <si>
    <t xml:space="preserve">Gloucester </t>
  </si>
  <si>
    <t>Trevor Fisher</t>
  </si>
  <si>
    <t xml:space="preserve">Leicester </t>
  </si>
  <si>
    <t>Michael Hudson</t>
  </si>
  <si>
    <t>Alex Thomas</t>
  </si>
  <si>
    <t>David Grashoff</t>
  </si>
  <si>
    <t>Clare Daniels</t>
  </si>
  <si>
    <t>Matthew Turvey</t>
  </si>
  <si>
    <t>Dean Richards</t>
  </si>
  <si>
    <t>Greg MacDonald</t>
  </si>
  <si>
    <t>Oc 4</t>
  </si>
  <si>
    <t>Oc 6</t>
  </si>
  <si>
    <t xml:space="preserve">Bristol </t>
  </si>
  <si>
    <t>Oc 11</t>
  </si>
  <si>
    <t>13-5</t>
  </si>
  <si>
    <t>17</t>
  </si>
  <si>
    <t>5-13</t>
  </si>
  <si>
    <t>7</t>
  </si>
  <si>
    <t>Welford Road</t>
  </si>
  <si>
    <t>17-7</t>
  </si>
  <si>
    <t>27-7</t>
  </si>
  <si>
    <t>24-7</t>
  </si>
  <si>
    <t>7-24</t>
  </si>
  <si>
    <t>28</t>
  </si>
  <si>
    <t>The Rec</t>
  </si>
  <si>
    <t>21</t>
  </si>
  <si>
    <t>Madejski Stadium</t>
  </si>
  <si>
    <t>15-8</t>
  </si>
  <si>
    <t>8-15</t>
  </si>
  <si>
    <t>36</t>
  </si>
  <si>
    <t>Franklin's Gardens</t>
  </si>
  <si>
    <t>13-12</t>
  </si>
  <si>
    <t>12-13</t>
  </si>
  <si>
    <t>10-22</t>
  </si>
  <si>
    <t>22-10</t>
  </si>
  <si>
    <t>34</t>
  </si>
  <si>
    <t>31</t>
  </si>
  <si>
    <t>20</t>
  </si>
  <si>
    <t>27</t>
  </si>
  <si>
    <t>54</t>
  </si>
  <si>
    <t>12-7</t>
  </si>
  <si>
    <t>7-12</t>
  </si>
  <si>
    <t>35-19</t>
  </si>
  <si>
    <t>19-35</t>
  </si>
  <si>
    <t>10-20</t>
  </si>
  <si>
    <t>20-10</t>
  </si>
  <si>
    <t xml:space="preserve">Simon McConnell </t>
  </si>
  <si>
    <t>Roy Maybank</t>
  </si>
  <si>
    <t>Hamish Smales</t>
  </si>
  <si>
    <t>Craig Maxwell-Keys</t>
  </si>
  <si>
    <t>Philip Watters</t>
  </si>
  <si>
    <t>Lionel Spooner</t>
  </si>
  <si>
    <t>Keith Lewis</t>
  </si>
  <si>
    <t>Fergus Kirby</t>
  </si>
  <si>
    <t>Gareth Holsgrove</t>
  </si>
  <si>
    <t>Gregory Garner</t>
  </si>
  <si>
    <t>Claire Hodnett</t>
  </si>
  <si>
    <t>Neil Chivers</t>
  </si>
  <si>
    <t>0-15</t>
  </si>
  <si>
    <t>15-0</t>
  </si>
  <si>
    <t>17-8</t>
  </si>
  <si>
    <t>8-17</t>
  </si>
  <si>
    <t>21-23</t>
  </si>
  <si>
    <t>23-21</t>
  </si>
  <si>
    <t>26</t>
  </si>
  <si>
    <t>19</t>
  </si>
  <si>
    <t>6</t>
  </si>
  <si>
    <t>24-12</t>
  </si>
  <si>
    <t>12-24</t>
  </si>
  <si>
    <t>10-15</t>
  </si>
  <si>
    <t>15-10</t>
  </si>
  <si>
    <t>8-3</t>
  </si>
  <si>
    <t>3-8</t>
  </si>
  <si>
    <t>28-12</t>
  </si>
  <si>
    <t>12-28</t>
  </si>
  <si>
    <t>10-14</t>
  </si>
  <si>
    <t>14-10</t>
  </si>
  <si>
    <t>22-13</t>
  </si>
  <si>
    <t>13-22</t>
  </si>
  <si>
    <t>Oc 18</t>
  </si>
  <si>
    <t>Oc 25</t>
  </si>
  <si>
    <t>Nv 29</t>
  </si>
  <si>
    <t>Dc 6</t>
  </si>
  <si>
    <t>Ja 10</t>
  </si>
  <si>
    <t>Ulster</t>
  </si>
  <si>
    <t>Clermont</t>
  </si>
  <si>
    <t>Dc 15</t>
  </si>
  <si>
    <t>Dc 22</t>
  </si>
  <si>
    <t>Nv 1</t>
  </si>
  <si>
    <t>Nv 10</t>
  </si>
  <si>
    <t>Nv 22</t>
  </si>
  <si>
    <t>Dc 1</t>
  </si>
  <si>
    <t>Zebre</t>
  </si>
  <si>
    <t>Brive</t>
  </si>
  <si>
    <t>Dc 27</t>
  </si>
  <si>
    <t>Ja 24</t>
  </si>
  <si>
    <t>Mr 8</t>
  </si>
  <si>
    <t>Nv 3</t>
  </si>
  <si>
    <t>Dc 8</t>
  </si>
  <si>
    <t>La Rochelle</t>
  </si>
  <si>
    <t>Glasgow</t>
  </si>
  <si>
    <t>Dc 29</t>
  </si>
  <si>
    <t>Ja 5</t>
  </si>
  <si>
    <t>Nv 15</t>
  </si>
  <si>
    <t>Toulouse</t>
  </si>
  <si>
    <t>Nv 24</t>
  </si>
  <si>
    <t>Montpellier</t>
  </si>
  <si>
    <t>Connacht</t>
  </si>
  <si>
    <t>Dc 13</t>
  </si>
  <si>
    <t>Ja 3</t>
  </si>
  <si>
    <t xml:space="preserve">Saracens </t>
  </si>
  <si>
    <t>Fb 14</t>
  </si>
  <si>
    <t>Fb 21</t>
  </si>
  <si>
    <t>Fb 28</t>
  </si>
  <si>
    <t>Mr 6</t>
  </si>
  <si>
    <t>17-13</t>
  </si>
  <si>
    <t>Tom Foley</t>
  </si>
  <si>
    <t>Stuart Terheege</t>
  </si>
  <si>
    <t>SimonMcConnell</t>
  </si>
  <si>
    <t>13-17</t>
  </si>
  <si>
    <t>13-11</t>
  </si>
  <si>
    <t>Geoff Warren</t>
  </si>
  <si>
    <t>11-13</t>
  </si>
  <si>
    <t>0-10</t>
  </si>
  <si>
    <t>10-0</t>
  </si>
  <si>
    <t>16-21</t>
  </si>
  <si>
    <t>21-16</t>
  </si>
  <si>
    <t>15-13</t>
  </si>
  <si>
    <t>Phil Watters</t>
  </si>
  <si>
    <t>13-15</t>
  </si>
  <si>
    <t>16-19</t>
  </si>
  <si>
    <t>19-16</t>
  </si>
  <si>
    <t>Oc 20</t>
  </si>
  <si>
    <t>Nv 8</t>
  </si>
  <si>
    <t>Bordeaux</t>
  </si>
  <si>
    <t>Agen</t>
  </si>
  <si>
    <t>Edinburgh</t>
  </si>
  <si>
    <t>Oc27</t>
  </si>
  <si>
    <t>Pau</t>
  </si>
  <si>
    <t>Calvisano</t>
  </si>
  <si>
    <t>Ja 12</t>
  </si>
  <si>
    <t>Oc 27</t>
  </si>
  <si>
    <t>Nv 17</t>
  </si>
  <si>
    <t>Racing 92</t>
  </si>
  <si>
    <t>Ospreys</t>
  </si>
  <si>
    <t>Munster</t>
  </si>
  <si>
    <t>Ja 19</t>
  </si>
  <si>
    <t>Scarlets</t>
  </si>
  <si>
    <t>Bayonne</t>
  </si>
  <si>
    <t xml:space="preserve">Toulon </t>
  </si>
  <si>
    <t>Mr 1</t>
  </si>
  <si>
    <t>Lyon</t>
  </si>
  <si>
    <t>Benetton</t>
  </si>
  <si>
    <t>Leinster</t>
  </si>
  <si>
    <t>Dc 20</t>
  </si>
  <si>
    <t>Enisei-STM</t>
  </si>
  <si>
    <t>Castres</t>
  </si>
  <si>
    <t>Dragons</t>
  </si>
  <si>
    <t>Ja 17</t>
  </si>
  <si>
    <t>10-10</t>
  </si>
  <si>
    <t>6-9</t>
  </si>
  <si>
    <t>9-6</t>
  </si>
  <si>
    <t>Nigel Carrick</t>
  </si>
  <si>
    <t>13-3</t>
  </si>
  <si>
    <t>3-13</t>
  </si>
  <si>
    <t>9-9</t>
  </si>
  <si>
    <t>0-20</t>
  </si>
  <si>
    <t>20-0</t>
  </si>
  <si>
    <t>3-10</t>
  </si>
  <si>
    <t>10-3</t>
  </si>
  <si>
    <t>After Round 2 2019-20 (Oct 27 Evening - Nov 01 Morning)</t>
  </si>
  <si>
    <t>↑4</t>
  </si>
  <si>
    <t>↑5</t>
  </si>
  <si>
    <t>↓3</t>
  </si>
  <si>
    <t>↑2</t>
  </si>
  <si>
    <t>↓6</t>
  </si>
  <si>
    <t>↑3</t>
  </si>
  <si>
    <t>↓7</t>
  </si>
  <si>
    <t>↓2</t>
  </si>
  <si>
    <t>↓1</t>
  </si>
  <si>
    <t>9-0</t>
  </si>
  <si>
    <t>0-9</t>
  </si>
  <si>
    <t>27-8</t>
  </si>
  <si>
    <t>8-6</t>
  </si>
  <si>
    <t>6-8</t>
  </si>
  <si>
    <t>13-9</t>
  </si>
  <si>
    <t>9-13</t>
  </si>
  <si>
    <t>17-10</t>
  </si>
  <si>
    <t>10-17</t>
  </si>
  <si>
    <t>↑1</t>
  </si>
  <si>
    <t>After Round 3 2019-20 (Nov 3 Evening - Nov 8 afternoon)</t>
  </si>
  <si>
    <t>Fb 7</t>
  </si>
  <si>
    <t>*Saracens</t>
  </si>
  <si>
    <t>Fb 2</t>
  </si>
  <si>
    <t>S Francais</t>
  </si>
  <si>
    <t>13-10</t>
  </si>
  <si>
    <t>10-13</t>
  </si>
  <si>
    <t>Odogwu</t>
  </si>
  <si>
    <t>10-8</t>
  </si>
  <si>
    <t>8-10</t>
  </si>
  <si>
    <t>Brew</t>
  </si>
  <si>
    <t>5-16</t>
  </si>
  <si>
    <t>16-5</t>
  </si>
  <si>
    <t>Matthew Carley</t>
  </si>
  <si>
    <t>22-6</t>
  </si>
  <si>
    <t>6-22</t>
  </si>
  <si>
    <t>17-0</t>
  </si>
  <si>
    <t>Karl Dickson</t>
  </si>
  <si>
    <t>0-17</t>
  </si>
  <si>
    <t>After Round 4 2019-20 (Nov 10 Evening - Nov 29 afternoon)</t>
  </si>
  <si>
    <t>* Saracens deducted 35 points for breaches to the Salary Cap regulations</t>
  </si>
  <si>
    <t>↓8</t>
  </si>
  <si>
    <t>20-9</t>
  </si>
  <si>
    <t>Ben Whitehouse (Wal)</t>
  </si>
  <si>
    <t>Ian Davies (Wal)</t>
  </si>
  <si>
    <t>Gwyn Morris (Wal)</t>
  </si>
  <si>
    <t>Wayne Davies (Wal)</t>
  </si>
  <si>
    <t>6-7</t>
  </si>
  <si>
    <t>Marius Mitrea (Ita)</t>
  </si>
  <si>
    <t>Stefano Penne (Ita)</t>
  </si>
  <si>
    <t>Matteo Liperini (Ita)</t>
  </si>
  <si>
    <t>Manuel Bottino (Ita)</t>
  </si>
  <si>
    <t>Alexandre Ruiz (Fra)</t>
  </si>
  <si>
    <t>Patrick Dellac (Fra)</t>
  </si>
  <si>
    <t>Adrien Descottes (Fra)</t>
  </si>
  <si>
    <t>Cedric Marchat (Fra)</t>
  </si>
  <si>
    <t>0-13</t>
  </si>
  <si>
    <t>Mike Adamson (Sco)</t>
  </si>
  <si>
    <t>Neil Paterson (Sco)</t>
  </si>
  <si>
    <t>Sam Grove-White (Sco)</t>
  </si>
  <si>
    <t>Dave Sutherland (Sco)</t>
  </si>
  <si>
    <t>14-0</t>
  </si>
  <si>
    <t>Daniel Jones (Wal)</t>
  </si>
  <si>
    <t>Sean Brickell (Wal)</t>
  </si>
  <si>
    <t>Mike English (Wal)</t>
  </si>
  <si>
    <t>Gareth Newman (Wal)</t>
  </si>
  <si>
    <t>7-25</t>
  </si>
  <si>
    <t>Cardiff Bl</t>
  </si>
  <si>
    <t>24-13</t>
  </si>
  <si>
    <t>Nika Amashukeli (Geo)</t>
  </si>
  <si>
    <t>Shota Tevadze (Geo)</t>
  </si>
  <si>
    <t>Saba Abulashvili (Geo)</t>
  </si>
  <si>
    <t>Frank Murphy (Ire)</t>
  </si>
  <si>
    <t>Olly Hodges (Ire)</t>
  </si>
  <si>
    <t>George Clancy (Ire)</t>
  </si>
  <si>
    <t>Rob O'Sullivan Ire)</t>
  </si>
  <si>
    <t>19-0</t>
  </si>
  <si>
    <t>Andrew Brace (Ire)</t>
  </si>
  <si>
    <t>Brian MacNeice (Ire)</t>
  </si>
  <si>
    <t>Stuart Gaffikin (Ire)</t>
  </si>
  <si>
    <t>Paul Haycock (Ire)</t>
  </si>
  <si>
    <t>3-18</t>
  </si>
  <si>
    <t>23-3</t>
  </si>
  <si>
    <t>Mathieu Raynal (Fra)</t>
  </si>
  <si>
    <t>Philippe Bonhoure (Fra)</t>
  </si>
  <si>
    <t>Thomas Charabas (Fra)</t>
  </si>
  <si>
    <t>Vincent Blasco-Baque (Fra)</t>
  </si>
  <si>
    <t>3845</t>
  </si>
  <si>
    <t>Finlay Brown (Sco)</t>
  </si>
  <si>
    <t>15-25</t>
  </si>
  <si>
    <t>Simon McDowell (Ire)</t>
  </si>
  <si>
    <t>Kieran Barry (Ire)</t>
  </si>
  <si>
    <t>Mark Patton (ire)</t>
  </si>
  <si>
    <t>10-24</t>
  </si>
  <si>
    <t>Pascal Gauzere (Fra)</t>
  </si>
  <si>
    <t>Eric Gauzins (Fra)</t>
  </si>
  <si>
    <t>Maxime Chaklon (Fra)</t>
  </si>
  <si>
    <t>Jonathan Dufort (Fra)</t>
  </si>
  <si>
    <t>Eddie Hogan-O'Connell (Ire)</t>
  </si>
  <si>
    <t>10-7</t>
  </si>
  <si>
    <t>Stuart Gaffikin (ire)</t>
  </si>
  <si>
    <t>13-13</t>
  </si>
  <si>
    <t>Sean Gallagher (Ire)</t>
  </si>
  <si>
    <t>Simon McDowell (ire)</t>
  </si>
  <si>
    <t>Nigel Correll (Ire)</t>
  </si>
  <si>
    <t>John Carvill (Ire)</t>
  </si>
  <si>
    <t>9-16</t>
  </si>
  <si>
    <t>Karl Dickson (Eng)</t>
  </si>
  <si>
    <t>David Rose (Eng)</t>
  </si>
  <si>
    <t>JP Doyle (Eng)</t>
  </si>
  <si>
    <t>Anthony Woodthorpe (Eng)</t>
  </si>
  <si>
    <t>16-9</t>
  </si>
  <si>
    <t>Premiership Cup</t>
  </si>
  <si>
    <t xml:space="preserve">Ian Tempest </t>
  </si>
  <si>
    <t>24-10</t>
  </si>
  <si>
    <t>Rowan Kitt</t>
  </si>
  <si>
    <t>Luke Pearce</t>
  </si>
  <si>
    <t>Graham Hughes</t>
  </si>
  <si>
    <t>du Preez, J-L</t>
  </si>
  <si>
    <t>3-7</t>
  </si>
  <si>
    <t>Wayne Barnes</t>
  </si>
  <si>
    <t>7-3</t>
  </si>
  <si>
    <t>dtb</t>
  </si>
  <si>
    <t>10-12</t>
  </si>
  <si>
    <t>12-10</t>
  </si>
  <si>
    <t>After Round 5 2019-20 (Dec 1 Evening - Dec 20 afternoon)</t>
  </si>
  <si>
    <t>Romain Poite (Fra)</t>
  </si>
  <si>
    <t>Denis Grenouillet (Fra)</t>
  </si>
  <si>
    <t>Pierre Brousset (Fra)</t>
  </si>
  <si>
    <t>Ludovic Cayre (Fra)</t>
  </si>
  <si>
    <t>Sebastien Minery (Fra)</t>
  </si>
  <si>
    <t>7-7</t>
  </si>
  <si>
    <t>Dan Jones (Wal)</t>
  </si>
  <si>
    <t>Adam Jones (Wal)</t>
  </si>
  <si>
    <t>Kelvin Shorte (Wal)</t>
  </si>
  <si>
    <t>13-8</t>
  </si>
  <si>
    <t>24-0</t>
  </si>
  <si>
    <t>Craig Evans (Wal)</t>
  </si>
  <si>
    <t>Dewi Phillips (Wal)</t>
  </si>
  <si>
    <t>38-7</t>
  </si>
  <si>
    <t>Julien Castaignede (Fra)</t>
  </si>
  <si>
    <t>Pierre-Baptiste Nuchy (Fra)</t>
  </si>
  <si>
    <t>Keith Allan (Sco)</t>
  </si>
  <si>
    <t>H*</t>
  </si>
  <si>
    <t>Maxime Chalon (Fra)</t>
  </si>
  <si>
    <t>7-10</t>
  </si>
  <si>
    <t>Vincent Blasco Baque (Fra)</t>
  </si>
  <si>
    <t>A*</t>
  </si>
  <si>
    <t>31-0</t>
  </si>
  <si>
    <t>Andrea Piardi (Ita)</t>
  </si>
  <si>
    <t>Gianluca Gnecchi (Ita)</t>
  </si>
  <si>
    <t>Federico Vedovelli (Ita)</t>
  </si>
  <si>
    <t>6-14</t>
  </si>
  <si>
    <t>Leo Colgan (Ire)</t>
  </si>
  <si>
    <t>Marius Mitea (Ita)</t>
  </si>
  <si>
    <t>Emanuele Tomo (Ita)</t>
  </si>
  <si>
    <t>7122</t>
  </si>
  <si>
    <t>Eric Briquet-Campin (Fra)</t>
  </si>
  <si>
    <t>Tual Trainini (Fra)</t>
  </si>
  <si>
    <t>Laurent Cardona (Fra)</t>
  </si>
  <si>
    <t>8-11</t>
  </si>
  <si>
    <t>26-7</t>
  </si>
  <si>
    <t>Tom Spurrier (Wal)</t>
  </si>
  <si>
    <t>Dai Cambourne (Wal)</t>
  </si>
  <si>
    <t>Vivien Praderie (Fra)</t>
  </si>
  <si>
    <t>Adrien Marbot (Fra)</t>
  </si>
  <si>
    <t>*Twickenham</t>
  </si>
  <si>
    <t>31-24</t>
  </si>
  <si>
    <t>Joy Neville (Ire)</t>
  </si>
  <si>
    <t>Jonny Erskine (Ire)</t>
  </si>
  <si>
    <t>Richard Kerr (Ire)</t>
  </si>
  <si>
    <t>10-19</t>
  </si>
  <si>
    <t>Federico Borasco (Ita)</t>
  </si>
  <si>
    <t>14-40</t>
  </si>
  <si>
    <t>3-3</t>
  </si>
  <si>
    <t xml:space="preserve">Stuart Terheege </t>
  </si>
  <si>
    <r>
      <rPr>
        <b/>
        <sz val="11"/>
        <color rgb="FFFF0000"/>
        <rFont val="Calibri"/>
        <family val="2"/>
        <scheme val="minor"/>
      </rPr>
      <t>19</t>
    </r>
    <r>
      <rPr>
        <b/>
        <sz val="11"/>
        <color theme="1"/>
        <rFont val="Calibri"/>
        <family val="2"/>
        <scheme val="minor"/>
      </rPr>
      <t xml:space="preserve"> by Glo v Wor (Dec 20)</t>
    </r>
  </si>
  <si>
    <t>22-14</t>
  </si>
  <si>
    <t>14-22</t>
  </si>
  <si>
    <t>14-13</t>
  </si>
  <si>
    <t>13-14</t>
  </si>
  <si>
    <t>17-14</t>
  </si>
  <si>
    <t>14-17</t>
  </si>
  <si>
    <t>3-31</t>
  </si>
  <si>
    <t xml:space="preserve">Karl Dickson </t>
  </si>
  <si>
    <t>31-3</t>
  </si>
  <si>
    <t>Penalty Tries: v Lir (Dec 22)</t>
  </si>
  <si>
    <t>↓4</t>
  </si>
  <si>
    <t>After Round 6 2019-20 (Dec 22 Evening - Dec 27 afternoon)</t>
  </si>
  <si>
    <t>First to 5 tries: Ben Earl (Sar) - Dec 21, Round 6</t>
  </si>
  <si>
    <t>14-31</t>
  </si>
  <si>
    <t>Luc Ramos (Fra)</t>
  </si>
  <si>
    <t>Ja 26</t>
  </si>
  <si>
    <t>3-0</t>
  </si>
  <si>
    <t>13-7</t>
  </si>
  <si>
    <t>7-13</t>
  </si>
  <si>
    <t>6-0</t>
  </si>
  <si>
    <t>0-6</t>
  </si>
  <si>
    <t>Jamie Leahy</t>
  </si>
  <si>
    <t>Hoskins, Matu'u</t>
  </si>
  <si>
    <t>13-6</t>
  </si>
  <si>
    <t>6-13</t>
  </si>
  <si>
    <t>Twickenham</t>
  </si>
  <si>
    <t>7-0</t>
  </si>
  <si>
    <t>Exeter became first team in all comps since Sep 2017 to prevent Saracens scoring in a first half in Dec</t>
  </si>
  <si>
    <t>0-7</t>
  </si>
  <si>
    <t>Williams</t>
  </si>
  <si>
    <t>After Round 7 2019-20 (Dec 29 Evening - Jan 3 afternoon)</t>
  </si>
  <si>
    <t>A~</t>
  </si>
  <si>
    <t>Fb 16</t>
  </si>
  <si>
    <t>Fb 23</t>
  </si>
  <si>
    <t>21-6</t>
  </si>
  <si>
    <t>6-21</t>
  </si>
  <si>
    <t>7-9</t>
  </si>
  <si>
    <t>9-7</t>
  </si>
  <si>
    <t>0-31</t>
  </si>
  <si>
    <r>
      <rPr>
        <b/>
        <sz val="11"/>
        <color rgb="FFFF0000"/>
        <rFont val="Calibri"/>
        <family val="2"/>
        <scheme val="minor"/>
      </rPr>
      <t>21</t>
    </r>
    <r>
      <rPr>
        <b/>
        <sz val="11"/>
        <color theme="1"/>
        <rFont val="Calibri"/>
        <family val="2"/>
        <scheme val="minor"/>
      </rPr>
      <t xml:space="preserve"> by Sar v Wor (Jan 4)</t>
    </r>
  </si>
  <si>
    <t>7-28</t>
  </si>
  <si>
    <t>28-7</t>
  </si>
  <si>
    <t>lbtb</t>
  </si>
  <si>
    <t>15;00</t>
  </si>
  <si>
    <t>After Round 8 2019-20 (Jan 5 Evening - Jan 24 afternoon)</t>
  </si>
  <si>
    <t>16-15</t>
  </si>
  <si>
    <t>24-24</t>
  </si>
  <si>
    <t>Rob O'Sullivan (Ire)</t>
  </si>
  <si>
    <t>5-10</t>
  </si>
  <si>
    <t>Chris Busby (Ire)</t>
  </si>
  <si>
    <t>Mark Patton (Ire)</t>
  </si>
  <si>
    <t>14-12</t>
  </si>
  <si>
    <t>Sebastein Minery (Fra)</t>
  </si>
  <si>
    <t>12-14</t>
  </si>
  <si>
    <t>Aled Evans (Wal)</t>
  </si>
  <si>
    <t>5-19</t>
  </si>
  <si>
    <t>Gabriele Pezzano (Ita)</t>
  </si>
  <si>
    <t>7-21</t>
  </si>
  <si>
    <t>* Saracens deducted 35 points for breaches to the Salary Cap regulations and will</t>
  </si>
  <si>
    <t>2020 CALENDAR YEAR TABLE</t>
  </si>
  <si>
    <t>Sp 27</t>
  </si>
  <si>
    <t>17-3</t>
  </si>
  <si>
    <t>Ben Blain (Sco)</t>
  </si>
  <si>
    <t>Graeme Ormiston (Sco)</t>
  </si>
  <si>
    <t>Bob Nevins (Sco)</t>
  </si>
  <si>
    <t>14-21</t>
  </si>
  <si>
    <t>12-17</t>
  </si>
  <si>
    <t>17-21</t>
  </si>
  <si>
    <t>Nigel Owens (Wal)</t>
  </si>
  <si>
    <t>8-13</t>
  </si>
  <si>
    <t>Collins, Ratuniyarawa</t>
  </si>
  <si>
    <t>5-3</t>
  </si>
  <si>
    <t xml:space="preserve">David Grashoff </t>
  </si>
  <si>
    <t>3-5</t>
  </si>
  <si>
    <t>15-9</t>
  </si>
  <si>
    <t>9-15</t>
  </si>
  <si>
    <t xml:space="preserve">* Saracens deducted 105 points for breaches to the Salary Cap regulations </t>
  </si>
  <si>
    <t>5-22</t>
  </si>
  <si>
    <t>22-5</t>
  </si>
  <si>
    <t>19-7</t>
  </si>
  <si>
    <t>7-19</t>
  </si>
  <si>
    <t>After Round 9 2019-20 (Jan 25 Evening - Feb 14 afternoon)</t>
  </si>
  <si>
    <t>14-14</t>
  </si>
  <si>
    <t>Robert O'Sullivan (Ire)</t>
  </si>
  <si>
    <t>5-18</t>
  </si>
  <si>
    <t>Rhys Jones (Wal)</t>
  </si>
  <si>
    <t>Ben Breakspear (Wal)</t>
  </si>
  <si>
    <t>6-16</t>
  </si>
  <si>
    <t>Andrew McMenemy (Sco)</t>
  </si>
  <si>
    <t>Ian Kenny (Sco)</t>
  </si>
  <si>
    <t>Shota Tevzadze (Geo)</t>
  </si>
  <si>
    <t>Sebastien  Minery (Fra)</t>
  </si>
  <si>
    <t>Jonathan Gasnier (Fra)</t>
  </si>
  <si>
    <t>6-10</t>
  </si>
  <si>
    <t>26-17</t>
  </si>
  <si>
    <t>Oisin Quinn (Ire)</t>
  </si>
  <si>
    <t>Ricardo Angelucci (Ita)</t>
  </si>
  <si>
    <t>3-17</t>
  </si>
  <si>
    <t>18-5</t>
  </si>
  <si>
    <t>3-6</t>
  </si>
  <si>
    <t>6-3</t>
  </si>
  <si>
    <t xml:space="preserve">Rowan Kitt </t>
  </si>
  <si>
    <t>11-0</t>
  </si>
  <si>
    <t>0-11</t>
  </si>
  <si>
    <t>After Round 10 2019-20 (Feb 16 Evening - Feb 21 afternoon)</t>
  </si>
  <si>
    <t>Marcus Smith (Har) - Feb 15, Round 10</t>
  </si>
  <si>
    <t>19-3</t>
  </si>
  <si>
    <t>3-19</t>
  </si>
  <si>
    <t>31-5</t>
  </si>
  <si>
    <t>5-31</t>
  </si>
  <si>
    <t>Feb 21 was Saracens' heaviest Prem defeat</t>
  </si>
  <si>
    <t>8-5</t>
  </si>
  <si>
    <t>5-8</t>
  </si>
  <si>
    <t>22-0</t>
  </si>
  <si>
    <t>0-22</t>
  </si>
  <si>
    <t>After Round 11 2019-20 (Feb 23 Evening - Feb 28 afternoon)</t>
  </si>
  <si>
    <t>8-8</t>
  </si>
  <si>
    <t>26-10</t>
  </si>
  <si>
    <t>20-12</t>
  </si>
  <si>
    <t>8-12</t>
  </si>
  <si>
    <t>12-8</t>
  </si>
  <si>
    <t>After Round 12 2019-20 (Mar 1 Evening - Mar 6 afternoon)</t>
  </si>
  <si>
    <t>12-0</t>
  </si>
  <si>
    <t>0-12</t>
  </si>
  <si>
    <t>7-6</t>
  </si>
  <si>
    <t>Karl Diskson</t>
  </si>
  <si>
    <t>29-3</t>
  </si>
  <si>
    <t>3-29</t>
  </si>
  <si>
    <t>29-10</t>
  </si>
  <si>
    <t>10-29</t>
  </si>
  <si>
    <t>Was scored 12 without repl with 14 men v Glo (Mar 7)</t>
  </si>
  <si>
    <t>25-8</t>
  </si>
  <si>
    <t>8-25</t>
  </si>
  <si>
    <t>TBC</t>
  </si>
  <si>
    <t>Ag 14</t>
  </si>
  <si>
    <t>Ag 15</t>
  </si>
  <si>
    <t>Ag 16</t>
  </si>
  <si>
    <t>Ag 21</t>
  </si>
  <si>
    <t>Ag 22</t>
  </si>
  <si>
    <t>Ag 25</t>
  </si>
  <si>
    <t>Tue Aug 25</t>
  </si>
  <si>
    <t>Wed Aug 26</t>
  </si>
  <si>
    <t>Ag 26</t>
  </si>
  <si>
    <t>Sat Aug 29</t>
  </si>
  <si>
    <t>Ag 29</t>
  </si>
  <si>
    <t>Sun Aug 30</t>
  </si>
  <si>
    <t>Ag 30</t>
  </si>
  <si>
    <t>Mon Aug 31</t>
  </si>
  <si>
    <t>Ag 31</t>
  </si>
  <si>
    <t>*Aviva Stadium; ~ Twickenham Stoop</t>
  </si>
  <si>
    <t>* Twickenham, ~ Played at the Twickenham Stoop (Lir home game)</t>
  </si>
  <si>
    <t>*Kuban Stadium, Krasnodar; ~ Twickenham Stoop</t>
  </si>
  <si>
    <t>Sp 18</t>
  </si>
  <si>
    <t>CLQF</t>
  </si>
  <si>
    <t>CLSF</t>
  </si>
  <si>
    <t>Oc 24</t>
  </si>
  <si>
    <t>Oc 16</t>
  </si>
  <si>
    <t>Sp 19</t>
  </si>
  <si>
    <t>Oc 17</t>
  </si>
  <si>
    <t>Fri Sep 4</t>
  </si>
  <si>
    <t>Sp 4</t>
  </si>
  <si>
    <t>Sat Sep 5</t>
  </si>
  <si>
    <t>Sp 5</t>
  </si>
  <si>
    <t>London irish</t>
  </si>
  <si>
    <t>Tue Sep 8</t>
  </si>
  <si>
    <t>Sp 8</t>
  </si>
  <si>
    <t>Wed Sep 9</t>
  </si>
  <si>
    <t>Sp 9</t>
  </si>
  <si>
    <t>Sun Sep 13</t>
  </si>
  <si>
    <t>Mon Sep 14</t>
  </si>
  <si>
    <t>Sp 13</t>
  </si>
  <si>
    <t>Sp 14</t>
  </si>
  <si>
    <t>Tue Sep 22</t>
  </si>
  <si>
    <t>Mon Sep 28</t>
  </si>
  <si>
    <t>Sp 22</t>
  </si>
  <si>
    <t>Sun Oct 4</t>
  </si>
  <si>
    <t>Sat Oct 10</t>
  </si>
  <si>
    <t>Sat Oct 24</t>
  </si>
  <si>
    <t>Oc 10</t>
  </si>
  <si>
    <t xml:space="preserve">Luke Pearce </t>
  </si>
  <si>
    <t>BT Sport RB</t>
  </si>
  <si>
    <t>Penalty Tries: v Was (Nov 30), Sal (Dec 8), v Leic (Aug 15)</t>
  </si>
  <si>
    <t>12-6</t>
  </si>
  <si>
    <t>6-12</t>
  </si>
  <si>
    <t>Penalty Tries: v Exe (Aug 15)</t>
  </si>
  <si>
    <t>7-17</t>
  </si>
  <si>
    <t>6-6</t>
  </si>
  <si>
    <t>14-6</t>
  </si>
  <si>
    <t>After Round 13 2019-20 (Mar 8 Evening - Aug 14 afternoon)</t>
  </si>
  <si>
    <t>After Round 14 2019-20 (Aug 16 Evening - Aug 21 afternoon)</t>
  </si>
  <si>
    <t>14-7</t>
  </si>
  <si>
    <t>7-14</t>
  </si>
  <si>
    <t>14-26</t>
  </si>
  <si>
    <t>26-14</t>
  </si>
  <si>
    <t>22-3</t>
  </si>
  <si>
    <t>3-22</t>
  </si>
  <si>
    <t>6-26</t>
  </si>
  <si>
    <t>26-6</t>
  </si>
  <si>
    <t>After Round 15 2019-20 (Aug 23 - Aug 25 afternoon)</t>
  </si>
  <si>
    <t>*Aviva Stadium, Dublin; ~ The Stoop</t>
  </si>
  <si>
    <t>Greg Macdonald</t>
  </si>
  <si>
    <t>RB = Red Button</t>
  </si>
  <si>
    <t>Andrew jackson</t>
  </si>
  <si>
    <t>26-0</t>
  </si>
  <si>
    <t>0-26</t>
  </si>
  <si>
    <t>Mills (2), Bresler, Black, du Preez. Kitchener A, Kitchener G, Pennell, Waller</t>
  </si>
  <si>
    <t>After Round 16 2019-20 (Aug 27 - Aug 29 afternoon)</t>
  </si>
  <si>
    <t>7-26</t>
  </si>
  <si>
    <t>18-14</t>
  </si>
  <si>
    <t>38-0</t>
  </si>
  <si>
    <t>0-38</t>
  </si>
  <si>
    <t>36-13</t>
  </si>
  <si>
    <t>13-36</t>
  </si>
  <si>
    <t>14-18</t>
  </si>
  <si>
    <t>12-26</t>
  </si>
  <si>
    <t>26-12</t>
  </si>
  <si>
    <t>2020 RESTART TABLE</t>
  </si>
  <si>
    <t>After Round 17 2019-20 (Aug 31 evening - Sep 4 afternoon)</t>
  </si>
  <si>
    <t>Kitchener A, Nanai</t>
  </si>
  <si>
    <t>Purdy (2), Afoa, Hughes, Joyce, Lahiff, Lay (Jordan), Leiua, Piutau S, Thacker, Vui</t>
  </si>
  <si>
    <t>Farrell</t>
  </si>
  <si>
    <t>13-23</t>
  </si>
  <si>
    <t>23-13</t>
  </si>
  <si>
    <t>Bayliss, Boyce, Dunn, Faletau, Judge, McNally, Underhill, Walker</t>
  </si>
  <si>
    <t>9-20</t>
  </si>
  <si>
    <t>Callum Sheedy *Bri) - Sep 4, Round 18</t>
  </si>
  <si>
    <t>First to 10 tries: Ollie Thorley (Glo) - Aug 30, Round 17</t>
  </si>
  <si>
    <t>After Round 18 2019-20 (Sep 5 evening - Sep 8 afternoon)</t>
  </si>
  <si>
    <t>21-3</t>
  </si>
  <si>
    <t>3-21</t>
  </si>
  <si>
    <t>21-8</t>
  </si>
  <si>
    <t>8-21</t>
  </si>
  <si>
    <t>Beckett, Clarke, Hohneck, Marshall, Slater</t>
  </si>
  <si>
    <t>q</t>
  </si>
  <si>
    <t>21-7</t>
  </si>
  <si>
    <t>26-15</t>
  </si>
  <si>
    <t>15-26</t>
  </si>
  <si>
    <t>Penalty Tries: v Exe (Feb 29), v Lir (Sep 9)</t>
  </si>
  <si>
    <t>*wb</t>
  </si>
  <si>
    <t>*at The Stoop</t>
  </si>
  <si>
    <t>After Round 19 2019-20 (Sep 10 - Sep 13 morning)</t>
  </si>
  <si>
    <t>31-14</t>
  </si>
  <si>
    <t>Fekitoa (3), Brookes, Gaskell, Sopoaga</t>
  </si>
  <si>
    <t>19-10</t>
  </si>
  <si>
    <t>Penalty Tries: v Leic (A) Sep 13</t>
  </si>
  <si>
    <t>8-7</t>
  </si>
  <si>
    <t>7-8</t>
  </si>
  <si>
    <r>
      <rPr>
        <b/>
        <sz val="11"/>
        <color rgb="FFFF0000"/>
        <rFont val="Calibri"/>
        <family val="2"/>
        <scheme val="minor"/>
      </rPr>
      <t>14</t>
    </r>
    <r>
      <rPr>
        <b/>
        <sz val="11"/>
        <color theme="1"/>
        <rFont val="Calibri"/>
        <family val="2"/>
        <scheme val="minor"/>
      </rPr>
      <t xml:space="preserve"> by Wor v Lir (Sep 13)</t>
    </r>
  </si>
  <si>
    <t>`</t>
  </si>
  <si>
    <t>Hammersley (3), Ross (2), Curry T, Janse van Rensburg, John, Morozov, Webber, Yarde</t>
  </si>
  <si>
    <t>15-5</t>
  </si>
  <si>
    <t>5-15</t>
  </si>
  <si>
    <t>Q</t>
  </si>
  <si>
    <t>After Round 20 2019-20 (Sep 14 - Sep 22 afternoon)</t>
  </si>
  <si>
    <t>Wed Sep 30</t>
  </si>
  <si>
    <t>Sp 25</t>
  </si>
  <si>
    <t>Sp 30</t>
  </si>
  <si>
    <t>Mathieu Raynal</t>
  </si>
  <si>
    <t>Sp 26</t>
  </si>
  <si>
    <t>Canc</t>
  </si>
  <si>
    <t>Match cancelled due to positive Covid-19 tests in Castres Camp</t>
  </si>
  <si>
    <t>Toulon</t>
  </si>
  <si>
    <t>Sp 29</t>
  </si>
  <si>
    <t>10-16</t>
  </si>
  <si>
    <t>16-10</t>
  </si>
  <si>
    <t>Tue Sep 29</t>
  </si>
  <si>
    <t>14-11</t>
  </si>
  <si>
    <t>Frank Murphy</t>
  </si>
  <si>
    <t>W'</t>
  </si>
  <si>
    <t>N~</t>
  </si>
  <si>
    <t>* Twickenham Stoop; 'After Extra Time: Score at 80 mins: 20-20; ~Stade Maurice-David, Aix-en-Provence</t>
  </si>
  <si>
    <t>11-20</t>
  </si>
  <si>
    <t>Elia</t>
  </si>
  <si>
    <t>Most points scored/conceded in a powerplay (any 10-minute spell):</t>
  </si>
  <si>
    <r>
      <rPr>
        <b/>
        <sz val="11"/>
        <color rgb="FFFF0000"/>
        <rFont val="Calibri"/>
        <family val="2"/>
        <scheme val="minor"/>
      </rPr>
      <t>17</t>
    </r>
    <r>
      <rPr>
        <b/>
        <sz val="11"/>
        <color theme="1"/>
        <rFont val="Calibri"/>
        <family val="2"/>
        <scheme val="minor"/>
      </rPr>
      <t xml:space="preserve"> by Was v Har (Sep 28, final 10 mins of 26-minute powerplay)</t>
    </r>
  </si>
  <si>
    <t>7-22</t>
  </si>
  <si>
    <t>22-7</t>
  </si>
  <si>
    <t>Penalty Tries: v Nor (Sep 21 2019), v Lar (Nov 24), v Nor (Sep 29 2020)</t>
  </si>
  <si>
    <t>Collins (2), Bean, Coles, Franks B, Hill, Hutchinson, Matavesi, Moon, Naiyaravoro, Ratuniyarawa, Reinach, Ribbans, Tonks</t>
  </si>
  <si>
    <t>Penalty Tries: v Sar (Aug 15), V Leic (Sep 30 2020)</t>
  </si>
  <si>
    <t>Lavanini (2), Cole, Green, Liebenberg, Porter, Reid, Simmons, Taufua, Veainu, Wells, White, Youngs B</t>
  </si>
  <si>
    <t>12-15</t>
  </si>
  <si>
    <t>* The Stoop, Wasps (Mr 1) was London Irish's final game at Madejski Stadium</t>
  </si>
  <si>
    <t>15-12</t>
  </si>
  <si>
    <t>Penalty Tries: v Sar (Sep 30 2020)</t>
  </si>
  <si>
    <t>28-19</t>
  </si>
  <si>
    <t>???</t>
  </si>
  <si>
    <t>19-28</t>
  </si>
  <si>
    <t xml:space="preserve"> Lewington (2), Crean, Gallagher, George, Itoje, Obatoyinbo</t>
  </si>
  <si>
    <t>After Round 21 2019-20 (Oct 1 - Oct 4 morning)</t>
  </si>
  <si>
    <t>5. With Round 1 excluded, the club that has won the most matches</t>
  </si>
  <si>
    <t>6. With Rounds 1 &amp; 2 excluded, the club that has won the most matches</t>
  </si>
  <si>
    <t>7. With Rounds 1, 2 &amp; 3 excluded, the club that has won the most matches, etc</t>
  </si>
  <si>
    <t>If teams are level on League points, tie-breakers are used in the following order:</t>
  </si>
  <si>
    <t>1. Matches won;</t>
  </si>
  <si>
    <t>2. Points Difference;</t>
  </si>
  <si>
    <t>3. Points Scored;</t>
  </si>
  <si>
    <t>4. Points Scored in head to head matches between the clubs</t>
  </si>
  <si>
    <t>Wed Oct 7</t>
  </si>
  <si>
    <t>L^</t>
  </si>
  <si>
    <t>^Gloucester awarded 20-0 (BP) win due to Saints being unable to field enough qualified front row players</t>
  </si>
  <si>
    <t>W^</t>
  </si>
  <si>
    <t>11-17</t>
  </si>
  <si>
    <t>17-11</t>
  </si>
  <si>
    <t>Marler (2), Auterac, Collier, Els, Gray, Herron, Steele, Symons</t>
  </si>
  <si>
    <t>Dell (2), Botha, Curtis-Harris, Donnell, Elrington, Goodrick-Clarke, Hepetema, Kepu, Meehan, Phipps, Rogerson, Tuisue</t>
  </si>
  <si>
    <t>3-14</t>
  </si>
  <si>
    <t>14-3</t>
  </si>
  <si>
    <t>Penalty Tries: v Osp (Nov 23), v Exe (Dec 29), v Bth (Oct 4 2020)</t>
  </si>
  <si>
    <t>25-0</t>
  </si>
  <si>
    <t>0-25</t>
  </si>
  <si>
    <t>Rhys Priestland (Bth)- Oct 4 2020, Round 22</t>
  </si>
  <si>
    <t>Oc 7</t>
  </si>
  <si>
    <t>SEASON 2020/21</t>
  </si>
  <si>
    <t>Exeter (CC)</t>
  </si>
  <si>
    <t>Wasps (CC)</t>
  </si>
  <si>
    <t>Bristol (CC)</t>
  </si>
  <si>
    <t>Bath  (CC)</t>
  </si>
  <si>
    <t>Sale (CC)</t>
  </si>
  <si>
    <t>Harlequins (CC)</t>
  </si>
  <si>
    <t>Gloucester (CC)</t>
  </si>
  <si>
    <t>Northampton (CC)</t>
  </si>
  <si>
    <t>Fri Aug 14</t>
  </si>
  <si>
    <t>Sat Aug 15</t>
  </si>
  <si>
    <t>Sun Aug 16</t>
  </si>
  <si>
    <t>Fri Aug 21</t>
  </si>
  <si>
    <t>Sat Aug 22</t>
  </si>
  <si>
    <t>Sun Mar 8</t>
  </si>
  <si>
    <t>N*</t>
  </si>
  <si>
    <t>23-5</t>
  </si>
  <si>
    <t>5-23</t>
  </si>
  <si>
    <t>as at 23/10/20</t>
  </si>
  <si>
    <t>Devoto (2), Hill J (2), Ewers, Hepburn, O'Flaherty, White, Williams, Woodburn</t>
  </si>
  <si>
    <t>*Gloucester tries scored and try bonus points include tries awarded when Northampton could not field a team on Oct 4 2020</t>
  </si>
  <si>
    <t>*Worcester tries scored and try bonus points include tries awarded when Sale could not field a team on Oct 7 2020</t>
  </si>
  <si>
    <t>*Northampton tries conceded and try bonus points conceded include tries awarded to Gloucester when Saints could not field a team on Oct 4 2020</t>
  </si>
  <si>
    <t>*Sale tries conceded and try bonus points conceded include tries awarded to Worcester when Sharks could not field a team on Oct 7 2020</t>
  </si>
  <si>
    <t>~Ashton Gate; *Twickenham</t>
  </si>
  <si>
    <t>21-12</t>
  </si>
  <si>
    <t>as at 19/11/20</t>
  </si>
  <si>
    <t>at end of 2019/20 season</t>
  </si>
  <si>
    <t>ast end of season</t>
  </si>
  <si>
    <t>NEWCASTLE 2019/20</t>
  </si>
  <si>
    <t>Cup</t>
  </si>
  <si>
    <t>Jersey</t>
  </si>
  <si>
    <t>Doncaster</t>
  </si>
  <si>
    <t>o</t>
  </si>
  <si>
    <t>Penalty Tries: v Nor (Jan 5)</t>
  </si>
  <si>
    <t>be relegated at the end of the season (decided on Jan 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</si>
</sst>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rgb="FFFF6600"/>
      <name val="Calibri"/>
      <family val="2"/>
      <scheme val="minor"/>
    </font>
    <font>
      <sz val="11"/>
      <color rgb="FFFF66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FFC000"/>
      <name val="Calibri"/>
      <family val="2"/>
      <scheme val="minor"/>
    </font>
    <font>
      <b/>
      <sz val="11"/>
      <color theme="7" tint="0.59999389629810485"/>
      <name val="Calibri"/>
      <family val="2"/>
      <scheme val="minor"/>
    </font>
    <font>
      <sz val="11"/>
      <color theme="7" tint="0.59999389629810485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2"/>
      <color rgb="FFFFC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4" tint="0.39997558519241921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0"/>
      <color theme="4" tint="0.39997558519241921"/>
      <name val="Calibri"/>
      <family val="2"/>
      <scheme val="minor"/>
    </font>
    <font>
      <b/>
      <sz val="12"/>
      <color theme="4" tint="0.39997558519241921"/>
      <name val="Calibri"/>
      <family val="2"/>
      <scheme val="minor"/>
    </font>
    <font>
      <sz val="12"/>
      <color theme="4" tint="0.39997558519241921"/>
      <name val="Calibri"/>
      <family val="2"/>
      <scheme val="minor"/>
    </font>
    <font>
      <b/>
      <sz val="10"/>
      <color theme="4" tint="0.3999755851924192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theme="9" tint="0.39997558519241921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0"/>
      <color theme="9" tint="0.39997558519241921"/>
      <name val="Calibri"/>
      <family val="2"/>
      <scheme val="minor"/>
    </font>
    <font>
      <b/>
      <sz val="10"/>
      <color theme="9" tint="0.39997558519241921"/>
      <name val="Calibri"/>
      <family val="2"/>
      <scheme val="minor"/>
    </font>
    <font>
      <b/>
      <sz val="12"/>
      <color theme="9" tint="0.39997558519241921"/>
      <name val="Calibri"/>
      <family val="2"/>
      <scheme val="minor"/>
    </font>
    <font>
      <b/>
      <sz val="10"/>
      <color rgb="FFFFC000"/>
      <name val="Calibri"/>
      <family val="2"/>
      <scheme val="minor"/>
    </font>
    <font>
      <b/>
      <sz val="11"/>
      <color theme="7" tint="0.39997558519241921"/>
      <name val="Calibri"/>
      <family val="2"/>
      <scheme val="minor"/>
    </font>
    <font>
      <sz val="11"/>
      <color theme="7" tint="0.39997558519241921"/>
      <name val="Calibri"/>
      <family val="2"/>
      <scheme val="minor"/>
    </font>
    <font>
      <b/>
      <sz val="12"/>
      <color theme="7" tint="0.39997558519241921"/>
      <name val="Calibri"/>
      <family val="2"/>
      <scheme val="minor"/>
    </font>
    <font>
      <sz val="10"/>
      <color theme="7" tint="0.39997558519241921"/>
      <name val="Calibri"/>
      <family val="2"/>
      <scheme val="minor"/>
    </font>
    <font>
      <b/>
      <sz val="10"/>
      <color theme="7" tint="0.39997558519241921"/>
      <name val="Calibri"/>
      <family val="2"/>
      <scheme val="minor"/>
    </font>
    <font>
      <sz val="12"/>
      <color rgb="FFFFC000"/>
      <name val="Calibri"/>
      <family val="2"/>
      <scheme val="minor"/>
    </font>
    <font>
      <b/>
      <sz val="11"/>
      <color theme="8" tint="0.3999755851924192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0"/>
      <color theme="7" tint="-0.249977111117893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sz val="10"/>
      <color theme="7" tint="-0.249977111117893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12"/>
      <color theme="7" tint="0.3999755851924192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sz val="10"/>
      <color theme="7" tint="-0.499984740745262"/>
      <name val="Calibri"/>
      <family val="2"/>
      <scheme val="minor"/>
    </font>
    <font>
      <b/>
      <sz val="12"/>
      <color theme="7" tint="-0.499984740745262"/>
      <name val="Calibri"/>
      <family val="2"/>
      <scheme val="minor"/>
    </font>
    <font>
      <b/>
      <sz val="10"/>
      <color theme="7" tint="-0.499984740745262"/>
      <name val="Calibri"/>
      <family val="2"/>
      <scheme val="minor"/>
    </font>
    <font>
      <b/>
      <sz val="11"/>
      <color theme="6" tint="0.79998168889431442"/>
      <name val="Calibri"/>
      <family val="2"/>
      <scheme val="minor"/>
    </font>
    <font>
      <sz val="11"/>
      <color theme="6" tint="0.79998168889431442"/>
      <name val="Calibri"/>
      <family val="2"/>
      <scheme val="minor"/>
    </font>
    <font>
      <sz val="12"/>
      <color theme="9" tint="0.39997558519241921"/>
      <name val="Calibri"/>
      <family val="2"/>
      <scheme val="minor"/>
    </font>
    <font>
      <b/>
      <sz val="11"/>
      <color rgb="FFFFD10D"/>
      <name val="Calibri"/>
      <family val="2"/>
      <scheme val="minor"/>
    </font>
    <font>
      <b/>
      <sz val="8"/>
      <color theme="1"/>
      <name val="Calibri"/>
      <family val="2"/>
    </font>
    <font>
      <b/>
      <sz val="11"/>
      <color rgb="FFA6A6A6"/>
      <name val="Calibri"/>
      <family val="2"/>
      <scheme val="minor"/>
    </font>
    <font>
      <sz val="11"/>
      <color rgb="FFA6A6A6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4B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050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rgb="FF8DB4E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133926"/>
        <bgColor indexed="64"/>
      </patternFill>
    </fill>
    <fill>
      <patternFill patternType="solid">
        <fgColor rgb="FFFFC000"/>
        <bgColor theme="0"/>
      </patternFill>
    </fill>
    <fill>
      <patternFill patternType="solid">
        <fgColor rgb="FF76294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</borders>
  <cellStyleXfs count="22">
    <xf numFmtId="0" fontId="0" fillId="0" borderId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1194">
    <xf numFmtId="0" fontId="0" fillId="0" borderId="0" xfId="0"/>
    <xf numFmtId="0" fontId="7" fillId="7" borderId="1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4" fillId="0" borderId="0" xfId="0" applyFont="1"/>
    <xf numFmtId="0" fontId="4" fillId="4" borderId="0" xfId="0" applyFont="1" applyFill="1" applyAlignment="1">
      <alignment vertical="center" wrapText="1"/>
    </xf>
    <xf numFmtId="0" fontId="12" fillId="4" borderId="0" xfId="0" applyFont="1" applyFill="1" applyAlignment="1">
      <alignment horizontal="center" vertical="center" wrapText="1"/>
    </xf>
    <xf numFmtId="0" fontId="3" fillId="0" borderId="0" xfId="0" applyFont="1"/>
    <xf numFmtId="1" fontId="0" fillId="0" borderId="1" xfId="0" applyNumberForma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9" fillId="10" borderId="6" xfId="0" applyFont="1" applyFill="1" applyBorder="1" applyAlignment="1">
      <alignment vertical="center" wrapText="1"/>
    </xf>
    <xf numFmtId="0" fontId="9" fillId="10" borderId="6" xfId="0" applyFont="1" applyFill="1" applyBorder="1" applyAlignment="1">
      <alignment horizontal="right" vertical="center" wrapText="1"/>
    </xf>
    <xf numFmtId="0" fontId="9" fillId="7" borderId="6" xfId="0" applyFont="1" applyFill="1" applyBorder="1" applyAlignment="1">
      <alignment horizontal="right" vertical="center" wrapText="1"/>
    </xf>
    <xf numFmtId="0" fontId="9" fillId="7" borderId="5" xfId="0" applyFont="1" applyFill="1" applyBorder="1" applyAlignment="1">
      <alignment vertical="center" wrapText="1"/>
    </xf>
    <xf numFmtId="0" fontId="9" fillId="14" borderId="6" xfId="0" applyFont="1" applyFill="1" applyBorder="1" applyAlignment="1">
      <alignment vertical="center" wrapText="1"/>
    </xf>
    <xf numFmtId="0" fontId="9" fillId="14" borderId="6" xfId="0" applyFont="1" applyFill="1" applyBorder="1" applyAlignment="1">
      <alignment horizontal="right" vertical="center" wrapText="1"/>
    </xf>
    <xf numFmtId="0" fontId="9" fillId="15" borderId="6" xfId="0" applyFont="1" applyFill="1" applyBorder="1" applyAlignment="1">
      <alignment vertical="center" wrapText="1"/>
    </xf>
    <xf numFmtId="0" fontId="9" fillId="15" borderId="6" xfId="0" applyFont="1" applyFill="1" applyBorder="1" applyAlignment="1">
      <alignment horizontal="right" vertical="center" wrapText="1"/>
    </xf>
    <xf numFmtId="0" fontId="5" fillId="16" borderId="2" xfId="0" applyFont="1" applyFill="1" applyBorder="1" applyAlignment="1">
      <alignment horizontal="center" vertical="center" wrapText="1"/>
    </xf>
    <xf numFmtId="0" fontId="5" fillId="16" borderId="3" xfId="0" applyFont="1" applyFill="1" applyBorder="1" applyAlignment="1">
      <alignment horizontal="center" vertical="center" wrapText="1"/>
    </xf>
    <xf numFmtId="0" fontId="4" fillId="9" borderId="5" xfId="0" applyFont="1" applyFill="1" applyBorder="1" applyAlignment="1">
      <alignment vertical="center" wrapText="1"/>
    </xf>
    <xf numFmtId="0" fontId="4" fillId="16" borderId="5" xfId="0" applyFont="1" applyFill="1" applyBorder="1" applyAlignment="1">
      <alignment horizontal="right" vertical="center" wrapText="1"/>
    </xf>
    <xf numFmtId="0" fontId="7" fillId="17" borderId="6" xfId="0" applyFont="1" applyFill="1" applyBorder="1" applyAlignment="1">
      <alignment vertical="center" wrapText="1"/>
    </xf>
    <xf numFmtId="0" fontId="7" fillId="17" borderId="1" xfId="0" applyFont="1" applyFill="1" applyBorder="1" applyAlignment="1">
      <alignment vertical="center" wrapText="1"/>
    </xf>
    <xf numFmtId="0" fontId="7" fillId="9" borderId="5" xfId="0" applyFont="1" applyFill="1" applyBorder="1" applyAlignment="1">
      <alignment vertical="center" wrapText="1"/>
    </xf>
    <xf numFmtId="0" fontId="7" fillId="16" borderId="5" xfId="0" applyFont="1" applyFill="1" applyBorder="1" applyAlignment="1">
      <alignment horizontal="right" vertical="center" wrapText="1"/>
    </xf>
    <xf numFmtId="0" fontId="7" fillId="17" borderId="5" xfId="0" applyFont="1" applyFill="1" applyBorder="1" applyAlignment="1">
      <alignment vertical="center" wrapText="1"/>
    </xf>
    <xf numFmtId="0" fontId="4" fillId="16" borderId="5" xfId="0" applyFont="1" applyFill="1" applyBorder="1" applyAlignment="1">
      <alignment horizontal="left" vertical="center" wrapText="1"/>
    </xf>
    <xf numFmtId="0" fontId="7" fillId="17" borderId="6" xfId="0" applyFont="1" applyFill="1" applyBorder="1" applyAlignment="1">
      <alignment horizontal="right" vertical="center" wrapText="1"/>
    </xf>
    <xf numFmtId="0" fontId="7" fillId="17" borderId="1" xfId="0" applyFont="1" applyFill="1" applyBorder="1" applyAlignment="1">
      <alignment horizontal="right" vertical="center" wrapText="1"/>
    </xf>
    <xf numFmtId="0" fontId="7" fillId="16" borderId="5" xfId="0" applyFont="1" applyFill="1" applyBorder="1" applyAlignment="1">
      <alignment horizontal="left" vertical="center" wrapText="1"/>
    </xf>
    <xf numFmtId="0" fontId="0" fillId="0" borderId="16" xfId="0" applyBorder="1"/>
    <xf numFmtId="0" fontId="21" fillId="11" borderId="0" xfId="0" applyFont="1" applyFill="1"/>
    <xf numFmtId="0" fontId="6" fillId="7" borderId="1" xfId="0" applyFont="1" applyFill="1" applyBorder="1" applyAlignment="1">
      <alignment vertical="center" wrapText="1"/>
    </xf>
    <xf numFmtId="0" fontId="6" fillId="7" borderId="4" xfId="0" applyFont="1" applyFill="1" applyBorder="1" applyAlignment="1">
      <alignment vertical="center" wrapText="1"/>
    </xf>
    <xf numFmtId="0" fontId="6" fillId="10" borderId="4" xfId="0" applyFont="1" applyFill="1" applyBorder="1" applyAlignment="1">
      <alignment vertical="center" wrapText="1"/>
    </xf>
    <xf numFmtId="0" fontId="6" fillId="14" borderId="4" xfId="0" applyFont="1" applyFill="1" applyBorder="1" applyAlignment="1">
      <alignment vertical="center" wrapText="1"/>
    </xf>
    <xf numFmtId="0" fontId="6" fillId="15" borderId="4" xfId="0" applyFont="1" applyFill="1" applyBorder="1" applyAlignment="1">
      <alignment vertical="center" wrapText="1"/>
    </xf>
    <xf numFmtId="0" fontId="4" fillId="19" borderId="5" xfId="0" applyFont="1" applyFill="1" applyBorder="1" applyAlignment="1">
      <alignment horizontal="center"/>
    </xf>
    <xf numFmtId="0" fontId="4" fillId="19" borderId="6" xfId="0" applyFont="1" applyFill="1" applyBorder="1" applyAlignment="1">
      <alignment horizontal="center"/>
    </xf>
    <xf numFmtId="1" fontId="0" fillId="0" borderId="16" xfId="0" applyNumberFormat="1" applyBorder="1"/>
    <xf numFmtId="2" fontId="0" fillId="0" borderId="16" xfId="0" applyNumberFormat="1" applyBorder="1"/>
    <xf numFmtId="0" fontId="0" fillId="0" borderId="19" xfId="0" applyBorder="1"/>
    <xf numFmtId="0" fontId="4" fillId="0" borderId="7" xfId="0" applyFont="1" applyBorder="1"/>
    <xf numFmtId="0" fontId="4" fillId="0" borderId="5" xfId="0" applyFont="1" applyBorder="1"/>
    <xf numFmtId="2" fontId="0" fillId="0" borderId="18" xfId="0" applyNumberFormat="1" applyBorder="1"/>
    <xf numFmtId="2" fontId="0" fillId="0" borderId="19" xfId="0" applyNumberFormat="1" applyBorder="1"/>
    <xf numFmtId="2" fontId="0" fillId="0" borderId="20" xfId="0" applyNumberFormat="1" applyBorder="1"/>
    <xf numFmtId="0" fontId="4" fillId="0" borderId="1" xfId="0" applyFont="1" applyBorder="1"/>
    <xf numFmtId="0" fontId="4" fillId="19" borderId="17" xfId="0" applyFont="1" applyFill="1" applyBorder="1" applyAlignment="1">
      <alignment horizontal="center"/>
    </xf>
    <xf numFmtId="0" fontId="4" fillId="19" borderId="21" xfId="0" applyFont="1" applyFill="1" applyBorder="1" applyAlignment="1">
      <alignment horizontal="center"/>
    </xf>
    <xf numFmtId="1" fontId="4" fillId="2" borderId="18" xfId="0" applyNumberFormat="1" applyFont="1" applyFill="1" applyBorder="1"/>
    <xf numFmtId="1" fontId="4" fillId="8" borderId="16" xfId="0" applyNumberFormat="1" applyFont="1" applyFill="1" applyBorder="1"/>
    <xf numFmtId="1" fontId="4" fillId="2" borderId="19" xfId="0" applyNumberFormat="1" applyFont="1" applyFill="1" applyBorder="1"/>
    <xf numFmtId="1" fontId="4" fillId="2" borderId="20" xfId="0" applyNumberFormat="1" applyFont="1" applyFill="1" applyBorder="1"/>
    <xf numFmtId="1" fontId="4" fillId="8" borderId="6" xfId="0" applyNumberFormat="1" applyFont="1" applyFill="1" applyBorder="1"/>
    <xf numFmtId="0" fontId="4" fillId="0" borderId="17" xfId="0" applyFont="1" applyBorder="1"/>
    <xf numFmtId="0" fontId="4" fillId="0" borderId="4" xfId="0" applyFont="1" applyBorder="1"/>
    <xf numFmtId="0" fontId="4" fillId="0" borderId="21" xfId="0" applyFont="1" applyBorder="1"/>
    <xf numFmtId="0" fontId="4" fillId="2" borderId="17" xfId="0" applyFont="1" applyFill="1" applyBorder="1"/>
    <xf numFmtId="0" fontId="4" fillId="8" borderId="4" xfId="0" applyFont="1" applyFill="1" applyBorder="1"/>
    <xf numFmtId="0" fontId="4" fillId="0" borderId="0" xfId="0" applyFont="1" applyAlignment="1">
      <alignment horizontal="right"/>
    </xf>
    <xf numFmtId="0" fontId="9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right" vertical="center" wrapText="1"/>
    </xf>
    <xf numFmtId="0" fontId="13" fillId="11" borderId="1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/>
    </xf>
    <xf numFmtId="0" fontId="4" fillId="19" borderId="13" xfId="0" applyFont="1" applyFill="1" applyBorder="1" applyAlignment="1">
      <alignment horizontal="center"/>
    </xf>
    <xf numFmtId="0" fontId="4" fillId="0" borderId="3" xfId="0" applyFont="1" applyBorder="1"/>
    <xf numFmtId="0" fontId="4" fillId="5" borderId="9" xfId="0" applyFont="1" applyFill="1" applyBorder="1" applyAlignment="1">
      <alignment vertical="center" wrapText="1"/>
    </xf>
    <xf numFmtId="0" fontId="4" fillId="6" borderId="11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vertical="center" wrapText="1"/>
    </xf>
    <xf numFmtId="0" fontId="4" fillId="6" borderId="16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vertical="center" wrapText="1"/>
    </xf>
    <xf numFmtId="0" fontId="4" fillId="6" borderId="16" xfId="0" applyFont="1" applyFill="1" applyBorder="1" applyAlignment="1">
      <alignment horizontal="right" vertical="center" wrapText="1"/>
    </xf>
    <xf numFmtId="0" fontId="4" fillId="4" borderId="12" xfId="0" applyFont="1" applyFill="1" applyBorder="1" applyAlignment="1">
      <alignment vertical="center" wrapText="1"/>
    </xf>
    <xf numFmtId="0" fontId="4" fillId="6" borderId="6" xfId="0" applyFont="1" applyFill="1" applyBorder="1" applyAlignment="1">
      <alignment horizontal="right" vertical="center" wrapText="1"/>
    </xf>
    <xf numFmtId="0" fontId="22" fillId="7" borderId="14" xfId="0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 vertical="center" wrapText="1"/>
    </xf>
    <xf numFmtId="0" fontId="4" fillId="19" borderId="26" xfId="0" applyFont="1" applyFill="1" applyBorder="1" applyAlignment="1">
      <alignment horizontal="center"/>
    </xf>
    <xf numFmtId="2" fontId="0" fillId="0" borderId="17" xfId="0" applyNumberFormat="1" applyBorder="1"/>
    <xf numFmtId="2" fontId="0" fillId="0" borderId="4" xfId="0" applyNumberFormat="1" applyBorder="1"/>
    <xf numFmtId="0" fontId="4" fillId="4" borderId="0" xfId="0" applyFont="1" applyFill="1"/>
    <xf numFmtId="0" fontId="7" fillId="4" borderId="0" xfId="0" applyFont="1" applyFill="1"/>
    <xf numFmtId="0" fontId="16" fillId="11" borderId="1" xfId="0" applyFont="1" applyFill="1" applyBorder="1"/>
    <xf numFmtId="0" fontId="16" fillId="11" borderId="2" xfId="0" applyFont="1" applyFill="1" applyBorder="1"/>
    <xf numFmtId="0" fontId="16" fillId="11" borderId="3" xfId="0" applyFont="1" applyFill="1" applyBorder="1"/>
    <xf numFmtId="0" fontId="15" fillId="11" borderId="3" xfId="0" applyFont="1" applyFill="1" applyBorder="1"/>
    <xf numFmtId="0" fontId="16" fillId="11" borderId="12" xfId="0" applyFont="1" applyFill="1" applyBorder="1" applyAlignment="1">
      <alignment vertical="center" wrapText="1"/>
    </xf>
    <xf numFmtId="0" fontId="16" fillId="11" borderId="5" xfId="0" applyFont="1" applyFill="1" applyBorder="1" applyAlignment="1">
      <alignment vertical="center" wrapText="1"/>
    </xf>
    <xf numFmtId="0" fontId="16" fillId="11" borderId="1" xfId="0" applyFont="1" applyFill="1" applyBorder="1" applyAlignment="1">
      <alignment vertical="center" wrapText="1"/>
    </xf>
    <xf numFmtId="0" fontId="16" fillId="11" borderId="1" xfId="0" applyFont="1" applyFill="1" applyBorder="1" applyAlignment="1">
      <alignment horizontal="center" vertical="center" wrapText="1"/>
    </xf>
    <xf numFmtId="0" fontId="16" fillId="11" borderId="6" xfId="0" applyFont="1" applyFill="1" applyBorder="1" applyAlignment="1">
      <alignment vertical="center" wrapText="1"/>
    </xf>
    <xf numFmtId="0" fontId="16" fillId="11" borderId="6" xfId="0" applyFont="1" applyFill="1" applyBorder="1" applyAlignment="1">
      <alignment horizontal="center" vertical="center" wrapText="1"/>
    </xf>
    <xf numFmtId="0" fontId="15" fillId="11" borderId="8" xfId="0" applyFont="1" applyFill="1" applyBorder="1"/>
    <xf numFmtId="49" fontId="15" fillId="11" borderId="8" xfId="0" applyNumberFormat="1" applyFont="1" applyFill="1" applyBorder="1"/>
    <xf numFmtId="0" fontId="15" fillId="11" borderId="9" xfId="0" applyFont="1" applyFill="1" applyBorder="1"/>
    <xf numFmtId="0" fontId="15" fillId="11" borderId="10" xfId="0" applyFont="1" applyFill="1" applyBorder="1"/>
    <xf numFmtId="0" fontId="0" fillId="4" borderId="0" xfId="0" applyFill="1"/>
    <xf numFmtId="0" fontId="24" fillId="0" borderId="0" xfId="0" applyFont="1"/>
    <xf numFmtId="0" fontId="0" fillId="5" borderId="0" xfId="0" applyFill="1"/>
    <xf numFmtId="0" fontId="4" fillId="2" borderId="0" xfId="0" applyFont="1" applyFill="1"/>
    <xf numFmtId="0" fontId="4" fillId="5" borderId="11" xfId="0" applyFont="1" applyFill="1" applyBorder="1" applyAlignment="1">
      <alignment horizontal="center" vertical="center" wrapText="1"/>
    </xf>
    <xf numFmtId="0" fontId="23" fillId="7" borderId="14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23" fillId="7" borderId="25" xfId="0" applyFont="1" applyFill="1" applyBorder="1" applyAlignment="1">
      <alignment horizontal="center" vertical="center" wrapText="1"/>
    </xf>
    <xf numFmtId="0" fontId="7" fillId="7" borderId="25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right" vertical="center" wrapText="1"/>
    </xf>
    <xf numFmtId="0" fontId="4" fillId="6" borderId="5" xfId="0" applyFont="1" applyFill="1" applyBorder="1" applyAlignment="1">
      <alignment horizontal="right" vertical="center" wrapText="1"/>
    </xf>
    <xf numFmtId="0" fontId="0" fillId="0" borderId="24" xfId="0" applyBorder="1"/>
    <xf numFmtId="0" fontId="4" fillId="4" borderId="0" xfId="0" applyFont="1" applyFill="1" applyAlignment="1">
      <alignment horizontal="center" vertical="center" wrapText="1"/>
    </xf>
    <xf numFmtId="0" fontId="0" fillId="11" borderId="0" xfId="0" applyFill="1"/>
    <xf numFmtId="1" fontId="0" fillId="0" borderId="0" xfId="0" applyNumberFormat="1"/>
    <xf numFmtId="0" fontId="4" fillId="0" borderId="0" xfId="0" applyFont="1" applyAlignment="1">
      <alignment horizontal="center"/>
    </xf>
    <xf numFmtId="0" fontId="4" fillId="11" borderId="0" xfId="0" applyFont="1" applyFill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right"/>
    </xf>
    <xf numFmtId="0" fontId="4" fillId="18" borderId="1" xfId="0" applyFont="1" applyFill="1" applyBorder="1"/>
    <xf numFmtId="0" fontId="4" fillId="18" borderId="1" xfId="0" applyFont="1" applyFill="1" applyBorder="1" applyAlignment="1">
      <alignment horizontal="right"/>
    </xf>
    <xf numFmtId="0" fontId="20" fillId="0" borderId="0" xfId="0" applyFont="1" applyAlignment="1">
      <alignment vertical="center" wrapText="1"/>
    </xf>
    <xf numFmtId="0" fontId="19" fillId="0" borderId="0" xfId="0" applyFont="1" applyAlignment="1">
      <alignment horizontal="right" vertical="center" wrapText="1"/>
    </xf>
    <xf numFmtId="0" fontId="20" fillId="4" borderId="0" xfId="0" applyFont="1" applyFill="1" applyAlignment="1">
      <alignment vertical="center" wrapText="1"/>
    </xf>
    <xf numFmtId="0" fontId="19" fillId="4" borderId="0" xfId="0" applyFont="1" applyFill="1" applyAlignment="1">
      <alignment horizontal="right" vertical="center" wrapText="1"/>
    </xf>
    <xf numFmtId="0" fontId="0" fillId="0" borderId="10" xfId="0" applyBorder="1"/>
    <xf numFmtId="0" fontId="0" fillId="13" borderId="0" xfId="0" applyFill="1"/>
    <xf numFmtId="0" fontId="21" fillId="0" borderId="0" xfId="0" applyFont="1"/>
    <xf numFmtId="0" fontId="21" fillId="13" borderId="0" xfId="0" applyFont="1" applyFill="1"/>
    <xf numFmtId="0" fontId="28" fillId="0" borderId="0" xfId="0" applyFont="1"/>
    <xf numFmtId="0" fontId="28" fillId="5" borderId="0" xfId="0" applyFont="1" applyFill="1"/>
    <xf numFmtId="0" fontId="18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8" fillId="0" borderId="0" xfId="0" applyFont="1" applyAlignment="1">
      <alignment horizontal="right" vertical="center" wrapText="1"/>
    </xf>
    <xf numFmtId="0" fontId="4" fillId="4" borderId="0" xfId="0" applyFont="1" applyFill="1" applyAlignment="1">
      <alignment horizontal="left" vertical="center" wrapText="1"/>
    </xf>
    <xf numFmtId="0" fontId="16" fillId="13" borderId="6" xfId="0" applyFont="1" applyFill="1" applyBorder="1" applyAlignment="1">
      <alignment horizontal="left" vertical="center" wrapText="1"/>
    </xf>
    <xf numFmtId="0" fontId="16" fillId="13" borderId="6" xfId="0" applyFont="1" applyFill="1" applyBorder="1" applyAlignment="1">
      <alignment vertical="center" wrapText="1"/>
    </xf>
    <xf numFmtId="0" fontId="16" fillId="13" borderId="6" xfId="0" applyFont="1" applyFill="1" applyBorder="1" applyAlignment="1">
      <alignment horizontal="center" vertical="center" wrapText="1"/>
    </xf>
    <xf numFmtId="0" fontId="15" fillId="13" borderId="1" xfId="0" applyFont="1" applyFill="1" applyBorder="1"/>
    <xf numFmtId="0" fontId="15" fillId="13" borderId="2" xfId="0" applyFont="1" applyFill="1" applyBorder="1"/>
    <xf numFmtId="0" fontId="15" fillId="13" borderId="3" xfId="0" applyFont="1" applyFill="1" applyBorder="1"/>
    <xf numFmtId="0" fontId="16" fillId="13" borderId="5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0" fontId="7" fillId="4" borderId="0" xfId="0" applyFont="1" applyFill="1" applyAlignment="1">
      <alignment vertical="center" wrapText="1"/>
    </xf>
    <xf numFmtId="0" fontId="7" fillId="4" borderId="0" xfId="0" applyFont="1" applyFill="1" applyAlignment="1">
      <alignment horizontal="right" vertical="center" wrapText="1"/>
    </xf>
    <xf numFmtId="0" fontId="7" fillId="4" borderId="0" xfId="0" applyFont="1" applyFill="1" applyAlignment="1">
      <alignment horizontal="left" vertical="center" wrapText="1"/>
    </xf>
    <xf numFmtId="14" fontId="29" fillId="0" borderId="0" xfId="0" applyNumberFormat="1" applyFont="1" applyAlignment="1">
      <alignment horizontal="left"/>
    </xf>
    <xf numFmtId="1" fontId="4" fillId="2" borderId="0" xfId="0" applyNumberFormat="1" applyFont="1" applyFill="1"/>
    <xf numFmtId="0" fontId="4" fillId="4" borderId="0" xfId="0" applyFont="1" applyFill="1" applyAlignment="1">
      <alignment horizontal="left"/>
    </xf>
    <xf numFmtId="1" fontId="4" fillId="0" borderId="0" xfId="0" applyNumberFormat="1" applyFont="1"/>
    <xf numFmtId="0" fontId="4" fillId="4" borderId="20" xfId="0" applyFont="1" applyFill="1" applyBorder="1" applyAlignment="1">
      <alignment vertical="center" wrapText="1"/>
    </xf>
    <xf numFmtId="0" fontId="4" fillId="16" borderId="5" xfId="0" applyFont="1" applyFill="1" applyBorder="1"/>
    <xf numFmtId="0" fontId="13" fillId="4" borderId="0" xfId="0" applyFont="1" applyFill="1" applyAlignment="1">
      <alignment horizontal="center" vertical="center" wrapText="1"/>
    </xf>
    <xf numFmtId="0" fontId="32" fillId="0" borderId="0" xfId="0" applyFont="1"/>
    <xf numFmtId="0" fontId="31" fillId="4" borderId="0" xfId="0" applyFont="1" applyFill="1"/>
    <xf numFmtId="0" fontId="7" fillId="4" borderId="15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0" fontId="11" fillId="4" borderId="27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vertical="center" wrapText="1"/>
    </xf>
    <xf numFmtId="0" fontId="14" fillId="0" borderId="0" xfId="0" applyFont="1"/>
    <xf numFmtId="0" fontId="13" fillId="4" borderId="0" xfId="0" applyFont="1" applyFill="1"/>
    <xf numFmtId="0" fontId="23" fillId="4" borderId="0" xfId="0" applyFont="1" applyFill="1" applyAlignment="1">
      <alignment horizontal="center" vertical="center" wrapText="1"/>
    </xf>
    <xf numFmtId="0" fontId="15" fillId="0" borderId="0" xfId="0" applyFont="1"/>
    <xf numFmtId="0" fontId="16" fillId="4" borderId="0" xfId="0" applyFont="1" applyFill="1"/>
    <xf numFmtId="0" fontId="4" fillId="0" borderId="1" xfId="0" applyFont="1" applyBorder="1" applyAlignment="1">
      <alignment vertical="center" wrapText="1"/>
    </xf>
    <xf numFmtId="0" fontId="33" fillId="0" borderId="4" xfId="0" applyFont="1" applyBorder="1" applyAlignment="1">
      <alignment horizontal="right" vertical="center" wrapText="1"/>
    </xf>
    <xf numFmtId="0" fontId="4" fillId="0" borderId="5" xfId="0" applyFont="1" applyBorder="1" applyAlignment="1">
      <alignment vertical="center" wrapText="1"/>
    </xf>
    <xf numFmtId="0" fontId="33" fillId="0" borderId="6" xfId="0" applyFont="1" applyBorder="1" applyAlignment="1">
      <alignment horizontal="right" vertical="center" wrapText="1"/>
    </xf>
    <xf numFmtId="0" fontId="20" fillId="0" borderId="5" xfId="0" applyFont="1" applyBorder="1" applyAlignment="1">
      <alignment vertical="center" wrapText="1"/>
    </xf>
    <xf numFmtId="0" fontId="19" fillId="25" borderId="6" xfId="0" applyFont="1" applyFill="1" applyBorder="1" applyAlignment="1">
      <alignment horizontal="right" vertical="center" wrapText="1"/>
    </xf>
    <xf numFmtId="0" fontId="20" fillId="24" borderId="6" xfId="0" applyFont="1" applyFill="1" applyBorder="1" applyAlignment="1">
      <alignment vertical="center" wrapText="1"/>
    </xf>
    <xf numFmtId="0" fontId="19" fillId="24" borderId="6" xfId="0" applyFont="1" applyFill="1" applyBorder="1" applyAlignment="1">
      <alignment horizontal="right" vertical="center" wrapText="1"/>
    </xf>
    <xf numFmtId="0" fontId="20" fillId="25" borderId="6" xfId="0" applyFont="1" applyFill="1" applyBorder="1" applyAlignment="1">
      <alignment vertical="center" wrapText="1"/>
    </xf>
    <xf numFmtId="0" fontId="20" fillId="26" borderId="6" xfId="0" applyFont="1" applyFill="1" applyBorder="1" applyAlignment="1">
      <alignment vertical="center" wrapText="1"/>
    </xf>
    <xf numFmtId="0" fontId="19" fillId="26" borderId="6" xfId="0" applyFont="1" applyFill="1" applyBorder="1" applyAlignment="1">
      <alignment horizontal="right" vertical="center" wrapText="1"/>
    </xf>
    <xf numFmtId="0" fontId="4" fillId="19" borderId="0" xfId="0" applyFont="1" applyFill="1"/>
    <xf numFmtId="0" fontId="18" fillId="11" borderId="0" xfId="0" applyFont="1" applyFill="1"/>
    <xf numFmtId="0" fontId="4" fillId="10" borderId="0" xfId="0" applyFont="1" applyFill="1"/>
    <xf numFmtId="0" fontId="20" fillId="10" borderId="6" xfId="0" applyFont="1" applyFill="1" applyBorder="1" applyAlignment="1">
      <alignment vertical="center" wrapText="1"/>
    </xf>
    <xf numFmtId="0" fontId="19" fillId="10" borderId="6" xfId="0" applyFont="1" applyFill="1" applyBorder="1" applyAlignment="1">
      <alignment horizontal="right" vertical="center" wrapText="1"/>
    </xf>
    <xf numFmtId="0" fontId="19" fillId="4" borderId="6" xfId="0" applyFont="1" applyFill="1" applyBorder="1" applyAlignment="1">
      <alignment horizontal="right" vertical="center" wrapText="1"/>
    </xf>
    <xf numFmtId="0" fontId="34" fillId="0" borderId="0" xfId="0" applyFont="1"/>
    <xf numFmtId="0" fontId="7" fillId="19" borderId="0" xfId="0" applyFont="1" applyFill="1"/>
    <xf numFmtId="0" fontId="0" fillId="0" borderId="0" xfId="0" applyAlignment="1">
      <alignment horizontal="right"/>
    </xf>
    <xf numFmtId="0" fontId="0" fillId="2" borderId="0" xfId="0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3" fillId="2" borderId="0" xfId="0" applyFont="1" applyFill="1"/>
    <xf numFmtId="0" fontId="3" fillId="2" borderId="0" xfId="0" applyFont="1" applyFill="1" applyAlignment="1">
      <alignment vertical="center"/>
    </xf>
    <xf numFmtId="10" fontId="3" fillId="2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right"/>
    </xf>
    <xf numFmtId="0" fontId="0" fillId="2" borderId="0" xfId="0" applyFill="1" applyAlignment="1">
      <alignment vertical="center"/>
    </xf>
    <xf numFmtId="10" fontId="0" fillId="2" borderId="0" xfId="0" applyNumberForma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10" fontId="9" fillId="2" borderId="0" xfId="0" applyNumberFormat="1" applyFont="1" applyFill="1" applyAlignment="1">
      <alignment vertical="center"/>
    </xf>
    <xf numFmtId="0" fontId="9" fillId="2" borderId="0" xfId="0" applyFont="1" applyFill="1" applyAlignment="1">
      <alignment horizontal="right" vertical="center"/>
    </xf>
    <xf numFmtId="0" fontId="7" fillId="2" borderId="0" xfId="0" applyFont="1" applyFill="1"/>
    <xf numFmtId="0" fontId="4" fillId="2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0" fontId="0" fillId="19" borderId="0" xfId="0" applyFill="1"/>
    <xf numFmtId="0" fontId="0" fillId="19" borderId="0" xfId="0" applyFill="1" applyAlignment="1">
      <alignment horizontal="right"/>
    </xf>
    <xf numFmtId="0" fontId="4" fillId="19" borderId="0" xfId="0" applyFont="1" applyFill="1" applyAlignment="1">
      <alignment horizontal="center" vertical="center"/>
    </xf>
    <xf numFmtId="0" fontId="4" fillId="19" borderId="0" xfId="0" applyFont="1" applyFill="1" applyAlignment="1">
      <alignment horizontal="right" vertical="center"/>
    </xf>
    <xf numFmtId="0" fontId="9" fillId="19" borderId="0" xfId="0" applyFont="1" applyFill="1"/>
    <xf numFmtId="0" fontId="9" fillId="19" borderId="0" xfId="0" applyFont="1" applyFill="1" applyAlignment="1">
      <alignment vertical="center"/>
    </xf>
    <xf numFmtId="10" fontId="9" fillId="19" borderId="0" xfId="0" applyNumberFormat="1" applyFont="1" applyFill="1" applyAlignment="1">
      <alignment vertical="center"/>
    </xf>
    <xf numFmtId="0" fontId="9" fillId="19" borderId="0" xfId="0" applyFont="1" applyFill="1" applyAlignment="1">
      <alignment horizontal="right"/>
    </xf>
    <xf numFmtId="0" fontId="0" fillId="19" borderId="0" xfId="0" applyFill="1" applyAlignment="1">
      <alignment vertical="center"/>
    </xf>
    <xf numFmtId="0" fontId="0" fillId="19" borderId="0" xfId="0" applyFill="1" applyAlignment="1">
      <alignment horizontal="right" vertical="center"/>
    </xf>
    <xf numFmtId="0" fontId="3" fillId="19" borderId="0" xfId="0" applyFont="1" applyFill="1"/>
    <xf numFmtId="0" fontId="3" fillId="19" borderId="0" xfId="0" applyFont="1" applyFill="1" applyAlignment="1">
      <alignment vertical="center"/>
    </xf>
    <xf numFmtId="10" fontId="3" fillId="19" borderId="0" xfId="0" applyNumberFormat="1" applyFont="1" applyFill="1" applyAlignment="1">
      <alignment vertical="center"/>
    </xf>
    <xf numFmtId="0" fontId="3" fillId="19" borderId="0" xfId="0" applyFont="1" applyFill="1" applyAlignment="1">
      <alignment horizontal="right"/>
    </xf>
    <xf numFmtId="0" fontId="9" fillId="19" borderId="0" xfId="0" applyFont="1" applyFill="1" applyAlignment="1">
      <alignment horizontal="right" vertical="center"/>
    </xf>
    <xf numFmtId="1" fontId="4" fillId="19" borderId="0" xfId="0" applyNumberFormat="1" applyFont="1" applyFill="1"/>
    <xf numFmtId="0" fontId="4" fillId="19" borderId="0" xfId="0" applyFont="1" applyFill="1" applyAlignment="1">
      <alignment horizontal="right"/>
    </xf>
    <xf numFmtId="0" fontId="4" fillId="27" borderId="0" xfId="0" applyFont="1" applyFill="1"/>
    <xf numFmtId="0" fontId="0" fillId="27" borderId="0" xfId="0" applyFill="1"/>
    <xf numFmtId="0" fontId="0" fillId="27" borderId="0" xfId="0" applyFill="1" applyAlignment="1">
      <alignment horizontal="right"/>
    </xf>
    <xf numFmtId="0" fontId="4" fillId="27" borderId="0" xfId="0" applyFont="1" applyFill="1" applyAlignment="1">
      <alignment horizontal="center" vertical="center"/>
    </xf>
    <xf numFmtId="0" fontId="4" fillId="27" borderId="0" xfId="0" applyFont="1" applyFill="1" applyAlignment="1">
      <alignment horizontal="right" vertical="center"/>
    </xf>
    <xf numFmtId="0" fontId="3" fillId="27" borderId="0" xfId="0" applyFont="1" applyFill="1"/>
    <xf numFmtId="0" fontId="3" fillId="27" borderId="0" xfId="0" applyFont="1" applyFill="1" applyAlignment="1">
      <alignment vertical="center"/>
    </xf>
    <xf numFmtId="10" fontId="3" fillId="27" borderId="0" xfId="0" applyNumberFormat="1" applyFont="1" applyFill="1" applyAlignment="1">
      <alignment vertical="center"/>
    </xf>
    <xf numFmtId="0" fontId="3" fillId="27" borderId="0" xfId="0" applyFont="1" applyFill="1" applyAlignment="1">
      <alignment horizontal="right"/>
    </xf>
    <xf numFmtId="0" fontId="0" fillId="27" borderId="0" xfId="0" applyFill="1" applyAlignment="1">
      <alignment vertical="center"/>
    </xf>
    <xf numFmtId="10" fontId="0" fillId="27" borderId="0" xfId="0" applyNumberFormat="1" applyFill="1" applyAlignment="1">
      <alignment vertical="center"/>
    </xf>
    <xf numFmtId="0" fontId="0" fillId="27" borderId="0" xfId="0" applyFill="1" applyAlignment="1">
      <alignment horizontal="right" vertical="center"/>
    </xf>
    <xf numFmtId="0" fontId="9" fillId="27" borderId="0" xfId="0" applyFont="1" applyFill="1"/>
    <xf numFmtId="0" fontId="9" fillId="27" borderId="0" xfId="0" applyFont="1" applyFill="1" applyAlignment="1">
      <alignment vertical="center"/>
    </xf>
    <xf numFmtId="10" fontId="9" fillId="27" borderId="0" xfId="0" applyNumberFormat="1" applyFont="1" applyFill="1" applyAlignment="1">
      <alignment vertical="center"/>
    </xf>
    <xf numFmtId="0" fontId="9" fillId="27" borderId="0" xfId="0" applyFont="1" applyFill="1" applyAlignment="1">
      <alignment horizontal="right"/>
    </xf>
    <xf numFmtId="0" fontId="9" fillId="27" borderId="0" xfId="0" applyFont="1" applyFill="1" applyAlignment="1">
      <alignment horizontal="right" vertical="center"/>
    </xf>
    <xf numFmtId="0" fontId="7" fillId="27" borderId="0" xfId="0" applyFont="1" applyFill="1"/>
    <xf numFmtId="1" fontId="4" fillId="27" borderId="0" xfId="0" applyNumberFormat="1" applyFont="1" applyFill="1"/>
    <xf numFmtId="0" fontId="4" fillId="27" borderId="0" xfId="0" applyFont="1" applyFill="1" applyAlignment="1">
      <alignment horizontal="right"/>
    </xf>
    <xf numFmtId="0" fontId="0" fillId="10" borderId="0" xfId="0" applyFill="1"/>
    <xf numFmtId="0" fontId="4" fillId="10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right" vertical="center"/>
    </xf>
    <xf numFmtId="0" fontId="9" fillId="10" borderId="0" xfId="0" applyFont="1" applyFill="1"/>
    <xf numFmtId="0" fontId="9" fillId="10" borderId="0" xfId="0" applyFont="1" applyFill="1" applyAlignment="1">
      <alignment vertical="center"/>
    </xf>
    <xf numFmtId="10" fontId="9" fillId="10" borderId="0" xfId="0" applyNumberFormat="1" applyFont="1" applyFill="1" applyAlignment="1">
      <alignment vertical="center"/>
    </xf>
    <xf numFmtId="0" fontId="7" fillId="10" borderId="0" xfId="0" applyFont="1" applyFill="1"/>
    <xf numFmtId="1" fontId="4" fillId="10" borderId="0" xfId="0" applyNumberFormat="1" applyFont="1" applyFill="1"/>
    <xf numFmtId="0" fontId="4" fillId="10" borderId="0" xfId="0" applyFont="1" applyFill="1" applyAlignment="1">
      <alignment horizontal="right"/>
    </xf>
    <xf numFmtId="0" fontId="23" fillId="11" borderId="0" xfId="0" applyFont="1" applyFill="1"/>
    <xf numFmtId="0" fontId="16" fillId="11" borderId="0" xfId="0" applyFont="1" applyFill="1"/>
    <xf numFmtId="0" fontId="17" fillId="4" borderId="0" xfId="0" applyFont="1" applyFill="1"/>
    <xf numFmtId="0" fontId="20" fillId="28" borderId="6" xfId="0" applyFont="1" applyFill="1" applyBorder="1" applyAlignment="1">
      <alignment vertical="center" wrapText="1"/>
    </xf>
    <xf numFmtId="0" fontId="19" fillId="28" borderId="6" xfId="0" applyFont="1" applyFill="1" applyBorder="1" applyAlignment="1">
      <alignment horizontal="right" vertical="center" wrapText="1"/>
    </xf>
    <xf numFmtId="0" fontId="6" fillId="11" borderId="0" xfId="0" applyFont="1" applyFill="1"/>
    <xf numFmtId="0" fontId="3" fillId="11" borderId="0" xfId="0" applyFont="1" applyFill="1"/>
    <xf numFmtId="0" fontId="6" fillId="11" borderId="2" xfId="0" applyFont="1" applyFill="1" applyBorder="1"/>
    <xf numFmtId="0" fontId="6" fillId="11" borderId="12" xfId="0" applyFont="1" applyFill="1" applyBorder="1" applyAlignment="1">
      <alignment vertical="center" wrapText="1"/>
    </xf>
    <xf numFmtId="0" fontId="6" fillId="11" borderId="5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3" fillId="11" borderId="8" xfId="0" applyFont="1" applyFill="1" applyBorder="1"/>
    <xf numFmtId="49" fontId="3" fillId="11" borderId="8" xfId="0" applyNumberFormat="1" applyFont="1" applyFill="1" applyBorder="1"/>
    <xf numFmtId="0" fontId="3" fillId="11" borderId="9" xfId="0" applyFont="1" applyFill="1" applyBorder="1"/>
    <xf numFmtId="49" fontId="35" fillId="13" borderId="1" xfId="0" applyNumberFormat="1" applyFont="1" applyFill="1" applyBorder="1" applyAlignment="1">
      <alignment horizontal="center"/>
    </xf>
    <xf numFmtId="0" fontId="36" fillId="0" borderId="0" xfId="21"/>
    <xf numFmtId="0" fontId="33" fillId="0" borderId="1" xfId="0" applyFont="1" applyBorder="1" applyAlignment="1">
      <alignment horizontal="right" vertical="center" wrapText="1"/>
    </xf>
    <xf numFmtId="0" fontId="20" fillId="0" borderId="1" xfId="0" applyFont="1" applyBorder="1" applyAlignment="1">
      <alignment vertical="center" wrapText="1"/>
    </xf>
    <xf numFmtId="0" fontId="19" fillId="4" borderId="4" xfId="0" applyFont="1" applyFill="1" applyBorder="1" applyAlignment="1">
      <alignment horizontal="right" vertical="center" wrapText="1"/>
    </xf>
    <xf numFmtId="0" fontId="20" fillId="24" borderId="4" xfId="0" applyFont="1" applyFill="1" applyBorder="1" applyAlignment="1">
      <alignment vertical="center" wrapText="1"/>
    </xf>
    <xf numFmtId="0" fontId="19" fillId="24" borderId="4" xfId="0" applyFont="1" applyFill="1" applyBorder="1" applyAlignment="1">
      <alignment horizontal="right" vertical="center" wrapText="1"/>
    </xf>
    <xf numFmtId="0" fontId="20" fillId="25" borderId="4" xfId="0" applyFont="1" applyFill="1" applyBorder="1" applyAlignment="1">
      <alignment vertical="center" wrapText="1"/>
    </xf>
    <xf numFmtId="0" fontId="19" fillId="25" borderId="4" xfId="0" applyFont="1" applyFill="1" applyBorder="1" applyAlignment="1">
      <alignment horizontal="right" vertical="center" wrapText="1"/>
    </xf>
    <xf numFmtId="0" fontId="20" fillId="26" borderId="4" xfId="0" applyFont="1" applyFill="1" applyBorder="1" applyAlignment="1">
      <alignment vertical="center" wrapText="1"/>
    </xf>
    <xf numFmtId="0" fontId="19" fillId="26" borderId="4" xfId="0" applyFont="1" applyFill="1" applyBorder="1" applyAlignment="1">
      <alignment horizontal="right" vertical="center" wrapText="1"/>
    </xf>
    <xf numFmtId="0" fontId="16" fillId="13" borderId="1" xfId="0" applyFont="1" applyFill="1" applyBorder="1"/>
    <xf numFmtId="0" fontId="4" fillId="7" borderId="14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4" fillId="4" borderId="14" xfId="0" applyFont="1" applyFill="1" applyBorder="1" applyAlignment="1">
      <alignment horizontal="left"/>
    </xf>
    <xf numFmtId="0" fontId="28" fillId="4" borderId="0" xfId="0" applyFont="1" applyFill="1"/>
    <xf numFmtId="10" fontId="0" fillId="19" borderId="0" xfId="0" applyNumberFormat="1" applyFill="1" applyAlignment="1">
      <alignment horizontal="right" vertical="center"/>
    </xf>
    <xf numFmtId="10" fontId="3" fillId="19" borderId="0" xfId="0" applyNumberFormat="1" applyFont="1" applyFill="1" applyAlignment="1">
      <alignment horizontal="right" vertical="center"/>
    </xf>
    <xf numFmtId="10" fontId="9" fillId="19" borderId="0" xfId="0" applyNumberFormat="1" applyFont="1" applyFill="1" applyAlignment="1">
      <alignment horizontal="right" vertical="center"/>
    </xf>
    <xf numFmtId="10" fontId="9" fillId="27" borderId="0" xfId="0" applyNumberFormat="1" applyFont="1" applyFill="1" applyAlignment="1">
      <alignment horizontal="right" vertical="center"/>
    </xf>
    <xf numFmtId="10" fontId="3" fillId="27" borderId="0" xfId="0" applyNumberFormat="1" applyFont="1" applyFill="1" applyAlignment="1">
      <alignment horizontal="right" vertical="center"/>
    </xf>
    <xf numFmtId="10" fontId="0" fillId="27" borderId="0" xfId="0" applyNumberFormat="1" applyFill="1" applyAlignment="1">
      <alignment horizontal="right" vertical="center"/>
    </xf>
    <xf numFmtId="0" fontId="7" fillId="5" borderId="0" xfId="0" applyFont="1" applyFill="1"/>
    <xf numFmtId="0" fontId="0" fillId="5" borderId="0" xfId="0" applyFill="1" applyAlignment="1">
      <alignment horizontal="right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right" vertical="center"/>
    </xf>
    <xf numFmtId="0" fontId="3" fillId="5" borderId="0" xfId="0" applyFont="1" applyFill="1"/>
    <xf numFmtId="0" fontId="3" fillId="5" borderId="0" xfId="0" applyFont="1" applyFill="1" applyAlignment="1">
      <alignment vertical="center"/>
    </xf>
    <xf numFmtId="10" fontId="3" fillId="5" borderId="0" xfId="0" applyNumberFormat="1" applyFont="1" applyFill="1" applyAlignment="1">
      <alignment vertical="center"/>
    </xf>
    <xf numFmtId="0" fontId="3" fillId="5" borderId="0" xfId="0" applyFont="1" applyFill="1" applyAlignment="1">
      <alignment horizontal="right"/>
    </xf>
    <xf numFmtId="0" fontId="9" fillId="5" borderId="0" xfId="0" applyFont="1" applyFill="1"/>
    <xf numFmtId="0" fontId="9" fillId="5" borderId="0" xfId="0" applyFont="1" applyFill="1" applyAlignment="1">
      <alignment vertical="center"/>
    </xf>
    <xf numFmtId="10" fontId="9" fillId="5" borderId="0" xfId="0" applyNumberFormat="1" applyFont="1" applyFill="1" applyAlignment="1">
      <alignment vertical="center"/>
    </xf>
    <xf numFmtId="0" fontId="9" fillId="5" borderId="0" xfId="0" applyFont="1" applyFill="1" applyAlignment="1">
      <alignment horizontal="right"/>
    </xf>
    <xf numFmtId="1" fontId="4" fillId="5" borderId="0" xfId="0" applyNumberFormat="1" applyFont="1" applyFill="1"/>
    <xf numFmtId="0" fontId="4" fillId="5" borderId="0" xfId="0" applyFont="1" applyFill="1"/>
    <xf numFmtId="0" fontId="4" fillId="5" borderId="0" xfId="0" applyFont="1" applyFill="1" applyAlignment="1">
      <alignment horizontal="right"/>
    </xf>
    <xf numFmtId="0" fontId="16" fillId="11" borderId="5" xfId="0" applyFont="1" applyFill="1" applyBorder="1" applyAlignment="1">
      <alignment horizontal="left" vertical="center" wrapText="1"/>
    </xf>
    <xf numFmtId="0" fontId="16" fillId="11" borderId="6" xfId="0" applyFont="1" applyFill="1" applyBorder="1" applyAlignment="1">
      <alignment horizontal="left" vertical="center" wrapText="1"/>
    </xf>
    <xf numFmtId="0" fontId="15" fillId="11" borderId="1" xfId="0" applyFont="1" applyFill="1" applyBorder="1"/>
    <xf numFmtId="49" fontId="35" fillId="11" borderId="1" xfId="0" applyNumberFormat="1" applyFont="1" applyFill="1" applyBorder="1" applyAlignment="1">
      <alignment horizontal="center"/>
    </xf>
    <xf numFmtId="0" fontId="15" fillId="11" borderId="2" xfId="0" applyFont="1" applyFill="1" applyBorder="1"/>
    <xf numFmtId="0" fontId="37" fillId="8" borderId="1" xfId="0" applyFont="1" applyFill="1" applyBorder="1"/>
    <xf numFmtId="0" fontId="37" fillId="8" borderId="2" xfId="0" applyFont="1" applyFill="1" applyBorder="1"/>
    <xf numFmtId="0" fontId="38" fillId="8" borderId="1" xfId="0" applyFont="1" applyFill="1" applyBorder="1"/>
    <xf numFmtId="0" fontId="39" fillId="0" borderId="0" xfId="0" applyFont="1"/>
    <xf numFmtId="0" fontId="37" fillId="8" borderId="12" xfId="0" applyFont="1" applyFill="1" applyBorder="1" applyAlignment="1">
      <alignment vertical="center" wrapText="1"/>
    </xf>
    <xf numFmtId="0" fontId="37" fillId="8" borderId="5" xfId="0" applyFont="1" applyFill="1" applyBorder="1" applyAlignment="1">
      <alignment vertical="center" wrapText="1"/>
    </xf>
    <xf numFmtId="0" fontId="37" fillId="8" borderId="1" xfId="0" applyFont="1" applyFill="1" applyBorder="1" applyAlignment="1">
      <alignment vertical="center" wrapText="1"/>
    </xf>
    <xf numFmtId="0" fontId="37" fillId="8" borderId="1" xfId="0" applyFont="1" applyFill="1" applyBorder="1" applyAlignment="1">
      <alignment horizontal="center" vertical="center" wrapText="1"/>
    </xf>
    <xf numFmtId="0" fontId="37" fillId="8" borderId="6" xfId="0" applyFont="1" applyFill="1" applyBorder="1" applyAlignment="1">
      <alignment vertical="center" wrapText="1"/>
    </xf>
    <xf numFmtId="0" fontId="37" fillId="8" borderId="6" xfId="0" applyFont="1" applyFill="1" applyBorder="1" applyAlignment="1">
      <alignment horizontal="center" vertical="center" wrapText="1"/>
    </xf>
    <xf numFmtId="0" fontId="38" fillId="8" borderId="8" xfId="0" applyFont="1" applyFill="1" applyBorder="1"/>
    <xf numFmtId="0" fontId="38" fillId="8" borderId="9" xfId="0" applyFont="1" applyFill="1" applyBorder="1"/>
    <xf numFmtId="0" fontId="38" fillId="8" borderId="10" xfId="0" applyFont="1" applyFill="1" applyBorder="1"/>
    <xf numFmtId="0" fontId="37" fillId="8" borderId="0" xfId="0" applyFont="1" applyFill="1"/>
    <xf numFmtId="0" fontId="40" fillId="0" borderId="0" xfId="0" applyFont="1"/>
    <xf numFmtId="0" fontId="40" fillId="0" borderId="1" xfId="0" applyFont="1" applyBorder="1" applyAlignment="1">
      <alignment vertical="center" wrapText="1"/>
    </xf>
    <xf numFmtId="0" fontId="39" fillId="0" borderId="4" xfId="0" applyFont="1" applyBorder="1" applyAlignment="1">
      <alignment horizontal="right" vertical="center" wrapText="1"/>
    </xf>
    <xf numFmtId="0" fontId="40" fillId="0" borderId="5" xfId="0" applyFont="1" applyBorder="1" applyAlignment="1">
      <alignment vertical="center" wrapText="1"/>
    </xf>
    <xf numFmtId="0" fontId="39" fillId="0" borderId="6" xfId="0" applyFont="1" applyBorder="1" applyAlignment="1">
      <alignment horizontal="right" vertical="center" wrapText="1"/>
    </xf>
    <xf numFmtId="0" fontId="41" fillId="0" borderId="5" xfId="0" applyFont="1" applyBorder="1" applyAlignment="1">
      <alignment vertical="center" wrapText="1"/>
    </xf>
    <xf numFmtId="0" fontId="42" fillId="4" borderId="6" xfId="0" applyFont="1" applyFill="1" applyBorder="1" applyAlignment="1">
      <alignment horizontal="right" vertical="center" wrapText="1"/>
    </xf>
    <xf numFmtId="0" fontId="41" fillId="24" borderId="6" xfId="0" applyFont="1" applyFill="1" applyBorder="1" applyAlignment="1">
      <alignment vertical="center" wrapText="1"/>
    </xf>
    <xf numFmtId="0" fontId="42" fillId="24" borderId="6" xfId="0" applyFont="1" applyFill="1" applyBorder="1" applyAlignment="1">
      <alignment horizontal="right" vertical="center" wrapText="1"/>
    </xf>
    <xf numFmtId="0" fontId="41" fillId="10" borderId="6" xfId="0" applyFont="1" applyFill="1" applyBorder="1" applyAlignment="1">
      <alignment vertical="center" wrapText="1"/>
    </xf>
    <xf numFmtId="0" fontId="42" fillId="10" borderId="6" xfId="0" applyFont="1" applyFill="1" applyBorder="1" applyAlignment="1">
      <alignment horizontal="right" vertical="center" wrapText="1"/>
    </xf>
    <xf numFmtId="0" fontId="41" fillId="25" borderId="6" xfId="0" applyFont="1" applyFill="1" applyBorder="1" applyAlignment="1">
      <alignment vertical="center" wrapText="1"/>
    </xf>
    <xf numFmtId="0" fontId="42" fillId="25" borderId="6" xfId="0" applyFont="1" applyFill="1" applyBorder="1" applyAlignment="1">
      <alignment horizontal="right" vertical="center" wrapText="1"/>
    </xf>
    <xf numFmtId="0" fontId="41" fillId="26" borderId="6" xfId="0" applyFont="1" applyFill="1" applyBorder="1" applyAlignment="1">
      <alignment vertical="center" wrapText="1"/>
    </xf>
    <xf numFmtId="0" fontId="42" fillId="26" borderId="6" xfId="0" applyFont="1" applyFill="1" applyBorder="1" applyAlignment="1">
      <alignment horizontal="right" vertical="center" wrapText="1"/>
    </xf>
    <xf numFmtId="0" fontId="43" fillId="0" borderId="0" xfId="0" applyFont="1"/>
    <xf numFmtId="0" fontId="44" fillId="31" borderId="1" xfId="0" applyFont="1" applyFill="1" applyBorder="1"/>
    <xf numFmtId="0" fontId="44" fillId="31" borderId="2" xfId="0" applyFont="1" applyFill="1" applyBorder="1"/>
    <xf numFmtId="0" fontId="45" fillId="31" borderId="3" xfId="0" applyFont="1" applyFill="1" applyBorder="1"/>
    <xf numFmtId="0" fontId="44" fillId="31" borderId="12" xfId="0" applyFont="1" applyFill="1" applyBorder="1" applyAlignment="1">
      <alignment vertical="center" wrapText="1"/>
    </xf>
    <xf numFmtId="0" fontId="44" fillId="31" borderId="5" xfId="0" applyFont="1" applyFill="1" applyBorder="1" applyAlignment="1">
      <alignment vertical="center" wrapText="1"/>
    </xf>
    <xf numFmtId="0" fontId="44" fillId="31" borderId="1" xfId="0" applyFont="1" applyFill="1" applyBorder="1" applyAlignment="1">
      <alignment vertical="center" wrapText="1"/>
    </xf>
    <xf numFmtId="0" fontId="44" fillId="31" borderId="1" xfId="0" applyFont="1" applyFill="1" applyBorder="1" applyAlignment="1">
      <alignment horizontal="center" vertical="center" wrapText="1"/>
    </xf>
    <xf numFmtId="0" fontId="44" fillId="31" borderId="6" xfId="0" applyFont="1" applyFill="1" applyBorder="1" applyAlignment="1">
      <alignment horizontal="center" vertical="center" wrapText="1"/>
    </xf>
    <xf numFmtId="0" fontId="45" fillId="31" borderId="8" xfId="0" applyFont="1" applyFill="1" applyBorder="1"/>
    <xf numFmtId="49" fontId="45" fillId="31" borderId="8" xfId="0" applyNumberFormat="1" applyFont="1" applyFill="1" applyBorder="1"/>
    <xf numFmtId="0" fontId="45" fillId="31" borderId="9" xfId="0" applyFont="1" applyFill="1" applyBorder="1"/>
    <xf numFmtId="0" fontId="45" fillId="31" borderId="10" xfId="0" applyFont="1" applyFill="1" applyBorder="1"/>
    <xf numFmtId="0" fontId="44" fillId="30" borderId="0" xfId="0" applyFont="1" applyFill="1"/>
    <xf numFmtId="0" fontId="45" fillId="30" borderId="0" xfId="0" applyFont="1" applyFill="1"/>
    <xf numFmtId="0" fontId="0" fillId="0" borderId="18" xfId="0" applyBorder="1"/>
    <xf numFmtId="1" fontId="0" fillId="0" borderId="11" xfId="0" applyNumberFormat="1" applyBorder="1"/>
    <xf numFmtId="0" fontId="0" fillId="0" borderId="20" xfId="0" applyBorder="1"/>
    <xf numFmtId="1" fontId="0" fillId="0" borderId="6" xfId="0" applyNumberFormat="1" applyBorder="1"/>
    <xf numFmtId="2" fontId="0" fillId="0" borderId="6" xfId="0" applyNumberFormat="1" applyBorder="1"/>
    <xf numFmtId="1" fontId="15" fillId="13" borderId="1" xfId="0" applyNumberFormat="1" applyFont="1" applyFill="1" applyBorder="1"/>
    <xf numFmtId="0" fontId="4" fillId="0" borderId="11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0" fillId="32" borderId="5" xfId="0" applyFill="1" applyBorder="1" applyAlignment="1">
      <alignment vertical="center" wrapText="1"/>
    </xf>
    <xf numFmtId="0" fontId="0" fillId="32" borderId="6" xfId="0" applyFill="1" applyBorder="1" applyAlignment="1">
      <alignment horizontal="center" vertical="center" wrapText="1"/>
    </xf>
    <xf numFmtId="0" fontId="0" fillId="32" borderId="6" xfId="0" applyFill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49" fontId="14" fillId="8" borderId="8" xfId="0" applyNumberFormat="1" applyFont="1" applyFill="1" applyBorder="1"/>
    <xf numFmtId="0" fontId="13" fillId="13" borderId="1" xfId="0" applyFont="1" applyFill="1" applyBorder="1" applyAlignment="1">
      <alignment horizontal="center" vertical="center" wrapText="1"/>
    </xf>
    <xf numFmtId="0" fontId="13" fillId="23" borderId="1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19" borderId="6" xfId="0" applyFill="1" applyBorder="1" applyAlignment="1">
      <alignment horizontal="center" vertical="center" wrapText="1"/>
    </xf>
    <xf numFmtId="0" fontId="4" fillId="19" borderId="6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2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19" borderId="1" xfId="0" applyFont="1" applyFill="1" applyBorder="1" applyAlignment="1">
      <alignment horizontal="center"/>
    </xf>
    <xf numFmtId="0" fontId="4" fillId="33" borderId="6" xfId="0" applyFont="1" applyFill="1" applyBorder="1" applyAlignment="1">
      <alignment horizontal="center" vertical="center" wrapText="1"/>
    </xf>
    <xf numFmtId="0" fontId="0" fillId="33" borderId="6" xfId="0" applyFill="1" applyBorder="1" applyAlignment="1">
      <alignment horizontal="center" vertical="center" wrapText="1"/>
    </xf>
    <xf numFmtId="0" fontId="4" fillId="33" borderId="1" xfId="0" applyFont="1" applyFill="1" applyBorder="1" applyAlignment="1">
      <alignment horizontal="center"/>
    </xf>
    <xf numFmtId="0" fontId="16" fillId="11" borderId="1" xfId="0" applyFont="1" applyFill="1" applyBorder="1" applyAlignment="1">
      <alignment horizontal="center"/>
    </xf>
    <xf numFmtId="0" fontId="15" fillId="11" borderId="1" xfId="0" applyFont="1" applyFill="1" applyBorder="1" applyAlignment="1">
      <alignment vertical="center" wrapText="1"/>
    </xf>
    <xf numFmtId="0" fontId="15" fillId="11" borderId="5" xfId="0" applyFont="1" applyFill="1" applyBorder="1" applyAlignment="1">
      <alignment vertical="center" wrapText="1"/>
    </xf>
    <xf numFmtId="1" fontId="7" fillId="29" borderId="5" xfId="0" applyNumberFormat="1" applyFont="1" applyFill="1" applyBorder="1" applyAlignment="1">
      <alignment horizontal="right" vertical="center" wrapText="1"/>
    </xf>
    <xf numFmtId="0" fontId="31" fillId="11" borderId="1" xfId="0" applyFont="1" applyFill="1" applyBorder="1" applyAlignment="1">
      <alignment horizontal="center" vertical="center" wrapText="1"/>
    </xf>
    <xf numFmtId="0" fontId="31" fillId="13" borderId="1" xfId="0" applyFont="1" applyFill="1" applyBorder="1" applyAlignment="1">
      <alignment horizontal="center" vertical="center" wrapText="1"/>
    </xf>
    <xf numFmtId="0" fontId="31" fillId="23" borderId="1" xfId="0" applyFont="1" applyFill="1" applyBorder="1" applyAlignment="1">
      <alignment horizontal="center" vertical="center" wrapText="1"/>
    </xf>
    <xf numFmtId="0" fontId="16" fillId="23" borderId="6" xfId="0" applyFont="1" applyFill="1" applyBorder="1" applyAlignment="1">
      <alignment horizontal="center" vertical="center" wrapText="1"/>
    </xf>
    <xf numFmtId="0" fontId="15" fillId="23" borderId="2" xfId="0" applyFont="1" applyFill="1" applyBorder="1"/>
    <xf numFmtId="0" fontId="15" fillId="23" borderId="1" xfId="0" applyFont="1" applyFill="1" applyBorder="1"/>
    <xf numFmtId="0" fontId="16" fillId="23" borderId="1" xfId="0" applyFont="1" applyFill="1" applyBorder="1" applyAlignment="1">
      <alignment horizontal="left" vertical="center" wrapText="1"/>
    </xf>
    <xf numFmtId="0" fontId="16" fillId="23" borderId="1" xfId="0" applyFont="1" applyFill="1" applyBorder="1" applyAlignment="1">
      <alignment vertical="center" wrapText="1"/>
    </xf>
    <xf numFmtId="49" fontId="35" fillId="23" borderId="1" xfId="0" applyNumberFormat="1" applyFont="1" applyFill="1" applyBorder="1" applyAlignment="1">
      <alignment horizontal="center"/>
    </xf>
    <xf numFmtId="0" fontId="15" fillId="4" borderId="0" xfId="0" applyFont="1" applyFill="1"/>
    <xf numFmtId="0" fontId="15" fillId="11" borderId="4" xfId="0" applyFont="1" applyFill="1" applyBorder="1" applyAlignment="1">
      <alignment horizontal="center" vertical="center" wrapText="1"/>
    </xf>
    <xf numFmtId="0" fontId="15" fillId="13" borderId="4" xfId="0" applyFont="1" applyFill="1" applyBorder="1" applyAlignment="1">
      <alignment horizontal="center" vertical="center" wrapText="1"/>
    </xf>
    <xf numFmtId="0" fontId="15" fillId="23" borderId="4" xfId="0" applyFont="1" applyFill="1" applyBorder="1" applyAlignment="1">
      <alignment horizontal="center" vertical="center" wrapText="1"/>
    </xf>
    <xf numFmtId="0" fontId="32" fillId="4" borderId="0" xfId="0" applyFont="1" applyFill="1"/>
    <xf numFmtId="0" fontId="15" fillId="11" borderId="1" xfId="0" applyFont="1" applyFill="1" applyBorder="1" applyAlignment="1">
      <alignment horizontal="center" vertical="center" wrapText="1"/>
    </xf>
    <xf numFmtId="0" fontId="15" fillId="13" borderId="1" xfId="0" applyFont="1" applyFill="1" applyBorder="1" applyAlignment="1">
      <alignment horizontal="center" vertical="center" wrapText="1"/>
    </xf>
    <xf numFmtId="0" fontId="15" fillId="23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right"/>
    </xf>
    <xf numFmtId="0" fontId="3" fillId="27" borderId="0" xfId="0" applyFont="1" applyFill="1" applyAlignment="1">
      <alignment horizontal="right" vertical="center"/>
    </xf>
    <xf numFmtId="0" fontId="32" fillId="11" borderId="4" xfId="0" applyFont="1" applyFill="1" applyBorder="1" applyAlignment="1">
      <alignment horizontal="center" vertical="center" wrapText="1"/>
    </xf>
    <xf numFmtId="0" fontId="32" fillId="13" borderId="4" xfId="0" applyFont="1" applyFill="1" applyBorder="1" applyAlignment="1">
      <alignment horizontal="center" vertical="center" wrapText="1"/>
    </xf>
    <xf numFmtId="0" fontId="32" fillId="23" borderId="4" xfId="0" applyFont="1" applyFill="1" applyBorder="1" applyAlignment="1">
      <alignment horizontal="center" vertical="center" wrapText="1"/>
    </xf>
    <xf numFmtId="0" fontId="32" fillId="11" borderId="1" xfId="0" applyFont="1" applyFill="1" applyBorder="1" applyAlignment="1">
      <alignment horizontal="center" vertical="center" wrapText="1"/>
    </xf>
    <xf numFmtId="0" fontId="32" fillId="13" borderId="1" xfId="0" applyFont="1" applyFill="1" applyBorder="1" applyAlignment="1">
      <alignment horizontal="center" vertical="center" wrapText="1"/>
    </xf>
    <xf numFmtId="0" fontId="32" fillId="23" borderId="1" xfId="0" applyFont="1" applyFill="1" applyBorder="1" applyAlignment="1">
      <alignment horizontal="center" vertical="center" wrapText="1"/>
    </xf>
    <xf numFmtId="1" fontId="7" fillId="4" borderId="5" xfId="0" applyNumberFormat="1" applyFont="1" applyFill="1" applyBorder="1" applyAlignment="1">
      <alignment horizontal="right" vertical="center" wrapText="1"/>
    </xf>
    <xf numFmtId="49" fontId="30" fillId="13" borderId="1" xfId="0" applyNumberFormat="1" applyFont="1" applyFill="1" applyBorder="1" applyAlignment="1">
      <alignment horizontal="center"/>
    </xf>
    <xf numFmtId="0" fontId="6" fillId="34" borderId="1" xfId="0" applyFont="1" applyFill="1" applyBorder="1"/>
    <xf numFmtId="0" fontId="6" fillId="34" borderId="2" xfId="0" applyFont="1" applyFill="1" applyBorder="1"/>
    <xf numFmtId="0" fontId="6" fillId="34" borderId="3" xfId="0" applyFont="1" applyFill="1" applyBorder="1"/>
    <xf numFmtId="0" fontId="6" fillId="34" borderId="12" xfId="0" applyFont="1" applyFill="1" applyBorder="1" applyAlignment="1">
      <alignment vertical="center" wrapText="1"/>
    </xf>
    <xf numFmtId="0" fontId="6" fillId="34" borderId="5" xfId="0" applyFont="1" applyFill="1" applyBorder="1" applyAlignment="1">
      <alignment vertical="center" wrapText="1"/>
    </xf>
    <xf numFmtId="0" fontId="6" fillId="34" borderId="1" xfId="0" applyFont="1" applyFill="1" applyBorder="1" applyAlignment="1">
      <alignment vertical="center" wrapText="1"/>
    </xf>
    <xf numFmtId="0" fontId="6" fillId="34" borderId="1" xfId="0" applyFont="1" applyFill="1" applyBorder="1" applyAlignment="1">
      <alignment horizontal="center" vertical="center" wrapText="1"/>
    </xf>
    <xf numFmtId="0" fontId="6" fillId="34" borderId="6" xfId="0" applyFont="1" applyFill="1" applyBorder="1" applyAlignment="1">
      <alignment vertical="center" wrapText="1"/>
    </xf>
    <xf numFmtId="0" fontId="6" fillId="34" borderId="6" xfId="0" applyFont="1" applyFill="1" applyBorder="1" applyAlignment="1">
      <alignment horizontal="center" vertical="center" wrapText="1"/>
    </xf>
    <xf numFmtId="0" fontId="3" fillId="34" borderId="8" xfId="0" applyFont="1" applyFill="1" applyBorder="1"/>
    <xf numFmtId="49" fontId="3" fillId="34" borderId="8" xfId="0" applyNumberFormat="1" applyFont="1" applyFill="1" applyBorder="1"/>
    <xf numFmtId="0" fontId="3" fillId="34" borderId="9" xfId="0" applyFont="1" applyFill="1" applyBorder="1"/>
    <xf numFmtId="0" fontId="3" fillId="34" borderId="10" xfId="0" applyFont="1" applyFill="1" applyBorder="1"/>
    <xf numFmtId="0" fontId="6" fillId="34" borderId="0" xfId="0" applyFont="1" applyFill="1"/>
    <xf numFmtId="1" fontId="7" fillId="20" borderId="5" xfId="0" applyNumberFormat="1" applyFont="1" applyFill="1" applyBorder="1" applyAlignment="1">
      <alignment horizontal="right" vertical="center" wrapText="1"/>
    </xf>
    <xf numFmtId="0" fontId="7" fillId="20" borderId="6" xfId="0" applyFont="1" applyFill="1" applyBorder="1" applyAlignment="1">
      <alignment vertical="center" wrapText="1"/>
    </xf>
    <xf numFmtId="0" fontId="9" fillId="20" borderId="6" xfId="0" applyFont="1" applyFill="1" applyBorder="1" applyAlignment="1">
      <alignment horizontal="right" vertical="center" wrapText="1"/>
    </xf>
    <xf numFmtId="0" fontId="7" fillId="20" borderId="6" xfId="0" applyFont="1" applyFill="1" applyBorder="1" applyAlignment="1">
      <alignment horizontal="right" vertical="center" wrapText="1"/>
    </xf>
    <xf numFmtId="0" fontId="23" fillId="11" borderId="1" xfId="0" applyFont="1" applyFill="1" applyBorder="1"/>
    <xf numFmtId="0" fontId="23" fillId="11" borderId="2" xfId="0" applyFont="1" applyFill="1" applyBorder="1"/>
    <xf numFmtId="0" fontId="23" fillId="11" borderId="3" xfId="0" applyFont="1" applyFill="1" applyBorder="1"/>
    <xf numFmtId="0" fontId="11" fillId="11" borderId="0" xfId="0" applyFont="1" applyFill="1"/>
    <xf numFmtId="0" fontId="23" fillId="11" borderId="12" xfId="0" applyFont="1" applyFill="1" applyBorder="1" applyAlignment="1">
      <alignment vertical="center" wrapText="1"/>
    </xf>
    <xf numFmtId="0" fontId="23" fillId="11" borderId="5" xfId="0" applyFont="1" applyFill="1" applyBorder="1" applyAlignment="1">
      <alignment vertical="center" wrapText="1"/>
    </xf>
    <xf numFmtId="0" fontId="23" fillId="11" borderId="1" xfId="0" applyFont="1" applyFill="1" applyBorder="1" applyAlignment="1">
      <alignment vertical="center" wrapText="1"/>
    </xf>
    <xf numFmtId="0" fontId="23" fillId="11" borderId="1" xfId="0" applyFont="1" applyFill="1" applyBorder="1" applyAlignment="1">
      <alignment horizontal="center" vertical="center" wrapText="1"/>
    </xf>
    <xf numFmtId="0" fontId="23" fillId="11" borderId="6" xfId="0" applyFont="1" applyFill="1" applyBorder="1" applyAlignment="1">
      <alignment horizontal="center" vertical="center" wrapText="1"/>
    </xf>
    <xf numFmtId="0" fontId="11" fillId="11" borderId="8" xfId="0" applyFont="1" applyFill="1" applyBorder="1"/>
    <xf numFmtId="49" fontId="11" fillId="11" borderId="8" xfId="0" applyNumberFormat="1" applyFont="1" applyFill="1" applyBorder="1"/>
    <xf numFmtId="0" fontId="11" fillId="11" borderId="9" xfId="0" applyFont="1" applyFill="1" applyBorder="1"/>
    <xf numFmtId="0" fontId="11" fillId="11" borderId="10" xfId="0" applyFont="1" applyFill="1" applyBorder="1"/>
    <xf numFmtId="0" fontId="11" fillId="0" borderId="0" xfId="0" applyFont="1"/>
    <xf numFmtId="0" fontId="37" fillId="8" borderId="1" xfId="0" applyFont="1" applyFill="1" applyBorder="1" applyAlignment="1">
      <alignment horizontal="right"/>
    </xf>
    <xf numFmtId="0" fontId="44" fillId="31" borderId="1" xfId="0" applyFont="1" applyFill="1" applyBorder="1" applyAlignment="1">
      <alignment horizontal="right"/>
    </xf>
    <xf numFmtId="0" fontId="46" fillId="12" borderId="6" xfId="0" applyFont="1" applyFill="1" applyBorder="1" applyAlignment="1">
      <alignment vertical="center" wrapText="1"/>
    </xf>
    <xf numFmtId="0" fontId="46" fillId="8" borderId="6" xfId="0" applyFont="1" applyFill="1" applyBorder="1" applyAlignment="1">
      <alignment vertical="center" wrapText="1"/>
    </xf>
    <xf numFmtId="1" fontId="7" fillId="21" borderId="5" xfId="0" applyNumberFormat="1" applyFont="1" applyFill="1" applyBorder="1" applyAlignment="1">
      <alignment horizontal="right" vertical="center" wrapText="1"/>
    </xf>
    <xf numFmtId="0" fontId="46" fillId="19" borderId="6" xfId="0" applyFont="1" applyFill="1" applyBorder="1" applyAlignment="1">
      <alignment vertical="center" wrapText="1"/>
    </xf>
    <xf numFmtId="0" fontId="46" fillId="4" borderId="6" xfId="0" applyFont="1" applyFill="1" applyBorder="1" applyAlignment="1">
      <alignment vertical="center" wrapText="1"/>
    </xf>
    <xf numFmtId="0" fontId="47" fillId="13" borderId="6" xfId="0" applyFont="1" applyFill="1" applyBorder="1" applyAlignment="1">
      <alignment horizontal="left" vertical="center" wrapText="1"/>
    </xf>
    <xf numFmtId="0" fontId="47" fillId="13" borderId="6" xfId="0" applyFont="1" applyFill="1" applyBorder="1" applyAlignment="1">
      <alignment vertical="center" wrapText="1"/>
    </xf>
    <xf numFmtId="0" fontId="47" fillId="13" borderId="6" xfId="0" applyFont="1" applyFill="1" applyBorder="1" applyAlignment="1">
      <alignment horizontal="center" vertical="center" wrapText="1"/>
    </xf>
    <xf numFmtId="0" fontId="48" fillId="13" borderId="1" xfId="0" applyFont="1" applyFill="1" applyBorder="1"/>
    <xf numFmtId="49" fontId="49" fillId="13" borderId="1" xfId="0" applyNumberFormat="1" applyFont="1" applyFill="1" applyBorder="1" applyAlignment="1">
      <alignment horizontal="center"/>
    </xf>
    <xf numFmtId="0" fontId="48" fillId="13" borderId="2" xfId="0" applyFont="1" applyFill="1" applyBorder="1"/>
    <xf numFmtId="0" fontId="48" fillId="13" borderId="3" xfId="0" applyFont="1" applyFill="1" applyBorder="1"/>
    <xf numFmtId="0" fontId="47" fillId="11" borderId="5" xfId="0" applyFont="1" applyFill="1" applyBorder="1" applyAlignment="1">
      <alignment horizontal="left" vertical="center" wrapText="1"/>
    </xf>
    <xf numFmtId="0" fontId="47" fillId="11" borderId="6" xfId="0" applyFont="1" applyFill="1" applyBorder="1" applyAlignment="1">
      <alignment horizontal="left" vertical="center" wrapText="1"/>
    </xf>
    <xf numFmtId="0" fontId="47" fillId="11" borderId="6" xfId="0" applyFont="1" applyFill="1" applyBorder="1" applyAlignment="1">
      <alignment vertical="center" wrapText="1"/>
    </xf>
    <xf numFmtId="0" fontId="47" fillId="11" borderId="6" xfId="0" applyFont="1" applyFill="1" applyBorder="1" applyAlignment="1">
      <alignment horizontal="center" vertical="center" wrapText="1"/>
    </xf>
    <xf numFmtId="0" fontId="48" fillId="11" borderId="1" xfId="0" applyFont="1" applyFill="1" applyBorder="1"/>
    <xf numFmtId="0" fontId="48" fillId="11" borderId="3" xfId="0" applyFont="1" applyFill="1" applyBorder="1"/>
    <xf numFmtId="0" fontId="47" fillId="13" borderId="1" xfId="0" applyFont="1" applyFill="1" applyBorder="1" applyAlignment="1">
      <alignment horizontal="left" vertical="center" wrapText="1"/>
    </xf>
    <xf numFmtId="0" fontId="47" fillId="13" borderId="4" xfId="0" applyFont="1" applyFill="1" applyBorder="1" applyAlignment="1">
      <alignment horizontal="center" vertical="center" wrapText="1"/>
    </xf>
    <xf numFmtId="0" fontId="47" fillId="11" borderId="1" xfId="0" applyFont="1" applyFill="1" applyBorder="1" applyAlignment="1">
      <alignment vertical="center" wrapText="1"/>
    </xf>
    <xf numFmtId="49" fontId="49" fillId="11" borderId="1" xfId="0" applyNumberFormat="1" applyFont="1" applyFill="1" applyBorder="1" applyAlignment="1">
      <alignment horizontal="center"/>
    </xf>
    <xf numFmtId="0" fontId="48" fillId="11" borderId="2" xfId="0" applyFont="1" applyFill="1" applyBorder="1"/>
    <xf numFmtId="0" fontId="47" fillId="13" borderId="5" xfId="0" applyFont="1" applyFill="1" applyBorder="1" applyAlignment="1">
      <alignment horizontal="left" vertical="center" wrapText="1"/>
    </xf>
    <xf numFmtId="49" fontId="50" fillId="11" borderId="1" xfId="0" applyNumberFormat="1" applyFont="1" applyFill="1" applyBorder="1" applyAlignment="1">
      <alignment horizontal="center"/>
    </xf>
    <xf numFmtId="49" fontId="50" fillId="13" borderId="1" xfId="0" applyNumberFormat="1" applyFont="1" applyFill="1" applyBorder="1" applyAlignment="1">
      <alignment horizontal="center"/>
    </xf>
    <xf numFmtId="49" fontId="51" fillId="13" borderId="1" xfId="0" applyNumberFormat="1" applyFont="1" applyFill="1" applyBorder="1" applyAlignment="1">
      <alignment horizontal="center"/>
    </xf>
    <xf numFmtId="0" fontId="47" fillId="13" borderId="1" xfId="0" applyFont="1" applyFill="1" applyBorder="1"/>
    <xf numFmtId="0" fontId="48" fillId="11" borderId="7" xfId="0" applyFont="1" applyFill="1" applyBorder="1"/>
    <xf numFmtId="49" fontId="52" fillId="13" borderId="1" xfId="0" applyNumberFormat="1" applyFont="1" applyFill="1" applyBorder="1" applyAlignment="1">
      <alignment horizontal="center"/>
    </xf>
    <xf numFmtId="0" fontId="48" fillId="13" borderId="7" xfId="0" applyFont="1" applyFill="1" applyBorder="1"/>
    <xf numFmtId="0" fontId="47" fillId="13" borderId="1" xfId="0" applyFont="1" applyFill="1" applyBorder="1" applyAlignment="1">
      <alignment vertical="center" wrapText="1"/>
    </xf>
    <xf numFmtId="0" fontId="47" fillId="13" borderId="1" xfId="0" applyFont="1" applyFill="1" applyBorder="1" applyAlignment="1">
      <alignment horizontal="center" vertical="center" wrapText="1"/>
    </xf>
    <xf numFmtId="0" fontId="47" fillId="23" borderId="1" xfId="0" applyFont="1" applyFill="1" applyBorder="1" applyAlignment="1">
      <alignment horizontal="left" vertical="center" wrapText="1"/>
    </xf>
    <xf numFmtId="0" fontId="47" fillId="23" borderId="1" xfId="0" applyFont="1" applyFill="1" applyBorder="1" applyAlignment="1">
      <alignment vertical="center" wrapText="1"/>
    </xf>
    <xf numFmtId="0" fontId="47" fillId="23" borderId="1" xfId="0" applyFont="1" applyFill="1" applyBorder="1" applyAlignment="1">
      <alignment horizontal="center" vertical="center" wrapText="1"/>
    </xf>
    <xf numFmtId="0" fontId="47" fillId="23" borderId="4" xfId="0" applyFont="1" applyFill="1" applyBorder="1" applyAlignment="1">
      <alignment horizontal="center" vertical="center" wrapText="1"/>
    </xf>
    <xf numFmtId="0" fontId="47" fillId="23" borderId="6" xfId="0" applyFont="1" applyFill="1" applyBorder="1" applyAlignment="1">
      <alignment horizontal="center" vertical="center" wrapText="1"/>
    </xf>
    <xf numFmtId="0" fontId="48" fillId="23" borderId="1" xfId="0" applyFont="1" applyFill="1" applyBorder="1"/>
    <xf numFmtId="0" fontId="48" fillId="23" borderId="2" xfId="0" applyFont="1" applyFill="1" applyBorder="1"/>
    <xf numFmtId="0" fontId="47" fillId="11" borderId="1" xfId="0" applyFont="1" applyFill="1" applyBorder="1" applyAlignment="1">
      <alignment horizontal="left" vertical="center" wrapText="1"/>
    </xf>
    <xf numFmtId="0" fontId="47" fillId="11" borderId="4" xfId="0" applyFont="1" applyFill="1" applyBorder="1" applyAlignment="1">
      <alignment horizontal="center" vertical="center" wrapText="1"/>
    </xf>
    <xf numFmtId="49" fontId="52" fillId="11" borderId="1" xfId="0" applyNumberFormat="1" applyFont="1" applyFill="1" applyBorder="1" applyAlignment="1">
      <alignment horizontal="center"/>
    </xf>
    <xf numFmtId="0" fontId="48" fillId="0" borderId="0" xfId="0" applyFont="1"/>
    <xf numFmtId="0" fontId="47" fillId="4" borderId="0" xfId="0" applyFont="1" applyFill="1"/>
    <xf numFmtId="0" fontId="47" fillId="11" borderId="1" xfId="0" applyFont="1" applyFill="1" applyBorder="1" applyAlignment="1">
      <alignment horizontal="center" vertical="center" wrapText="1"/>
    </xf>
    <xf numFmtId="0" fontId="47" fillId="0" borderId="0" xfId="0" applyFont="1"/>
    <xf numFmtId="1" fontId="48" fillId="11" borderId="1" xfId="0" applyNumberFormat="1" applyFont="1" applyFill="1" applyBorder="1"/>
    <xf numFmtId="0" fontId="47" fillId="11" borderId="1" xfId="0" applyFont="1" applyFill="1" applyBorder="1"/>
    <xf numFmtId="17" fontId="48" fillId="3" borderId="0" xfId="0" applyNumberFormat="1" applyFont="1" applyFill="1" applyAlignment="1">
      <alignment horizontal="left" vertical="center" wrapText="1"/>
    </xf>
    <xf numFmtId="0" fontId="48" fillId="3" borderId="0" xfId="0" applyFont="1" applyFill="1" applyAlignment="1">
      <alignment horizontal="left" vertical="center" wrapText="1"/>
    </xf>
    <xf numFmtId="0" fontId="4" fillId="21" borderId="0" xfId="0" applyFont="1" applyFill="1"/>
    <xf numFmtId="49" fontId="47" fillId="11" borderId="1" xfId="0" applyNumberFormat="1" applyFont="1" applyFill="1" applyBorder="1" applyAlignment="1">
      <alignment horizontal="center"/>
    </xf>
    <xf numFmtId="0" fontId="4" fillId="11" borderId="0" xfId="0" applyFont="1" applyFill="1" applyAlignment="1">
      <alignment horizontal="right"/>
    </xf>
    <xf numFmtId="0" fontId="18" fillId="35" borderId="1" xfId="0" applyFont="1" applyFill="1" applyBorder="1"/>
    <xf numFmtId="0" fontId="18" fillId="35" borderId="2" xfId="0" applyFont="1" applyFill="1" applyBorder="1"/>
    <xf numFmtId="0" fontId="18" fillId="35" borderId="3" xfId="0" applyFont="1" applyFill="1" applyBorder="1"/>
    <xf numFmtId="0" fontId="21" fillId="35" borderId="0" xfId="0" applyFont="1" applyFill="1"/>
    <xf numFmtId="0" fontId="18" fillId="35" borderId="12" xfId="0" applyFont="1" applyFill="1" applyBorder="1" applyAlignment="1">
      <alignment vertical="center" wrapText="1"/>
    </xf>
    <xf numFmtId="0" fontId="18" fillId="35" borderId="5" xfId="0" applyFont="1" applyFill="1" applyBorder="1" applyAlignment="1">
      <alignment vertical="center" wrapText="1"/>
    </xf>
    <xf numFmtId="0" fontId="18" fillId="35" borderId="1" xfId="0" applyFont="1" applyFill="1" applyBorder="1" applyAlignment="1">
      <alignment vertical="center" wrapText="1"/>
    </xf>
    <xf numFmtId="0" fontId="18" fillId="35" borderId="1" xfId="0" applyFont="1" applyFill="1" applyBorder="1" applyAlignment="1">
      <alignment horizontal="center" vertical="center" wrapText="1"/>
    </xf>
    <xf numFmtId="0" fontId="18" fillId="35" borderId="6" xfId="0" applyFont="1" applyFill="1" applyBorder="1" applyAlignment="1">
      <alignment horizontal="center" vertical="center" wrapText="1"/>
    </xf>
    <xf numFmtId="0" fontId="21" fillId="35" borderId="8" xfId="0" applyFont="1" applyFill="1" applyBorder="1"/>
    <xf numFmtId="49" fontId="21" fillId="35" borderId="8" xfId="0" applyNumberFormat="1" applyFont="1" applyFill="1" applyBorder="1"/>
    <xf numFmtId="0" fontId="21" fillId="35" borderId="9" xfId="0" applyFont="1" applyFill="1" applyBorder="1"/>
    <xf numFmtId="0" fontId="21" fillId="35" borderId="10" xfId="0" applyFont="1" applyFill="1" applyBorder="1"/>
    <xf numFmtId="0" fontId="18" fillId="35" borderId="1" xfId="0" applyFont="1" applyFill="1" applyBorder="1" applyAlignment="1">
      <alignment horizontal="right"/>
    </xf>
    <xf numFmtId="0" fontId="18" fillId="35" borderId="0" xfId="0" applyFont="1" applyFill="1"/>
    <xf numFmtId="1" fontId="7" fillId="36" borderId="5" xfId="0" applyNumberFormat="1" applyFont="1" applyFill="1" applyBorder="1" applyAlignment="1">
      <alignment horizontal="right" vertical="center" wrapText="1"/>
    </xf>
    <xf numFmtId="0" fontId="7" fillId="36" borderId="6" xfId="0" applyFont="1" applyFill="1" applyBorder="1" applyAlignment="1">
      <alignment vertical="center" wrapText="1"/>
    </xf>
    <xf numFmtId="0" fontId="9" fillId="36" borderId="6" xfId="0" applyFont="1" applyFill="1" applyBorder="1" applyAlignment="1">
      <alignment horizontal="right" vertical="center" wrapText="1"/>
    </xf>
    <xf numFmtId="0" fontId="7" fillId="36" borderId="6" xfId="0" applyFont="1" applyFill="1" applyBorder="1" applyAlignment="1">
      <alignment horizontal="right" vertical="center" wrapText="1"/>
    </xf>
    <xf numFmtId="1" fontId="7" fillId="8" borderId="5" xfId="0" applyNumberFormat="1" applyFont="1" applyFill="1" applyBorder="1" applyAlignment="1">
      <alignment horizontal="right" vertical="center" wrapText="1"/>
    </xf>
    <xf numFmtId="0" fontId="7" fillId="8" borderId="6" xfId="0" applyFont="1" applyFill="1" applyBorder="1" applyAlignment="1">
      <alignment vertical="center" wrapText="1"/>
    </xf>
    <xf numFmtId="0" fontId="9" fillId="8" borderId="6" xfId="0" applyFont="1" applyFill="1" applyBorder="1" applyAlignment="1">
      <alignment horizontal="right" vertical="center" wrapText="1"/>
    </xf>
    <xf numFmtId="0" fontId="7" fillId="8" borderId="6" xfId="0" applyFont="1" applyFill="1" applyBorder="1" applyAlignment="1">
      <alignment horizontal="right" vertical="center" wrapText="1"/>
    </xf>
    <xf numFmtId="0" fontId="16" fillId="11" borderId="1" xfId="0" applyFont="1" applyFill="1" applyBorder="1" applyAlignment="1">
      <alignment horizontal="right"/>
    </xf>
    <xf numFmtId="0" fontId="54" fillId="0" borderId="0" xfId="0" applyFont="1"/>
    <xf numFmtId="0" fontId="54" fillId="4" borderId="0" xfId="0" applyFont="1" applyFill="1"/>
    <xf numFmtId="0" fontId="54" fillId="11" borderId="4" xfId="0" applyFont="1" applyFill="1" applyBorder="1" applyAlignment="1">
      <alignment horizontal="center" vertical="center" wrapText="1"/>
    </xf>
    <xf numFmtId="0" fontId="54" fillId="13" borderId="4" xfId="0" applyFont="1" applyFill="1" applyBorder="1" applyAlignment="1">
      <alignment horizontal="center" vertical="center" wrapText="1"/>
    </xf>
    <xf numFmtId="0" fontId="54" fillId="23" borderId="4" xfId="0" applyFont="1" applyFill="1" applyBorder="1" applyAlignment="1">
      <alignment horizontal="center" vertical="center" wrapText="1"/>
    </xf>
    <xf numFmtId="0" fontId="54" fillId="11" borderId="1" xfId="0" applyFont="1" applyFill="1" applyBorder="1" applyAlignment="1">
      <alignment horizontal="center" vertical="center" wrapText="1"/>
    </xf>
    <xf numFmtId="0" fontId="54" fillId="13" borderId="1" xfId="0" applyFont="1" applyFill="1" applyBorder="1" applyAlignment="1">
      <alignment horizontal="center" vertical="center" wrapText="1"/>
    </xf>
    <xf numFmtId="0" fontId="54" fillId="23" borderId="1" xfId="0" applyFont="1" applyFill="1" applyBorder="1" applyAlignment="1">
      <alignment horizontal="center" vertical="center" wrapText="1"/>
    </xf>
    <xf numFmtId="0" fontId="55" fillId="4" borderId="0" xfId="0" applyFont="1" applyFill="1"/>
    <xf numFmtId="0" fontId="55" fillId="11" borderId="1" xfId="0" applyFont="1" applyFill="1" applyBorder="1" applyAlignment="1">
      <alignment horizontal="center" vertical="center" wrapText="1"/>
    </xf>
    <xf numFmtId="0" fontId="55" fillId="13" borderId="1" xfId="0" applyFont="1" applyFill="1" applyBorder="1" applyAlignment="1">
      <alignment horizontal="center" vertical="center" wrapText="1"/>
    </xf>
    <xf numFmtId="0" fontId="55" fillId="23" borderId="1" xfId="0" applyFont="1" applyFill="1" applyBorder="1" applyAlignment="1">
      <alignment horizontal="center" vertical="center" wrapText="1"/>
    </xf>
    <xf numFmtId="0" fontId="55" fillId="11" borderId="5" xfId="0" applyFont="1" applyFill="1" applyBorder="1" applyAlignment="1">
      <alignment horizontal="left" vertical="center" wrapText="1"/>
    </xf>
    <xf numFmtId="0" fontId="55" fillId="11" borderId="6" xfId="0" applyFont="1" applyFill="1" applyBorder="1" applyAlignment="1">
      <alignment horizontal="left" vertical="center" wrapText="1"/>
    </xf>
    <xf numFmtId="0" fontId="55" fillId="11" borderId="6" xfId="0" applyFont="1" applyFill="1" applyBorder="1" applyAlignment="1">
      <alignment vertical="center" wrapText="1"/>
    </xf>
    <xf numFmtId="0" fontId="55" fillId="11" borderId="6" xfId="0" applyFont="1" applyFill="1" applyBorder="1" applyAlignment="1">
      <alignment horizontal="center" vertical="center" wrapText="1"/>
    </xf>
    <xf numFmtId="0" fontId="54" fillId="11" borderId="1" xfId="0" applyFont="1" applyFill="1" applyBorder="1"/>
    <xf numFmtId="0" fontId="54" fillId="11" borderId="2" xfId="0" applyFont="1" applyFill="1" applyBorder="1"/>
    <xf numFmtId="0" fontId="54" fillId="11" borderId="3" xfId="0" applyFont="1" applyFill="1" applyBorder="1"/>
    <xf numFmtId="0" fontId="55" fillId="13" borderId="5" xfId="0" applyFont="1" applyFill="1" applyBorder="1" applyAlignment="1">
      <alignment horizontal="left" vertical="center" wrapText="1"/>
    </xf>
    <xf numFmtId="0" fontId="55" fillId="13" borderId="6" xfId="0" applyFont="1" applyFill="1" applyBorder="1" applyAlignment="1">
      <alignment horizontal="left" vertical="center" wrapText="1"/>
    </xf>
    <xf numFmtId="0" fontId="55" fillId="13" borderId="6" xfId="0" applyFont="1" applyFill="1" applyBorder="1" applyAlignment="1">
      <alignment vertical="center" wrapText="1"/>
    </xf>
    <xf numFmtId="0" fontId="55" fillId="13" borderId="6" xfId="0" applyFont="1" applyFill="1" applyBorder="1" applyAlignment="1">
      <alignment horizontal="center" vertical="center" wrapText="1"/>
    </xf>
    <xf numFmtId="0" fontId="54" fillId="13" borderId="1" xfId="0" applyFont="1" applyFill="1" applyBorder="1"/>
    <xf numFmtId="0" fontId="54" fillId="13" borderId="3" xfId="0" applyFont="1" applyFill="1" applyBorder="1"/>
    <xf numFmtId="0" fontId="54" fillId="13" borderId="2" xfId="0" applyFont="1" applyFill="1" applyBorder="1"/>
    <xf numFmtId="49" fontId="58" fillId="11" borderId="1" xfId="0" applyNumberFormat="1" applyFont="1" applyFill="1" applyBorder="1" applyAlignment="1">
      <alignment horizontal="center"/>
    </xf>
    <xf numFmtId="49" fontId="56" fillId="13" borderId="1" xfId="0" applyNumberFormat="1" applyFont="1" applyFill="1" applyBorder="1" applyAlignment="1">
      <alignment horizontal="center"/>
    </xf>
    <xf numFmtId="0" fontId="55" fillId="13" borderId="4" xfId="0" applyFont="1" applyFill="1" applyBorder="1" applyAlignment="1">
      <alignment horizontal="center" vertical="center" wrapText="1"/>
    </xf>
    <xf numFmtId="49" fontId="58" fillId="13" borderId="1" xfId="0" applyNumberFormat="1" applyFont="1" applyFill="1" applyBorder="1" applyAlignment="1">
      <alignment horizontal="center"/>
    </xf>
    <xf numFmtId="0" fontId="23" fillId="11" borderId="1" xfId="0" applyFont="1" applyFill="1" applyBorder="1" applyAlignment="1">
      <alignment horizontal="right"/>
    </xf>
    <xf numFmtId="0" fontId="6" fillId="11" borderId="1" xfId="0" applyFont="1" applyFill="1" applyBorder="1" applyAlignment="1">
      <alignment horizontal="right"/>
    </xf>
    <xf numFmtId="0" fontId="6" fillId="11" borderId="2" xfId="0" applyFont="1" applyFill="1" applyBorder="1" applyAlignment="1">
      <alignment horizontal="right"/>
    </xf>
    <xf numFmtId="0" fontId="6" fillId="34" borderId="1" xfId="0" applyFont="1" applyFill="1" applyBorder="1" applyAlignment="1">
      <alignment horizontal="right"/>
    </xf>
    <xf numFmtId="0" fontId="7" fillId="37" borderId="0" xfId="0" applyFont="1" applyFill="1"/>
    <xf numFmtId="49" fontId="55" fillId="13" borderId="1" xfId="0" applyNumberFormat="1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right" vertical="center" wrapText="1"/>
    </xf>
    <xf numFmtId="0" fontId="46" fillId="21" borderId="6" xfId="0" applyFont="1" applyFill="1" applyBorder="1" applyAlignment="1">
      <alignment vertical="center" wrapText="1"/>
    </xf>
    <xf numFmtId="0" fontId="40" fillId="38" borderId="0" xfId="0" applyFont="1" applyFill="1"/>
    <xf numFmtId="0" fontId="4" fillId="0" borderId="19" xfId="0" applyFont="1" applyBorder="1"/>
    <xf numFmtId="0" fontId="7" fillId="19" borderId="6" xfId="0" applyFont="1" applyFill="1" applyBorder="1" applyAlignment="1">
      <alignment vertical="center" wrapText="1"/>
    </xf>
    <xf numFmtId="0" fontId="9" fillId="19" borderId="6" xfId="0" applyFont="1" applyFill="1" applyBorder="1" applyAlignment="1">
      <alignment horizontal="right" vertical="center" wrapText="1"/>
    </xf>
    <xf numFmtId="0" fontId="7" fillId="19" borderId="6" xfId="0" applyFont="1" applyFill="1" applyBorder="1" applyAlignment="1">
      <alignment horizontal="right" vertical="center" wrapText="1"/>
    </xf>
    <xf numFmtId="1" fontId="7" fillId="19" borderId="5" xfId="0" applyNumberFormat="1" applyFont="1" applyFill="1" applyBorder="1" applyAlignment="1">
      <alignment horizontal="right" vertical="center" wrapText="1"/>
    </xf>
    <xf numFmtId="1" fontId="4" fillId="19" borderId="5" xfId="0" applyNumberFormat="1" applyFont="1" applyFill="1" applyBorder="1" applyAlignment="1">
      <alignment horizontal="right" vertical="center" wrapText="1"/>
    </xf>
    <xf numFmtId="0" fontId="4" fillId="4" borderId="0" xfId="0" applyFont="1" applyFill="1" applyAlignment="1">
      <alignment horizontal="center"/>
    </xf>
    <xf numFmtId="17" fontId="55" fillId="13" borderId="5" xfId="0" applyNumberFormat="1" applyFont="1" applyFill="1" applyBorder="1" applyAlignment="1">
      <alignment horizontal="left" vertical="center" wrapText="1"/>
    </xf>
    <xf numFmtId="0" fontId="55" fillId="13" borderId="1" xfId="0" applyFont="1" applyFill="1" applyBorder="1" applyAlignment="1">
      <alignment horizontal="left" vertical="center" wrapText="1"/>
    </xf>
    <xf numFmtId="0" fontId="54" fillId="13" borderId="4" xfId="0" applyFont="1" applyFill="1" applyBorder="1"/>
    <xf numFmtId="0" fontId="54" fillId="11" borderId="8" xfId="0" applyFont="1" applyFill="1" applyBorder="1"/>
    <xf numFmtId="49" fontId="57" fillId="11" borderId="8" xfId="0" applyNumberFormat="1" applyFont="1" applyFill="1" applyBorder="1" applyAlignment="1">
      <alignment horizontal="center"/>
    </xf>
    <xf numFmtId="0" fontId="54" fillId="11" borderId="9" xfId="0" applyFont="1" applyFill="1" applyBorder="1"/>
    <xf numFmtId="0" fontId="54" fillId="11" borderId="10" xfId="0" applyFont="1" applyFill="1" applyBorder="1"/>
    <xf numFmtId="0" fontId="54" fillId="11" borderId="4" xfId="0" applyFont="1" applyFill="1" applyBorder="1"/>
    <xf numFmtId="0" fontId="55" fillId="13" borderId="4" xfId="0" applyFont="1" applyFill="1" applyBorder="1" applyAlignment="1">
      <alignment vertical="center" wrapText="1"/>
    </xf>
    <xf numFmtId="0" fontId="55" fillId="11" borderId="1" xfId="0" applyFont="1" applyFill="1" applyBorder="1" applyAlignment="1">
      <alignment vertical="center" wrapText="1"/>
    </xf>
    <xf numFmtId="49" fontId="30" fillId="13" borderId="5" xfId="0" applyNumberFormat="1" applyFont="1" applyFill="1" applyBorder="1" applyAlignment="1">
      <alignment horizontal="center"/>
    </xf>
    <xf numFmtId="0" fontId="15" fillId="13" borderId="12" xfId="0" applyFont="1" applyFill="1" applyBorder="1"/>
    <xf numFmtId="0" fontId="15" fillId="13" borderId="5" xfId="0" applyFont="1" applyFill="1" applyBorder="1"/>
    <xf numFmtId="0" fontId="16" fillId="13" borderId="2" xfId="0" applyFont="1" applyFill="1" applyBorder="1"/>
    <xf numFmtId="0" fontId="48" fillId="11" borderId="1" xfId="0" applyFont="1" applyFill="1" applyBorder="1" applyAlignment="1">
      <alignment horizontal="right"/>
    </xf>
    <xf numFmtId="49" fontId="59" fillId="11" borderId="1" xfId="0" applyNumberFormat="1" applyFont="1" applyFill="1" applyBorder="1" applyAlignment="1">
      <alignment horizontal="center"/>
    </xf>
    <xf numFmtId="0" fontId="60" fillId="11" borderId="5" xfId="0" applyFont="1" applyFill="1" applyBorder="1" applyAlignment="1">
      <alignment horizontal="left" vertical="center" wrapText="1"/>
    </xf>
    <xf numFmtId="0" fontId="60" fillId="11" borderId="6" xfId="0" applyFont="1" applyFill="1" applyBorder="1" applyAlignment="1">
      <alignment horizontal="left" vertical="center" wrapText="1"/>
    </xf>
    <xf numFmtId="0" fontId="60" fillId="11" borderId="6" xfId="0" applyFont="1" applyFill="1" applyBorder="1" applyAlignment="1">
      <alignment vertical="center" wrapText="1"/>
    </xf>
    <xf numFmtId="0" fontId="60" fillId="11" borderId="6" xfId="0" applyFont="1" applyFill="1" applyBorder="1" applyAlignment="1">
      <alignment horizontal="center" vertical="center" wrapText="1"/>
    </xf>
    <xf numFmtId="0" fontId="61" fillId="11" borderId="1" xfId="0" applyFont="1" applyFill="1" applyBorder="1"/>
    <xf numFmtId="49" fontId="62" fillId="11" borderId="1" xfId="0" applyNumberFormat="1" applyFont="1" applyFill="1" applyBorder="1" applyAlignment="1">
      <alignment horizontal="center"/>
    </xf>
    <xf numFmtId="0" fontId="61" fillId="11" borderId="2" xfId="0" applyFont="1" applyFill="1" applyBorder="1"/>
    <xf numFmtId="0" fontId="61" fillId="11" borderId="3" xfId="0" applyFont="1" applyFill="1" applyBorder="1"/>
    <xf numFmtId="49" fontId="64" fillId="11" borderId="1" xfId="0" applyNumberFormat="1" applyFont="1" applyFill="1" applyBorder="1" applyAlignment="1">
      <alignment horizontal="center"/>
    </xf>
    <xf numFmtId="0" fontId="60" fillId="23" borderId="1" xfId="0" applyFont="1" applyFill="1" applyBorder="1" applyAlignment="1">
      <alignment horizontal="left" vertical="center" wrapText="1"/>
    </xf>
    <xf numFmtId="0" fontId="60" fillId="23" borderId="1" xfId="0" applyFont="1" applyFill="1" applyBorder="1" applyAlignment="1">
      <alignment vertical="center" wrapText="1"/>
    </xf>
    <xf numFmtId="0" fontId="60" fillId="23" borderId="1" xfId="0" applyFont="1" applyFill="1" applyBorder="1" applyAlignment="1">
      <alignment horizontal="center" vertical="center" wrapText="1"/>
    </xf>
    <xf numFmtId="0" fontId="60" fillId="23" borderId="6" xfId="0" applyFont="1" applyFill="1" applyBorder="1" applyAlignment="1">
      <alignment horizontal="center" vertical="center" wrapText="1"/>
    </xf>
    <xf numFmtId="0" fontId="61" fillId="23" borderId="1" xfId="0" applyFont="1" applyFill="1" applyBorder="1"/>
    <xf numFmtId="0" fontId="61" fillId="23" borderId="2" xfId="0" applyFont="1" applyFill="1" applyBorder="1"/>
    <xf numFmtId="1" fontId="54" fillId="13" borderId="1" xfId="0" applyNumberFormat="1" applyFont="1" applyFill="1" applyBorder="1"/>
    <xf numFmtId="0" fontId="4" fillId="19" borderId="0" xfId="0" applyFont="1" applyFill="1" applyAlignment="1">
      <alignment horizontal="left"/>
    </xf>
    <xf numFmtId="0" fontId="4" fillId="19" borderId="0" xfId="0" applyFont="1" applyFill="1" applyAlignment="1">
      <alignment horizontal="center"/>
    </xf>
    <xf numFmtId="17" fontId="0" fillId="19" borderId="0" xfId="0" applyNumberFormat="1" applyFill="1" applyAlignment="1">
      <alignment horizontal="left"/>
    </xf>
    <xf numFmtId="20" fontId="0" fillId="19" borderId="0" xfId="0" applyNumberFormat="1" applyFill="1" applyAlignment="1">
      <alignment horizontal="center"/>
    </xf>
    <xf numFmtId="1" fontId="0" fillId="19" borderId="0" xfId="0" applyNumberFormat="1" applyFill="1"/>
    <xf numFmtId="49" fontId="0" fillId="19" borderId="0" xfId="0" applyNumberFormat="1" applyFill="1"/>
    <xf numFmtId="17" fontId="55" fillId="11" borderId="5" xfId="0" applyNumberFormat="1" applyFont="1" applyFill="1" applyBorder="1" applyAlignment="1">
      <alignment horizontal="left" vertical="center" wrapText="1"/>
    </xf>
    <xf numFmtId="0" fontId="54" fillId="13" borderId="8" xfId="0" applyFont="1" applyFill="1" applyBorder="1"/>
    <xf numFmtId="49" fontId="57" fillId="13" borderId="8" xfId="0" applyNumberFormat="1" applyFont="1" applyFill="1" applyBorder="1" applyAlignment="1">
      <alignment horizontal="center"/>
    </xf>
    <xf numFmtId="0" fontId="54" fillId="13" borderId="9" xfId="0" applyFont="1" applyFill="1" applyBorder="1"/>
    <xf numFmtId="0" fontId="54" fillId="13" borderId="10" xfId="0" applyFont="1" applyFill="1" applyBorder="1"/>
    <xf numFmtId="1" fontId="54" fillId="11" borderId="1" xfId="0" applyNumberFormat="1" applyFont="1" applyFill="1" applyBorder="1"/>
    <xf numFmtId="0" fontId="55" fillId="13" borderId="1" xfId="0" applyFont="1" applyFill="1" applyBorder="1" applyAlignment="1">
      <alignment vertical="center" wrapText="1"/>
    </xf>
    <xf numFmtId="0" fontId="55" fillId="11" borderId="1" xfId="0" applyFont="1" applyFill="1" applyBorder="1" applyAlignment="1">
      <alignment horizontal="left" vertical="center" wrapText="1"/>
    </xf>
    <xf numFmtId="0" fontId="55" fillId="11" borderId="4" xfId="0" applyFont="1" applyFill="1" applyBorder="1" applyAlignment="1">
      <alignment vertical="center" wrapText="1"/>
    </xf>
    <xf numFmtId="0" fontId="55" fillId="11" borderId="4" xfId="0" applyFont="1" applyFill="1" applyBorder="1" applyAlignment="1">
      <alignment horizontal="center" vertical="center" wrapText="1"/>
    </xf>
    <xf numFmtId="49" fontId="55" fillId="11" borderId="1" xfId="0" applyNumberFormat="1" applyFont="1" applyFill="1" applyBorder="1" applyAlignment="1">
      <alignment horizontal="center"/>
    </xf>
    <xf numFmtId="49" fontId="59" fillId="13" borderId="1" xfId="0" applyNumberFormat="1" applyFont="1" applyFill="1" applyBorder="1" applyAlignment="1">
      <alignment horizontal="center"/>
    </xf>
    <xf numFmtId="1" fontId="15" fillId="11" borderId="1" xfId="0" applyNumberFormat="1" applyFont="1" applyFill="1" applyBorder="1"/>
    <xf numFmtId="49" fontId="30" fillId="11" borderId="1" xfId="0" applyNumberFormat="1" applyFont="1" applyFill="1" applyBorder="1" applyAlignment="1">
      <alignment horizontal="center"/>
    </xf>
    <xf numFmtId="1" fontId="61" fillId="11" borderId="1" xfId="0" applyNumberFormat="1" applyFont="1" applyFill="1" applyBorder="1"/>
    <xf numFmtId="49" fontId="63" fillId="11" borderId="1" xfId="0" applyNumberFormat="1" applyFont="1" applyFill="1" applyBorder="1" applyAlignment="1">
      <alignment horizontal="center"/>
    </xf>
    <xf numFmtId="1" fontId="48" fillId="13" borderId="1" xfId="0" applyNumberFormat="1" applyFont="1" applyFill="1" applyBorder="1"/>
    <xf numFmtId="0" fontId="15" fillId="11" borderId="12" xfId="0" applyFont="1" applyFill="1" applyBorder="1"/>
    <xf numFmtId="0" fontId="15" fillId="11" borderId="5" xfId="0" applyFont="1" applyFill="1" applyBorder="1"/>
    <xf numFmtId="49" fontId="51" fillId="11" borderId="1" xfId="0" applyNumberFormat="1" applyFont="1" applyFill="1" applyBorder="1" applyAlignment="1">
      <alignment horizontal="center"/>
    </xf>
    <xf numFmtId="0" fontId="48" fillId="13" borderId="1" xfId="0" applyFont="1" applyFill="1" applyBorder="1" applyAlignment="1">
      <alignment horizontal="right"/>
    </xf>
    <xf numFmtId="49" fontId="47" fillId="13" borderId="1" xfId="0" applyNumberFormat="1" applyFont="1" applyFill="1" applyBorder="1" applyAlignment="1">
      <alignment horizontal="center"/>
    </xf>
    <xf numFmtId="0" fontId="48" fillId="0" borderId="24" xfId="0" applyFont="1" applyBorder="1"/>
    <xf numFmtId="0" fontId="0" fillId="0" borderId="0" xfId="0" applyAlignment="1">
      <alignment horizontal="left" vertical="center" indent="1"/>
    </xf>
    <xf numFmtId="0" fontId="0" fillId="0" borderId="6" xfId="0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0" fontId="7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right" vertical="center" wrapText="1"/>
    </xf>
    <xf numFmtId="1" fontId="7" fillId="0" borderId="0" xfId="0" applyNumberFormat="1" applyFont="1" applyAlignment="1">
      <alignment horizontal="right" vertical="center" wrapText="1"/>
    </xf>
    <xf numFmtId="0" fontId="4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61" fillId="11" borderId="12" xfId="0" applyFont="1" applyFill="1" applyBorder="1"/>
    <xf numFmtId="0" fontId="61" fillId="11" borderId="5" xfId="0" applyFont="1" applyFill="1" applyBorder="1"/>
    <xf numFmtId="0" fontId="60" fillId="11" borderId="1" xfId="0" applyFont="1" applyFill="1" applyBorder="1"/>
    <xf numFmtId="0" fontId="60" fillId="11" borderId="2" xfId="0" applyFont="1" applyFill="1" applyBorder="1"/>
    <xf numFmtId="0" fontId="46" fillId="0" borderId="6" xfId="0" applyFont="1" applyBorder="1" applyAlignment="1">
      <alignment vertical="center" wrapText="1"/>
    </xf>
    <xf numFmtId="1" fontId="7" fillId="39" borderId="5" xfId="0" applyNumberFormat="1" applyFont="1" applyFill="1" applyBorder="1" applyAlignment="1">
      <alignment horizontal="right" vertical="center" wrapText="1"/>
    </xf>
    <xf numFmtId="0" fontId="7" fillId="4" borderId="6" xfId="0" applyFont="1" applyFill="1" applyBorder="1" applyAlignment="1">
      <alignment vertical="center" wrapText="1"/>
    </xf>
    <xf numFmtId="0" fontId="9" fillId="4" borderId="6" xfId="0" applyFont="1" applyFill="1" applyBorder="1" applyAlignment="1">
      <alignment horizontal="right" vertical="center" wrapText="1"/>
    </xf>
    <xf numFmtId="0" fontId="7" fillId="4" borderId="6" xfId="0" applyFont="1" applyFill="1" applyBorder="1" applyAlignment="1">
      <alignment horizontal="right" vertical="center" wrapText="1"/>
    </xf>
    <xf numFmtId="0" fontId="19" fillId="0" borderId="1" xfId="0" applyFont="1" applyBorder="1" applyAlignment="1">
      <alignment vertical="center" wrapText="1"/>
    </xf>
    <xf numFmtId="0" fontId="1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40" borderId="5" xfId="0" applyFont="1" applyFill="1" applyBorder="1" applyAlignment="1">
      <alignment horizontal="right" vertical="center" wrapText="1"/>
    </xf>
    <xf numFmtId="0" fontId="19" fillId="41" borderId="6" xfId="0" applyFont="1" applyFill="1" applyBorder="1" applyAlignment="1">
      <alignment vertical="center" wrapText="1"/>
    </xf>
    <xf numFmtId="0" fontId="20" fillId="40" borderId="6" xfId="0" applyFont="1" applyFill="1" applyBorder="1" applyAlignment="1">
      <alignment vertical="center" wrapText="1"/>
    </xf>
    <xf numFmtId="0" fontId="19" fillId="40" borderId="6" xfId="0" applyFont="1" applyFill="1" applyBorder="1" applyAlignment="1">
      <alignment horizontal="right" vertical="center" wrapText="1"/>
    </xf>
    <xf numFmtId="0" fontId="20" fillId="40" borderId="6" xfId="0" applyFont="1" applyFill="1" applyBorder="1" applyAlignment="1">
      <alignment horizontal="right" vertical="center" wrapText="1"/>
    </xf>
    <xf numFmtId="0" fontId="20" fillId="41" borderId="5" xfId="0" applyFont="1" applyFill="1" applyBorder="1" applyAlignment="1">
      <alignment horizontal="right" vertical="center" wrapText="1"/>
    </xf>
    <xf numFmtId="0" fontId="20" fillId="41" borderId="6" xfId="0" applyFont="1" applyFill="1" applyBorder="1" applyAlignment="1">
      <alignment vertical="center" wrapText="1"/>
    </xf>
    <xf numFmtId="0" fontId="19" fillId="41" borderId="6" xfId="0" applyFont="1" applyFill="1" applyBorder="1" applyAlignment="1">
      <alignment horizontal="right" vertical="center" wrapText="1"/>
    </xf>
    <xf numFmtId="0" fontId="20" fillId="41" borderId="6" xfId="0" applyFont="1" applyFill="1" applyBorder="1" applyAlignment="1">
      <alignment horizontal="right" vertical="center" wrapText="1"/>
    </xf>
    <xf numFmtId="0" fontId="20" fillId="12" borderId="5" xfId="0" applyFont="1" applyFill="1" applyBorder="1" applyAlignment="1">
      <alignment horizontal="right" vertical="center" wrapText="1"/>
    </xf>
    <xf numFmtId="0" fontId="19" fillId="12" borderId="6" xfId="0" applyFont="1" applyFill="1" applyBorder="1" applyAlignment="1">
      <alignment vertical="center" wrapText="1"/>
    </xf>
    <xf numFmtId="0" fontId="20" fillId="12" borderId="6" xfId="0" applyFont="1" applyFill="1" applyBorder="1" applyAlignment="1">
      <alignment vertical="center" wrapText="1"/>
    </xf>
    <xf numFmtId="0" fontId="19" fillId="12" borderId="6" xfId="0" applyFont="1" applyFill="1" applyBorder="1" applyAlignment="1">
      <alignment horizontal="right" vertical="center" wrapText="1"/>
    </xf>
    <xf numFmtId="0" fontId="20" fillId="12" borderId="6" xfId="0" applyFont="1" applyFill="1" applyBorder="1" applyAlignment="1">
      <alignment horizontal="right" vertical="center" wrapText="1"/>
    </xf>
    <xf numFmtId="0" fontId="20" fillId="19" borderId="5" xfId="0" applyFont="1" applyFill="1" applyBorder="1" applyAlignment="1">
      <alignment horizontal="right" vertical="center" wrapText="1"/>
    </xf>
    <xf numFmtId="0" fontId="19" fillId="19" borderId="6" xfId="0" applyFont="1" applyFill="1" applyBorder="1" applyAlignment="1">
      <alignment vertical="center" wrapText="1"/>
    </xf>
    <xf numFmtId="0" fontId="20" fillId="19" borderId="6" xfId="0" applyFont="1" applyFill="1" applyBorder="1" applyAlignment="1">
      <alignment vertical="center" wrapText="1"/>
    </xf>
    <xf numFmtId="0" fontId="19" fillId="19" borderId="6" xfId="0" applyFont="1" applyFill="1" applyBorder="1" applyAlignment="1">
      <alignment horizontal="right" vertical="center" wrapText="1"/>
    </xf>
    <xf numFmtId="0" fontId="20" fillId="19" borderId="6" xfId="0" applyFont="1" applyFill="1" applyBorder="1" applyAlignment="1">
      <alignment horizontal="right" vertical="center" wrapText="1"/>
    </xf>
    <xf numFmtId="0" fontId="20" fillId="3" borderId="5" xfId="0" applyFont="1" applyFill="1" applyBorder="1" applyAlignment="1">
      <alignment horizontal="right" vertical="center" wrapText="1"/>
    </xf>
    <xf numFmtId="0" fontId="19" fillId="3" borderId="6" xfId="0" applyFont="1" applyFill="1" applyBorder="1" applyAlignment="1">
      <alignment vertical="center" wrapText="1"/>
    </xf>
    <xf numFmtId="0" fontId="20" fillId="3" borderId="6" xfId="0" applyFont="1" applyFill="1" applyBorder="1" applyAlignment="1">
      <alignment vertical="center" wrapText="1"/>
    </xf>
    <xf numFmtId="0" fontId="19" fillId="3" borderId="6" xfId="0" applyFont="1" applyFill="1" applyBorder="1" applyAlignment="1">
      <alignment horizontal="right" vertical="center" wrapText="1"/>
    </xf>
    <xf numFmtId="0" fontId="20" fillId="3" borderId="6" xfId="0" applyFont="1" applyFill="1" applyBorder="1" applyAlignment="1">
      <alignment horizontal="right" vertical="center" wrapText="1"/>
    </xf>
    <xf numFmtId="0" fontId="20" fillId="8" borderId="5" xfId="0" applyFont="1" applyFill="1" applyBorder="1" applyAlignment="1">
      <alignment horizontal="right" vertical="center" wrapText="1"/>
    </xf>
    <xf numFmtId="0" fontId="19" fillId="8" borderId="6" xfId="0" applyFont="1" applyFill="1" applyBorder="1" applyAlignment="1">
      <alignment vertical="center" wrapText="1"/>
    </xf>
    <xf numFmtId="0" fontId="20" fillId="8" borderId="6" xfId="0" applyFont="1" applyFill="1" applyBorder="1" applyAlignment="1">
      <alignment vertical="center" wrapText="1"/>
    </xf>
    <xf numFmtId="0" fontId="19" fillId="8" borderId="6" xfId="0" applyFont="1" applyFill="1" applyBorder="1" applyAlignment="1">
      <alignment horizontal="right" vertical="center" wrapText="1"/>
    </xf>
    <xf numFmtId="0" fontId="20" fillId="8" borderId="6" xfId="0" applyFont="1" applyFill="1" applyBorder="1" applyAlignment="1">
      <alignment horizontal="right" vertical="center" wrapText="1"/>
    </xf>
    <xf numFmtId="1" fontId="7" fillId="8" borderId="6" xfId="0" applyNumberFormat="1" applyFont="1" applyFill="1" applyBorder="1" applyAlignment="1">
      <alignment horizontal="left" vertical="center" wrapText="1"/>
    </xf>
    <xf numFmtId="1" fontId="7" fillId="8" borderId="6" xfId="0" applyNumberFormat="1" applyFont="1" applyFill="1" applyBorder="1" applyAlignment="1">
      <alignment horizontal="right" vertical="center" wrapText="1"/>
    </xf>
    <xf numFmtId="49" fontId="65" fillId="11" borderId="1" xfId="0" applyNumberFormat="1" applyFont="1" applyFill="1" applyBorder="1" applyAlignment="1">
      <alignment horizontal="center"/>
    </xf>
    <xf numFmtId="49" fontId="59" fillId="11" borderId="5" xfId="0" applyNumberFormat="1" applyFont="1" applyFill="1" applyBorder="1" applyAlignment="1">
      <alignment horizontal="center"/>
    </xf>
    <xf numFmtId="49" fontId="35" fillId="11" borderId="5" xfId="0" applyNumberFormat="1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/>
    </xf>
    <xf numFmtId="49" fontId="59" fillId="13" borderId="5" xfId="0" applyNumberFormat="1" applyFont="1" applyFill="1" applyBorder="1" applyAlignment="1">
      <alignment horizontal="center"/>
    </xf>
    <xf numFmtId="0" fontId="6" fillId="0" borderId="10" xfId="0" applyFont="1" applyBorder="1"/>
    <xf numFmtId="0" fontId="54" fillId="13" borderId="1" xfId="0" applyFont="1" applyFill="1" applyBorder="1" applyAlignment="1">
      <alignment horizontal="right"/>
    </xf>
    <xf numFmtId="0" fontId="54" fillId="11" borderId="8" xfId="0" applyFont="1" applyFill="1" applyBorder="1" applyAlignment="1">
      <alignment horizontal="right"/>
    </xf>
    <xf numFmtId="0" fontId="54" fillId="11" borderId="1" xfId="0" applyFont="1" applyFill="1" applyBorder="1" applyAlignment="1">
      <alignment horizontal="right"/>
    </xf>
    <xf numFmtId="1" fontId="48" fillId="13" borderId="1" xfId="0" applyNumberFormat="1" applyFont="1" applyFill="1" applyBorder="1" applyAlignment="1">
      <alignment horizontal="right"/>
    </xf>
    <xf numFmtId="0" fontId="15" fillId="11" borderId="1" xfId="0" applyFont="1" applyFill="1" applyBorder="1" applyAlignment="1">
      <alignment horizontal="right"/>
    </xf>
    <xf numFmtId="0" fontId="15" fillId="13" borderId="1" xfId="0" applyFont="1" applyFill="1" applyBorder="1" applyAlignment="1">
      <alignment horizontal="right"/>
    </xf>
    <xf numFmtId="1" fontId="15" fillId="11" borderId="1" xfId="0" applyNumberFormat="1" applyFont="1" applyFill="1" applyBorder="1" applyAlignment="1">
      <alignment horizontal="right"/>
    </xf>
    <xf numFmtId="0" fontId="47" fillId="11" borderId="1" xfId="0" applyFont="1" applyFill="1" applyBorder="1" applyAlignment="1">
      <alignment horizontal="right"/>
    </xf>
    <xf numFmtId="0" fontId="48" fillId="11" borderId="7" xfId="0" applyFont="1" applyFill="1" applyBorder="1" applyAlignment="1">
      <alignment horizontal="right"/>
    </xf>
    <xf numFmtId="0" fontId="47" fillId="13" borderId="1" xfId="0" applyFont="1" applyFill="1" applyBorder="1" applyAlignment="1">
      <alignment horizontal="right"/>
    </xf>
    <xf numFmtId="0" fontId="23" fillId="11" borderId="1" xfId="0" applyFont="1" applyFill="1" applyBorder="1" applyAlignment="1">
      <alignment horizontal="center"/>
    </xf>
    <xf numFmtId="0" fontId="18" fillId="35" borderId="1" xfId="0" applyFont="1" applyFill="1" applyBorder="1" applyAlignment="1">
      <alignment horizontal="center"/>
    </xf>
    <xf numFmtId="0" fontId="0" fillId="21" borderId="0" xfId="0" applyFill="1"/>
    <xf numFmtId="0" fontId="4" fillId="21" borderId="0" xfId="0" applyFont="1" applyFill="1" applyAlignment="1">
      <alignment horizontal="left"/>
    </xf>
    <xf numFmtId="0" fontId="4" fillId="21" borderId="0" xfId="0" applyFont="1" applyFill="1" applyAlignment="1">
      <alignment horizontal="center"/>
    </xf>
    <xf numFmtId="17" fontId="0" fillId="21" borderId="0" xfId="0" applyNumberFormat="1" applyFill="1" applyAlignment="1">
      <alignment horizontal="left"/>
    </xf>
    <xf numFmtId="20" fontId="0" fillId="21" borderId="0" xfId="0" applyNumberFormat="1" applyFill="1" applyAlignment="1">
      <alignment horizontal="center"/>
    </xf>
    <xf numFmtId="1" fontId="0" fillId="21" borderId="0" xfId="0" applyNumberFormat="1" applyFill="1"/>
    <xf numFmtId="49" fontId="0" fillId="21" borderId="0" xfId="0" applyNumberFormat="1" applyFill="1"/>
    <xf numFmtId="1" fontId="0" fillId="21" borderId="0" xfId="0" applyNumberFormat="1" applyFill="1" applyAlignment="1">
      <alignment horizontal="right"/>
    </xf>
    <xf numFmtId="1" fontId="4" fillId="21" borderId="0" xfId="0" applyNumberFormat="1" applyFont="1" applyFill="1"/>
    <xf numFmtId="1" fontId="4" fillId="21" borderId="0" xfId="0" applyNumberFormat="1" applyFont="1" applyFill="1" applyAlignment="1">
      <alignment horizontal="right"/>
    </xf>
    <xf numFmtId="0" fontId="0" fillId="21" borderId="0" xfId="0" applyFill="1" applyAlignment="1">
      <alignment horizontal="center"/>
    </xf>
    <xf numFmtId="49" fontId="15" fillId="11" borderId="1" xfId="0" applyNumberFormat="1" applyFont="1" applyFill="1" applyBorder="1" applyAlignment="1">
      <alignment horizontal="center"/>
    </xf>
    <xf numFmtId="0" fontId="6" fillId="34" borderId="1" xfId="0" applyFont="1" applyFill="1" applyBorder="1" applyAlignment="1">
      <alignment horizontal="center"/>
    </xf>
    <xf numFmtId="49" fontId="15" fillId="13" borderId="1" xfId="0" applyNumberFormat="1" applyFont="1" applyFill="1" applyBorder="1" applyAlignment="1">
      <alignment horizontal="center"/>
    </xf>
    <xf numFmtId="49" fontId="62" fillId="11" borderId="5" xfId="0" applyNumberFormat="1" applyFont="1" applyFill="1" applyBorder="1" applyAlignment="1">
      <alignment horizontal="center"/>
    </xf>
    <xf numFmtId="0" fontId="7" fillId="12" borderId="0" xfId="0" applyFont="1" applyFill="1"/>
    <xf numFmtId="0" fontId="9" fillId="12" borderId="0" xfId="0" applyFont="1" applyFill="1"/>
    <xf numFmtId="0" fontId="9" fillId="0" borderId="0" xfId="0" applyFont="1"/>
    <xf numFmtId="49" fontId="48" fillId="11" borderId="1" xfId="0" applyNumberFormat="1" applyFont="1" applyFill="1" applyBorder="1" applyAlignment="1">
      <alignment horizontal="center"/>
    </xf>
    <xf numFmtId="0" fontId="44" fillId="31" borderId="1" xfId="0" applyFont="1" applyFill="1" applyBorder="1" applyAlignment="1">
      <alignment horizontal="center"/>
    </xf>
    <xf numFmtId="49" fontId="48" fillId="13" borderId="1" xfId="0" applyNumberFormat="1" applyFont="1" applyFill="1" applyBorder="1" applyAlignment="1">
      <alignment horizontal="center"/>
    </xf>
    <xf numFmtId="0" fontId="7" fillId="21" borderId="6" xfId="0" applyFont="1" applyFill="1" applyBorder="1" applyAlignment="1">
      <alignment vertical="center" wrapText="1"/>
    </xf>
    <xf numFmtId="0" fontId="9" fillId="21" borderId="6" xfId="0" applyFont="1" applyFill="1" applyBorder="1" applyAlignment="1">
      <alignment horizontal="right" vertical="center" wrapText="1"/>
    </xf>
    <xf numFmtId="0" fontId="7" fillId="21" borderId="6" xfId="0" applyFont="1" applyFill="1" applyBorder="1" applyAlignment="1">
      <alignment horizontal="right" vertical="center" wrapText="1"/>
    </xf>
    <xf numFmtId="49" fontId="16" fillId="11" borderId="1" xfId="0" applyNumberFormat="1" applyFont="1" applyFill="1" applyBorder="1" applyAlignment="1">
      <alignment horizontal="center"/>
    </xf>
    <xf numFmtId="0" fontId="66" fillId="0" borderId="0" xfId="0" applyFont="1"/>
    <xf numFmtId="0" fontId="66" fillId="4" borderId="0" xfId="0" applyFont="1" applyFill="1"/>
    <xf numFmtId="0" fontId="66" fillId="11" borderId="1" xfId="0" applyFont="1" applyFill="1" applyBorder="1" applyAlignment="1">
      <alignment horizontal="center" vertical="center" wrapText="1"/>
    </xf>
    <xf numFmtId="0" fontId="66" fillId="13" borderId="1" xfId="0" applyFont="1" applyFill="1" applyBorder="1" applyAlignment="1">
      <alignment horizontal="center" vertical="center" wrapText="1"/>
    </xf>
    <xf numFmtId="0" fontId="66" fillId="23" borderId="1" xfId="0" applyFont="1" applyFill="1" applyBorder="1" applyAlignment="1">
      <alignment horizontal="center" vertical="center" wrapText="1"/>
    </xf>
    <xf numFmtId="0" fontId="66" fillId="13" borderId="4" xfId="0" applyFont="1" applyFill="1" applyBorder="1" applyAlignment="1">
      <alignment horizontal="center" vertical="center" wrapText="1"/>
    </xf>
    <xf numFmtId="0" fontId="67" fillId="0" borderId="0" xfId="0" applyFont="1" applyAlignment="1">
      <alignment vertical="center"/>
    </xf>
    <xf numFmtId="0" fontId="4" fillId="16" borderId="1" xfId="0" applyFont="1" applyFill="1" applyBorder="1"/>
    <xf numFmtId="0" fontId="37" fillId="8" borderId="1" xfId="0" applyFont="1" applyFill="1" applyBorder="1" applyAlignment="1">
      <alignment horizontal="center"/>
    </xf>
    <xf numFmtId="0" fontId="13" fillId="8" borderId="1" xfId="0" applyFont="1" applyFill="1" applyBorder="1" applyAlignment="1">
      <alignment horizontal="center"/>
    </xf>
    <xf numFmtId="0" fontId="13" fillId="8" borderId="1" xfId="0" applyFont="1" applyFill="1" applyBorder="1"/>
    <xf numFmtId="0" fontId="68" fillId="13" borderId="5" xfId="0" applyFont="1" applyFill="1" applyBorder="1" applyAlignment="1">
      <alignment horizontal="left" vertical="center" wrapText="1"/>
    </xf>
    <xf numFmtId="0" fontId="68" fillId="13" borderId="6" xfId="0" applyFont="1" applyFill="1" applyBorder="1" applyAlignment="1">
      <alignment horizontal="left" vertical="center" wrapText="1"/>
    </xf>
    <xf numFmtId="0" fontId="68" fillId="13" borderId="6" xfId="0" applyFont="1" applyFill="1" applyBorder="1" applyAlignment="1">
      <alignment vertical="center" wrapText="1"/>
    </xf>
    <xf numFmtId="0" fontId="68" fillId="13" borderId="6" xfId="0" applyFont="1" applyFill="1" applyBorder="1" applyAlignment="1">
      <alignment horizontal="center" vertical="center" wrapText="1"/>
    </xf>
    <xf numFmtId="0" fontId="69" fillId="13" borderId="12" xfId="0" applyFont="1" applyFill="1" applyBorder="1"/>
    <xf numFmtId="0" fontId="69" fillId="13" borderId="5" xfId="0" applyFont="1" applyFill="1" applyBorder="1"/>
    <xf numFmtId="0" fontId="69" fillId="13" borderId="1" xfId="0" applyFont="1" applyFill="1" applyBorder="1"/>
    <xf numFmtId="0" fontId="69" fillId="13" borderId="3" xfId="0" applyFont="1" applyFill="1" applyBorder="1"/>
    <xf numFmtId="0" fontId="69" fillId="13" borderId="2" xfId="0" applyFont="1" applyFill="1" applyBorder="1"/>
    <xf numFmtId="0" fontId="68" fillId="13" borderId="1" xfId="0" applyFont="1" applyFill="1" applyBorder="1"/>
    <xf numFmtId="0" fontId="68" fillId="13" borderId="2" xfId="0" applyFont="1" applyFill="1" applyBorder="1"/>
    <xf numFmtId="0" fontId="68" fillId="13" borderId="3" xfId="0" applyFont="1" applyFill="1" applyBorder="1"/>
    <xf numFmtId="49" fontId="70" fillId="13" borderId="1" xfId="0" applyNumberFormat="1" applyFont="1" applyFill="1" applyBorder="1" applyAlignment="1">
      <alignment horizontal="center"/>
    </xf>
    <xf numFmtId="49" fontId="69" fillId="13" borderId="1" xfId="0" applyNumberFormat="1" applyFont="1" applyFill="1" applyBorder="1" applyAlignment="1">
      <alignment horizontal="center"/>
    </xf>
    <xf numFmtId="49" fontId="72" fillId="13" borderId="1" xfId="0" applyNumberFormat="1" applyFont="1" applyFill="1" applyBorder="1" applyAlignment="1">
      <alignment horizontal="center"/>
    </xf>
    <xf numFmtId="1" fontId="69" fillId="13" borderId="1" xfId="0" applyNumberFormat="1" applyFont="1" applyFill="1" applyBorder="1"/>
    <xf numFmtId="0" fontId="0" fillId="5" borderId="3" xfId="0" applyFill="1" applyBorder="1" applyAlignment="1">
      <alignment horizontal="center"/>
    </xf>
    <xf numFmtId="0" fontId="0" fillId="22" borderId="3" xfId="0" applyFill="1" applyBorder="1" applyAlignment="1">
      <alignment horizontal="center"/>
    </xf>
    <xf numFmtId="0" fontId="0" fillId="22" borderId="4" xfId="0" applyFill="1" applyBorder="1" applyAlignment="1">
      <alignment horizontal="center"/>
    </xf>
    <xf numFmtId="0" fontId="4" fillId="22" borderId="0" xfId="0" applyFont="1" applyFill="1" applyAlignment="1">
      <alignment horizontal="center"/>
    </xf>
    <xf numFmtId="0" fontId="0" fillId="22" borderId="0" xfId="0" applyFill="1"/>
    <xf numFmtId="49" fontId="71" fillId="13" borderId="5" xfId="0" applyNumberFormat="1" applyFont="1" applyFill="1" applyBorder="1" applyAlignment="1">
      <alignment horizontal="center"/>
    </xf>
    <xf numFmtId="0" fontId="73" fillId="11" borderId="1" xfId="0" applyFont="1" applyFill="1" applyBorder="1" applyAlignment="1">
      <alignment horizontal="center"/>
    </xf>
    <xf numFmtId="0" fontId="73" fillId="11" borderId="12" xfId="0" applyFont="1" applyFill="1" applyBorder="1" applyAlignment="1">
      <alignment vertical="center" wrapText="1"/>
    </xf>
    <xf numFmtId="0" fontId="73" fillId="11" borderId="5" xfId="0" applyFont="1" applyFill="1" applyBorder="1" applyAlignment="1">
      <alignment vertical="center" wrapText="1"/>
    </xf>
    <xf numFmtId="0" fontId="73" fillId="11" borderId="1" xfId="0" applyFont="1" applyFill="1" applyBorder="1" applyAlignment="1">
      <alignment vertical="center" wrapText="1"/>
    </xf>
    <xf numFmtId="0" fontId="73" fillId="11" borderId="1" xfId="0" applyFont="1" applyFill="1" applyBorder="1" applyAlignment="1">
      <alignment horizontal="center" vertical="center" wrapText="1"/>
    </xf>
    <xf numFmtId="0" fontId="73" fillId="11" borderId="6" xfId="0" applyFont="1" applyFill="1" applyBorder="1" applyAlignment="1">
      <alignment horizontal="center" vertical="center" wrapText="1"/>
    </xf>
    <xf numFmtId="0" fontId="17" fillId="11" borderId="8" xfId="0" applyFont="1" applyFill="1" applyBorder="1"/>
    <xf numFmtId="49" fontId="17" fillId="11" borderId="8" xfId="0" applyNumberFormat="1" applyFont="1" applyFill="1" applyBorder="1"/>
    <xf numFmtId="0" fontId="45" fillId="31" borderId="1" xfId="0" applyFont="1" applyFill="1" applyBorder="1"/>
    <xf numFmtId="0" fontId="23" fillId="4" borderId="13" xfId="0" applyFont="1" applyFill="1" applyBorder="1" applyAlignment="1">
      <alignment horizontal="center" vertical="center" wrapText="1"/>
    </xf>
    <xf numFmtId="49" fontId="56" fillId="11" borderId="1" xfId="0" applyNumberFormat="1" applyFont="1" applyFill="1" applyBorder="1" applyAlignment="1">
      <alignment horizontal="center"/>
    </xf>
    <xf numFmtId="49" fontId="74" fillId="11" borderId="1" xfId="0" applyNumberFormat="1" applyFont="1" applyFill="1" applyBorder="1" applyAlignment="1">
      <alignment horizontal="center"/>
    </xf>
    <xf numFmtId="0" fontId="75" fillId="13" borderId="5" xfId="0" applyFont="1" applyFill="1" applyBorder="1" applyAlignment="1">
      <alignment horizontal="left" vertical="center" wrapText="1"/>
    </xf>
    <xf numFmtId="0" fontId="75" fillId="13" borderId="6" xfId="0" applyFont="1" applyFill="1" applyBorder="1" applyAlignment="1">
      <alignment horizontal="left" vertical="center" wrapText="1"/>
    </xf>
    <xf numFmtId="0" fontId="75" fillId="13" borderId="6" xfId="0" applyFont="1" applyFill="1" applyBorder="1" applyAlignment="1">
      <alignment vertical="center" wrapText="1"/>
    </xf>
    <xf numFmtId="0" fontId="75" fillId="13" borderId="6" xfId="0" applyFont="1" applyFill="1" applyBorder="1" applyAlignment="1">
      <alignment horizontal="center" vertical="center" wrapText="1"/>
    </xf>
    <xf numFmtId="0" fontId="76" fillId="13" borderId="1" xfId="0" applyFont="1" applyFill="1" applyBorder="1"/>
    <xf numFmtId="49" fontId="77" fillId="13" borderId="1" xfId="0" applyNumberFormat="1" applyFont="1" applyFill="1" applyBorder="1" applyAlignment="1">
      <alignment horizontal="center"/>
    </xf>
    <xf numFmtId="0" fontId="76" fillId="13" borderId="2" xfId="0" applyFont="1" applyFill="1" applyBorder="1"/>
    <xf numFmtId="0" fontId="76" fillId="13" borderId="3" xfId="0" applyFont="1" applyFill="1" applyBorder="1"/>
    <xf numFmtId="1" fontId="76" fillId="13" borderId="1" xfId="0" applyNumberFormat="1" applyFont="1" applyFill="1" applyBorder="1"/>
    <xf numFmtId="49" fontId="78" fillId="13" borderId="1" xfId="0" applyNumberFormat="1" applyFont="1" applyFill="1" applyBorder="1" applyAlignment="1">
      <alignment horizontal="center"/>
    </xf>
    <xf numFmtId="0" fontId="13" fillId="42" borderId="1" xfId="0" applyFont="1" applyFill="1" applyBorder="1" applyAlignment="1">
      <alignment horizontal="center"/>
    </xf>
    <xf numFmtId="0" fontId="13" fillId="42" borderId="2" xfId="0" applyFont="1" applyFill="1" applyBorder="1"/>
    <xf numFmtId="0" fontId="13" fillId="42" borderId="1" xfId="0" applyFont="1" applyFill="1" applyBorder="1"/>
    <xf numFmtId="0" fontId="13" fillId="42" borderId="3" xfId="0" applyFont="1" applyFill="1" applyBorder="1"/>
    <xf numFmtId="0" fontId="13" fillId="42" borderId="12" xfId="0" applyFont="1" applyFill="1" applyBorder="1" applyAlignment="1">
      <alignment vertical="center" wrapText="1"/>
    </xf>
    <xf numFmtId="0" fontId="13" fillId="42" borderId="5" xfId="0" applyFont="1" applyFill="1" applyBorder="1" applyAlignment="1">
      <alignment vertical="center" wrapText="1"/>
    </xf>
    <xf numFmtId="0" fontId="13" fillId="42" borderId="1" xfId="0" applyFont="1" applyFill="1" applyBorder="1" applyAlignment="1">
      <alignment vertical="center" wrapText="1"/>
    </xf>
    <xf numFmtId="0" fontId="13" fillId="42" borderId="1" xfId="0" applyFont="1" applyFill="1" applyBorder="1" applyAlignment="1">
      <alignment horizontal="center" vertical="center" wrapText="1"/>
    </xf>
    <xf numFmtId="0" fontId="13" fillId="42" borderId="6" xfId="0" applyFont="1" applyFill="1" applyBorder="1" applyAlignment="1">
      <alignment vertical="center" wrapText="1"/>
    </xf>
    <xf numFmtId="0" fontId="13" fillId="42" borderId="6" xfId="0" applyFont="1" applyFill="1" applyBorder="1" applyAlignment="1">
      <alignment horizontal="center" vertical="center" wrapText="1"/>
    </xf>
    <xf numFmtId="0" fontId="13" fillId="42" borderId="8" xfId="0" applyFont="1" applyFill="1" applyBorder="1"/>
    <xf numFmtId="49" fontId="13" fillId="42" borderId="8" xfId="0" applyNumberFormat="1" applyFont="1" applyFill="1" applyBorder="1"/>
    <xf numFmtId="0" fontId="13" fillId="42" borderId="9" xfId="0" applyFont="1" applyFill="1" applyBorder="1"/>
    <xf numFmtId="0" fontId="13" fillId="42" borderId="10" xfId="0" applyFont="1" applyFill="1" applyBorder="1"/>
    <xf numFmtId="0" fontId="13" fillId="42" borderId="1" xfId="0" applyFont="1" applyFill="1" applyBorder="1" applyAlignment="1">
      <alignment horizontal="right"/>
    </xf>
    <xf numFmtId="0" fontId="13" fillId="42" borderId="0" xfId="0" applyFont="1" applyFill="1"/>
    <xf numFmtId="0" fontId="75" fillId="13" borderId="1" xfId="0" applyFont="1" applyFill="1" applyBorder="1"/>
    <xf numFmtId="0" fontId="75" fillId="13" borderId="2" xfId="0" applyFont="1" applyFill="1" applyBorder="1"/>
    <xf numFmtId="0" fontId="75" fillId="13" borderId="3" xfId="0" applyFont="1" applyFill="1" applyBorder="1"/>
    <xf numFmtId="0" fontId="76" fillId="13" borderId="1" xfId="0" applyFont="1" applyFill="1" applyBorder="1" applyAlignment="1">
      <alignment horizontal="right"/>
    </xf>
    <xf numFmtId="49" fontId="79" fillId="13" borderId="5" xfId="0" applyNumberFormat="1" applyFont="1" applyFill="1" applyBorder="1" applyAlignment="1">
      <alignment horizontal="center"/>
    </xf>
    <xf numFmtId="0" fontId="76" fillId="13" borderId="12" xfId="0" applyFont="1" applyFill="1" applyBorder="1"/>
    <xf numFmtId="0" fontId="76" fillId="13" borderId="5" xfId="0" applyFont="1" applyFill="1" applyBorder="1"/>
    <xf numFmtId="0" fontId="23" fillId="7" borderId="0" xfId="0" applyFont="1" applyFill="1" applyAlignment="1">
      <alignment horizontal="center" vertical="center" wrapText="1"/>
    </xf>
    <xf numFmtId="0" fontId="23" fillId="7" borderId="13" xfId="0" applyFont="1" applyFill="1" applyBorder="1" applyAlignment="1">
      <alignment horizontal="center" vertical="center" wrapText="1"/>
    </xf>
    <xf numFmtId="0" fontId="7" fillId="19" borderId="5" xfId="0" applyFont="1" applyFill="1" applyBorder="1" applyAlignment="1">
      <alignment vertical="center" wrapText="1"/>
    </xf>
    <xf numFmtId="0" fontId="7" fillId="39" borderId="6" xfId="0" applyFont="1" applyFill="1" applyBorder="1" applyAlignment="1">
      <alignment vertical="center" wrapText="1"/>
    </xf>
    <xf numFmtId="1" fontId="7" fillId="12" borderId="5" xfId="0" applyNumberFormat="1" applyFont="1" applyFill="1" applyBorder="1" applyAlignment="1">
      <alignment horizontal="right" vertical="center" wrapText="1"/>
    </xf>
    <xf numFmtId="0" fontId="7" fillId="12" borderId="6" xfId="0" applyFont="1" applyFill="1" applyBorder="1" applyAlignment="1">
      <alignment vertical="center" wrapText="1"/>
    </xf>
    <xf numFmtId="0" fontId="9" fillId="12" borderId="6" xfId="0" applyFont="1" applyFill="1" applyBorder="1" applyAlignment="1">
      <alignment horizontal="right" vertical="center" wrapText="1"/>
    </xf>
    <xf numFmtId="0" fontId="7" fillId="12" borderId="6" xfId="0" applyFont="1" applyFill="1" applyBorder="1" applyAlignment="1">
      <alignment horizontal="right" vertical="center" wrapText="1"/>
    </xf>
    <xf numFmtId="0" fontId="4" fillId="9" borderId="1" xfId="0" applyFont="1" applyFill="1" applyBorder="1" applyAlignment="1">
      <alignment vertical="center" wrapText="1"/>
    </xf>
    <xf numFmtId="0" fontId="4" fillId="16" borderId="1" xfId="0" applyFont="1" applyFill="1" applyBorder="1" applyAlignment="1">
      <alignment horizontal="right" vertical="center" wrapText="1"/>
    </xf>
    <xf numFmtId="49" fontId="77" fillId="13" borderId="5" xfId="0" applyNumberFormat="1" applyFont="1" applyFill="1" applyBorder="1" applyAlignment="1">
      <alignment horizontal="center"/>
    </xf>
    <xf numFmtId="0" fontId="60" fillId="11" borderId="1" xfId="0" applyFont="1" applyFill="1" applyBorder="1" applyAlignment="1">
      <alignment horizontal="left" vertical="center" wrapText="1"/>
    </xf>
    <xf numFmtId="0" fontId="60" fillId="11" borderId="1" xfId="0" applyFont="1" applyFill="1" applyBorder="1" applyAlignment="1">
      <alignment vertical="center" wrapText="1"/>
    </xf>
    <xf numFmtId="0" fontId="60" fillId="11" borderId="1" xfId="0" applyFont="1" applyFill="1" applyBorder="1" applyAlignment="1">
      <alignment horizontal="center" vertical="center" wrapText="1"/>
    </xf>
    <xf numFmtId="0" fontId="60" fillId="23" borderId="4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left" vertical="center" wrapText="1"/>
    </xf>
    <xf numFmtId="0" fontId="16" fillId="13" borderId="1" xfId="0" applyFont="1" applyFill="1" applyBorder="1" applyAlignment="1">
      <alignment vertical="center" wrapText="1"/>
    </xf>
    <xf numFmtId="0" fontId="16" fillId="23" borderId="4" xfId="0" applyFont="1" applyFill="1" applyBorder="1" applyAlignment="1">
      <alignment horizontal="center" vertical="center" wrapText="1"/>
    </xf>
    <xf numFmtId="0" fontId="47" fillId="11" borderId="2" xfId="0" applyFont="1" applyFill="1" applyBorder="1" applyAlignment="1">
      <alignment horizontal="left" vertical="center" wrapText="1"/>
    </xf>
    <xf numFmtId="0" fontId="16" fillId="11" borderId="1" xfId="0" applyFont="1" applyFill="1" applyBorder="1" applyAlignment="1">
      <alignment horizontal="left" vertical="center" wrapText="1"/>
    </xf>
    <xf numFmtId="0" fontId="80" fillId="12" borderId="1" xfId="0" applyFont="1" applyFill="1" applyBorder="1" applyAlignment="1">
      <alignment horizontal="center"/>
    </xf>
    <xf numFmtId="0" fontId="80" fillId="12" borderId="2" xfId="0" applyFont="1" applyFill="1" applyBorder="1"/>
    <xf numFmtId="0" fontId="80" fillId="12" borderId="1" xfId="0" applyFont="1" applyFill="1" applyBorder="1"/>
    <xf numFmtId="0" fontId="80" fillId="12" borderId="3" xfId="0" applyFont="1" applyFill="1" applyBorder="1"/>
    <xf numFmtId="0" fontId="80" fillId="12" borderId="12" xfId="0" applyFont="1" applyFill="1" applyBorder="1" applyAlignment="1">
      <alignment vertical="center" wrapText="1"/>
    </xf>
    <xf numFmtId="0" fontId="80" fillId="12" borderId="5" xfId="0" applyFont="1" applyFill="1" applyBorder="1" applyAlignment="1">
      <alignment vertical="center" wrapText="1"/>
    </xf>
    <xf numFmtId="0" fontId="80" fillId="12" borderId="1" xfId="0" applyFont="1" applyFill="1" applyBorder="1" applyAlignment="1">
      <alignment vertical="center" wrapText="1"/>
    </xf>
    <xf numFmtId="0" fontId="80" fillId="12" borderId="1" xfId="0" applyFont="1" applyFill="1" applyBorder="1" applyAlignment="1">
      <alignment horizontal="center" vertical="center" wrapText="1"/>
    </xf>
    <xf numFmtId="0" fontId="80" fillId="12" borderId="6" xfId="0" applyFont="1" applyFill="1" applyBorder="1" applyAlignment="1">
      <alignment horizontal="center" vertical="center" wrapText="1"/>
    </xf>
    <xf numFmtId="0" fontId="81" fillId="12" borderId="8" xfId="0" applyFont="1" applyFill="1" applyBorder="1"/>
    <xf numFmtId="49" fontId="81" fillId="12" borderId="8" xfId="0" applyNumberFormat="1" applyFont="1" applyFill="1" applyBorder="1"/>
    <xf numFmtId="0" fontId="81" fillId="12" borderId="9" xfId="0" applyFont="1" applyFill="1" applyBorder="1"/>
    <xf numFmtId="0" fontId="81" fillId="12" borderId="10" xfId="0" applyFont="1" applyFill="1" applyBorder="1"/>
    <xf numFmtId="0" fontId="80" fillId="12" borderId="1" xfId="0" applyFont="1" applyFill="1" applyBorder="1" applyAlignment="1">
      <alignment horizontal="right"/>
    </xf>
    <xf numFmtId="17" fontId="0" fillId="4" borderId="0" xfId="0" applyNumberFormat="1" applyFill="1" applyAlignment="1">
      <alignment horizontal="left"/>
    </xf>
    <xf numFmtId="0" fontId="3" fillId="4" borderId="6" xfId="0" applyFont="1" applyFill="1" applyBorder="1" applyAlignment="1">
      <alignment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" fontId="7" fillId="19" borderId="6" xfId="0" applyNumberFormat="1" applyFont="1" applyFill="1" applyBorder="1" applyAlignment="1">
      <alignment horizontal="left" vertical="center" wrapText="1"/>
    </xf>
    <xf numFmtId="0" fontId="19" fillId="21" borderId="6" xfId="0" applyFont="1" applyFill="1" applyBorder="1" applyAlignment="1">
      <alignment horizontal="right" vertical="center" wrapText="1"/>
    </xf>
    <xf numFmtId="0" fontId="20" fillId="21" borderId="6" xfId="0" applyFont="1" applyFill="1" applyBorder="1" applyAlignment="1">
      <alignment horizontal="right" vertical="center" wrapText="1"/>
    </xf>
    <xf numFmtId="0" fontId="21" fillId="35" borderId="1" xfId="0" applyFont="1" applyFill="1" applyBorder="1"/>
    <xf numFmtId="0" fontId="19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right" vertical="center" wrapText="1"/>
    </xf>
    <xf numFmtId="0" fontId="4" fillId="16" borderId="1" xfId="0" applyFont="1" applyFill="1" applyBorder="1" applyAlignment="1">
      <alignment horizontal="left" vertical="center" wrapText="1"/>
    </xf>
    <xf numFmtId="1" fontId="7" fillId="19" borderId="5" xfId="0" applyNumberFormat="1" applyFont="1" applyFill="1" applyBorder="1" applyAlignment="1">
      <alignment horizontal="left" vertical="center" wrapText="1"/>
    </xf>
    <xf numFmtId="1" fontId="9" fillId="19" borderId="5" xfId="0" applyNumberFormat="1" applyFont="1" applyFill="1" applyBorder="1" applyAlignment="1">
      <alignment horizontal="right" vertical="center" wrapText="1"/>
    </xf>
    <xf numFmtId="0" fontId="19" fillId="21" borderId="6" xfId="0" applyFont="1" applyFill="1" applyBorder="1" applyAlignment="1">
      <alignment vertical="center" wrapText="1"/>
    </xf>
    <xf numFmtId="1" fontId="7" fillId="43" borderId="5" xfId="0" applyNumberFormat="1" applyFont="1" applyFill="1" applyBorder="1" applyAlignment="1">
      <alignment horizontal="right" vertical="center" wrapText="1"/>
    </xf>
    <xf numFmtId="0" fontId="7" fillId="43" borderId="5" xfId="0" applyFont="1" applyFill="1" applyBorder="1" applyAlignment="1">
      <alignment vertical="center" wrapText="1"/>
    </xf>
    <xf numFmtId="0" fontId="9" fillId="43" borderId="5" xfId="0" applyFont="1" applyFill="1" applyBorder="1" applyAlignment="1">
      <alignment horizontal="right" vertical="center" wrapText="1"/>
    </xf>
    <xf numFmtId="0" fontId="7" fillId="43" borderId="5" xfId="0" applyFont="1" applyFill="1" applyBorder="1" applyAlignment="1">
      <alignment horizontal="right" vertical="center" wrapText="1"/>
    </xf>
    <xf numFmtId="0" fontId="60" fillId="11" borderId="4" xfId="0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horizontal="center" vertical="center" wrapText="1"/>
    </xf>
    <xf numFmtId="0" fontId="16" fillId="13" borderId="4" xfId="0" applyFont="1" applyFill="1" applyBorder="1" applyAlignment="1">
      <alignment horizontal="center" vertical="center" wrapText="1"/>
    </xf>
    <xf numFmtId="17" fontId="16" fillId="13" borderId="1" xfId="0" applyNumberFormat="1" applyFont="1" applyFill="1" applyBorder="1" applyAlignment="1">
      <alignment horizontal="left" vertical="center" wrapText="1"/>
    </xf>
    <xf numFmtId="49" fontId="57" fillId="11" borderId="1" xfId="0" applyNumberFormat="1" applyFont="1" applyFill="1" applyBorder="1" applyAlignment="1">
      <alignment horizontal="center"/>
    </xf>
    <xf numFmtId="49" fontId="82" fillId="13" borderId="1" xfId="0" applyNumberFormat="1" applyFont="1" applyFill="1" applyBorder="1" applyAlignment="1">
      <alignment horizontal="center"/>
    </xf>
    <xf numFmtId="0" fontId="83" fillId="4" borderId="0" xfId="0" applyFont="1" applyFill="1"/>
    <xf numFmtId="0" fontId="83" fillId="23" borderId="1" xfId="0" applyFont="1" applyFill="1" applyBorder="1" applyAlignment="1">
      <alignment horizontal="center" vertical="center" wrapText="1"/>
    </xf>
    <xf numFmtId="0" fontId="14" fillId="4" borderId="0" xfId="0" applyFont="1" applyFill="1"/>
    <xf numFmtId="0" fontId="83" fillId="0" borderId="0" xfId="0" applyFont="1"/>
    <xf numFmtId="0" fontId="83" fillId="23" borderId="4" xfId="0" applyFont="1" applyFill="1" applyBorder="1" applyAlignment="1">
      <alignment horizontal="center" vertical="center" wrapText="1"/>
    </xf>
    <xf numFmtId="0" fontId="55" fillId="0" borderId="0" xfId="0" applyFont="1"/>
    <xf numFmtId="0" fontId="55" fillId="23" borderId="4" xfId="0" applyFont="1" applyFill="1" applyBorder="1" applyAlignment="1">
      <alignment horizontal="center" vertical="center" wrapText="1"/>
    </xf>
    <xf numFmtId="0" fontId="13" fillId="0" borderId="0" xfId="0" applyFont="1"/>
    <xf numFmtId="0" fontId="47" fillId="23" borderId="1" xfId="0" applyFont="1" applyFill="1" applyBorder="1"/>
    <xf numFmtId="0" fontId="83" fillId="23" borderId="1" xfId="0" applyFont="1" applyFill="1" applyBorder="1"/>
    <xf numFmtId="0" fontId="55" fillId="23" borderId="1" xfId="0" applyFont="1" applyFill="1" applyBorder="1"/>
    <xf numFmtId="0" fontId="13" fillId="23" borderId="1" xfId="0" applyFont="1" applyFill="1" applyBorder="1"/>
    <xf numFmtId="0" fontId="16" fillId="23" borderId="1" xfId="0" applyFont="1" applyFill="1" applyBorder="1"/>
    <xf numFmtId="0" fontId="54" fillId="23" borderId="1" xfId="0" applyFont="1" applyFill="1" applyBorder="1"/>
    <xf numFmtId="0" fontId="66" fillId="23" borderId="4" xfId="0" applyFont="1" applyFill="1" applyBorder="1" applyAlignment="1">
      <alignment horizontal="center" vertical="center" wrapText="1"/>
    </xf>
    <xf numFmtId="0" fontId="66" fillId="23" borderId="1" xfId="0" applyFont="1" applyFill="1" applyBorder="1"/>
    <xf numFmtId="0" fontId="32" fillId="23" borderId="1" xfId="0" applyFont="1" applyFill="1" applyBorder="1"/>
    <xf numFmtId="0" fontId="31" fillId="23" borderId="1" xfId="0" applyFont="1" applyFill="1" applyBorder="1"/>
    <xf numFmtId="0" fontId="75" fillId="13" borderId="1" xfId="0" applyFont="1" applyFill="1" applyBorder="1" applyAlignment="1">
      <alignment horizontal="left" vertical="center" wrapText="1"/>
    </xf>
    <xf numFmtId="0" fontId="75" fillId="13" borderId="1" xfId="0" applyFont="1" applyFill="1" applyBorder="1" applyAlignment="1">
      <alignment vertical="center" wrapText="1"/>
    </xf>
    <xf numFmtId="0" fontId="75" fillId="13" borderId="1" xfId="0" applyFont="1" applyFill="1" applyBorder="1" applyAlignment="1">
      <alignment horizontal="center" vertical="center" wrapText="1"/>
    </xf>
    <xf numFmtId="0" fontId="75" fillId="13" borderId="4" xfId="0" applyFont="1" applyFill="1" applyBorder="1" applyAlignment="1">
      <alignment horizontal="center" vertical="center" wrapText="1"/>
    </xf>
    <xf numFmtId="0" fontId="24" fillId="4" borderId="0" xfId="0" applyFont="1" applyFill="1"/>
    <xf numFmtId="0" fontId="13" fillId="4" borderId="0" xfId="0" applyFont="1" applyFill="1" applyAlignment="1">
      <alignment horizontal="left"/>
    </xf>
    <xf numFmtId="0" fontId="9" fillId="4" borderId="27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4" fillId="22" borderId="3" xfId="0" applyFont="1" applyFill="1" applyBorder="1" applyAlignment="1">
      <alignment horizontal="center"/>
    </xf>
    <xf numFmtId="0" fontId="0" fillId="22" borderId="3" xfId="0" applyFill="1" applyBorder="1"/>
    <xf numFmtId="0" fontId="0" fillId="22" borderId="4" xfId="0" applyFill="1" applyBorder="1"/>
    <xf numFmtId="49" fontId="64" fillId="23" borderId="1" xfId="0" applyNumberFormat="1" applyFont="1" applyFill="1" applyBorder="1" applyAlignment="1">
      <alignment horizontal="center"/>
    </xf>
    <xf numFmtId="0" fontId="2" fillId="0" borderId="0" xfId="0" applyFont="1"/>
    <xf numFmtId="49" fontId="50" fillId="23" borderId="1" xfId="0" applyNumberFormat="1" applyFont="1" applyFill="1" applyBorder="1" applyAlignment="1">
      <alignment horizontal="center"/>
    </xf>
    <xf numFmtId="49" fontId="49" fillId="23" borderId="1" xfId="0" applyNumberFormat="1" applyFont="1" applyFill="1" applyBorder="1" applyAlignment="1">
      <alignment horizontal="center"/>
    </xf>
    <xf numFmtId="0" fontId="1" fillId="0" borderId="0" xfId="0" applyFont="1"/>
    <xf numFmtId="0" fontId="84" fillId="0" borderId="0" xfId="0" applyFont="1"/>
    <xf numFmtId="0" fontId="85" fillId="44" borderId="1" xfId="0" applyFont="1" applyFill="1" applyBorder="1" applyAlignment="1">
      <alignment horizontal="center"/>
    </xf>
    <xf numFmtId="0" fontId="85" fillId="44" borderId="2" xfId="0" applyFont="1" applyFill="1" applyBorder="1"/>
    <xf numFmtId="0" fontId="85" fillId="44" borderId="1" xfId="0" applyFont="1" applyFill="1" applyBorder="1"/>
    <xf numFmtId="0" fontId="85" fillId="44" borderId="3" xfId="0" applyFont="1" applyFill="1" applyBorder="1"/>
    <xf numFmtId="0" fontId="86" fillId="44" borderId="1" xfId="0" applyFont="1" applyFill="1" applyBorder="1"/>
    <xf numFmtId="0" fontId="85" fillId="44" borderId="12" xfId="0" applyFont="1" applyFill="1" applyBorder="1" applyAlignment="1">
      <alignment vertical="center" wrapText="1"/>
    </xf>
    <xf numFmtId="0" fontId="85" fillId="44" borderId="5" xfId="0" applyFont="1" applyFill="1" applyBorder="1" applyAlignment="1">
      <alignment vertical="center" wrapText="1"/>
    </xf>
    <xf numFmtId="0" fontId="85" fillId="44" borderId="1" xfId="0" applyFont="1" applyFill="1" applyBorder="1" applyAlignment="1">
      <alignment vertical="center" wrapText="1"/>
    </xf>
    <xf numFmtId="0" fontId="85" fillId="44" borderId="1" xfId="0" applyFont="1" applyFill="1" applyBorder="1" applyAlignment="1">
      <alignment horizontal="center" vertical="center" wrapText="1"/>
    </xf>
    <xf numFmtId="0" fontId="85" fillId="44" borderId="6" xfId="0" applyFont="1" applyFill="1" applyBorder="1" applyAlignment="1">
      <alignment horizontal="center" vertical="center" wrapText="1"/>
    </xf>
    <xf numFmtId="0" fontId="86" fillId="44" borderId="8" xfId="0" applyFont="1" applyFill="1" applyBorder="1"/>
    <xf numFmtId="49" fontId="86" fillId="44" borderId="8" xfId="0" applyNumberFormat="1" applyFont="1" applyFill="1" applyBorder="1"/>
    <xf numFmtId="0" fontId="86" fillId="44" borderId="9" xfId="0" applyFont="1" applyFill="1" applyBorder="1"/>
    <xf numFmtId="0" fontId="86" fillId="44" borderId="10" xfId="0" applyFont="1" applyFill="1" applyBorder="1"/>
    <xf numFmtId="0" fontId="85" fillId="44" borderId="1" xfId="0" applyFont="1" applyFill="1" applyBorder="1" applyAlignment="1">
      <alignment horizontal="right"/>
    </xf>
    <xf numFmtId="0" fontId="85" fillId="44" borderId="0" xfId="0" applyFont="1" applyFill="1"/>
    <xf numFmtId="0" fontId="86" fillId="44" borderId="0" xfId="0" applyFont="1" applyFill="1"/>
    <xf numFmtId="9" fontId="0" fillId="0" borderId="0" xfId="0" applyNumberFormat="1"/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37" borderId="1" xfId="0" applyFont="1" applyFill="1" applyBorder="1" applyAlignment="1">
      <alignment horizontal="center"/>
    </xf>
    <xf numFmtId="0" fontId="7" fillId="37" borderId="2" xfId="0" applyFont="1" applyFill="1" applyBorder="1"/>
    <xf numFmtId="0" fontId="7" fillId="37" borderId="1" xfId="0" applyFont="1" applyFill="1" applyBorder="1"/>
    <xf numFmtId="0" fontId="7" fillId="37" borderId="17" xfId="0" applyFont="1" applyFill="1" applyBorder="1"/>
    <xf numFmtId="0" fontId="7" fillId="37" borderId="3" xfId="0" applyFont="1" applyFill="1" applyBorder="1"/>
    <xf numFmtId="0" fontId="7" fillId="37" borderId="12" xfId="0" applyFont="1" applyFill="1" applyBorder="1" applyAlignment="1">
      <alignment vertical="center" wrapText="1"/>
    </xf>
    <xf numFmtId="0" fontId="7" fillId="37" borderId="5" xfId="0" applyFont="1" applyFill="1" applyBorder="1" applyAlignment="1">
      <alignment vertical="center" wrapText="1"/>
    </xf>
    <xf numFmtId="0" fontId="7" fillId="37" borderId="1" xfId="0" applyFont="1" applyFill="1" applyBorder="1" applyAlignment="1">
      <alignment vertical="center" wrapText="1"/>
    </xf>
    <xf numFmtId="0" fontId="7" fillId="37" borderId="1" xfId="0" applyFont="1" applyFill="1" applyBorder="1" applyAlignment="1">
      <alignment horizontal="center" vertical="center" wrapText="1"/>
    </xf>
    <xf numFmtId="0" fontId="7" fillId="37" borderId="6" xfId="0" applyFont="1" applyFill="1" applyBorder="1" applyAlignment="1">
      <alignment horizontal="center" vertical="center" wrapText="1"/>
    </xf>
    <xf numFmtId="0" fontId="9" fillId="37" borderId="8" xfId="0" applyFont="1" applyFill="1" applyBorder="1"/>
    <xf numFmtId="49" fontId="9" fillId="37" borderId="8" xfId="0" applyNumberFormat="1" applyFont="1" applyFill="1" applyBorder="1"/>
    <xf numFmtId="0" fontId="9" fillId="37" borderId="9" xfId="0" applyFont="1" applyFill="1" applyBorder="1"/>
    <xf numFmtId="0" fontId="9" fillId="37" borderId="18" xfId="0" applyFont="1" applyFill="1" applyBorder="1"/>
    <xf numFmtId="0" fontId="9" fillId="37" borderId="10" xfId="0" applyFont="1" applyFill="1" applyBorder="1"/>
    <xf numFmtId="0" fontId="7" fillId="37" borderId="1" xfId="0" applyFont="1" applyFill="1" applyBorder="1" applyAlignment="1">
      <alignment horizontal="right"/>
    </xf>
    <xf numFmtId="0" fontId="7" fillId="37" borderId="2" xfId="0" applyFont="1" applyFill="1" applyBorder="1" applyAlignment="1">
      <alignment horizontal="right"/>
    </xf>
    <xf numFmtId="0" fontId="4" fillId="0" borderId="8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14" fontId="4" fillId="0" borderId="0" xfId="0" applyNumberFormat="1" applyFont="1" applyAlignment="1">
      <alignment horizontal="left"/>
    </xf>
    <xf numFmtId="0" fontId="4" fillId="19" borderId="2" xfId="0" applyFont="1" applyFill="1" applyBorder="1" applyAlignment="1">
      <alignment horizontal="center"/>
    </xf>
    <xf numFmtId="0" fontId="4" fillId="19" borderId="4" xfId="0" applyFont="1" applyFill="1" applyBorder="1" applyAlignment="1">
      <alignment horizontal="center"/>
    </xf>
    <xf numFmtId="0" fontId="5" fillId="17" borderId="2" xfId="0" applyFont="1" applyFill="1" applyBorder="1" applyAlignment="1">
      <alignment horizontal="center" vertical="center" wrapText="1"/>
    </xf>
    <xf numFmtId="0" fontId="5" fillId="17" borderId="4" xfId="0" applyFont="1" applyFill="1" applyBorder="1" applyAlignment="1">
      <alignment horizontal="center" vertical="center" wrapText="1"/>
    </xf>
    <xf numFmtId="0" fontId="4" fillId="19" borderId="8" xfId="0" applyFont="1" applyFill="1" applyBorder="1" applyAlignment="1">
      <alignment horizontal="center"/>
    </xf>
    <xf numFmtId="0" fontId="4" fillId="19" borderId="5" xfId="0" applyFont="1" applyFill="1" applyBorder="1" applyAlignment="1">
      <alignment horizontal="center"/>
    </xf>
    <xf numFmtId="0" fontId="4" fillId="19" borderId="3" xfId="0" applyFont="1" applyFill="1" applyBorder="1" applyAlignment="1">
      <alignment horizontal="center"/>
    </xf>
    <xf numFmtId="0" fontId="4" fillId="4" borderId="9" xfId="0" applyFont="1" applyFill="1" applyBorder="1" applyAlignment="1">
      <alignment vertical="center" wrapText="1"/>
    </xf>
    <xf numFmtId="0" fontId="4" fillId="4" borderId="10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22" borderId="22" xfId="0" applyFont="1" applyFill="1" applyBorder="1" applyAlignment="1">
      <alignment horizontal="center" vertical="center" wrapText="1"/>
    </xf>
    <xf numFmtId="0" fontId="4" fillId="22" borderId="23" xfId="0" applyFont="1" applyFill="1" applyBorder="1" applyAlignment="1">
      <alignment horizontal="center" vertical="center" wrapText="1"/>
    </xf>
    <xf numFmtId="0" fontId="4" fillId="2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22" borderId="10" xfId="0" applyFont="1" applyFill="1" applyBorder="1" applyAlignment="1">
      <alignment horizontal="center" vertical="center" wrapText="1"/>
    </xf>
    <xf numFmtId="0" fontId="4" fillId="22" borderId="10" xfId="0" applyFont="1" applyFill="1" applyBorder="1" applyAlignment="1">
      <alignment horizontal="center" vertical="center"/>
    </xf>
    <xf numFmtId="0" fontId="0" fillId="22" borderId="23" xfId="0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0" borderId="0" xfId="0" applyFont="1"/>
    <xf numFmtId="0" fontId="54" fillId="23" borderId="2" xfId="0" applyFont="1" applyFill="1" applyBorder="1" applyAlignment="1">
      <alignment horizontal="left" vertical="center" wrapText="1"/>
    </xf>
    <xf numFmtId="0" fontId="54" fillId="23" borderId="3" xfId="0" applyFont="1" applyFill="1" applyBorder="1" applyAlignment="1">
      <alignment horizontal="left" vertical="center" wrapText="1"/>
    </xf>
    <xf numFmtId="0" fontId="54" fillId="23" borderId="4" xfId="0" applyFont="1" applyFill="1" applyBorder="1" applyAlignment="1">
      <alignment horizontal="left" vertical="center" wrapText="1"/>
    </xf>
    <xf numFmtId="0" fontId="13" fillId="23" borderId="2" xfId="0" applyFont="1" applyFill="1" applyBorder="1" applyAlignment="1">
      <alignment horizontal="left"/>
    </xf>
    <xf numFmtId="0" fontId="13" fillId="23" borderId="3" xfId="0" applyFont="1" applyFill="1" applyBorder="1" applyAlignment="1">
      <alignment horizontal="left"/>
    </xf>
    <xf numFmtId="0" fontId="13" fillId="23" borderId="4" xfId="0" applyFont="1" applyFill="1" applyBorder="1" applyAlignment="1">
      <alignment horizontal="left"/>
    </xf>
    <xf numFmtId="0" fontId="20" fillId="0" borderId="2" xfId="0" applyFont="1" applyBorder="1" applyAlignment="1">
      <alignment vertical="center" wrapText="1"/>
    </xf>
    <xf numFmtId="0" fontId="20" fillId="0" borderId="28" xfId="0" applyFont="1" applyBorder="1" applyAlignment="1">
      <alignment vertical="center" wrapText="1"/>
    </xf>
    <xf numFmtId="0" fontId="20" fillId="24" borderId="29" xfId="0" applyFont="1" applyFill="1" applyBorder="1" applyAlignment="1">
      <alignment vertical="center" wrapText="1"/>
    </xf>
    <xf numFmtId="0" fontId="20" fillId="24" borderId="28" xfId="0" applyFont="1" applyFill="1" applyBorder="1" applyAlignment="1">
      <alignment vertical="center" wrapText="1"/>
    </xf>
    <xf numFmtId="0" fontId="20" fillId="25" borderId="29" xfId="0" applyFont="1" applyFill="1" applyBorder="1" applyAlignment="1">
      <alignment vertical="center" wrapText="1"/>
    </xf>
    <xf numFmtId="0" fontId="20" fillId="25" borderId="28" xfId="0" applyFont="1" applyFill="1" applyBorder="1" applyAlignment="1">
      <alignment vertical="center" wrapText="1"/>
    </xf>
    <xf numFmtId="0" fontId="20" fillId="26" borderId="29" xfId="0" applyFont="1" applyFill="1" applyBorder="1" applyAlignment="1">
      <alignment vertical="center" wrapText="1"/>
    </xf>
    <xf numFmtId="0" fontId="20" fillId="26" borderId="28" xfId="0" applyFont="1" applyFill="1" applyBorder="1" applyAlignment="1">
      <alignment vertical="center" wrapText="1"/>
    </xf>
    <xf numFmtId="0" fontId="7" fillId="37" borderId="2" xfId="0" applyFont="1" applyFill="1" applyBorder="1" applyAlignment="1">
      <alignment horizontal="center" wrapText="1"/>
    </xf>
    <xf numFmtId="0" fontId="7" fillId="37" borderId="3" xfId="0" applyFont="1" applyFill="1" applyBorder="1" applyAlignment="1">
      <alignment horizontal="center" wrapText="1"/>
    </xf>
    <xf numFmtId="0" fontId="7" fillId="37" borderId="4" xfId="0" applyFont="1" applyFill="1" applyBorder="1" applyAlignment="1">
      <alignment horizontal="center" wrapText="1"/>
    </xf>
    <xf numFmtId="0" fontId="7" fillId="37" borderId="2" xfId="0" applyFont="1" applyFill="1" applyBorder="1" applyAlignment="1">
      <alignment horizontal="left" wrapText="1"/>
    </xf>
    <xf numFmtId="0" fontId="7" fillId="37" borderId="3" xfId="0" applyFont="1" applyFill="1" applyBorder="1" applyAlignment="1">
      <alignment horizontal="left" wrapText="1"/>
    </xf>
    <xf numFmtId="0" fontId="7" fillId="37" borderId="4" xfId="0" applyFont="1" applyFill="1" applyBorder="1" applyAlignment="1">
      <alignment horizontal="left" wrapText="1"/>
    </xf>
    <xf numFmtId="0" fontId="7" fillId="37" borderId="2" xfId="0" applyFont="1" applyFill="1" applyBorder="1" applyAlignment="1">
      <alignment horizontal="center" vertical="center" wrapText="1"/>
    </xf>
    <xf numFmtId="0" fontId="7" fillId="37" borderId="3" xfId="0" applyFont="1" applyFill="1" applyBorder="1" applyAlignment="1">
      <alignment horizontal="center" vertical="center" wrapText="1"/>
    </xf>
    <xf numFmtId="0" fontId="7" fillId="37" borderId="4" xfId="0" applyFont="1" applyFill="1" applyBorder="1" applyAlignment="1">
      <alignment horizontal="center" vertical="center" wrapText="1"/>
    </xf>
    <xf numFmtId="0" fontId="47" fillId="23" borderId="2" xfId="0" applyFont="1" applyFill="1" applyBorder="1" applyAlignment="1">
      <alignment horizontal="left" vertical="center" wrapText="1"/>
    </xf>
    <xf numFmtId="0" fontId="47" fillId="23" borderId="3" xfId="0" applyFont="1" applyFill="1" applyBorder="1" applyAlignment="1">
      <alignment horizontal="left" vertical="center" wrapText="1"/>
    </xf>
    <xf numFmtId="0" fontId="47" fillId="23" borderId="4" xfId="0" applyFont="1" applyFill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5" fillId="23" borderId="2" xfId="0" applyFont="1" applyFill="1" applyBorder="1" applyAlignment="1">
      <alignment horizontal="left" vertical="center" wrapText="1"/>
    </xf>
    <xf numFmtId="0" fontId="15" fillId="23" borderId="3" xfId="0" applyFont="1" applyFill="1" applyBorder="1" applyAlignment="1">
      <alignment horizontal="left" vertical="center" wrapText="1"/>
    </xf>
    <xf numFmtId="0" fontId="15" fillId="23" borderId="4" xfId="0" applyFont="1" applyFill="1" applyBorder="1" applyAlignment="1">
      <alignment horizontal="left" vertical="center" wrapText="1"/>
    </xf>
    <xf numFmtId="0" fontId="0" fillId="23" borderId="3" xfId="0" applyFill="1" applyBorder="1" applyAlignment="1">
      <alignment horizontal="left" vertical="center" wrapText="1"/>
    </xf>
    <xf numFmtId="0" fontId="0" fillId="23" borderId="4" xfId="0" applyFill="1" applyBorder="1" applyAlignment="1">
      <alignment horizontal="left" vertical="center" wrapText="1"/>
    </xf>
    <xf numFmtId="0" fontId="16" fillId="23" borderId="2" xfId="0" applyFont="1" applyFill="1" applyBorder="1" applyAlignment="1">
      <alignment horizontal="left" vertical="center" wrapText="1"/>
    </xf>
    <xf numFmtId="0" fontId="55" fillId="23" borderId="2" xfId="0" applyFont="1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  <xf numFmtId="0" fontId="0" fillId="0" borderId="0" xfId="0"/>
    <xf numFmtId="0" fontId="7" fillId="37" borderId="2" xfId="0" applyFont="1" applyFill="1" applyBorder="1" applyAlignment="1">
      <alignment horizontal="center"/>
    </xf>
    <xf numFmtId="0" fontId="9" fillId="37" borderId="3" xfId="0" applyFont="1" applyFill="1" applyBorder="1" applyAlignment="1">
      <alignment horizontal="center"/>
    </xf>
    <xf numFmtId="0" fontId="9" fillId="37" borderId="4" xfId="0" applyFont="1" applyFill="1" applyBorder="1" applyAlignment="1">
      <alignment horizontal="center"/>
    </xf>
    <xf numFmtId="0" fontId="6" fillId="34" borderId="2" xfId="0" applyFont="1" applyFill="1" applyBorder="1" applyAlignment="1">
      <alignment wrapText="1"/>
    </xf>
    <xf numFmtId="0" fontId="6" fillId="34" borderId="3" xfId="0" applyFont="1" applyFill="1" applyBorder="1" applyAlignment="1">
      <alignment wrapText="1"/>
    </xf>
    <xf numFmtId="0" fontId="6" fillId="34" borderId="4" xfId="0" applyFont="1" applyFill="1" applyBorder="1" applyAlignment="1">
      <alignment wrapText="1"/>
    </xf>
    <xf numFmtId="0" fontId="6" fillId="34" borderId="2" xfId="0" applyFont="1" applyFill="1" applyBorder="1" applyAlignment="1">
      <alignment horizontal="center" wrapText="1"/>
    </xf>
    <xf numFmtId="0" fontId="6" fillId="34" borderId="3" xfId="0" applyFont="1" applyFill="1" applyBorder="1" applyAlignment="1">
      <alignment horizontal="center" wrapText="1"/>
    </xf>
    <xf numFmtId="0" fontId="6" fillId="34" borderId="4" xfId="0" applyFont="1" applyFill="1" applyBorder="1" applyAlignment="1">
      <alignment horizontal="center" wrapText="1"/>
    </xf>
    <xf numFmtId="0" fontId="66" fillId="23" borderId="2" xfId="0" applyFont="1" applyFill="1" applyBorder="1" applyAlignment="1">
      <alignment horizontal="left" vertical="center" wrapText="1"/>
    </xf>
    <xf numFmtId="0" fontId="66" fillId="23" borderId="3" xfId="0" applyFont="1" applyFill="1" applyBorder="1" applyAlignment="1">
      <alignment horizontal="left" vertical="center" wrapText="1"/>
    </xf>
    <xf numFmtId="0" fontId="66" fillId="23" borderId="4" xfId="0" applyFont="1" applyFill="1" applyBorder="1" applyAlignment="1">
      <alignment horizontal="left" vertical="center" wrapText="1"/>
    </xf>
    <xf numFmtId="0" fontId="32" fillId="23" borderId="2" xfId="0" applyFont="1" applyFill="1" applyBorder="1" applyAlignment="1">
      <alignment horizontal="left" vertical="center" wrapText="1"/>
    </xf>
    <xf numFmtId="0" fontId="32" fillId="23" borderId="3" xfId="0" applyFont="1" applyFill="1" applyBorder="1" applyAlignment="1">
      <alignment horizontal="left" vertical="center" wrapText="1"/>
    </xf>
    <xf numFmtId="0" fontId="32" fillId="23" borderId="4" xfId="0" applyFont="1" applyFill="1" applyBorder="1" applyAlignment="1">
      <alignment horizontal="left" vertical="center" wrapText="1"/>
    </xf>
    <xf numFmtId="0" fontId="31" fillId="23" borderId="2" xfId="0" applyFont="1" applyFill="1" applyBorder="1" applyAlignment="1">
      <alignment horizontal="left" vertical="center" wrapText="1"/>
    </xf>
    <xf numFmtId="0" fontId="6" fillId="34" borderId="2" xfId="0" applyFont="1" applyFill="1" applyBorder="1" applyAlignment="1">
      <alignment horizontal="center" vertical="center" wrapText="1"/>
    </xf>
    <xf numFmtId="0" fontId="6" fillId="34" borderId="3" xfId="0" applyFont="1" applyFill="1" applyBorder="1" applyAlignment="1">
      <alignment horizontal="center" vertical="center" wrapText="1"/>
    </xf>
    <xf numFmtId="0" fontId="6" fillId="34" borderId="4" xfId="0" applyFont="1" applyFill="1" applyBorder="1" applyAlignment="1">
      <alignment horizontal="center" vertical="center" wrapText="1"/>
    </xf>
    <xf numFmtId="0" fontId="20" fillId="10" borderId="29" xfId="0" applyFont="1" applyFill="1" applyBorder="1" applyAlignment="1">
      <alignment vertical="center" wrapText="1"/>
    </xf>
    <xf numFmtId="0" fontId="20" fillId="10" borderId="28" xfId="0" applyFont="1" applyFill="1" applyBorder="1" applyAlignment="1">
      <alignment vertical="center" wrapText="1"/>
    </xf>
    <xf numFmtId="0" fontId="6" fillId="34" borderId="0" xfId="0" applyFont="1" applyFill="1"/>
    <xf numFmtId="0" fontId="3" fillId="34" borderId="0" xfId="0" applyFont="1" applyFill="1"/>
    <xf numFmtId="0" fontId="6" fillId="34" borderId="2" xfId="0" applyFont="1" applyFill="1" applyBorder="1" applyAlignment="1">
      <alignment horizontal="center"/>
    </xf>
    <xf numFmtId="0" fontId="16" fillId="11" borderId="2" xfId="0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11" borderId="4" xfId="0" applyFont="1" applyFill="1" applyBorder="1" applyAlignment="1">
      <alignment horizontal="center" vertical="center" wrapText="1"/>
    </xf>
    <xf numFmtId="0" fontId="16" fillId="11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6" xfId="0" applyBorder="1" applyAlignment="1">
      <alignment horizontal="center"/>
    </xf>
    <xf numFmtId="0" fontId="16" fillId="11" borderId="2" xfId="0" applyFont="1" applyFill="1" applyBorder="1" applyAlignment="1">
      <alignment horizontal="center"/>
    </xf>
    <xf numFmtId="0" fontId="16" fillId="11" borderId="12" xfId="0" applyFont="1" applyFill="1" applyBorder="1" applyAlignment="1">
      <alignment horizontal="center"/>
    </xf>
    <xf numFmtId="0" fontId="16" fillId="11" borderId="2" xfId="0" applyFont="1" applyFill="1" applyBorder="1" applyAlignment="1">
      <alignment horizontal="left" wrapText="1"/>
    </xf>
    <xf numFmtId="0" fontId="16" fillId="11" borderId="3" xfId="0" applyFont="1" applyFill="1" applyBorder="1" applyAlignment="1">
      <alignment horizontal="left" wrapText="1"/>
    </xf>
    <xf numFmtId="0" fontId="16" fillId="11" borderId="4" xfId="0" applyFont="1" applyFill="1" applyBorder="1" applyAlignment="1">
      <alignment horizontal="left" wrapText="1"/>
    </xf>
    <xf numFmtId="0" fontId="16" fillId="11" borderId="2" xfId="0" applyFont="1" applyFill="1" applyBorder="1" applyAlignment="1">
      <alignment horizontal="center" wrapText="1"/>
    </xf>
    <xf numFmtId="0" fontId="16" fillId="11" borderId="3" xfId="0" applyFont="1" applyFill="1" applyBorder="1" applyAlignment="1">
      <alignment horizontal="center" wrapText="1"/>
    </xf>
    <xf numFmtId="0" fontId="16" fillId="11" borderId="4" xfId="0" applyFont="1" applyFill="1" applyBorder="1" applyAlignment="1">
      <alignment horizontal="center" wrapText="1"/>
    </xf>
    <xf numFmtId="0" fontId="41" fillId="0" borderId="2" xfId="0" applyFont="1" applyBorder="1" applyAlignment="1">
      <alignment vertical="center" wrapText="1"/>
    </xf>
    <xf numFmtId="0" fontId="41" fillId="0" borderId="28" xfId="0" applyFont="1" applyBorder="1" applyAlignment="1">
      <alignment vertical="center" wrapText="1"/>
    </xf>
    <xf numFmtId="0" fontId="13" fillId="8" borderId="2" xfId="0" applyFont="1" applyFill="1" applyBorder="1" applyAlignment="1">
      <alignment horizontal="left" wrapText="1"/>
    </xf>
    <xf numFmtId="0" fontId="37" fillId="8" borderId="3" xfId="0" applyFont="1" applyFill="1" applyBorder="1" applyAlignment="1">
      <alignment horizontal="left" wrapText="1"/>
    </xf>
    <xf numFmtId="0" fontId="37" fillId="8" borderId="4" xfId="0" applyFont="1" applyFill="1" applyBorder="1" applyAlignment="1">
      <alignment horizontal="left" wrapText="1"/>
    </xf>
    <xf numFmtId="0" fontId="37" fillId="8" borderId="2" xfId="0" applyFont="1" applyFill="1" applyBorder="1" applyAlignment="1">
      <alignment horizontal="center" wrapText="1"/>
    </xf>
    <xf numFmtId="0" fontId="37" fillId="8" borderId="3" xfId="0" applyFont="1" applyFill="1" applyBorder="1" applyAlignment="1">
      <alignment horizontal="center" wrapText="1"/>
    </xf>
    <xf numFmtId="0" fontId="37" fillId="8" borderId="4" xfId="0" applyFont="1" applyFill="1" applyBorder="1" applyAlignment="1">
      <alignment horizontal="center" wrapText="1"/>
    </xf>
    <xf numFmtId="0" fontId="37" fillId="8" borderId="2" xfId="0" applyFont="1" applyFill="1" applyBorder="1" applyAlignment="1">
      <alignment horizontal="center" vertical="center" wrapText="1"/>
    </xf>
    <xf numFmtId="0" fontId="37" fillId="8" borderId="3" xfId="0" applyFont="1" applyFill="1" applyBorder="1" applyAlignment="1">
      <alignment horizontal="center" vertical="center" wrapText="1"/>
    </xf>
    <xf numFmtId="0" fontId="37" fillId="8" borderId="4" xfId="0" applyFont="1" applyFill="1" applyBorder="1" applyAlignment="1">
      <alignment horizontal="center" vertical="center" wrapText="1"/>
    </xf>
    <xf numFmtId="0" fontId="41" fillId="24" borderId="29" xfId="0" applyFont="1" applyFill="1" applyBorder="1" applyAlignment="1">
      <alignment vertical="center" wrapText="1"/>
    </xf>
    <xf numFmtId="0" fontId="41" fillId="24" borderId="28" xfId="0" applyFont="1" applyFill="1" applyBorder="1" applyAlignment="1">
      <alignment vertical="center" wrapText="1"/>
    </xf>
    <xf numFmtId="0" fontId="41" fillId="25" borderId="29" xfId="0" applyFont="1" applyFill="1" applyBorder="1" applyAlignment="1">
      <alignment vertical="center" wrapText="1"/>
    </xf>
    <xf numFmtId="0" fontId="41" fillId="25" borderId="28" xfId="0" applyFont="1" applyFill="1" applyBorder="1" applyAlignment="1">
      <alignment vertical="center" wrapText="1"/>
    </xf>
    <xf numFmtId="0" fontId="41" fillId="26" borderId="29" xfId="0" applyFont="1" applyFill="1" applyBorder="1" applyAlignment="1">
      <alignment vertical="center" wrapText="1"/>
    </xf>
    <xf numFmtId="0" fontId="41" fillId="26" borderId="28" xfId="0" applyFont="1" applyFill="1" applyBorder="1" applyAlignment="1">
      <alignment vertical="center" wrapText="1"/>
    </xf>
    <xf numFmtId="0" fontId="41" fillId="10" borderId="29" xfId="0" applyFont="1" applyFill="1" applyBorder="1" applyAlignment="1">
      <alignment vertical="center" wrapText="1"/>
    </xf>
    <xf numFmtId="0" fontId="41" fillId="10" borderId="28" xfId="0" applyFont="1" applyFill="1" applyBorder="1" applyAlignment="1">
      <alignment vertical="center" wrapText="1"/>
    </xf>
    <xf numFmtId="0" fontId="37" fillId="8" borderId="12" xfId="0" applyFont="1" applyFill="1" applyBorder="1" applyAlignment="1">
      <alignment horizontal="center"/>
    </xf>
    <xf numFmtId="0" fontId="37" fillId="8" borderId="2" xfId="0" applyFont="1" applyFill="1" applyBorder="1" applyAlignment="1">
      <alignment horizontal="center"/>
    </xf>
    <xf numFmtId="0" fontId="85" fillId="44" borderId="2" xfId="0" applyFont="1" applyFill="1" applyBorder="1" applyAlignment="1">
      <alignment horizontal="center" vertical="center" wrapText="1"/>
    </xf>
    <xf numFmtId="0" fontId="85" fillId="44" borderId="3" xfId="0" applyFont="1" applyFill="1" applyBorder="1" applyAlignment="1">
      <alignment horizontal="center" vertical="center" wrapText="1"/>
    </xf>
    <xf numFmtId="0" fontId="85" fillId="44" borderId="4" xfId="0" applyFont="1" applyFill="1" applyBorder="1" applyAlignment="1">
      <alignment horizontal="center" vertical="center" wrapText="1"/>
    </xf>
    <xf numFmtId="0" fontId="85" fillId="44" borderId="2" xfId="0" applyFont="1" applyFill="1" applyBorder="1" applyAlignment="1">
      <alignment horizontal="left" wrapText="1"/>
    </xf>
    <xf numFmtId="0" fontId="85" fillId="44" borderId="3" xfId="0" applyFont="1" applyFill="1" applyBorder="1" applyAlignment="1">
      <alignment horizontal="left" wrapText="1"/>
    </xf>
    <xf numFmtId="0" fontId="85" fillId="44" borderId="4" xfId="0" applyFont="1" applyFill="1" applyBorder="1" applyAlignment="1">
      <alignment horizontal="left" wrapText="1"/>
    </xf>
    <xf numFmtId="0" fontId="85" fillId="44" borderId="2" xfId="0" applyFont="1" applyFill="1" applyBorder="1" applyAlignment="1">
      <alignment horizontal="center" wrapText="1"/>
    </xf>
    <xf numFmtId="0" fontId="85" fillId="44" borderId="3" xfId="0" applyFont="1" applyFill="1" applyBorder="1" applyAlignment="1">
      <alignment horizontal="center" wrapText="1"/>
    </xf>
    <xf numFmtId="0" fontId="85" fillId="44" borderId="4" xfId="0" applyFont="1" applyFill="1" applyBorder="1" applyAlignment="1">
      <alignment horizontal="center" wrapText="1"/>
    </xf>
    <xf numFmtId="0" fontId="85" fillId="44" borderId="12" xfId="0" applyFont="1" applyFill="1" applyBorder="1" applyAlignment="1">
      <alignment horizontal="center"/>
    </xf>
    <xf numFmtId="0" fontId="86" fillId="44" borderId="13" xfId="0" applyFont="1" applyFill="1" applyBorder="1" applyAlignment="1">
      <alignment horizontal="center"/>
    </xf>
    <xf numFmtId="0" fontId="86" fillId="44" borderId="6" xfId="0" applyFont="1" applyFill="1" applyBorder="1" applyAlignment="1">
      <alignment horizontal="center"/>
    </xf>
    <xf numFmtId="0" fontId="85" fillId="44" borderId="2" xfId="0" applyFont="1" applyFill="1" applyBorder="1" applyAlignment="1">
      <alignment horizontal="center"/>
    </xf>
    <xf numFmtId="0" fontId="86" fillId="44" borderId="3" xfId="0" applyFont="1" applyFill="1" applyBorder="1" applyAlignment="1">
      <alignment horizontal="center"/>
    </xf>
    <xf numFmtId="0" fontId="86" fillId="44" borderId="4" xfId="0" applyFont="1" applyFill="1" applyBorder="1" applyAlignment="1">
      <alignment horizontal="center"/>
    </xf>
    <xf numFmtId="0" fontId="13" fillId="42" borderId="2" xfId="0" applyFont="1" applyFill="1" applyBorder="1" applyAlignment="1">
      <alignment horizontal="center" vertical="center" wrapText="1"/>
    </xf>
    <xf numFmtId="0" fontId="13" fillId="42" borderId="3" xfId="0" applyFont="1" applyFill="1" applyBorder="1" applyAlignment="1">
      <alignment horizontal="center" vertical="center" wrapText="1"/>
    </xf>
    <xf numFmtId="0" fontId="13" fillId="42" borderId="4" xfId="0" applyFont="1" applyFill="1" applyBorder="1" applyAlignment="1">
      <alignment horizontal="center" vertical="center" wrapText="1"/>
    </xf>
    <xf numFmtId="0" fontId="13" fillId="42" borderId="2" xfId="0" applyFont="1" applyFill="1" applyBorder="1" applyAlignment="1">
      <alignment horizontal="left" wrapText="1"/>
    </xf>
    <xf numFmtId="0" fontId="13" fillId="42" borderId="3" xfId="0" applyFont="1" applyFill="1" applyBorder="1" applyAlignment="1">
      <alignment horizontal="left" wrapText="1"/>
    </xf>
    <xf numFmtId="0" fontId="13" fillId="42" borderId="4" xfId="0" applyFont="1" applyFill="1" applyBorder="1" applyAlignment="1">
      <alignment horizontal="left" wrapText="1"/>
    </xf>
    <xf numFmtId="0" fontId="13" fillId="42" borderId="2" xfId="0" applyFont="1" applyFill="1" applyBorder="1" applyAlignment="1">
      <alignment horizontal="center" wrapText="1"/>
    </xf>
    <xf numFmtId="0" fontId="13" fillId="42" borderId="3" xfId="0" applyFont="1" applyFill="1" applyBorder="1" applyAlignment="1">
      <alignment horizontal="center" wrapText="1"/>
    </xf>
    <xf numFmtId="0" fontId="13" fillId="42" borderId="4" xfId="0" applyFont="1" applyFill="1" applyBorder="1" applyAlignment="1">
      <alignment horizontal="center" wrapText="1"/>
    </xf>
    <xf numFmtId="0" fontId="13" fillId="42" borderId="12" xfId="0" applyFont="1" applyFill="1" applyBorder="1" applyAlignment="1">
      <alignment horizontal="center"/>
    </xf>
    <xf numFmtId="0" fontId="14" fillId="42" borderId="13" xfId="0" applyFont="1" applyFill="1" applyBorder="1" applyAlignment="1">
      <alignment horizontal="center"/>
    </xf>
    <xf numFmtId="0" fontId="14" fillId="42" borderId="6" xfId="0" applyFont="1" applyFill="1" applyBorder="1" applyAlignment="1">
      <alignment horizontal="center"/>
    </xf>
    <xf numFmtId="0" fontId="13" fillId="42" borderId="2" xfId="0" applyFont="1" applyFill="1" applyBorder="1" applyAlignment="1">
      <alignment horizontal="center"/>
    </xf>
    <xf numFmtId="0" fontId="14" fillId="42" borderId="3" xfId="0" applyFont="1" applyFill="1" applyBorder="1" applyAlignment="1">
      <alignment horizontal="center"/>
    </xf>
    <xf numFmtId="0" fontId="14" fillId="42" borderId="4" xfId="0" applyFont="1" applyFill="1" applyBorder="1" applyAlignment="1">
      <alignment horizontal="center"/>
    </xf>
    <xf numFmtId="0" fontId="80" fillId="12" borderId="2" xfId="0" applyFont="1" applyFill="1" applyBorder="1" applyAlignment="1">
      <alignment horizontal="center"/>
    </xf>
    <xf numFmtId="0" fontId="81" fillId="12" borderId="3" xfId="0" applyFont="1" applyFill="1" applyBorder="1" applyAlignment="1">
      <alignment horizontal="center"/>
    </xf>
    <xf numFmtId="0" fontId="81" fillId="0" borderId="4" xfId="0" applyFont="1" applyBorder="1" applyAlignment="1">
      <alignment horizontal="center"/>
    </xf>
    <xf numFmtId="0" fontId="81" fillId="12" borderId="4" xfId="0" applyFont="1" applyFill="1" applyBorder="1" applyAlignment="1">
      <alignment horizontal="center"/>
    </xf>
    <xf numFmtId="0" fontId="7" fillId="12" borderId="0" xfId="0" applyFont="1" applyFill="1"/>
    <xf numFmtId="0" fontId="9" fillId="12" borderId="0" xfId="0" applyFont="1" applyFill="1"/>
    <xf numFmtId="0" fontId="80" fillId="12" borderId="2" xfId="0" applyFont="1" applyFill="1" applyBorder="1" applyAlignment="1">
      <alignment horizontal="center" vertical="center" wrapText="1"/>
    </xf>
    <xf numFmtId="0" fontId="80" fillId="12" borderId="3" xfId="0" applyFont="1" applyFill="1" applyBorder="1" applyAlignment="1">
      <alignment horizontal="center" vertical="center" wrapText="1"/>
    </xf>
    <xf numFmtId="0" fontId="80" fillId="12" borderId="4" xfId="0" applyFont="1" applyFill="1" applyBorder="1" applyAlignment="1">
      <alignment horizontal="center" vertical="center" wrapText="1"/>
    </xf>
    <xf numFmtId="0" fontId="80" fillId="12" borderId="2" xfId="0" applyFont="1" applyFill="1" applyBorder="1" applyAlignment="1">
      <alignment horizontal="left" wrapText="1"/>
    </xf>
    <xf numFmtId="0" fontId="80" fillId="12" borderId="3" xfId="0" applyFont="1" applyFill="1" applyBorder="1" applyAlignment="1">
      <alignment horizontal="left" wrapText="1"/>
    </xf>
    <xf numFmtId="0" fontId="80" fillId="12" borderId="4" xfId="0" applyFont="1" applyFill="1" applyBorder="1" applyAlignment="1">
      <alignment horizontal="left" wrapText="1"/>
    </xf>
    <xf numFmtId="0" fontId="80" fillId="12" borderId="2" xfId="0" applyFont="1" applyFill="1" applyBorder="1" applyAlignment="1">
      <alignment horizontal="center" wrapText="1"/>
    </xf>
    <xf numFmtId="0" fontId="80" fillId="12" borderId="3" xfId="0" applyFont="1" applyFill="1" applyBorder="1" applyAlignment="1">
      <alignment horizontal="center" wrapText="1"/>
    </xf>
    <xf numFmtId="0" fontId="80" fillId="12" borderId="4" xfId="0" applyFont="1" applyFill="1" applyBorder="1" applyAlignment="1">
      <alignment horizontal="center" wrapText="1"/>
    </xf>
    <xf numFmtId="0" fontId="23" fillId="11" borderId="2" xfId="0" applyFont="1" applyFill="1" applyBorder="1" applyAlignment="1">
      <alignment horizontal="center"/>
    </xf>
    <xf numFmtId="0" fontId="23" fillId="11" borderId="2" xfId="0" applyFont="1" applyFill="1" applyBorder="1" applyAlignment="1">
      <alignment horizontal="center" vertical="center" wrapText="1"/>
    </xf>
    <xf numFmtId="0" fontId="23" fillId="11" borderId="3" xfId="0" applyFont="1" applyFill="1" applyBorder="1" applyAlignment="1">
      <alignment horizontal="center" vertical="center" wrapText="1"/>
    </xf>
    <xf numFmtId="0" fontId="23" fillId="11" borderId="4" xfId="0" applyFont="1" applyFill="1" applyBorder="1" applyAlignment="1">
      <alignment horizontal="center" vertical="center" wrapText="1"/>
    </xf>
    <xf numFmtId="0" fontId="23" fillId="11" borderId="2" xfId="0" applyFont="1" applyFill="1" applyBorder="1" applyAlignment="1">
      <alignment horizontal="left" wrapText="1"/>
    </xf>
    <xf numFmtId="0" fontId="23" fillId="11" borderId="3" xfId="0" applyFont="1" applyFill="1" applyBorder="1" applyAlignment="1">
      <alignment horizontal="left" wrapText="1"/>
    </xf>
    <xf numFmtId="0" fontId="23" fillId="11" borderId="4" xfId="0" applyFont="1" applyFill="1" applyBorder="1" applyAlignment="1">
      <alignment horizontal="left" wrapText="1"/>
    </xf>
    <xf numFmtId="0" fontId="23" fillId="11" borderId="2" xfId="0" applyFont="1" applyFill="1" applyBorder="1" applyAlignment="1">
      <alignment horizontal="center" wrapText="1"/>
    </xf>
    <xf numFmtId="0" fontId="23" fillId="11" borderId="3" xfId="0" applyFont="1" applyFill="1" applyBorder="1" applyAlignment="1">
      <alignment horizontal="center" wrapText="1"/>
    </xf>
    <xf numFmtId="0" fontId="23" fillId="11" borderId="4" xfId="0" applyFont="1" applyFill="1" applyBorder="1" applyAlignment="1">
      <alignment horizontal="center" wrapText="1"/>
    </xf>
    <xf numFmtId="0" fontId="23" fillId="11" borderId="0" xfId="0" applyFont="1" applyFill="1"/>
    <xf numFmtId="0" fontId="11" fillId="0" borderId="0" xfId="0" applyFont="1"/>
    <xf numFmtId="0" fontId="44" fillId="31" borderId="2" xfId="0" applyFont="1" applyFill="1" applyBorder="1" applyAlignment="1">
      <alignment horizontal="center" vertical="center" wrapText="1"/>
    </xf>
    <xf numFmtId="0" fontId="44" fillId="31" borderId="3" xfId="0" applyFont="1" applyFill="1" applyBorder="1" applyAlignment="1">
      <alignment horizontal="center" vertical="center" wrapText="1"/>
    </xf>
    <xf numFmtId="0" fontId="44" fillId="31" borderId="4" xfId="0" applyFont="1" applyFill="1" applyBorder="1" applyAlignment="1">
      <alignment horizontal="center" vertical="center" wrapText="1"/>
    </xf>
    <xf numFmtId="0" fontId="44" fillId="31" borderId="2" xfId="0" applyFont="1" applyFill="1" applyBorder="1" applyAlignment="1">
      <alignment horizontal="left" wrapText="1"/>
    </xf>
    <xf numFmtId="0" fontId="44" fillId="31" borderId="3" xfId="0" applyFont="1" applyFill="1" applyBorder="1" applyAlignment="1">
      <alignment horizontal="left" wrapText="1"/>
    </xf>
    <xf numFmtId="0" fontId="44" fillId="31" borderId="4" xfId="0" applyFont="1" applyFill="1" applyBorder="1" applyAlignment="1">
      <alignment horizontal="left" wrapText="1"/>
    </xf>
    <xf numFmtId="0" fontId="44" fillId="31" borderId="2" xfId="0" applyFont="1" applyFill="1" applyBorder="1" applyAlignment="1">
      <alignment horizontal="center" wrapText="1"/>
    </xf>
    <xf numFmtId="0" fontId="44" fillId="31" borderId="3" xfId="0" applyFont="1" applyFill="1" applyBorder="1" applyAlignment="1">
      <alignment horizontal="center" wrapText="1"/>
    </xf>
    <xf numFmtId="0" fontId="44" fillId="31" borderId="4" xfId="0" applyFont="1" applyFill="1" applyBorder="1" applyAlignment="1">
      <alignment horizontal="center" wrapText="1"/>
    </xf>
    <xf numFmtId="0" fontId="44" fillId="30" borderId="0" xfId="0" applyFont="1" applyFill="1"/>
    <xf numFmtId="0" fontId="45" fillId="30" borderId="0" xfId="0" applyFont="1" applyFill="1"/>
    <xf numFmtId="0" fontId="44" fillId="31" borderId="2" xfId="0" applyFont="1" applyFill="1" applyBorder="1" applyAlignment="1">
      <alignment horizontal="center"/>
    </xf>
    <xf numFmtId="0" fontId="83" fillId="23" borderId="2" xfId="0" applyFont="1" applyFill="1" applyBorder="1" applyAlignment="1">
      <alignment horizontal="left" vertical="center" wrapText="1"/>
    </xf>
    <xf numFmtId="0" fontId="83" fillId="23" borderId="3" xfId="0" applyFont="1" applyFill="1" applyBorder="1" applyAlignment="1">
      <alignment horizontal="left" vertical="center" wrapText="1"/>
    </xf>
    <xf numFmtId="0" fontId="83" fillId="23" borderId="4" xfId="0" applyFont="1" applyFill="1" applyBorder="1" applyAlignment="1">
      <alignment horizontal="left" vertical="center" wrapText="1"/>
    </xf>
    <xf numFmtId="0" fontId="55" fillId="23" borderId="3" xfId="0" applyFont="1" applyFill="1" applyBorder="1" applyAlignment="1">
      <alignment horizontal="left" vertical="center" wrapText="1"/>
    </xf>
    <xf numFmtId="0" fontId="55" fillId="23" borderId="4" xfId="0" applyFont="1" applyFill="1" applyBorder="1" applyAlignment="1">
      <alignment horizontal="left" vertical="center" wrapText="1"/>
    </xf>
    <xf numFmtId="0" fontId="20" fillId="4" borderId="0" xfId="0" applyFont="1" applyFill="1" applyAlignment="1">
      <alignment vertical="center" wrapText="1"/>
    </xf>
    <xf numFmtId="0" fontId="6" fillId="11" borderId="2" xfId="0" applyFont="1" applyFill="1" applyBorder="1" applyAlignment="1">
      <alignment horizontal="center" wrapText="1"/>
    </xf>
    <xf numFmtId="0" fontId="6" fillId="11" borderId="4" xfId="0" applyFont="1" applyFill="1" applyBorder="1" applyAlignment="1">
      <alignment horizont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11" borderId="4" xfId="0" applyFont="1" applyFill="1" applyBorder="1" applyAlignment="1">
      <alignment horizontal="center" vertical="center" wrapText="1"/>
    </xf>
    <xf numFmtId="0" fontId="6" fillId="11" borderId="0" xfId="0" applyFont="1" applyFill="1"/>
    <xf numFmtId="0" fontId="3" fillId="11" borderId="0" xfId="0" applyFont="1" applyFill="1"/>
    <xf numFmtId="0" fontId="6" fillId="11" borderId="2" xfId="0" applyFont="1" applyFill="1" applyBorder="1" applyAlignment="1">
      <alignment horizontal="center"/>
    </xf>
    <xf numFmtId="0" fontId="6" fillId="11" borderId="2" xfId="0" applyFont="1" applyFill="1" applyBorder="1" applyAlignment="1">
      <alignment horizontal="left" wrapText="1"/>
    </xf>
    <xf numFmtId="0" fontId="6" fillId="11" borderId="3" xfId="0" applyFont="1" applyFill="1" applyBorder="1" applyAlignment="1">
      <alignment horizontal="left" wrapText="1"/>
    </xf>
    <xf numFmtId="0" fontId="6" fillId="11" borderId="4" xfId="0" applyFont="1" applyFill="1" applyBorder="1" applyAlignment="1">
      <alignment horizontal="left" wrapText="1"/>
    </xf>
    <xf numFmtId="0" fontId="6" fillId="11" borderId="3" xfId="0" applyFont="1" applyFill="1" applyBorder="1" applyAlignment="1">
      <alignment horizontal="center" wrapText="1"/>
    </xf>
    <xf numFmtId="0" fontId="6" fillId="11" borderId="1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19" borderId="2" xfId="0" applyFont="1" applyFill="1" applyBorder="1" applyAlignment="1">
      <alignment horizontal="center" vertical="center" wrapText="1"/>
    </xf>
    <xf numFmtId="0" fontId="4" fillId="19" borderId="3" xfId="0" applyFont="1" applyFill="1" applyBorder="1" applyAlignment="1">
      <alignment horizontal="center" vertical="center" wrapText="1"/>
    </xf>
    <xf numFmtId="0" fontId="4" fillId="19" borderId="4" xfId="0" applyFont="1" applyFill="1" applyBorder="1" applyAlignment="1">
      <alignment horizontal="center" vertical="center" wrapText="1"/>
    </xf>
    <xf numFmtId="0" fontId="4" fillId="33" borderId="2" xfId="0" applyFont="1" applyFill="1" applyBorder="1" applyAlignment="1">
      <alignment horizontal="center" vertical="center" wrapText="1"/>
    </xf>
    <xf numFmtId="0" fontId="4" fillId="33" borderId="3" xfId="0" applyFont="1" applyFill="1" applyBorder="1" applyAlignment="1">
      <alignment horizontal="center" vertical="center" wrapText="1"/>
    </xf>
    <xf numFmtId="0" fontId="4" fillId="33" borderId="4" xfId="0" applyFont="1" applyFill="1" applyBorder="1" applyAlignment="1">
      <alignment horizontal="center" vertical="center" wrapText="1"/>
    </xf>
    <xf numFmtId="0" fontId="16" fillId="11" borderId="0" xfId="0" applyFont="1" applyFill="1"/>
    <xf numFmtId="0" fontId="15" fillId="11" borderId="0" xfId="0" applyFont="1" applyFill="1"/>
    <xf numFmtId="0" fontId="20" fillId="28" borderId="29" xfId="0" applyFont="1" applyFill="1" applyBorder="1" applyAlignment="1">
      <alignment vertical="center" wrapText="1"/>
    </xf>
    <xf numFmtId="0" fontId="20" fillId="28" borderId="28" xfId="0" applyFont="1" applyFill="1" applyBorder="1" applyAlignment="1">
      <alignment vertical="center" wrapText="1"/>
    </xf>
    <xf numFmtId="0" fontId="18" fillId="35" borderId="2" xfId="0" applyFont="1" applyFill="1" applyBorder="1" applyAlignment="1">
      <alignment horizontal="center"/>
    </xf>
    <xf numFmtId="0" fontId="18" fillId="35" borderId="0" xfId="0" applyFont="1" applyFill="1"/>
    <xf numFmtId="0" fontId="21" fillId="35" borderId="0" xfId="0" applyFont="1" applyFill="1"/>
    <xf numFmtId="0" fontId="18" fillId="35" borderId="2" xfId="0" applyFont="1" applyFill="1" applyBorder="1" applyAlignment="1">
      <alignment horizontal="center" vertical="center" wrapText="1"/>
    </xf>
    <xf numFmtId="0" fontId="18" fillId="35" borderId="3" xfId="0" applyFont="1" applyFill="1" applyBorder="1" applyAlignment="1">
      <alignment horizontal="center" vertical="center" wrapText="1"/>
    </xf>
    <xf numFmtId="0" fontId="18" fillId="35" borderId="4" xfId="0" applyFont="1" applyFill="1" applyBorder="1" applyAlignment="1">
      <alignment horizontal="center" vertical="center" wrapText="1"/>
    </xf>
    <xf numFmtId="0" fontId="18" fillId="35" borderId="2" xfId="0" applyFont="1" applyFill="1" applyBorder="1" applyAlignment="1">
      <alignment horizontal="left" wrapText="1"/>
    </xf>
    <xf numFmtId="0" fontId="18" fillId="35" borderId="3" xfId="0" applyFont="1" applyFill="1" applyBorder="1" applyAlignment="1">
      <alignment horizontal="left" wrapText="1"/>
    </xf>
    <xf numFmtId="0" fontId="18" fillId="35" borderId="4" xfId="0" applyFont="1" applyFill="1" applyBorder="1" applyAlignment="1">
      <alignment horizontal="left" wrapText="1"/>
    </xf>
    <xf numFmtId="0" fontId="18" fillId="35" borderId="2" xfId="0" applyFont="1" applyFill="1" applyBorder="1" applyAlignment="1">
      <alignment horizontal="center" wrapText="1"/>
    </xf>
    <xf numFmtId="0" fontId="18" fillId="35" borderId="3" xfId="0" applyFont="1" applyFill="1" applyBorder="1" applyAlignment="1">
      <alignment horizontal="center" wrapText="1"/>
    </xf>
    <xf numFmtId="0" fontId="18" fillId="35" borderId="4" xfId="0" applyFont="1" applyFill="1" applyBorder="1" applyAlignment="1">
      <alignment horizontal="center" wrapText="1"/>
    </xf>
    <xf numFmtId="0" fontId="73" fillId="11" borderId="2" xfId="0" applyFont="1" applyFill="1" applyBorder="1" applyAlignment="1">
      <alignment horizontal="center" vertical="center" wrapText="1"/>
    </xf>
    <xf numFmtId="0" fontId="73" fillId="11" borderId="3" xfId="0" applyFont="1" applyFill="1" applyBorder="1" applyAlignment="1">
      <alignment horizontal="center" vertical="center" wrapText="1"/>
    </xf>
    <xf numFmtId="0" fontId="73" fillId="11" borderId="4" xfId="0" applyFont="1" applyFill="1" applyBorder="1" applyAlignment="1">
      <alignment horizontal="center" vertical="center" wrapText="1"/>
    </xf>
    <xf numFmtId="0" fontId="73" fillId="11" borderId="2" xfId="0" applyFont="1" applyFill="1" applyBorder="1" applyAlignment="1">
      <alignment horizontal="left" wrapText="1"/>
    </xf>
    <xf numFmtId="0" fontId="73" fillId="11" borderId="3" xfId="0" applyFont="1" applyFill="1" applyBorder="1" applyAlignment="1">
      <alignment horizontal="left" wrapText="1"/>
    </xf>
    <xf numFmtId="0" fontId="73" fillId="11" borderId="4" xfId="0" applyFont="1" applyFill="1" applyBorder="1" applyAlignment="1">
      <alignment horizontal="left" wrapText="1"/>
    </xf>
    <xf numFmtId="0" fontId="73" fillId="11" borderId="2" xfId="0" applyFont="1" applyFill="1" applyBorder="1" applyAlignment="1">
      <alignment horizontal="center" wrapText="1"/>
    </xf>
    <xf numFmtId="0" fontId="73" fillId="11" borderId="3" xfId="0" applyFont="1" applyFill="1" applyBorder="1" applyAlignment="1">
      <alignment horizontal="center" wrapText="1"/>
    </xf>
    <xf numFmtId="0" fontId="73" fillId="11" borderId="4" xfId="0" applyFont="1" applyFill="1" applyBorder="1" applyAlignment="1">
      <alignment horizontal="center" wrapText="1"/>
    </xf>
  </cellXfs>
  <cellStyles count="22">
    <cellStyle name="Explanatory Text" xfId="21" builtinId="53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Normal" xfId="0" builtinId="0"/>
  </cellStyles>
  <dxfs count="2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A6A6A6"/>
      <color rgb="FF762949"/>
      <color rgb="FF682300"/>
      <color rgb="FFFFD10D"/>
      <color rgb="FFFFCC00"/>
      <color rgb="FFFF3300"/>
      <color rgb="FF133926"/>
      <color rgb="FF16365C"/>
      <color rgb="FF008000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0"/>
  <sheetViews>
    <sheetView workbookViewId="0">
      <selection activeCell="B18" sqref="B18"/>
    </sheetView>
  </sheetViews>
  <sheetFormatPr defaultColWidth="8.875" defaultRowHeight="14.3" x14ac:dyDescent="0.25"/>
  <cols>
    <col min="1" max="1" width="24.25" bestFit="1" customWidth="1"/>
  </cols>
  <sheetData>
    <row r="1" spans="1:12" ht="14.95" x14ac:dyDescent="0.25">
      <c r="A1" s="102" t="s">
        <v>178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</row>
    <row r="2" spans="1:12" ht="14.95" x14ac:dyDescent="0.25">
      <c r="A2" s="194"/>
      <c r="B2" s="194" t="s">
        <v>167</v>
      </c>
      <c r="C2" s="194" t="s">
        <v>0</v>
      </c>
      <c r="D2" s="194" t="s">
        <v>1</v>
      </c>
      <c r="E2" s="194" t="s">
        <v>2</v>
      </c>
      <c r="F2" s="194" t="s">
        <v>3</v>
      </c>
      <c r="G2" s="194" t="s">
        <v>84</v>
      </c>
      <c r="H2" s="194" t="s">
        <v>85</v>
      </c>
      <c r="I2" s="194" t="s">
        <v>4</v>
      </c>
      <c r="J2" s="194" t="s">
        <v>82</v>
      </c>
      <c r="K2" s="194" t="s">
        <v>83</v>
      </c>
      <c r="L2" s="195" t="s">
        <v>115</v>
      </c>
    </row>
    <row r="3" spans="1:12" ht="14.95" x14ac:dyDescent="0.25">
      <c r="A3" s="196" t="s">
        <v>22</v>
      </c>
      <c r="B3" s="197">
        <f>SUM(494+bthpremseasontotalsplayed)</f>
        <v>517</v>
      </c>
      <c r="C3" s="197">
        <f>SUM(275+bthpremseasontotalswon)</f>
        <v>298</v>
      </c>
      <c r="D3" s="197">
        <f>SUM(212+bthpremseasontotalslost)</f>
        <v>220</v>
      </c>
      <c r="E3" s="197">
        <f>SUM(19+bathdrawn)</f>
        <v>20</v>
      </c>
      <c r="F3" s="198">
        <f t="shared" ref="F3:F22" si="0">SUM(C3+E3*0.5)/B3</f>
        <v>0.5957446808510638</v>
      </c>
      <c r="G3" s="197">
        <f>SUM(11071+bthpremseasontotalsptsscored)</f>
        <v>11597</v>
      </c>
      <c r="H3" s="197">
        <f>SUM(9789+bthpremseasontotalsptsagainst)</f>
        <v>10281</v>
      </c>
      <c r="I3" s="197">
        <f t="shared" ref="I3:I22" si="1">SUM(G3-H3)</f>
        <v>1316</v>
      </c>
      <c r="J3" s="196">
        <f>SUM(1121+bthpremseasontotalstriesscored)</f>
        <v>1180</v>
      </c>
      <c r="K3" s="196">
        <f>SUM(963+bthpremseasontotalstriesconceded)</f>
        <v>1024</v>
      </c>
      <c r="L3" s="199">
        <f>SUM(55+bthpremseasontotalsdgs)</f>
        <v>55</v>
      </c>
    </row>
    <row r="4" spans="1:12" ht="14.95" x14ac:dyDescent="0.25">
      <c r="A4" s="193" t="s">
        <v>5</v>
      </c>
      <c r="B4" s="200">
        <v>48</v>
      </c>
      <c r="C4" s="200">
        <v>7</v>
      </c>
      <c r="D4" s="200">
        <v>41</v>
      </c>
      <c r="E4" s="200">
        <v>0</v>
      </c>
      <c r="F4" s="201">
        <f t="shared" si="0"/>
        <v>0.14583333333333334</v>
      </c>
      <c r="G4" s="200">
        <v>937</v>
      </c>
      <c r="H4" s="200">
        <v>1642</v>
      </c>
      <c r="I4" s="200">
        <f t="shared" si="1"/>
        <v>-705</v>
      </c>
      <c r="J4" s="200">
        <v>114</v>
      </c>
      <c r="K4" s="200">
        <v>203</v>
      </c>
      <c r="L4" s="202">
        <v>6</v>
      </c>
    </row>
    <row r="5" spans="1:12" ht="14.95" x14ac:dyDescent="0.25">
      <c r="A5" s="196" t="s">
        <v>6</v>
      </c>
      <c r="B5" s="197">
        <f>SUM(243+Bristolpremseasontotalsplayed)</f>
        <v>266</v>
      </c>
      <c r="C5" s="197">
        <f>SUM(82+Bristolpremseasontotalswon)</f>
        <v>96</v>
      </c>
      <c r="D5" s="197">
        <f>SUM(152+Bristolpremseasontotalslost)</f>
        <v>160</v>
      </c>
      <c r="E5" s="197">
        <f>SUM(9+Bristolpremseasontotalsdrawn)</f>
        <v>10</v>
      </c>
      <c r="F5" s="198">
        <f t="shared" si="0"/>
        <v>0.37969924812030076</v>
      </c>
      <c r="G5" s="197">
        <f>SUM(4903+Bristolpremseasontotalsptsscored)</f>
        <v>5488</v>
      </c>
      <c r="H5" s="197">
        <f>SUM(6354+Bristolpremseasontotalsptsagainst)</f>
        <v>6858</v>
      </c>
      <c r="I5" s="197">
        <f t="shared" si="1"/>
        <v>-1370</v>
      </c>
      <c r="J5" s="197">
        <f>SUM(490+Bristolpremseasontotalstriesscored)</f>
        <v>564</v>
      </c>
      <c r="K5" s="197">
        <f>SUM(708+Bristolpremseasontotalstriesconceded)</f>
        <v>766</v>
      </c>
      <c r="L5" s="411">
        <f>SUM(16+Bristolpremseasontotalsdgs)</f>
        <v>16</v>
      </c>
    </row>
    <row r="6" spans="1:12" ht="15.8" customHeight="1" x14ac:dyDescent="0.25">
      <c r="A6" s="196" t="s">
        <v>7</v>
      </c>
      <c r="B6" s="197">
        <f>SUM(206+Exepremtotalsplayed)</f>
        <v>230</v>
      </c>
      <c r="C6" s="197">
        <f>SUM(126+Exepremtotalswon)</f>
        <v>143</v>
      </c>
      <c r="D6" s="197">
        <f>SUM(76+Exepremtotalslost)</f>
        <v>83</v>
      </c>
      <c r="E6" s="197">
        <f>SUM(4+exeterpremdrawn)</f>
        <v>4</v>
      </c>
      <c r="F6" s="198">
        <f t="shared" si="0"/>
        <v>0.63043478260869568</v>
      </c>
      <c r="G6" s="197">
        <f>SUM(5212+Exepremtotalsptsscored)</f>
        <v>5896</v>
      </c>
      <c r="H6" s="197">
        <f>SUM(4017+Exepremtotalsptsagainst)</f>
        <v>4479</v>
      </c>
      <c r="I6" s="197">
        <f t="shared" si="1"/>
        <v>1417</v>
      </c>
      <c r="J6" s="196">
        <f>SUM(582+Exepremtotalstriesscored)</f>
        <v>671</v>
      </c>
      <c r="K6" s="196">
        <f>SUM(429+Exepremtotalstriesconceded)</f>
        <v>486</v>
      </c>
      <c r="L6" s="199">
        <f>SUM(5+Exepremtotalsdgs)</f>
        <v>5</v>
      </c>
    </row>
    <row r="7" spans="1:12" ht="14.95" x14ac:dyDescent="0.25">
      <c r="A7" s="196" t="s">
        <v>8</v>
      </c>
      <c r="B7" s="197">
        <f>SUM(494+gloucesterpremseasontotalsplayed)</f>
        <v>516</v>
      </c>
      <c r="C7" s="197">
        <f>SUM(256+gloucesterpremseasontotalswon)</f>
        <v>264</v>
      </c>
      <c r="D7" s="197">
        <f>SUM(220+gloucesterpremseasontotalslost)</f>
        <v>234</v>
      </c>
      <c r="E7" s="197">
        <f>SUM(18+gloucesterpremseasontotalsdrawn)</f>
        <v>18</v>
      </c>
      <c r="F7" s="198">
        <f t="shared" si="0"/>
        <v>0.52906976744186052</v>
      </c>
      <c r="G7" s="197">
        <f>SUM(11498+gloucesterpremseasontotalsptsscored)</f>
        <v>12013</v>
      </c>
      <c r="H7" s="197">
        <f>SUM(10838+gloucesterpremseasontotalsptsagainst)</f>
        <v>11351</v>
      </c>
      <c r="I7" s="197">
        <f t="shared" si="1"/>
        <v>662</v>
      </c>
      <c r="J7" s="196">
        <f>SUM(1189+gloucesterpremseasontotalstriesscored)</f>
        <v>1261</v>
      </c>
      <c r="K7" s="196">
        <f>SUM(1098+gloucesterpremseasontotalstriesconceded)</f>
        <v>1153</v>
      </c>
      <c r="L7" s="199">
        <f>SUM(52+gloucesterpremseasontotalsdgs)</f>
        <v>52</v>
      </c>
    </row>
    <row r="8" spans="1:12" ht="14.95" x14ac:dyDescent="0.25">
      <c r="A8" s="196" t="s">
        <v>9</v>
      </c>
      <c r="B8" s="197">
        <f>SUM(471+harlequinspremseasontotalsplayed)</f>
        <v>493</v>
      </c>
      <c r="C8" s="197">
        <f>SUM(219+harlequinspremseasontotalswon)</f>
        <v>229</v>
      </c>
      <c r="D8" s="197">
        <f>SUM(238+harlequinspremseasontotalslost)</f>
        <v>249</v>
      </c>
      <c r="E8" s="197">
        <f>SUM(14+harlequinspremseasontotalsdrawn)</f>
        <v>15</v>
      </c>
      <c r="F8" s="198">
        <f t="shared" si="0"/>
        <v>0.47971602434077076</v>
      </c>
      <c r="G8" s="197">
        <f>SUM(10461+harlequinspremseasontotalsptsscored)</f>
        <v>10978</v>
      </c>
      <c r="H8" s="197">
        <f>SUM(10756+harlequinspremseasontotalsptsagainst)</f>
        <v>11316</v>
      </c>
      <c r="I8" s="197">
        <f t="shared" si="1"/>
        <v>-338</v>
      </c>
      <c r="J8" s="196">
        <f>SUM(1070+harlequinspremseasontotalstriesscored)</f>
        <v>1133</v>
      </c>
      <c r="K8" s="196">
        <f>SUM(1104+harlequinspremseasontotalstriesconceded)</f>
        <v>1167</v>
      </c>
      <c r="L8" s="199">
        <f>SUM(50+harlequinspremseasontotalsdgs)</f>
        <v>51</v>
      </c>
    </row>
    <row r="9" spans="1:12" ht="14.95" x14ac:dyDescent="0.25">
      <c r="A9" s="196" t="s">
        <v>10</v>
      </c>
      <c r="B9" s="197">
        <f>SUM(509+leicesterpremseasontotalsplayed)</f>
        <v>531</v>
      </c>
      <c r="C9" s="197">
        <f>SUM(333+leicesterpremseasontotalswon)</f>
        <v>339</v>
      </c>
      <c r="D9" s="197">
        <f>SUM(154+leicesterpremseasontotalslost)</f>
        <v>169</v>
      </c>
      <c r="E9" s="197">
        <f>SUM(22+leicesterpremseasontotalsdrawn)</f>
        <v>23</v>
      </c>
      <c r="F9" s="198">
        <f t="shared" si="0"/>
        <v>0.660075329566855</v>
      </c>
      <c r="G9" s="197">
        <f>SUM(13001+leicesterpremseasontotalsptsscored)</f>
        <v>13375</v>
      </c>
      <c r="H9" s="197">
        <f>SUM(9725+leicesterpremseasontotalsptsagainst)</f>
        <v>10334</v>
      </c>
      <c r="I9" s="197">
        <f t="shared" si="1"/>
        <v>3041</v>
      </c>
      <c r="J9" s="196">
        <f>SUM(1361+leicesterpremseasontotalstriesscored)</f>
        <v>1396</v>
      </c>
      <c r="K9" s="196">
        <f>SUM(878+leicesterpremseasontotalstriesconceded)</f>
        <v>957</v>
      </c>
      <c r="L9" s="199">
        <f>SUM(50+leicesterpremseasontotalsdgs)</f>
        <v>52</v>
      </c>
    </row>
    <row r="10" spans="1:12" ht="14.95" x14ac:dyDescent="0.25">
      <c r="A10" s="196" t="s">
        <v>11</v>
      </c>
      <c r="B10" s="197">
        <f>447+Newcastlepremtotalsplayed</f>
        <v>469</v>
      </c>
      <c r="C10" s="197">
        <f>186+Newcastlepremtotalswon</f>
        <v>192</v>
      </c>
      <c r="D10" s="197">
        <f>247+Newcastlepremtotalslost</f>
        <v>262</v>
      </c>
      <c r="E10" s="197">
        <f>14+newcastlepremtotalsdrawn</f>
        <v>15</v>
      </c>
      <c r="F10" s="198">
        <f t="shared" si="0"/>
        <v>0.42537313432835822</v>
      </c>
      <c r="G10" s="197">
        <f>9485+Newcastlepremtotalsptsscored</f>
        <v>9871</v>
      </c>
      <c r="H10" s="197">
        <f>10281+Newcastlepremtotalsptsagainst</f>
        <v>10914</v>
      </c>
      <c r="I10" s="197">
        <f t="shared" si="1"/>
        <v>-1043</v>
      </c>
      <c r="J10" s="196">
        <f>895+Newcastlepremtotalstriesscored</f>
        <v>945</v>
      </c>
      <c r="K10" s="196">
        <f>1043+Newcastlepremtotalstriesconceded</f>
        <v>1131</v>
      </c>
      <c r="L10" s="199">
        <f>62+Newcastlepremtotalsdgs</f>
        <v>62</v>
      </c>
    </row>
    <row r="11" spans="1:12" ht="14.95" x14ac:dyDescent="0.25">
      <c r="A11" s="193" t="s">
        <v>12</v>
      </c>
      <c r="B11" s="200">
        <v>26</v>
      </c>
      <c r="C11" s="200">
        <v>8</v>
      </c>
      <c r="D11" s="200">
        <v>18</v>
      </c>
      <c r="E11" s="200">
        <v>0</v>
      </c>
      <c r="F11" s="201">
        <f t="shared" si="0"/>
        <v>0.30769230769230771</v>
      </c>
      <c r="G11" s="200">
        <v>491</v>
      </c>
      <c r="H11" s="200">
        <v>734</v>
      </c>
      <c r="I11" s="200">
        <f t="shared" si="1"/>
        <v>-243</v>
      </c>
      <c r="J11" s="200">
        <v>40</v>
      </c>
      <c r="K11" s="200">
        <v>85</v>
      </c>
      <c r="L11" s="202">
        <v>6</v>
      </c>
    </row>
    <row r="12" spans="1:12" ht="14.95" x14ac:dyDescent="0.25">
      <c r="A12" s="203" t="s">
        <v>13</v>
      </c>
      <c r="B12" s="204">
        <v>44</v>
      </c>
      <c r="C12" s="204">
        <v>5</v>
      </c>
      <c r="D12" s="204">
        <v>39</v>
      </c>
      <c r="E12" s="204">
        <v>0</v>
      </c>
      <c r="F12" s="205">
        <f t="shared" si="0"/>
        <v>0.11363636363636363</v>
      </c>
      <c r="G12" s="204">
        <v>635</v>
      </c>
      <c r="H12" s="204">
        <v>1640</v>
      </c>
      <c r="I12" s="204">
        <f t="shared" si="1"/>
        <v>-1005</v>
      </c>
      <c r="J12" s="204">
        <v>59</v>
      </c>
      <c r="K12" s="204">
        <v>214</v>
      </c>
      <c r="L12" s="206">
        <v>1</v>
      </c>
    </row>
    <row r="13" spans="1:12" ht="14.95" x14ac:dyDescent="0.25">
      <c r="A13" s="203" t="s">
        <v>14</v>
      </c>
      <c r="B13" s="204">
        <v>467</v>
      </c>
      <c r="C13" s="204">
        <v>179</v>
      </c>
      <c r="D13" s="204">
        <v>270</v>
      </c>
      <c r="E13" s="204">
        <v>18</v>
      </c>
      <c r="F13" s="205">
        <v>0.40256959314775159</v>
      </c>
      <c r="G13" s="204">
        <v>9119</v>
      </c>
      <c r="H13" s="204">
        <v>11129</v>
      </c>
      <c r="I13" s="204">
        <v>-2010</v>
      </c>
      <c r="J13" s="203">
        <v>929</v>
      </c>
      <c r="K13" s="203">
        <v>1199</v>
      </c>
      <c r="L13" s="412">
        <v>54</v>
      </c>
    </row>
    <row r="14" spans="1:12" ht="14.95" x14ac:dyDescent="0.25">
      <c r="A14" s="196" t="s">
        <v>15</v>
      </c>
      <c r="B14" s="197">
        <f>SUM(477+northamptonpremseasontotalsplayed)</f>
        <v>498</v>
      </c>
      <c r="C14" s="197">
        <f>SUM(262+northamptonpremseasontotalswon)</f>
        <v>270</v>
      </c>
      <c r="D14" s="197">
        <f>SUM(206+northamptonpremseasontotalslost)</f>
        <v>219</v>
      </c>
      <c r="E14" s="197">
        <f>SUM(9+northamptonpremseasontotalsdrawn)</f>
        <v>9</v>
      </c>
      <c r="F14" s="198">
        <f t="shared" si="0"/>
        <v>0.5512048192771084</v>
      </c>
      <c r="G14" s="197">
        <f>SUM(11067+northamptonpremseasontotalsptsscored)</f>
        <v>11505</v>
      </c>
      <c r="H14" s="197">
        <f>SUM(9734+northamptonpremseasontotalsptsagainst)</f>
        <v>10281</v>
      </c>
      <c r="I14" s="197">
        <f t="shared" si="1"/>
        <v>1224</v>
      </c>
      <c r="J14" s="196">
        <f>SUM(1178+northamptonpremseasontotalstriesscored)</f>
        <v>1230</v>
      </c>
      <c r="K14" s="196">
        <f>SUM(967+northamptonpremseasontotalstriesconceded)</f>
        <v>1036</v>
      </c>
      <c r="L14" s="199">
        <f>SUM(32+northamptonpremseasontotalsdgs)</f>
        <v>33</v>
      </c>
    </row>
    <row r="15" spans="1:12" ht="14.95" x14ac:dyDescent="0.25">
      <c r="A15" s="193" t="s">
        <v>16</v>
      </c>
      <c r="B15" s="200">
        <v>48</v>
      </c>
      <c r="C15" s="200">
        <v>23</v>
      </c>
      <c r="D15" s="200">
        <v>23</v>
      </c>
      <c r="E15" s="200">
        <v>2</v>
      </c>
      <c r="F15" s="201">
        <f t="shared" si="0"/>
        <v>0.5</v>
      </c>
      <c r="G15" s="200">
        <v>1327</v>
      </c>
      <c r="H15" s="200">
        <v>1214</v>
      </c>
      <c r="I15" s="200">
        <f t="shared" si="1"/>
        <v>113</v>
      </c>
      <c r="J15" s="200">
        <v>177</v>
      </c>
      <c r="K15" s="200">
        <v>125</v>
      </c>
      <c r="L15" s="202">
        <v>1</v>
      </c>
    </row>
    <row r="16" spans="1:12" ht="14.95" x14ac:dyDescent="0.25">
      <c r="A16" s="193" t="s">
        <v>17</v>
      </c>
      <c r="B16" s="200">
        <v>44</v>
      </c>
      <c r="C16" s="200">
        <v>2</v>
      </c>
      <c r="D16" s="200">
        <v>42</v>
      </c>
      <c r="E16" s="200">
        <v>0</v>
      </c>
      <c r="F16" s="201">
        <f t="shared" si="0"/>
        <v>4.5454545454545456E-2</v>
      </c>
      <c r="G16" s="200">
        <v>644</v>
      </c>
      <c r="H16" s="200">
        <v>1583</v>
      </c>
      <c r="I16" s="200">
        <f t="shared" si="1"/>
        <v>-939</v>
      </c>
      <c r="J16" s="200">
        <v>61</v>
      </c>
      <c r="K16" s="200">
        <v>193</v>
      </c>
      <c r="L16" s="202">
        <v>2</v>
      </c>
    </row>
    <row r="17" spans="1:12" ht="14.95" x14ac:dyDescent="0.25">
      <c r="A17" s="196" t="s">
        <v>18</v>
      </c>
      <c r="B17" s="197">
        <f>SUM(491+salepremseasontotalsplayed)</f>
        <v>512</v>
      </c>
      <c r="C17" s="197">
        <f>SUM(226+salepremseasontotalswon)</f>
        <v>239</v>
      </c>
      <c r="D17" s="197">
        <f>SUM(245+salepremseasontotalslost)</f>
        <v>253</v>
      </c>
      <c r="E17" s="197">
        <f>SUM(20+salepremseasontotalsdrawn)</f>
        <v>20</v>
      </c>
      <c r="F17" s="198">
        <f t="shared" si="0"/>
        <v>0.486328125</v>
      </c>
      <c r="G17" s="197">
        <f>SUM(10792+salepremptsscored)</f>
        <v>11338</v>
      </c>
      <c r="H17" s="197">
        <f>SUM(11465+salepremptsdagainst)</f>
        <v>11840</v>
      </c>
      <c r="I17" s="197">
        <f t="shared" si="1"/>
        <v>-502</v>
      </c>
      <c r="J17" s="196">
        <f>SUM(1131+salepremseasontotalstriesscored)</f>
        <v>1200</v>
      </c>
      <c r="K17" s="196">
        <f>SUM(1185+salepremseasontotalstriesconceded)</f>
        <v>1227</v>
      </c>
      <c r="L17" s="199">
        <f>SUM(74+salepremseasontotalsdgs)</f>
        <v>76</v>
      </c>
    </row>
    <row r="18" spans="1:12" ht="14.95" x14ac:dyDescent="0.25">
      <c r="A18" s="196" t="s">
        <v>19</v>
      </c>
      <c r="B18" s="197">
        <f>SUM(506+Sarpremtotalsplayed)</f>
        <v>528</v>
      </c>
      <c r="C18" s="197">
        <f>SUM(311+Sarpremtotalswon)</f>
        <v>324</v>
      </c>
      <c r="D18" s="197">
        <f>SUM(181+Sarpremtotalslost)</f>
        <v>189</v>
      </c>
      <c r="E18" s="197">
        <f>SUM(14+saracenspremtotalsdrawn)</f>
        <v>15</v>
      </c>
      <c r="F18" s="198">
        <f t="shared" si="0"/>
        <v>0.62784090909090906</v>
      </c>
      <c r="G18" s="197">
        <f>SUM(12590+Sarpremtotalsptsscored)</f>
        <v>13173</v>
      </c>
      <c r="H18" s="197">
        <f>SUM(10146+Sarpremtotalsptsagainst)</f>
        <v>10607</v>
      </c>
      <c r="I18" s="197">
        <f t="shared" si="1"/>
        <v>2566</v>
      </c>
      <c r="J18" s="196">
        <f>SUM(1269+Sarpremtotalstriesscored)</f>
        <v>1341</v>
      </c>
      <c r="K18" s="196">
        <f>SUM(988+Sarpremtotalstriesconceded)</f>
        <v>1043</v>
      </c>
      <c r="L18" s="199">
        <f>SUM(64+Sarpremtotalsdgs)</f>
        <v>64</v>
      </c>
    </row>
    <row r="19" spans="1:12" ht="14.95" x14ac:dyDescent="0.25">
      <c r="A19" s="196" t="s">
        <v>106</v>
      </c>
      <c r="B19" s="197">
        <f>501+Waspspremtotalsplayed</f>
        <v>525</v>
      </c>
      <c r="C19" s="197">
        <f>277+Waspspremtotalswon</f>
        <v>292</v>
      </c>
      <c r="D19" s="197">
        <f>207+Waspspremtotalslost</f>
        <v>216</v>
      </c>
      <c r="E19" s="197">
        <f>17+waspspremtotalsdrawn</f>
        <v>17</v>
      </c>
      <c r="F19" s="198">
        <v>0.57515657620041749</v>
      </c>
      <c r="G19" s="197">
        <f>12347+Waspspremtotalsptsscored</f>
        <v>13069</v>
      </c>
      <c r="H19" s="197">
        <f>10767+Waspspremtotalsptsagainst</f>
        <v>11307</v>
      </c>
      <c r="I19" s="197">
        <f t="shared" si="1"/>
        <v>1762</v>
      </c>
      <c r="J19" s="196">
        <f>1303+Waspspremtotalstriesscored</f>
        <v>1390</v>
      </c>
      <c r="K19" s="196">
        <f>1050+Waspspremtotalstriesconceded</f>
        <v>1113</v>
      </c>
      <c r="L19" s="199">
        <f>67+Waspspremtotalsdgs</f>
        <v>68</v>
      </c>
    </row>
    <row r="20" spans="1:12" ht="14.95" x14ac:dyDescent="0.25">
      <c r="A20" s="193" t="s">
        <v>20</v>
      </c>
      <c r="B20" s="200">
        <v>26</v>
      </c>
      <c r="C20" s="200">
        <v>3</v>
      </c>
      <c r="D20" s="200">
        <v>22</v>
      </c>
      <c r="E20" s="200">
        <v>1</v>
      </c>
      <c r="F20" s="201">
        <f t="shared" si="0"/>
        <v>0.13461538461538461</v>
      </c>
      <c r="G20" s="200">
        <v>501</v>
      </c>
      <c r="H20" s="200">
        <v>1007</v>
      </c>
      <c r="I20" s="200">
        <f t="shared" si="1"/>
        <v>-506</v>
      </c>
      <c r="J20" s="200">
        <v>50</v>
      </c>
      <c r="K20" s="200">
        <v>134</v>
      </c>
      <c r="L20" s="202">
        <v>2</v>
      </c>
    </row>
    <row r="21" spans="1:12" ht="14.95" x14ac:dyDescent="0.25">
      <c r="A21" s="196" t="s">
        <v>21</v>
      </c>
      <c r="B21" s="197">
        <f>286+worcesterpremseasontotalsplayed</f>
        <v>307</v>
      </c>
      <c r="C21" s="197">
        <f>82+worcesterpremseasontotalswon</f>
        <v>89</v>
      </c>
      <c r="D21" s="197">
        <f>190+worcesterpremseasontotalslost</f>
        <v>204</v>
      </c>
      <c r="E21" s="197">
        <f>14+worcesterpremseasontotalsdrawn</f>
        <v>14</v>
      </c>
      <c r="F21" s="198">
        <f t="shared" si="0"/>
        <v>0.31270358306188922</v>
      </c>
      <c r="G21" s="197">
        <f>5087+worcesterpremseasontotalsptsscored</f>
        <v>5465</v>
      </c>
      <c r="H21" s="197">
        <f>6861+worcesterpremseasontotalsptsagainst</f>
        <v>7439</v>
      </c>
      <c r="I21" s="197">
        <f t="shared" si="1"/>
        <v>-1974</v>
      </c>
      <c r="J21" s="196">
        <f>511+worcesterpremseasontotalstriesscoredcorrect</f>
        <v>553</v>
      </c>
      <c r="K21" s="196">
        <f>763+worcesterpremseasontotalstriesconceded</f>
        <v>841</v>
      </c>
      <c r="L21" s="199">
        <f>29+worcesterpremseasontotalsdgs</f>
        <v>29</v>
      </c>
    </row>
    <row r="22" spans="1:12" ht="14.95" x14ac:dyDescent="0.25">
      <c r="A22" s="193" t="s">
        <v>143</v>
      </c>
      <c r="B22" s="200">
        <v>176</v>
      </c>
      <c r="C22" s="200">
        <v>52</v>
      </c>
      <c r="D22" s="200">
        <v>119</v>
      </c>
      <c r="E22" s="200">
        <v>5</v>
      </c>
      <c r="F22" s="201">
        <f t="shared" si="0"/>
        <v>0.30965909090909088</v>
      </c>
      <c r="G22" s="200">
        <v>3010</v>
      </c>
      <c r="H22" s="200">
        <v>4496</v>
      </c>
      <c r="I22" s="200">
        <f t="shared" si="1"/>
        <v>-1486</v>
      </c>
      <c r="J22" s="200">
        <v>273</v>
      </c>
      <c r="K22" s="200">
        <v>474</v>
      </c>
      <c r="L22" s="202">
        <v>28</v>
      </c>
    </row>
    <row r="23" spans="1:12" ht="14.95" x14ac:dyDescent="0.25">
      <c r="A23" s="207" t="s">
        <v>59</v>
      </c>
      <c r="B23" s="153">
        <f>SUM(B3:B22)/2</f>
        <v>3135.5</v>
      </c>
      <c r="C23" s="153">
        <f>SUM(C3:C22)/2</f>
        <v>1527</v>
      </c>
      <c r="D23" s="153">
        <f>SUM(D3:D22)/2</f>
        <v>1516</v>
      </c>
      <c r="E23" s="102">
        <f>SUM(E3:E22)/2</f>
        <v>103</v>
      </c>
      <c r="F23" s="208" t="s">
        <v>77</v>
      </c>
      <c r="G23" s="102">
        <f>SUM(G3:G22)</f>
        <v>140432</v>
      </c>
      <c r="H23" s="102">
        <f>SUM(H3:H22)</f>
        <v>140452</v>
      </c>
      <c r="I23" s="208" t="s">
        <v>77</v>
      </c>
      <c r="J23" s="102">
        <f>SUM(J3:J22)</f>
        <v>14567</v>
      </c>
      <c r="K23" s="102">
        <f>SUM(K3:K22)</f>
        <v>14571</v>
      </c>
      <c r="L23" s="208">
        <f>SUM(L3:L22)</f>
        <v>663</v>
      </c>
    </row>
    <row r="24" spans="1:12" ht="14.95" x14ac:dyDescent="0.25">
      <c r="A24" s="102" t="s">
        <v>1033</v>
      </c>
      <c r="B24" s="193"/>
      <c r="C24" s="193"/>
      <c r="D24" s="193"/>
      <c r="E24" s="193"/>
      <c r="F24" s="193"/>
      <c r="G24" s="193"/>
      <c r="H24" s="193"/>
      <c r="I24" s="193"/>
      <c r="J24" s="193"/>
      <c r="K24" s="193"/>
      <c r="L24" s="209"/>
    </row>
    <row r="25" spans="1:12" ht="14.95" x14ac:dyDescent="0.25">
      <c r="A25" s="100" t="s">
        <v>87</v>
      </c>
      <c r="L25" s="192"/>
    </row>
    <row r="26" spans="1:12" ht="14.95" x14ac:dyDescent="0.25">
      <c r="A26" s="184" t="s">
        <v>179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1"/>
    </row>
    <row r="27" spans="1:12" ht="14.95" x14ac:dyDescent="0.25">
      <c r="A27" s="212"/>
      <c r="B27" s="212" t="s">
        <v>167</v>
      </c>
      <c r="C27" s="212" t="s">
        <v>0</v>
      </c>
      <c r="D27" s="212" t="s">
        <v>1</v>
      </c>
      <c r="E27" s="212" t="s">
        <v>2</v>
      </c>
      <c r="F27" s="212" t="s">
        <v>3</v>
      </c>
      <c r="G27" s="212" t="s">
        <v>84</v>
      </c>
      <c r="H27" s="212" t="s">
        <v>85</v>
      </c>
      <c r="I27" s="212" t="s">
        <v>4</v>
      </c>
      <c r="J27" s="212" t="s">
        <v>82</v>
      </c>
      <c r="K27" s="212" t="s">
        <v>83</v>
      </c>
      <c r="L27" s="213" t="s">
        <v>115</v>
      </c>
    </row>
    <row r="28" spans="1:12" ht="14.95" x14ac:dyDescent="0.25">
      <c r="A28" s="220" t="s">
        <v>22</v>
      </c>
      <c r="B28" s="221">
        <f>SUM(97+btheuropeseasontotalsplayed)</f>
        <v>103</v>
      </c>
      <c r="C28" s="221">
        <f>SUM(54+btheuropeseasontotalswon)</f>
        <v>54</v>
      </c>
      <c r="D28" s="221">
        <f>SUM(41+btheuropeseasontotalslost)</f>
        <v>47</v>
      </c>
      <c r="E28" s="221">
        <f>SUM(2+btheuropeseasontotalsdrawn)</f>
        <v>2</v>
      </c>
      <c r="F28" s="222">
        <f t="shared" ref="F28:F47" si="2">SUM(C28+E28*0.5)/B28</f>
        <v>0.53398058252427183</v>
      </c>
      <c r="G28" s="221">
        <f>SUM(2176+btheuropeseasontotalsptsscored)</f>
        <v>2278</v>
      </c>
      <c r="H28" s="221">
        <f>SUM(1831+btheuropeseasontotalsptsagainst)</f>
        <v>1996</v>
      </c>
      <c r="I28" s="221">
        <f t="shared" ref="I28:I47" si="3">SUM(G28-H28)</f>
        <v>282</v>
      </c>
      <c r="J28" s="220">
        <f>SUM(218+btheuropeseasontotalstriesscored)</f>
        <v>230</v>
      </c>
      <c r="K28" s="220">
        <f>SUM(161+btheuropeseasontotalstriesconceded)</f>
        <v>181</v>
      </c>
      <c r="L28" s="223">
        <f>SUM(11+btheuropeseasontotalsdgs)</f>
        <v>11</v>
      </c>
    </row>
    <row r="29" spans="1:12" ht="15.8" customHeight="1" x14ac:dyDescent="0.25">
      <c r="A29" s="210" t="s">
        <v>5</v>
      </c>
      <c r="B29" s="218">
        <v>0</v>
      </c>
      <c r="C29" s="218">
        <v>0</v>
      </c>
      <c r="D29" s="218">
        <v>0</v>
      </c>
      <c r="E29" s="218">
        <v>0</v>
      </c>
      <c r="F29" s="288" t="s">
        <v>77</v>
      </c>
      <c r="G29" s="218">
        <v>0</v>
      </c>
      <c r="H29" s="218">
        <v>0</v>
      </c>
      <c r="I29" s="218">
        <f t="shared" si="3"/>
        <v>0</v>
      </c>
      <c r="J29" s="218">
        <v>0</v>
      </c>
      <c r="K29" s="218">
        <v>0</v>
      </c>
      <c r="L29" s="219">
        <v>0</v>
      </c>
    </row>
    <row r="30" spans="1:12" ht="14.95" x14ac:dyDescent="0.25">
      <c r="A30" s="214" t="s">
        <v>6</v>
      </c>
      <c r="B30" s="215">
        <v>12</v>
      </c>
      <c r="C30" s="215">
        <v>6</v>
      </c>
      <c r="D30" s="215">
        <v>6</v>
      </c>
      <c r="E30" s="215">
        <v>0</v>
      </c>
      <c r="F30" s="290">
        <f t="shared" si="2"/>
        <v>0.5</v>
      </c>
      <c r="G30" s="215">
        <v>232</v>
      </c>
      <c r="H30" s="215">
        <v>224</v>
      </c>
      <c r="I30" s="215">
        <f t="shared" si="3"/>
        <v>8</v>
      </c>
      <c r="J30" s="215">
        <v>25</v>
      </c>
      <c r="K30" s="215">
        <v>26</v>
      </c>
      <c r="L30" s="224">
        <v>0</v>
      </c>
    </row>
    <row r="31" spans="1:12" ht="14.95" x14ac:dyDescent="0.25">
      <c r="A31" s="220" t="s">
        <v>7</v>
      </c>
      <c r="B31" s="221">
        <f>37+exetereuropeseasontotalsplayed</f>
        <v>46</v>
      </c>
      <c r="C31" s="221">
        <f>14+exetereuropeseasontotalswon</f>
        <v>22</v>
      </c>
      <c r="D31" s="221">
        <f>22+exetereuropeseasontotalslost</f>
        <v>22</v>
      </c>
      <c r="E31" s="221">
        <f>1+Exechampscupdrawn</f>
        <v>2</v>
      </c>
      <c r="F31" s="289">
        <f t="shared" si="2"/>
        <v>0.5</v>
      </c>
      <c r="G31" s="221">
        <f>755+exetereuropeseasontotalsptsscored</f>
        <v>1038</v>
      </c>
      <c r="H31" s="221">
        <f>832+exetereuropeseasontotalsptsagainst</f>
        <v>997</v>
      </c>
      <c r="I31" s="221">
        <f t="shared" si="3"/>
        <v>41</v>
      </c>
      <c r="J31" s="220">
        <f>87+exetereuropeseasontotalstriesscored</f>
        <v>125</v>
      </c>
      <c r="K31" s="220">
        <f>96+exetereuropeseasontotalstriesconceded</f>
        <v>118</v>
      </c>
      <c r="L31" s="223">
        <f>1+exetereuropeseasontotalsdgs</f>
        <v>1</v>
      </c>
    </row>
    <row r="32" spans="1:12" x14ac:dyDescent="0.25">
      <c r="A32" s="220" t="s">
        <v>8</v>
      </c>
      <c r="B32" s="221">
        <f>70+gloucestereuropeseasontotalsplayed</f>
        <v>76</v>
      </c>
      <c r="C32" s="221">
        <f>40+gloucestereuropeseasontotalswon</f>
        <v>42</v>
      </c>
      <c r="D32" s="221">
        <f>29+gloucestereuropeseasontotalslost</f>
        <v>33</v>
      </c>
      <c r="E32" s="221">
        <f>1+gloucestereuropeseasontotalsdrawn</f>
        <v>1</v>
      </c>
      <c r="F32" s="289">
        <f t="shared" si="2"/>
        <v>0.55921052631578949</v>
      </c>
      <c r="G32" s="221">
        <f>1767+gloucestereuropeseasontotalsptsscored</f>
        <v>1907</v>
      </c>
      <c r="H32" s="221">
        <f>1492+gloucestereuropeseasontotalsptsagainst</f>
        <v>1632</v>
      </c>
      <c r="I32" s="221">
        <f t="shared" si="3"/>
        <v>275</v>
      </c>
      <c r="J32" s="220">
        <f>190+gloucestereuropeseasontotalstriesscored</f>
        <v>209</v>
      </c>
      <c r="K32" s="220">
        <f>155+gloucestereuropeseasontotalstriesconceded</f>
        <v>169</v>
      </c>
      <c r="L32" s="223">
        <f>6+gloucestereuropeseasontotalsdgs</f>
        <v>6</v>
      </c>
    </row>
    <row r="33" spans="1:12" x14ac:dyDescent="0.25">
      <c r="A33" s="220" t="s">
        <v>9</v>
      </c>
      <c r="B33" s="221">
        <f>80+harlequinseuropeseasontotalsplayed</f>
        <v>86</v>
      </c>
      <c r="C33" s="221">
        <f>33+harlequinseuropeseasontotalswon</f>
        <v>35</v>
      </c>
      <c r="D33" s="221">
        <f>44+harlequinseuropeseasontotalslost</f>
        <v>48</v>
      </c>
      <c r="E33" s="221">
        <f>3+harlequinseuropeseasontotalsdrawn</f>
        <v>3</v>
      </c>
      <c r="F33" s="289">
        <f t="shared" si="2"/>
        <v>0.42441860465116277</v>
      </c>
      <c r="G33" s="221">
        <f>1729+harlequinseuropeseasontotalsptsscored</f>
        <v>1843</v>
      </c>
      <c r="H33" s="221">
        <f>1836+harlequinseuropeseasontotalsptsagainst</f>
        <v>2002</v>
      </c>
      <c r="I33" s="221">
        <f t="shared" si="3"/>
        <v>-159</v>
      </c>
      <c r="J33" s="220">
        <f>189+harlequinseuropeseasontotalstriesscored</f>
        <v>189</v>
      </c>
      <c r="K33" s="220">
        <f>182+harlequinseuropeseasontotalstriesconceded</f>
        <v>202</v>
      </c>
      <c r="L33" s="223">
        <f>8+harlequinseuropeseasontotalsdgscorrect</f>
        <v>8</v>
      </c>
    </row>
    <row r="34" spans="1:12" x14ac:dyDescent="0.25">
      <c r="A34" s="214" t="s">
        <v>10</v>
      </c>
      <c r="B34" s="215">
        <v>156</v>
      </c>
      <c r="C34" s="215">
        <v>94</v>
      </c>
      <c r="D34" s="215">
        <v>57</v>
      </c>
      <c r="E34" s="215">
        <v>5</v>
      </c>
      <c r="F34" s="290">
        <f t="shared" si="2"/>
        <v>0.61858974358974361</v>
      </c>
      <c r="G34" s="215">
        <v>3982</v>
      </c>
      <c r="H34" s="215">
        <v>2975</v>
      </c>
      <c r="I34" s="215">
        <f t="shared" si="3"/>
        <v>1007</v>
      </c>
      <c r="J34" s="214">
        <v>436</v>
      </c>
      <c r="K34" s="214">
        <v>265</v>
      </c>
      <c r="L34" s="217">
        <v>15</v>
      </c>
    </row>
    <row r="35" spans="1:12" x14ac:dyDescent="0.25">
      <c r="A35" s="214" t="s">
        <v>11</v>
      </c>
      <c r="B35" s="215">
        <v>38</v>
      </c>
      <c r="C35" s="215">
        <v>16</v>
      </c>
      <c r="D35" s="215">
        <v>21</v>
      </c>
      <c r="E35" s="215">
        <v>1</v>
      </c>
      <c r="F35" s="290">
        <f t="shared" si="2"/>
        <v>0.43421052631578949</v>
      </c>
      <c r="G35" s="215">
        <v>862</v>
      </c>
      <c r="H35" s="215">
        <v>779</v>
      </c>
      <c r="I35" s="215">
        <f t="shared" si="3"/>
        <v>83</v>
      </c>
      <c r="J35" s="214">
        <v>87</v>
      </c>
      <c r="K35" s="214">
        <v>76</v>
      </c>
      <c r="L35" s="217">
        <v>5</v>
      </c>
    </row>
    <row r="36" spans="1:12" x14ac:dyDescent="0.25">
      <c r="A36" s="210" t="s">
        <v>12</v>
      </c>
      <c r="B36" s="218">
        <v>0</v>
      </c>
      <c r="C36" s="218">
        <v>0</v>
      </c>
      <c r="D36" s="218">
        <v>0</v>
      </c>
      <c r="E36" s="218">
        <v>0</v>
      </c>
      <c r="F36" s="288" t="s">
        <v>77</v>
      </c>
      <c r="G36" s="218">
        <v>0</v>
      </c>
      <c r="H36" s="218">
        <v>0</v>
      </c>
      <c r="I36" s="218">
        <f t="shared" si="3"/>
        <v>0</v>
      </c>
      <c r="J36" s="218">
        <v>0</v>
      </c>
      <c r="K36" s="218">
        <v>0</v>
      </c>
      <c r="L36" s="219">
        <v>0</v>
      </c>
    </row>
    <row r="37" spans="1:12" x14ac:dyDescent="0.25">
      <c r="A37" s="214" t="s">
        <v>13</v>
      </c>
      <c r="B37" s="215">
        <v>0</v>
      </c>
      <c r="C37" s="215">
        <v>0</v>
      </c>
      <c r="D37" s="215">
        <v>0</v>
      </c>
      <c r="E37" s="215">
        <v>0</v>
      </c>
      <c r="F37" s="288" t="s">
        <v>77</v>
      </c>
      <c r="G37" s="215">
        <v>0</v>
      </c>
      <c r="H37" s="215">
        <v>0</v>
      </c>
      <c r="I37" s="215">
        <f t="shared" si="3"/>
        <v>0</v>
      </c>
      <c r="J37" s="215">
        <v>0</v>
      </c>
      <c r="K37" s="215">
        <v>0</v>
      </c>
      <c r="L37" s="224">
        <v>0</v>
      </c>
    </row>
    <row r="38" spans="1:12" x14ac:dyDescent="0.25">
      <c r="A38" s="214" t="s">
        <v>14</v>
      </c>
      <c r="B38" s="215">
        <v>19</v>
      </c>
      <c r="C38" s="215">
        <v>8</v>
      </c>
      <c r="D38" s="215">
        <v>11</v>
      </c>
      <c r="E38" s="215">
        <f>0+newcastleeuropeseasontotalsdrawn</f>
        <v>0</v>
      </c>
      <c r="F38" s="290">
        <f t="shared" si="2"/>
        <v>0.42105263157894735</v>
      </c>
      <c r="G38" s="215">
        <v>340</v>
      </c>
      <c r="H38" s="215">
        <v>495</v>
      </c>
      <c r="I38" s="215">
        <f t="shared" si="3"/>
        <v>-155</v>
      </c>
      <c r="J38" s="214">
        <v>29</v>
      </c>
      <c r="K38" s="214">
        <v>59</v>
      </c>
      <c r="L38" s="217">
        <v>3</v>
      </c>
    </row>
    <row r="39" spans="1:12" x14ac:dyDescent="0.25">
      <c r="A39" s="220" t="s">
        <v>15</v>
      </c>
      <c r="B39" s="221">
        <f>109+northamptoneuropeseasontotalsplayed</f>
        <v>116</v>
      </c>
      <c r="C39" s="221">
        <f>61+northamptoneuropeseasontotalswon</f>
        <v>65</v>
      </c>
      <c r="D39" s="221">
        <f>47+northamptoneuropeseasontotalslost</f>
        <v>50</v>
      </c>
      <c r="E39" s="221">
        <f>1+northamptoneuropeseasontotalsdrawn</f>
        <v>1</v>
      </c>
      <c r="F39" s="289">
        <v>0.56422018348623848</v>
      </c>
      <c r="G39" s="221">
        <f>2399+northamptoneuropeseasontotalsptsscored</f>
        <v>2580</v>
      </c>
      <c r="H39" s="221">
        <f>2211+northamptoneuropeseasontotalsptsagainst</f>
        <v>2432</v>
      </c>
      <c r="I39" s="221">
        <v>188</v>
      </c>
      <c r="J39" s="220">
        <f>263+northamptoneuropeseasontotalstriesscored</f>
        <v>284</v>
      </c>
      <c r="K39" s="220">
        <f>221+northamptoneuropeseasontotalstriesconceded</f>
        <v>251</v>
      </c>
      <c r="L39" s="223">
        <f>7+northamptoneuropeseasontotalsdgs</f>
        <v>7</v>
      </c>
    </row>
    <row r="40" spans="1:12" x14ac:dyDescent="0.25">
      <c r="A40" s="210" t="s">
        <v>16</v>
      </c>
      <c r="B40" s="218">
        <v>48</v>
      </c>
      <c r="C40" s="218">
        <v>23</v>
      </c>
      <c r="D40" s="218">
        <v>23</v>
      </c>
      <c r="E40" s="218">
        <v>2</v>
      </c>
      <c r="F40" s="288">
        <f t="shared" si="2"/>
        <v>0.5</v>
      </c>
      <c r="G40" s="218">
        <v>1327</v>
      </c>
      <c r="H40" s="218">
        <v>1214</v>
      </c>
      <c r="I40" s="218">
        <f t="shared" si="3"/>
        <v>113</v>
      </c>
      <c r="J40" s="218">
        <v>177</v>
      </c>
      <c r="K40" s="218">
        <v>125</v>
      </c>
      <c r="L40" s="219">
        <v>1</v>
      </c>
    </row>
    <row r="41" spans="1:12" x14ac:dyDescent="0.25">
      <c r="A41" s="210" t="s">
        <v>17</v>
      </c>
      <c r="B41" s="218">
        <v>44</v>
      </c>
      <c r="C41" s="218">
        <v>2</v>
      </c>
      <c r="D41" s="218">
        <v>42</v>
      </c>
      <c r="E41" s="218">
        <v>0</v>
      </c>
      <c r="F41" s="288">
        <f t="shared" si="2"/>
        <v>4.5454545454545456E-2</v>
      </c>
      <c r="G41" s="218">
        <v>644</v>
      </c>
      <c r="H41" s="218">
        <v>1583</v>
      </c>
      <c r="I41" s="218">
        <f t="shared" si="3"/>
        <v>-939</v>
      </c>
      <c r="J41" s="218">
        <v>61</v>
      </c>
      <c r="K41" s="218">
        <v>193</v>
      </c>
      <c r="L41" s="219">
        <v>2</v>
      </c>
    </row>
    <row r="42" spans="1:12" x14ac:dyDescent="0.25">
      <c r="A42" s="220" t="s">
        <v>18</v>
      </c>
      <c r="B42" s="221">
        <f>55+saleeuropeseasontotalsplayed</f>
        <v>61</v>
      </c>
      <c r="C42" s="221">
        <f>19+saleeuropeseasontotalswon</f>
        <v>20</v>
      </c>
      <c r="D42" s="221">
        <f>36+saleeuropeseasontotalslost</f>
        <v>41</v>
      </c>
      <c r="E42" s="221">
        <f>0+saleeuropeseasontotalsdrawn</f>
        <v>0</v>
      </c>
      <c r="F42" s="289">
        <v>0.34545454545454546</v>
      </c>
      <c r="G42" s="221">
        <f>998+saleeuropeseasontotalsptsscorewd</f>
        <v>1090</v>
      </c>
      <c r="H42" s="221">
        <f>1294+saleeuropeseasontotalsptsagainst</f>
        <v>1454</v>
      </c>
      <c r="I42" s="221">
        <v>-296</v>
      </c>
      <c r="J42" s="220">
        <f>106+saleeuropeseasontotalstriesscored</f>
        <v>117</v>
      </c>
      <c r="K42" s="220">
        <f>139+saleeuropeseasontotalstriesconceded</f>
        <v>160</v>
      </c>
      <c r="L42" s="223">
        <f>4+saleeuropeseasontotalsdgs</f>
        <v>4</v>
      </c>
    </row>
    <row r="43" spans="1:12" x14ac:dyDescent="0.25">
      <c r="A43" s="220" t="s">
        <v>19</v>
      </c>
      <c r="B43" s="221">
        <f>98+saracenseuropeseasontotalsplayed</f>
        <v>106</v>
      </c>
      <c r="C43" s="221">
        <f>69+saracenseuropeseasontotalswon</f>
        <v>74</v>
      </c>
      <c r="D43" s="221">
        <f>27+saracenseuropeseasontotalslost</f>
        <v>30</v>
      </c>
      <c r="E43" s="221">
        <f>2+saracenseuropeseasontotalsdrawn</f>
        <v>2</v>
      </c>
      <c r="F43" s="289">
        <v>0.6853932584269663</v>
      </c>
      <c r="G43" s="221">
        <f>2760+saracenseuropeseasontotalsptsscored</f>
        <v>2921</v>
      </c>
      <c r="H43" s="221">
        <f>1768+saracenseuropeseasontotalsptsagainst</f>
        <v>1892</v>
      </c>
      <c r="I43" s="221">
        <f t="shared" si="3"/>
        <v>1029</v>
      </c>
      <c r="J43" s="220">
        <f>290+saracenseuropeseasontotalstriesscored</f>
        <v>304</v>
      </c>
      <c r="K43" s="220">
        <f>164+saracenseuropeseasontotalstriesconceded</f>
        <v>177</v>
      </c>
      <c r="L43" s="223">
        <f>9+saracenseuropeseasontotalsdgs</f>
        <v>9</v>
      </c>
    </row>
    <row r="44" spans="1:12" x14ac:dyDescent="0.25">
      <c r="A44" s="214" t="s">
        <v>106</v>
      </c>
      <c r="B44" s="215">
        <v>112</v>
      </c>
      <c r="C44" s="215">
        <v>66</v>
      </c>
      <c r="D44" s="215">
        <v>42</v>
      </c>
      <c r="E44" s="215">
        <v>4</v>
      </c>
      <c r="F44" s="290">
        <v>0.6367924528301887</v>
      </c>
      <c r="G44" s="215">
        <v>3122</v>
      </c>
      <c r="H44" s="215">
        <v>2285</v>
      </c>
      <c r="I44" s="215">
        <f t="shared" si="3"/>
        <v>837</v>
      </c>
      <c r="J44" s="214">
        <v>353</v>
      </c>
      <c r="K44" s="214">
        <v>222</v>
      </c>
      <c r="L44" s="217">
        <v>22</v>
      </c>
    </row>
    <row r="45" spans="1:12" x14ac:dyDescent="0.25">
      <c r="A45" s="210" t="s">
        <v>20</v>
      </c>
      <c r="B45" s="218">
        <v>0</v>
      </c>
      <c r="C45" s="218">
        <v>0</v>
      </c>
      <c r="D45" s="218">
        <v>0</v>
      </c>
      <c r="E45" s="218">
        <v>0</v>
      </c>
      <c r="F45" s="288" t="s">
        <v>77</v>
      </c>
      <c r="G45" s="218">
        <v>0</v>
      </c>
      <c r="H45" s="218">
        <v>0</v>
      </c>
      <c r="I45" s="218">
        <f t="shared" si="3"/>
        <v>0</v>
      </c>
      <c r="J45" s="218">
        <v>0</v>
      </c>
      <c r="K45" s="218">
        <v>0</v>
      </c>
      <c r="L45" s="219">
        <v>0</v>
      </c>
    </row>
    <row r="46" spans="1:12" x14ac:dyDescent="0.25">
      <c r="A46" s="214" t="s">
        <v>21</v>
      </c>
      <c r="B46" s="215">
        <v>0</v>
      </c>
      <c r="C46" s="215">
        <v>0</v>
      </c>
      <c r="D46" s="215">
        <v>0</v>
      </c>
      <c r="E46" s="215">
        <v>0</v>
      </c>
      <c r="F46" s="288" t="s">
        <v>77</v>
      </c>
      <c r="G46" s="215">
        <v>0</v>
      </c>
      <c r="H46" s="215">
        <v>0</v>
      </c>
      <c r="I46" s="215">
        <f t="shared" si="3"/>
        <v>0</v>
      </c>
      <c r="J46" s="214">
        <v>0</v>
      </c>
      <c r="K46" s="214">
        <v>0</v>
      </c>
      <c r="L46" s="217">
        <v>0</v>
      </c>
    </row>
    <row r="47" spans="1:12" x14ac:dyDescent="0.25">
      <c r="A47" s="210" t="s">
        <v>143</v>
      </c>
      <c r="B47" s="218">
        <v>12</v>
      </c>
      <c r="C47" s="218">
        <v>5</v>
      </c>
      <c r="D47" s="218">
        <v>7</v>
      </c>
      <c r="E47" s="218">
        <v>0</v>
      </c>
      <c r="F47" s="288">
        <f t="shared" si="2"/>
        <v>0.41666666666666669</v>
      </c>
      <c r="G47" s="218">
        <v>209</v>
      </c>
      <c r="H47" s="218">
        <v>213</v>
      </c>
      <c r="I47" s="218">
        <f t="shared" si="3"/>
        <v>-4</v>
      </c>
      <c r="J47" s="218">
        <v>24</v>
      </c>
      <c r="K47" s="218">
        <v>20</v>
      </c>
      <c r="L47" s="219">
        <v>3</v>
      </c>
    </row>
    <row r="48" spans="1:12" x14ac:dyDescent="0.25">
      <c r="A48" s="191" t="s">
        <v>59</v>
      </c>
      <c r="B48" s="225"/>
      <c r="C48" s="225">
        <f>SUM(C28:C47)</f>
        <v>532</v>
      </c>
      <c r="D48" s="225">
        <f>SUM(D28:D47)</f>
        <v>480</v>
      </c>
      <c r="E48" s="184">
        <f>SUM(E28:E47)</f>
        <v>23</v>
      </c>
      <c r="F48" s="216"/>
      <c r="G48" s="184">
        <f>SUM(G28:G47)</f>
        <v>24375</v>
      </c>
      <c r="H48" s="184">
        <f>SUM(H28:H47)</f>
        <v>22173</v>
      </c>
      <c r="I48" s="226" t="s">
        <v>77</v>
      </c>
      <c r="J48" s="184">
        <f>SUM(J28:J47)</f>
        <v>2650</v>
      </c>
      <c r="K48" s="184">
        <f>SUM(K28:K47)</f>
        <v>2244</v>
      </c>
      <c r="L48" s="226">
        <f>SUM(L28:L47)</f>
        <v>97</v>
      </c>
    </row>
    <row r="49" spans="1:12" x14ac:dyDescent="0.25">
      <c r="A49" s="184" t="s">
        <v>290</v>
      </c>
      <c r="B49" s="210"/>
      <c r="C49" s="210"/>
      <c r="D49" s="210"/>
      <c r="E49" s="210"/>
      <c r="F49" s="210"/>
      <c r="G49" s="210"/>
      <c r="H49" s="210"/>
      <c r="I49" s="210"/>
      <c r="J49" s="210"/>
      <c r="K49" s="210"/>
      <c r="L49" s="211"/>
    </row>
    <row r="50" spans="1:12" x14ac:dyDescent="0.25">
      <c r="L50" s="192"/>
    </row>
    <row r="51" spans="1:12" x14ac:dyDescent="0.25">
      <c r="A51" s="227" t="s">
        <v>173</v>
      </c>
      <c r="B51" s="228"/>
      <c r="C51" s="228"/>
      <c r="D51" s="228"/>
      <c r="E51" s="228"/>
      <c r="F51" s="228"/>
      <c r="G51" s="228"/>
      <c r="H51" s="228"/>
      <c r="I51" s="228"/>
      <c r="J51" s="228"/>
      <c r="K51" s="228"/>
      <c r="L51" s="229"/>
    </row>
    <row r="52" spans="1:12" x14ac:dyDescent="0.25">
      <c r="A52" s="230"/>
      <c r="B52" s="230" t="s">
        <v>167</v>
      </c>
      <c r="C52" s="230" t="s">
        <v>0</v>
      </c>
      <c r="D52" s="230" t="s">
        <v>1</v>
      </c>
      <c r="E52" s="230" t="s">
        <v>2</v>
      </c>
      <c r="F52" s="230" t="s">
        <v>3</v>
      </c>
      <c r="G52" s="230" t="s">
        <v>84</v>
      </c>
      <c r="H52" s="230" t="s">
        <v>85</v>
      </c>
      <c r="I52" s="230" t="s">
        <v>4</v>
      </c>
      <c r="J52" s="230" t="s">
        <v>82</v>
      </c>
      <c r="K52" s="230" t="s">
        <v>83</v>
      </c>
      <c r="L52" s="231" t="s">
        <v>115</v>
      </c>
    </row>
    <row r="53" spans="1:12" x14ac:dyDescent="0.25">
      <c r="A53" s="239" t="s">
        <v>22</v>
      </c>
      <c r="B53" s="240">
        <v>59</v>
      </c>
      <c r="C53" s="240">
        <v>48</v>
      </c>
      <c r="D53" s="240">
        <v>11</v>
      </c>
      <c r="E53" s="240">
        <v>0</v>
      </c>
      <c r="F53" s="241">
        <f t="shared" ref="F53:F72" si="4">SUM(C53+E53*0.5)/B53</f>
        <v>0.81355932203389836</v>
      </c>
      <c r="G53" s="240">
        <v>2017</v>
      </c>
      <c r="H53" s="240">
        <v>976</v>
      </c>
      <c r="I53" s="240">
        <f t="shared" ref="I53:I72" si="5">SUM(G53-H53)</f>
        <v>1041</v>
      </c>
      <c r="J53" s="239">
        <v>262</v>
      </c>
      <c r="K53" s="239">
        <v>99</v>
      </c>
      <c r="L53" s="242">
        <v>1</v>
      </c>
    </row>
    <row r="54" spans="1:12" x14ac:dyDescent="0.25">
      <c r="A54" s="228" t="s">
        <v>5</v>
      </c>
      <c r="B54" s="236">
        <v>6</v>
      </c>
      <c r="C54" s="236">
        <v>2</v>
      </c>
      <c r="D54" s="236">
        <v>0</v>
      </c>
      <c r="E54" s="236">
        <v>4</v>
      </c>
      <c r="F54" s="237">
        <f t="shared" si="4"/>
        <v>0.66666666666666663</v>
      </c>
      <c r="G54" s="236">
        <v>121</v>
      </c>
      <c r="H54" s="236">
        <v>223</v>
      </c>
      <c r="I54" s="236">
        <f t="shared" si="5"/>
        <v>-102</v>
      </c>
      <c r="J54" s="236">
        <v>15</v>
      </c>
      <c r="K54" s="236">
        <v>31</v>
      </c>
      <c r="L54" s="238">
        <v>0</v>
      </c>
    </row>
    <row r="55" spans="1:12" x14ac:dyDescent="0.25">
      <c r="A55" s="232" t="s">
        <v>6</v>
      </c>
      <c r="B55" s="233">
        <f>SUM(64+bristoleuropeseasontotalsplayed)</f>
        <v>73</v>
      </c>
      <c r="C55" s="233">
        <f>SUM(34+bristoleuropeseasontotalswon)</f>
        <v>42</v>
      </c>
      <c r="D55" s="233">
        <f>SUM(29+bristoleuropeseasontotalslost)</f>
        <v>29</v>
      </c>
      <c r="E55" s="233">
        <f>SUM(1+bristoleuropeseasontotalsdrawn)</f>
        <v>2</v>
      </c>
      <c r="F55" s="234">
        <v>0.53508771929824561</v>
      </c>
      <c r="G55" s="233">
        <f>SUM(1843+bristoleuropeseasontotalsptsscored)</f>
        <v>2177</v>
      </c>
      <c r="H55" s="233">
        <f>SUM(1528+bristoleuropeseasontotalsptsagainst)</f>
        <v>1642</v>
      </c>
      <c r="I55" s="233">
        <v>180</v>
      </c>
      <c r="J55" s="233">
        <f>SUM(223+bristoleuropeseasontotalstriesscored)</f>
        <v>263</v>
      </c>
      <c r="K55" s="233">
        <f>SUM(179+bristoleuropeseasontotalstriesconceded)</f>
        <v>190</v>
      </c>
      <c r="L55" s="413">
        <f>SUM(1+bristoleuropeseasontotalsdgs)</f>
        <v>1</v>
      </c>
    </row>
    <row r="56" spans="1:12" x14ac:dyDescent="0.25">
      <c r="A56" s="239" t="s">
        <v>7</v>
      </c>
      <c r="B56" s="240">
        <v>21</v>
      </c>
      <c r="C56" s="240">
        <v>14</v>
      </c>
      <c r="D56" s="240">
        <v>7</v>
      </c>
      <c r="E56" s="240">
        <v>0</v>
      </c>
      <c r="F56" s="241">
        <f t="shared" si="4"/>
        <v>0.66666666666666663</v>
      </c>
      <c r="G56" s="240">
        <v>652</v>
      </c>
      <c r="H56" s="240">
        <v>339</v>
      </c>
      <c r="I56" s="240">
        <f t="shared" si="5"/>
        <v>313</v>
      </c>
      <c r="J56" s="239">
        <v>72</v>
      </c>
      <c r="K56" s="239">
        <v>31</v>
      </c>
      <c r="L56" s="242">
        <v>0</v>
      </c>
    </row>
    <row r="57" spans="1:12" x14ac:dyDescent="0.25">
      <c r="A57" s="239" t="s">
        <v>8</v>
      </c>
      <c r="B57" s="240">
        <v>84</v>
      </c>
      <c r="C57" s="240">
        <v>65</v>
      </c>
      <c r="D57" s="240">
        <v>18</v>
      </c>
      <c r="E57" s="240">
        <v>3</v>
      </c>
      <c r="F57" s="241">
        <f t="shared" si="4"/>
        <v>0.79166666666666663</v>
      </c>
      <c r="G57" s="240">
        <v>3034</v>
      </c>
      <c r="H57" s="240">
        <v>1503</v>
      </c>
      <c r="I57" s="240">
        <f t="shared" si="5"/>
        <v>1531</v>
      </c>
      <c r="J57" s="239">
        <v>381</v>
      </c>
      <c r="K57" s="239">
        <v>169</v>
      </c>
      <c r="L57" s="242">
        <v>6</v>
      </c>
    </row>
    <row r="58" spans="1:12" x14ac:dyDescent="0.25">
      <c r="A58" s="239" t="s">
        <v>9</v>
      </c>
      <c r="B58" s="240">
        <v>63</v>
      </c>
      <c r="C58" s="240">
        <v>45</v>
      </c>
      <c r="D58" s="240">
        <v>18</v>
      </c>
      <c r="E58" s="240">
        <v>0</v>
      </c>
      <c r="F58" s="241">
        <v>0.72727272727272729</v>
      </c>
      <c r="G58" s="240">
        <v>1942</v>
      </c>
      <c r="H58" s="240">
        <v>1171</v>
      </c>
      <c r="I58" s="240">
        <v>708</v>
      </c>
      <c r="J58" s="239">
        <v>182</v>
      </c>
      <c r="K58" s="239">
        <v>118</v>
      </c>
      <c r="L58" s="242">
        <v>5</v>
      </c>
    </row>
    <row r="59" spans="1:12" x14ac:dyDescent="0.25">
      <c r="A59" s="232" t="s">
        <v>10</v>
      </c>
      <c r="B59" s="233">
        <f>0+leicestereuropeseasontotalsplayed</f>
        <v>7</v>
      </c>
      <c r="C59" s="233">
        <f>0+leicestereuropeseasontotalswon</f>
        <v>5</v>
      </c>
      <c r="D59" s="233">
        <f>0+leicestereuropeseasontotalslost</f>
        <v>2</v>
      </c>
      <c r="E59" s="233">
        <f>0+leicestereuropeseasontotalsdrawn</f>
        <v>0</v>
      </c>
      <c r="F59" s="292" t="s">
        <v>77</v>
      </c>
      <c r="G59" s="233">
        <f>0+leicestereuropeseasontotalsptsscored</f>
        <v>200</v>
      </c>
      <c r="H59" s="233">
        <f>0+leicestereuropeseasontotalsptsagainst</f>
        <v>129</v>
      </c>
      <c r="I59" s="233">
        <f t="shared" si="5"/>
        <v>71</v>
      </c>
      <c r="J59" s="232">
        <f>0+leicestereuropeseasontotalstriesscored</f>
        <v>25</v>
      </c>
      <c r="K59" s="232">
        <f>0+leicestereuropeseasontotalstriesconceded</f>
        <v>14</v>
      </c>
      <c r="L59" s="235">
        <f>0+leicestereuropeseasontotalsdgs</f>
        <v>2</v>
      </c>
    </row>
    <row r="60" spans="1:12" x14ac:dyDescent="0.25">
      <c r="A60" s="232" t="s">
        <v>11</v>
      </c>
      <c r="B60" s="233">
        <f>89+newcastleeuropeseasontotalsplayed</f>
        <v>95</v>
      </c>
      <c r="C60" s="233">
        <f>59+newcastleeuropeseasontotalswon</f>
        <v>60</v>
      </c>
      <c r="D60" s="233">
        <f>29+newcastleeuropeseasontotalslost</f>
        <v>34</v>
      </c>
      <c r="E60" s="233">
        <f>1++newcastleeuropeseasontotalsdrawn</f>
        <v>1</v>
      </c>
      <c r="F60" s="292">
        <f t="shared" si="4"/>
        <v>0.63684210526315788</v>
      </c>
      <c r="G60" s="233">
        <f>3054+newcastleeuropeseasontotalsptsscored</f>
        <v>3176</v>
      </c>
      <c r="H60" s="233">
        <f>1793+newcastleeuropeseasontotalsptsagainst</f>
        <v>1967</v>
      </c>
      <c r="I60" s="233">
        <f t="shared" si="5"/>
        <v>1209</v>
      </c>
      <c r="J60" s="232">
        <f>382+newcastleeuropeseasontotalstriesscored</f>
        <v>398</v>
      </c>
      <c r="K60" s="232">
        <f>206+newcastleeuropeseasontotalstriesagainst</f>
        <v>229</v>
      </c>
      <c r="L60" s="235">
        <f>6+newcastleeuropeseasontotalsdgs</f>
        <v>6</v>
      </c>
    </row>
    <row r="61" spans="1:12" x14ac:dyDescent="0.25">
      <c r="A61" s="228" t="s">
        <v>12</v>
      </c>
      <c r="B61" s="236">
        <v>0</v>
      </c>
      <c r="C61" s="236">
        <v>0</v>
      </c>
      <c r="D61" s="236">
        <v>0</v>
      </c>
      <c r="E61" s="236">
        <v>0</v>
      </c>
      <c r="F61" s="293" t="s">
        <v>77</v>
      </c>
      <c r="G61" s="236">
        <v>0</v>
      </c>
      <c r="H61" s="236">
        <v>0</v>
      </c>
      <c r="I61" s="236">
        <f t="shared" si="5"/>
        <v>0</v>
      </c>
      <c r="J61" s="236">
        <v>0</v>
      </c>
      <c r="K61" s="236">
        <v>0</v>
      </c>
      <c r="L61" s="238">
        <v>0</v>
      </c>
    </row>
    <row r="62" spans="1:12" x14ac:dyDescent="0.25">
      <c r="A62" s="239" t="s">
        <v>13</v>
      </c>
      <c r="B62" s="240">
        <v>12</v>
      </c>
      <c r="C62" s="240">
        <v>3</v>
      </c>
      <c r="D62" s="240">
        <v>0</v>
      </c>
      <c r="E62" s="240">
        <v>9</v>
      </c>
      <c r="F62" s="291">
        <f t="shared" si="4"/>
        <v>0.625</v>
      </c>
      <c r="G62" s="240">
        <v>243</v>
      </c>
      <c r="H62" s="240">
        <v>342</v>
      </c>
      <c r="I62" s="240">
        <f t="shared" si="5"/>
        <v>-99</v>
      </c>
      <c r="J62" s="240">
        <v>27</v>
      </c>
      <c r="K62" s="240">
        <v>47</v>
      </c>
      <c r="L62" s="243">
        <v>0</v>
      </c>
    </row>
    <row r="63" spans="1:12" x14ac:dyDescent="0.25">
      <c r="A63" s="239" t="s">
        <v>14</v>
      </c>
      <c r="B63" s="240">
        <v>114</v>
      </c>
      <c r="C63" s="240">
        <v>76</v>
      </c>
      <c r="D63" s="240">
        <v>38</v>
      </c>
      <c r="E63" s="240">
        <v>0</v>
      </c>
      <c r="F63" s="291">
        <f t="shared" si="4"/>
        <v>0.66666666666666663</v>
      </c>
      <c r="G63" s="240">
        <v>3490</v>
      </c>
      <c r="H63" s="240">
        <v>2038</v>
      </c>
      <c r="I63" s="240">
        <f t="shared" si="5"/>
        <v>1452</v>
      </c>
      <c r="J63" s="239">
        <v>451</v>
      </c>
      <c r="K63" s="239">
        <v>220</v>
      </c>
      <c r="L63" s="242">
        <v>5</v>
      </c>
    </row>
    <row r="64" spans="1:12" x14ac:dyDescent="0.25">
      <c r="A64" s="239" t="s">
        <v>15</v>
      </c>
      <c r="B64" s="240">
        <v>38</v>
      </c>
      <c r="C64" s="240">
        <v>29</v>
      </c>
      <c r="D64" s="240">
        <v>9</v>
      </c>
      <c r="E64" s="240">
        <v>0</v>
      </c>
      <c r="F64" s="291">
        <f t="shared" si="4"/>
        <v>0.76315789473684215</v>
      </c>
      <c r="G64" s="240">
        <v>1376</v>
      </c>
      <c r="H64" s="240">
        <v>698</v>
      </c>
      <c r="I64" s="240">
        <f t="shared" si="5"/>
        <v>678</v>
      </c>
      <c r="J64" s="239">
        <v>179</v>
      </c>
      <c r="K64" s="239">
        <v>83</v>
      </c>
      <c r="L64" s="242">
        <v>2</v>
      </c>
    </row>
    <row r="65" spans="1:12" x14ac:dyDescent="0.25">
      <c r="A65" s="239" t="s">
        <v>16</v>
      </c>
      <c r="B65" s="240">
        <v>48</v>
      </c>
      <c r="C65" s="240">
        <v>23</v>
      </c>
      <c r="D65" s="240">
        <v>23</v>
      </c>
      <c r="E65" s="240">
        <v>2</v>
      </c>
      <c r="F65" s="291">
        <f t="shared" si="4"/>
        <v>0.5</v>
      </c>
      <c r="G65" s="240">
        <v>1327</v>
      </c>
      <c r="H65" s="240">
        <v>1214</v>
      </c>
      <c r="I65" s="240">
        <f t="shared" si="5"/>
        <v>113</v>
      </c>
      <c r="J65" s="240">
        <v>177</v>
      </c>
      <c r="K65" s="240">
        <v>125</v>
      </c>
      <c r="L65" s="243">
        <v>1</v>
      </c>
    </row>
    <row r="66" spans="1:12" x14ac:dyDescent="0.25">
      <c r="A66" s="239" t="s">
        <v>17</v>
      </c>
      <c r="B66" s="240">
        <v>44</v>
      </c>
      <c r="C66" s="240">
        <v>2</v>
      </c>
      <c r="D66" s="240">
        <v>42</v>
      </c>
      <c r="E66" s="240">
        <v>0</v>
      </c>
      <c r="F66" s="291">
        <f t="shared" si="4"/>
        <v>4.5454545454545456E-2</v>
      </c>
      <c r="G66" s="240">
        <v>644</v>
      </c>
      <c r="H66" s="240">
        <v>1583</v>
      </c>
      <c r="I66" s="240">
        <f t="shared" si="5"/>
        <v>-939</v>
      </c>
      <c r="J66" s="240">
        <v>61</v>
      </c>
      <c r="K66" s="240">
        <v>193</v>
      </c>
      <c r="L66" s="243">
        <v>2</v>
      </c>
    </row>
    <row r="67" spans="1:12" x14ac:dyDescent="0.25">
      <c r="A67" s="239" t="s">
        <v>18</v>
      </c>
      <c r="B67" s="240">
        <v>89</v>
      </c>
      <c r="C67" s="240">
        <v>60</v>
      </c>
      <c r="D67" s="240">
        <v>27</v>
      </c>
      <c r="E67" s="240">
        <v>2</v>
      </c>
      <c r="F67" s="291">
        <v>0.69135802469135799</v>
      </c>
      <c r="G67" s="240">
        <v>2842</v>
      </c>
      <c r="H67" s="240">
        <v>1557</v>
      </c>
      <c r="I67" s="240">
        <f t="shared" si="5"/>
        <v>1285</v>
      </c>
      <c r="J67" s="239">
        <v>349</v>
      </c>
      <c r="K67" s="239">
        <v>171</v>
      </c>
      <c r="L67" s="242">
        <v>7</v>
      </c>
    </row>
    <row r="68" spans="1:12" x14ac:dyDescent="0.25">
      <c r="A68" s="239" t="s">
        <v>19</v>
      </c>
      <c r="B68" s="240">
        <v>55</v>
      </c>
      <c r="C68" s="240">
        <v>43</v>
      </c>
      <c r="D68" s="240">
        <v>11</v>
      </c>
      <c r="E68" s="240">
        <v>1</v>
      </c>
      <c r="F68" s="291">
        <f t="shared" si="4"/>
        <v>0.79090909090909089</v>
      </c>
      <c r="G68" s="240">
        <v>2147</v>
      </c>
      <c r="H68" s="240">
        <v>846</v>
      </c>
      <c r="I68" s="240">
        <f t="shared" si="5"/>
        <v>1301</v>
      </c>
      <c r="J68" s="239">
        <v>263</v>
      </c>
      <c r="K68" s="239">
        <v>76</v>
      </c>
      <c r="L68" s="242">
        <v>9</v>
      </c>
    </row>
    <row r="69" spans="1:12" x14ac:dyDescent="0.25">
      <c r="A69" s="232" t="s">
        <v>106</v>
      </c>
      <c r="B69" s="233">
        <f>40+waspseuropeseasontotalsplayedcorrect</f>
        <v>46</v>
      </c>
      <c r="C69" s="233">
        <f>32+waspseuropeseasontotalswoncorrect</f>
        <v>34</v>
      </c>
      <c r="D69" s="233">
        <f>7+waspseuropeseasontotalslostcorrect</f>
        <v>11</v>
      </c>
      <c r="E69" s="233">
        <f>1+waspseuropeseasontotalsdrawncorrect</f>
        <v>1</v>
      </c>
      <c r="F69" s="292">
        <f t="shared" si="4"/>
        <v>0.75</v>
      </c>
      <c r="G69" s="233">
        <f>1400+waspseuropeseasontotalsptsscoredcorrect</f>
        <v>1541</v>
      </c>
      <c r="H69" s="233">
        <f>668+waspseuropeseasontotalsptsagainstcorrect</f>
        <v>813</v>
      </c>
      <c r="I69" s="233">
        <f t="shared" si="5"/>
        <v>728</v>
      </c>
      <c r="J69" s="232">
        <f>170+waspseuropeseasontotalstriesscoredcorrect</f>
        <v>188</v>
      </c>
      <c r="K69" s="232">
        <f>62+waspseuropeseasontotalstriesconcededcorrect</f>
        <v>78</v>
      </c>
      <c r="L69" s="235">
        <f>3+waspseuropeseasontotalsdgscorrect</f>
        <v>3</v>
      </c>
    </row>
    <row r="70" spans="1:12" x14ac:dyDescent="0.25">
      <c r="A70" s="228" t="s">
        <v>20</v>
      </c>
      <c r="B70" s="236">
        <v>0</v>
      </c>
      <c r="C70" s="236">
        <v>0</v>
      </c>
      <c r="D70" s="236">
        <v>0</v>
      </c>
      <c r="E70" s="236">
        <v>0</v>
      </c>
      <c r="F70" s="293" t="s">
        <v>77</v>
      </c>
      <c r="G70" s="236">
        <v>0</v>
      </c>
      <c r="H70" s="236">
        <v>0</v>
      </c>
      <c r="I70" s="236">
        <f t="shared" si="5"/>
        <v>0</v>
      </c>
      <c r="J70" s="236">
        <v>0</v>
      </c>
      <c r="K70" s="236">
        <v>0</v>
      </c>
      <c r="L70" s="238">
        <v>0</v>
      </c>
    </row>
    <row r="71" spans="1:12" x14ac:dyDescent="0.25">
      <c r="A71" s="232" t="s">
        <v>21</v>
      </c>
      <c r="B71" s="233">
        <f>82+worcestereuropeseasontotalsplayed</f>
        <v>88</v>
      </c>
      <c r="C71" s="233">
        <f>47+worcestereuropeseasontotalswon</f>
        <v>50</v>
      </c>
      <c r="D71" s="233">
        <f>33+worcestereuropeseasontotalslost</f>
        <v>36</v>
      </c>
      <c r="E71" s="233">
        <f>2+worcestereuropeseasontotalsdrawn</f>
        <v>2</v>
      </c>
      <c r="F71" s="292">
        <v>0.57333333333333336</v>
      </c>
      <c r="G71" s="233">
        <f>2346+worcestereuropeseasontotalsptsscored</f>
        <v>2555</v>
      </c>
      <c r="H71" s="233">
        <f>1488+worcestereuropeseasontotalsptsagainst</f>
        <v>1615</v>
      </c>
      <c r="I71" s="233">
        <v>835</v>
      </c>
      <c r="J71" s="232">
        <f>319+worcestereuropeseasontotalstriesscored</f>
        <v>346</v>
      </c>
      <c r="K71" s="232">
        <f>163+worcestereuropeseasontotalstriesconceded</f>
        <v>177</v>
      </c>
      <c r="L71" s="235">
        <f>4+worcestereuropeseasontotalsdgs</f>
        <v>4</v>
      </c>
    </row>
    <row r="72" spans="1:12" x14ac:dyDescent="0.25">
      <c r="A72" s="228" t="s">
        <v>143</v>
      </c>
      <c r="B72" s="236">
        <v>31</v>
      </c>
      <c r="C72" s="236" t="s">
        <v>87</v>
      </c>
      <c r="D72" s="236" t="s">
        <v>87</v>
      </c>
      <c r="E72" s="236" t="s">
        <v>87</v>
      </c>
      <c r="F72" s="293" t="e">
        <f t="shared" si="4"/>
        <v>#VALUE!</v>
      </c>
      <c r="G72" s="236">
        <v>832</v>
      </c>
      <c r="H72" s="236" t="s">
        <v>87</v>
      </c>
      <c r="I72" s="236" t="e">
        <f t="shared" si="5"/>
        <v>#VALUE!</v>
      </c>
      <c r="J72" s="236">
        <v>98</v>
      </c>
      <c r="K72" s="236" t="s">
        <v>87</v>
      </c>
      <c r="L72" s="238">
        <v>0</v>
      </c>
    </row>
    <row r="73" spans="1:12" x14ac:dyDescent="0.25">
      <c r="A73" s="244" t="s">
        <v>59</v>
      </c>
      <c r="B73" s="245" t="s">
        <v>87</v>
      </c>
      <c r="C73" s="245">
        <f>SUM(C53:C72)</f>
        <v>601</v>
      </c>
      <c r="D73" s="245">
        <f>SUM(D53:D72)</f>
        <v>316</v>
      </c>
      <c r="E73" s="227">
        <f>SUM(E53:E72)</f>
        <v>27</v>
      </c>
      <c r="F73" s="246" t="s">
        <v>77</v>
      </c>
      <c r="G73" s="227">
        <f>SUM(G53:G72)</f>
        <v>30316</v>
      </c>
      <c r="H73" s="227">
        <f>SUM(H53:H72)</f>
        <v>18656</v>
      </c>
      <c r="I73" s="246" t="s">
        <v>77</v>
      </c>
      <c r="J73" s="227">
        <f>SUM(J53:J72)</f>
        <v>3737</v>
      </c>
      <c r="K73" s="227">
        <f>SUM(K53:K72)</f>
        <v>2051</v>
      </c>
      <c r="L73" s="246">
        <f>SUM(L53:L72)</f>
        <v>54</v>
      </c>
    </row>
    <row r="74" spans="1:12" x14ac:dyDescent="0.25">
      <c r="A74" s="227" t="s">
        <v>290</v>
      </c>
      <c r="B74" s="228"/>
      <c r="C74" s="228"/>
      <c r="D74" s="228"/>
      <c r="E74" s="228"/>
      <c r="F74" s="228"/>
      <c r="G74" s="228"/>
      <c r="H74" s="228"/>
      <c r="I74" s="228"/>
      <c r="J74" s="228"/>
      <c r="K74" s="228"/>
      <c r="L74" s="229"/>
    </row>
    <row r="75" spans="1:12" x14ac:dyDescent="0.25">
      <c r="L75" s="192"/>
    </row>
    <row r="76" spans="1:12" x14ac:dyDescent="0.25">
      <c r="A76" s="294" t="s">
        <v>185</v>
      </c>
      <c r="B76" s="101"/>
      <c r="C76" s="101"/>
      <c r="D76" s="101"/>
      <c r="E76" s="101"/>
      <c r="F76" s="101"/>
      <c r="G76" s="101"/>
      <c r="H76" s="101"/>
      <c r="I76" s="101"/>
      <c r="J76" s="101"/>
      <c r="K76" s="101"/>
      <c r="L76" s="295"/>
    </row>
    <row r="77" spans="1:12" x14ac:dyDescent="0.25">
      <c r="A77" s="296"/>
      <c r="B77" s="296" t="s">
        <v>167</v>
      </c>
      <c r="C77" s="296" t="s">
        <v>0</v>
      </c>
      <c r="D77" s="296" t="s">
        <v>1</v>
      </c>
      <c r="E77" s="296" t="s">
        <v>2</v>
      </c>
      <c r="F77" s="296" t="s">
        <v>3</v>
      </c>
      <c r="G77" s="296" t="s">
        <v>84</v>
      </c>
      <c r="H77" s="296" t="s">
        <v>85</v>
      </c>
      <c r="I77" s="296" t="s">
        <v>4</v>
      </c>
      <c r="J77" s="296" t="s">
        <v>82</v>
      </c>
      <c r="K77" s="296" t="s">
        <v>83</v>
      </c>
      <c r="L77" s="297" t="s">
        <v>115</v>
      </c>
    </row>
    <row r="78" spans="1:12" x14ac:dyDescent="0.25">
      <c r="A78" s="298" t="s">
        <v>22</v>
      </c>
      <c r="B78" s="299">
        <f>25+btheuropeseasontotalsplayed</f>
        <v>31</v>
      </c>
      <c r="C78" s="299">
        <f>11+btheuropeseasontotalswon</f>
        <v>11</v>
      </c>
      <c r="D78" s="299">
        <f>13+btheuropeseasontotalslost</f>
        <v>19</v>
      </c>
      <c r="E78" s="299">
        <f>1+bthchallcupdrawn</f>
        <v>1</v>
      </c>
      <c r="F78" s="300">
        <f t="shared" ref="F78:F97" si="6">SUM(C78+E78*0.5)/B78</f>
        <v>0.37096774193548387</v>
      </c>
      <c r="G78" s="299">
        <f>515+btheuropeseasontotalsptsscored</f>
        <v>617</v>
      </c>
      <c r="H78" s="299">
        <f>530+btheuropeseasontotalsptsagainst</f>
        <v>695</v>
      </c>
      <c r="I78" s="299">
        <f t="shared" ref="I78:I97" si="7">SUM(G78-H78)</f>
        <v>-78</v>
      </c>
      <c r="J78" s="298">
        <f>54+btheuropeseasontotalstriesscored</f>
        <v>66</v>
      </c>
      <c r="K78" s="298">
        <f>56+btheuropeseasontotalstriesconceded</f>
        <v>76</v>
      </c>
      <c r="L78" s="301">
        <f>5+btheuropeseasontotalsdgs</f>
        <v>5</v>
      </c>
    </row>
    <row r="79" spans="1:12" x14ac:dyDescent="0.25">
      <c r="A79" s="302" t="s">
        <v>5</v>
      </c>
      <c r="B79" s="303">
        <v>0</v>
      </c>
      <c r="C79" s="303">
        <v>0</v>
      </c>
      <c r="D79" s="303">
        <v>0</v>
      </c>
      <c r="E79" s="303">
        <f>SUM(0+bthchallcupdrawn)</f>
        <v>0</v>
      </c>
      <c r="F79" s="304" t="e">
        <f t="shared" si="6"/>
        <v>#DIV/0!</v>
      </c>
      <c r="G79" s="303">
        <v>0</v>
      </c>
      <c r="H79" s="303">
        <v>0</v>
      </c>
      <c r="I79" s="303">
        <f t="shared" si="7"/>
        <v>0</v>
      </c>
      <c r="J79" s="302">
        <v>0</v>
      </c>
      <c r="K79" s="302">
        <v>0</v>
      </c>
      <c r="L79" s="305">
        <v>0</v>
      </c>
    </row>
    <row r="80" spans="1:12" x14ac:dyDescent="0.25">
      <c r="A80" s="302" t="s">
        <v>6</v>
      </c>
      <c r="B80" s="303">
        <v>0</v>
      </c>
      <c r="C80" s="303">
        <v>0</v>
      </c>
      <c r="D80" s="303">
        <v>0</v>
      </c>
      <c r="E80" s="303">
        <f>SUM(0+bthchallcupdrawn)</f>
        <v>0</v>
      </c>
      <c r="F80" s="304" t="e">
        <f t="shared" si="6"/>
        <v>#DIV/0!</v>
      </c>
      <c r="G80" s="303">
        <v>0</v>
      </c>
      <c r="H80" s="303">
        <v>0</v>
      </c>
      <c r="I80" s="303">
        <f t="shared" si="7"/>
        <v>0</v>
      </c>
      <c r="J80" s="302">
        <v>0</v>
      </c>
      <c r="K80" s="302">
        <v>0</v>
      </c>
      <c r="L80" s="305">
        <v>0</v>
      </c>
    </row>
    <row r="81" spans="1:12" x14ac:dyDescent="0.25">
      <c r="A81" s="298" t="s">
        <v>7</v>
      </c>
      <c r="B81" s="299">
        <f>25+exetereuropeseasontotalsplayed</f>
        <v>34</v>
      </c>
      <c r="C81" s="299">
        <f>10+exetereuropeseasontotalswon</f>
        <v>18</v>
      </c>
      <c r="D81" s="299">
        <f>14+exetereuropeseasontotalslost</f>
        <v>14</v>
      </c>
      <c r="E81" s="299">
        <f>1+exetereuropeseasontotalsdrawn</f>
        <v>2</v>
      </c>
      <c r="F81" s="300">
        <f t="shared" si="6"/>
        <v>0.55882352941176472</v>
      </c>
      <c r="G81" s="299">
        <f>544+exetereuropeseasontotalsptsscored</f>
        <v>827</v>
      </c>
      <c r="H81" s="299">
        <f>543+exetereuropeseasontotalsptsagainst</f>
        <v>708</v>
      </c>
      <c r="I81" s="299">
        <f t="shared" si="7"/>
        <v>119</v>
      </c>
      <c r="J81" s="298">
        <f>70+exetereuropeseasontotalstriesscored</f>
        <v>108</v>
      </c>
      <c r="K81" s="298">
        <f>63+exetereuropeseasontotalstriesconceded</f>
        <v>85</v>
      </c>
      <c r="L81" s="301">
        <f>1+exetereuropeseasontotalsdgs</f>
        <v>1</v>
      </c>
    </row>
    <row r="82" spans="1:12" x14ac:dyDescent="0.25">
      <c r="A82" s="298" t="s">
        <v>8</v>
      </c>
      <c r="B82" s="299">
        <f>6+gloucestereuropeseasontotalsplayed</f>
        <v>12</v>
      </c>
      <c r="C82" s="299">
        <f>2+gloucestereuropeseasontotalswon</f>
        <v>4</v>
      </c>
      <c r="D82" s="299">
        <f>4+gloucestereuropeseasontotalslost</f>
        <v>8</v>
      </c>
      <c r="E82" s="299">
        <f>0+gloucestereuropeseasontotalsdrawn</f>
        <v>0</v>
      </c>
      <c r="F82" s="300">
        <f t="shared" si="6"/>
        <v>0.33333333333333331</v>
      </c>
      <c r="G82" s="299">
        <f>122+gloucestereuropeseasontotalsptsscored</f>
        <v>262</v>
      </c>
      <c r="H82" s="299">
        <f>163+gloucestereuropeseasontotalsptsagainst</f>
        <v>303</v>
      </c>
      <c r="I82" s="299">
        <f t="shared" si="7"/>
        <v>-41</v>
      </c>
      <c r="J82" s="298">
        <f>15+gloucestereuropeseasontotalstriesscored</f>
        <v>34</v>
      </c>
      <c r="K82" s="298">
        <f>22+gloucestereuropeseasontotalstriesconceded</f>
        <v>36</v>
      </c>
      <c r="L82" s="301">
        <f>0+gloucestereuropeseasontotalsdgs</f>
        <v>0</v>
      </c>
    </row>
    <row r="83" spans="1:12" x14ac:dyDescent="0.25">
      <c r="A83" s="298" t="s">
        <v>9</v>
      </c>
      <c r="B83" s="299">
        <f>12+harlequinseuropeseasontotalsplayed</f>
        <v>18</v>
      </c>
      <c r="C83" s="299">
        <f>5+harlequinseuropeseasontotalswon</f>
        <v>7</v>
      </c>
      <c r="D83" s="299">
        <f>7+harlequinseuropeseasontotalslost</f>
        <v>11</v>
      </c>
      <c r="E83" s="299">
        <f>0+harlequinseuropeseasontotalsdrawn</f>
        <v>0</v>
      </c>
      <c r="F83" s="300">
        <f t="shared" si="6"/>
        <v>0.3888888888888889</v>
      </c>
      <c r="G83" s="299">
        <f>241+harlequinseuropeseasontotalsptsscored</f>
        <v>355</v>
      </c>
      <c r="H83" s="299">
        <f>287+harlequinseuropeseasontotalsptsagainst</f>
        <v>453</v>
      </c>
      <c r="I83" s="299">
        <f t="shared" si="7"/>
        <v>-98</v>
      </c>
      <c r="J83" s="298">
        <f>28+harlequinseuropeseasontotalstriesscored</f>
        <v>28</v>
      </c>
      <c r="K83" s="298">
        <f>29+harlequinseuropeseasontotalstriesconceded</f>
        <v>49</v>
      </c>
      <c r="L83" s="301">
        <f>1+harlequinseuropeseasontotalsdgscorrect</f>
        <v>1</v>
      </c>
    </row>
    <row r="84" spans="1:12" x14ac:dyDescent="0.25">
      <c r="A84" s="302" t="s">
        <v>10</v>
      </c>
      <c r="B84" s="303">
        <v>32</v>
      </c>
      <c r="C84" s="303">
        <v>13</v>
      </c>
      <c r="D84" s="303">
        <v>19</v>
      </c>
      <c r="E84" s="303">
        <f>0+leicestereuropeseasontotalsdrawn</f>
        <v>0</v>
      </c>
      <c r="F84" s="304">
        <f t="shared" si="6"/>
        <v>0.40625</v>
      </c>
      <c r="G84" s="303">
        <v>644</v>
      </c>
      <c r="H84" s="303">
        <v>775</v>
      </c>
      <c r="I84" s="303">
        <f t="shared" si="7"/>
        <v>-131</v>
      </c>
      <c r="J84" s="302">
        <v>72</v>
      </c>
      <c r="K84" s="302">
        <v>92</v>
      </c>
      <c r="L84" s="305">
        <v>0</v>
      </c>
    </row>
    <row r="85" spans="1:12" x14ac:dyDescent="0.25">
      <c r="A85" s="302" t="s">
        <v>11</v>
      </c>
      <c r="B85" s="303">
        <v>0</v>
      </c>
      <c r="C85" s="303">
        <v>0</v>
      </c>
      <c r="D85" s="303">
        <v>0</v>
      </c>
      <c r="E85" s="303">
        <f t="shared" ref="E85:E97" si="8">SUM(0+bthchallcupdrawn)</f>
        <v>0</v>
      </c>
      <c r="F85" s="304" t="e">
        <f t="shared" si="6"/>
        <v>#DIV/0!</v>
      </c>
      <c r="G85" s="303">
        <v>0</v>
      </c>
      <c r="H85" s="303">
        <v>0</v>
      </c>
      <c r="I85" s="303">
        <f t="shared" si="7"/>
        <v>0</v>
      </c>
      <c r="J85" s="302">
        <v>0</v>
      </c>
      <c r="K85" s="302">
        <v>0</v>
      </c>
      <c r="L85" s="305">
        <v>0</v>
      </c>
    </row>
    <row r="86" spans="1:12" x14ac:dyDescent="0.25">
      <c r="A86" s="302" t="s">
        <v>12</v>
      </c>
      <c r="B86" s="303">
        <v>0</v>
      </c>
      <c r="C86" s="303">
        <v>0</v>
      </c>
      <c r="D86" s="303">
        <v>0</v>
      </c>
      <c r="E86" s="303">
        <f t="shared" si="8"/>
        <v>0</v>
      </c>
      <c r="F86" s="304" t="e">
        <f t="shared" si="6"/>
        <v>#DIV/0!</v>
      </c>
      <c r="G86" s="303">
        <v>0</v>
      </c>
      <c r="H86" s="303">
        <v>0</v>
      </c>
      <c r="I86" s="303">
        <f t="shared" si="7"/>
        <v>0</v>
      </c>
      <c r="J86" s="302">
        <v>0</v>
      </c>
      <c r="K86" s="302">
        <v>0</v>
      </c>
      <c r="L86" s="305">
        <v>0</v>
      </c>
    </row>
    <row r="87" spans="1:12" x14ac:dyDescent="0.25">
      <c r="A87" s="302" t="s">
        <v>13</v>
      </c>
      <c r="B87" s="303">
        <v>0</v>
      </c>
      <c r="C87" s="303">
        <v>0</v>
      </c>
      <c r="D87" s="303">
        <v>0</v>
      </c>
      <c r="E87" s="303">
        <f t="shared" si="8"/>
        <v>0</v>
      </c>
      <c r="F87" s="304" t="e">
        <f t="shared" si="6"/>
        <v>#DIV/0!</v>
      </c>
      <c r="G87" s="303">
        <v>0</v>
      </c>
      <c r="H87" s="303">
        <v>0</v>
      </c>
      <c r="I87" s="303">
        <f t="shared" si="7"/>
        <v>0</v>
      </c>
      <c r="J87" s="302">
        <v>0</v>
      </c>
      <c r="K87" s="302">
        <v>0</v>
      </c>
      <c r="L87" s="305">
        <v>0</v>
      </c>
    </row>
    <row r="88" spans="1:12" x14ac:dyDescent="0.25">
      <c r="A88" s="302" t="s">
        <v>14</v>
      </c>
      <c r="B88" s="303">
        <v>6</v>
      </c>
      <c r="C88" s="303">
        <v>2</v>
      </c>
      <c r="D88" s="303">
        <v>4</v>
      </c>
      <c r="E88" s="303">
        <v>0</v>
      </c>
      <c r="F88" s="304">
        <f t="shared" si="6"/>
        <v>0.33333333333333331</v>
      </c>
      <c r="G88" s="303">
        <v>102</v>
      </c>
      <c r="H88" s="303">
        <v>169</v>
      </c>
      <c r="I88" s="303">
        <f t="shared" si="7"/>
        <v>-67</v>
      </c>
      <c r="J88" s="302">
        <v>10</v>
      </c>
      <c r="K88" s="302">
        <v>20</v>
      </c>
      <c r="L88" s="305">
        <v>0</v>
      </c>
    </row>
    <row r="89" spans="1:12" x14ac:dyDescent="0.25">
      <c r="A89" s="298" t="s">
        <v>15</v>
      </c>
      <c r="B89" s="299">
        <f>26+northamptoneuropeseasontotalsplayed</f>
        <v>33</v>
      </c>
      <c r="C89" s="299">
        <f>11+northamptoneuropeseasontotalswon</f>
        <v>15</v>
      </c>
      <c r="D89" s="299">
        <f>14+northamptoneuropeseasontotalslost</f>
        <v>17</v>
      </c>
      <c r="E89" s="299">
        <f>1+northamptoneuropeseasontotalsdrawn</f>
        <v>1</v>
      </c>
      <c r="F89" s="300">
        <v>0.44230769230769229</v>
      </c>
      <c r="G89" s="299">
        <f>503+northamptoneuropeseasontotalsptsscored</f>
        <v>684</v>
      </c>
      <c r="H89" s="299">
        <f>679+northamptoneuropeseasontotalsptsagainst</f>
        <v>900</v>
      </c>
      <c r="I89" s="299">
        <v>-176</v>
      </c>
      <c r="J89" s="298">
        <f>66+northamptoneuropeseasontotalstriesscored</f>
        <v>87</v>
      </c>
      <c r="K89" s="298">
        <f>80+northamptoneuropeseasontotalstriesconceded</f>
        <v>110</v>
      </c>
      <c r="L89" s="301">
        <f>0+northamptoneuropeseasontotalsdgs</f>
        <v>0</v>
      </c>
    </row>
    <row r="90" spans="1:12" x14ac:dyDescent="0.25">
      <c r="A90" s="302" t="s">
        <v>16</v>
      </c>
      <c r="B90" s="303">
        <v>0</v>
      </c>
      <c r="C90" s="303">
        <v>0</v>
      </c>
      <c r="D90" s="303">
        <v>0</v>
      </c>
      <c r="E90" s="303">
        <f t="shared" si="8"/>
        <v>0</v>
      </c>
      <c r="F90" s="304" t="e">
        <f t="shared" si="6"/>
        <v>#DIV/0!</v>
      </c>
      <c r="G90" s="303">
        <v>0</v>
      </c>
      <c r="H90" s="303">
        <v>0</v>
      </c>
      <c r="I90" s="303">
        <f t="shared" si="7"/>
        <v>0</v>
      </c>
      <c r="J90" s="302">
        <v>0</v>
      </c>
      <c r="K90" s="302">
        <v>0</v>
      </c>
      <c r="L90" s="305">
        <v>0</v>
      </c>
    </row>
    <row r="91" spans="1:12" x14ac:dyDescent="0.25">
      <c r="A91" s="302" t="s">
        <v>17</v>
      </c>
      <c r="B91" s="303">
        <v>0</v>
      </c>
      <c r="C91" s="303">
        <v>0</v>
      </c>
      <c r="D91" s="303">
        <v>0</v>
      </c>
      <c r="E91" s="303">
        <f t="shared" si="8"/>
        <v>0</v>
      </c>
      <c r="F91" s="304" t="e">
        <f t="shared" si="6"/>
        <v>#DIV/0!</v>
      </c>
      <c r="G91" s="303">
        <v>0</v>
      </c>
      <c r="H91" s="303">
        <v>0</v>
      </c>
      <c r="I91" s="303">
        <f t="shared" si="7"/>
        <v>0</v>
      </c>
      <c r="J91" s="302">
        <v>0</v>
      </c>
      <c r="K91" s="302">
        <v>0</v>
      </c>
      <c r="L91" s="305">
        <v>0</v>
      </c>
    </row>
    <row r="92" spans="1:12" x14ac:dyDescent="0.25">
      <c r="A92" s="298" t="s">
        <v>18</v>
      </c>
      <c r="B92" s="299">
        <f>12+saleeuropeseasontotalsplayed</f>
        <v>18</v>
      </c>
      <c r="C92" s="299">
        <f>1+saleeuropeseasontotalswon</f>
        <v>2</v>
      </c>
      <c r="D92" s="299">
        <f>11+saleeuropeseasontotalslost</f>
        <v>16</v>
      </c>
      <c r="E92" s="299">
        <f>0+saleeuropeseasontotalsdrawn</f>
        <v>0</v>
      </c>
      <c r="F92" s="300">
        <v>8.3333333333333329E-2</v>
      </c>
      <c r="G92" s="299">
        <f>148+saleeuropeseasontotalsptsscorewd</f>
        <v>240</v>
      </c>
      <c r="H92" s="299">
        <f>363+saleeuropeseasontotalsptsagainst</f>
        <v>523</v>
      </c>
      <c r="I92" s="299">
        <v>-215</v>
      </c>
      <c r="J92" s="298">
        <f>15+saleeuropeseasontotalstriesscored</f>
        <v>26</v>
      </c>
      <c r="K92" s="298">
        <f>41+saleeuropeseasontotalstriesconceded</f>
        <v>62</v>
      </c>
      <c r="L92" s="301">
        <f>0+saleeuropeseasontotalsdgs</f>
        <v>0</v>
      </c>
    </row>
    <row r="93" spans="1:12" x14ac:dyDescent="0.25">
      <c r="A93" s="298" t="s">
        <v>19</v>
      </c>
      <c r="B93" s="299">
        <f>42+saracenseuropeseasontotalsplayed</f>
        <v>50</v>
      </c>
      <c r="C93" s="299">
        <f>34+saracenseuropeseasontotalswon</f>
        <v>39</v>
      </c>
      <c r="D93" s="299">
        <f>6+saracenseuropeseasontotalslost</f>
        <v>9</v>
      </c>
      <c r="E93" s="299">
        <f>2+saracenseuropeseasontotalsdrawn</f>
        <v>2</v>
      </c>
      <c r="F93" s="300">
        <v>0.78787878787878785</v>
      </c>
      <c r="G93" s="299">
        <f>1224+saracenseuropeseasontotalsptsscored</f>
        <v>1385</v>
      </c>
      <c r="H93" s="299">
        <f>675+saracenseuropeseasontotalsptsagainst</f>
        <v>799</v>
      </c>
      <c r="I93" s="299">
        <f t="shared" si="7"/>
        <v>586</v>
      </c>
      <c r="J93" s="298">
        <f>130+saracenseuropeseasontotalstriesscored</f>
        <v>144</v>
      </c>
      <c r="K93" s="298">
        <f>66+saracenseuropeseasontotalstriesconceded</f>
        <v>79</v>
      </c>
      <c r="L93" s="301">
        <f>3+saracenseuropeseasontotalsdgs</f>
        <v>3</v>
      </c>
    </row>
    <row r="94" spans="1:12" x14ac:dyDescent="0.25">
      <c r="A94" s="302" t="s">
        <v>106</v>
      </c>
      <c r="B94" s="303">
        <v>33</v>
      </c>
      <c r="C94" s="303">
        <v>15</v>
      </c>
      <c r="D94" s="303">
        <v>15</v>
      </c>
      <c r="E94" s="303">
        <v>3</v>
      </c>
      <c r="F94" s="304">
        <v>0.59259259259259256</v>
      </c>
      <c r="G94" s="303">
        <v>881</v>
      </c>
      <c r="H94" s="303">
        <v>698</v>
      </c>
      <c r="I94" s="303">
        <f t="shared" si="7"/>
        <v>183</v>
      </c>
      <c r="J94" s="302">
        <v>106</v>
      </c>
      <c r="K94" s="302">
        <v>81</v>
      </c>
      <c r="L94" s="305">
        <v>1</v>
      </c>
    </row>
    <row r="95" spans="1:12" x14ac:dyDescent="0.25">
      <c r="A95" s="302" t="s">
        <v>20</v>
      </c>
      <c r="B95" s="303">
        <v>0</v>
      </c>
      <c r="C95" s="303">
        <v>0</v>
      </c>
      <c r="D95" s="303">
        <v>0</v>
      </c>
      <c r="E95" s="303">
        <f t="shared" si="8"/>
        <v>0</v>
      </c>
      <c r="F95" s="304" t="e">
        <f t="shared" si="6"/>
        <v>#DIV/0!</v>
      </c>
      <c r="G95" s="303">
        <v>0</v>
      </c>
      <c r="H95" s="303">
        <v>0</v>
      </c>
      <c r="I95" s="303">
        <f t="shared" si="7"/>
        <v>0</v>
      </c>
      <c r="J95" s="302">
        <v>0</v>
      </c>
      <c r="K95" s="302">
        <v>0</v>
      </c>
      <c r="L95" s="305">
        <v>0</v>
      </c>
    </row>
    <row r="96" spans="1:12" x14ac:dyDescent="0.25">
      <c r="A96" s="302" t="s">
        <v>21</v>
      </c>
      <c r="B96" s="303">
        <v>0</v>
      </c>
      <c r="C96" s="303">
        <v>0</v>
      </c>
      <c r="D96" s="303">
        <v>0</v>
      </c>
      <c r="E96" s="303">
        <f t="shared" si="8"/>
        <v>0</v>
      </c>
      <c r="F96" s="304" t="e">
        <f t="shared" si="6"/>
        <v>#DIV/0!</v>
      </c>
      <c r="G96" s="303">
        <v>0</v>
      </c>
      <c r="H96" s="303">
        <v>0</v>
      </c>
      <c r="I96" s="303">
        <f t="shared" si="7"/>
        <v>0</v>
      </c>
      <c r="J96" s="302">
        <v>0</v>
      </c>
      <c r="K96" s="302">
        <v>0</v>
      </c>
      <c r="L96" s="305">
        <v>0</v>
      </c>
    </row>
    <row r="97" spans="1:12" x14ac:dyDescent="0.25">
      <c r="A97" s="302" t="s">
        <v>143</v>
      </c>
      <c r="B97" s="303">
        <v>0</v>
      </c>
      <c r="C97" s="303">
        <v>0</v>
      </c>
      <c r="D97" s="303">
        <v>0</v>
      </c>
      <c r="E97" s="303">
        <f t="shared" si="8"/>
        <v>0</v>
      </c>
      <c r="F97" s="304" t="e">
        <f t="shared" si="6"/>
        <v>#DIV/0!</v>
      </c>
      <c r="G97" s="303">
        <v>0</v>
      </c>
      <c r="H97" s="303">
        <v>0</v>
      </c>
      <c r="I97" s="303">
        <f t="shared" si="7"/>
        <v>0</v>
      </c>
      <c r="J97" s="302">
        <v>0</v>
      </c>
      <c r="K97" s="302">
        <v>0</v>
      </c>
      <c r="L97" s="305">
        <v>0</v>
      </c>
    </row>
    <row r="98" spans="1:12" x14ac:dyDescent="0.25">
      <c r="A98" s="294" t="s">
        <v>59</v>
      </c>
      <c r="B98" s="306" t="s">
        <v>87</v>
      </c>
      <c r="C98" s="306">
        <f>SUM(C78:C97)</f>
        <v>126</v>
      </c>
      <c r="D98" s="306">
        <f>SUM(D78:D97)</f>
        <v>132</v>
      </c>
      <c r="E98" s="307">
        <f>SUM(E78:E97)</f>
        <v>9</v>
      </c>
      <c r="F98" s="308" t="s">
        <v>77</v>
      </c>
      <c r="G98" s="307">
        <f>SUM(G78:G97)</f>
        <v>5997</v>
      </c>
      <c r="H98" s="307">
        <f>SUM(H78:H97)</f>
        <v>6023</v>
      </c>
      <c r="I98" s="308" t="s">
        <v>77</v>
      </c>
      <c r="J98" s="307">
        <f>SUM(J78:J97)</f>
        <v>681</v>
      </c>
      <c r="K98" s="307">
        <f>SUM(K78:K97)</f>
        <v>690</v>
      </c>
      <c r="L98" s="308">
        <f>SUM(L78:L97)</f>
        <v>11</v>
      </c>
    </row>
    <row r="99" spans="1:12" x14ac:dyDescent="0.25">
      <c r="A99" s="307" t="s">
        <v>290</v>
      </c>
      <c r="B99" s="306"/>
      <c r="C99" s="306"/>
      <c r="D99" s="306"/>
      <c r="E99" s="307"/>
      <c r="F99" s="308"/>
      <c r="G99" s="307"/>
      <c r="H99" s="307"/>
      <c r="I99" s="308"/>
      <c r="J99" s="307"/>
      <c r="K99" s="307"/>
      <c r="L99" s="307"/>
    </row>
    <row r="100" spans="1:12" x14ac:dyDescent="0.25">
      <c r="A100" s="4"/>
      <c r="B100" s="155"/>
      <c r="C100" s="155"/>
      <c r="D100" s="155"/>
      <c r="E100" s="4"/>
      <c r="F100" s="62"/>
      <c r="G100" s="4"/>
      <c r="H100" s="4"/>
      <c r="I100" s="62"/>
      <c r="J100" s="4"/>
      <c r="K100" s="4"/>
      <c r="L100" s="4"/>
    </row>
    <row r="101" spans="1:12" x14ac:dyDescent="0.25">
      <c r="A101" s="186" t="s">
        <v>182</v>
      </c>
      <c r="B101" s="247"/>
      <c r="C101" s="247"/>
      <c r="D101" s="247"/>
      <c r="E101" s="247"/>
      <c r="F101" s="247"/>
      <c r="G101" s="247"/>
      <c r="H101" s="247"/>
      <c r="I101" s="247"/>
      <c r="J101" s="247"/>
      <c r="K101" s="247"/>
      <c r="L101" s="247"/>
    </row>
    <row r="102" spans="1:12" x14ac:dyDescent="0.25">
      <c r="A102" s="248"/>
      <c r="B102" s="248" t="s">
        <v>167</v>
      </c>
      <c r="C102" s="248" t="s">
        <v>0</v>
      </c>
      <c r="D102" s="248" t="s">
        <v>1</v>
      </c>
      <c r="E102" s="248" t="s">
        <v>2</v>
      </c>
      <c r="F102" s="248" t="s">
        <v>3</v>
      </c>
      <c r="G102" s="248" t="s">
        <v>84</v>
      </c>
      <c r="H102" s="248" t="s">
        <v>85</v>
      </c>
      <c r="I102" s="248" t="s">
        <v>4</v>
      </c>
      <c r="J102" s="248" t="s">
        <v>82</v>
      </c>
      <c r="K102" s="248" t="s">
        <v>83</v>
      </c>
      <c r="L102" s="249" t="s">
        <v>115</v>
      </c>
    </row>
    <row r="103" spans="1:12" x14ac:dyDescent="0.25">
      <c r="A103" s="250" t="s">
        <v>22</v>
      </c>
      <c r="B103" s="251">
        <v>0</v>
      </c>
      <c r="C103" s="251">
        <v>0</v>
      </c>
      <c r="D103" s="251">
        <v>0</v>
      </c>
      <c r="E103" s="251">
        <f>SUM(0+bthchallcupdrawn)</f>
        <v>0</v>
      </c>
      <c r="F103" s="252" t="e">
        <f t="shared" ref="F103:F122" si="9">SUM(C103+E103*0.5)/B103</f>
        <v>#DIV/0!</v>
      </c>
      <c r="G103" s="251">
        <v>0</v>
      </c>
      <c r="H103" s="251">
        <v>0</v>
      </c>
      <c r="I103" s="251">
        <f t="shared" ref="I103:I122" si="10">SUM(G103-H103)</f>
        <v>0</v>
      </c>
      <c r="J103" s="250">
        <v>0</v>
      </c>
      <c r="K103" s="250">
        <v>0</v>
      </c>
      <c r="L103" s="250">
        <v>0</v>
      </c>
    </row>
    <row r="104" spans="1:12" x14ac:dyDescent="0.25">
      <c r="A104" s="250" t="s">
        <v>5</v>
      </c>
      <c r="B104" s="251">
        <v>0</v>
      </c>
      <c r="C104" s="251">
        <v>0</v>
      </c>
      <c r="D104" s="251">
        <v>0</v>
      </c>
      <c r="E104" s="251">
        <f>SUM(0+bthchallcupdrawn)</f>
        <v>0</v>
      </c>
      <c r="F104" s="252" t="e">
        <f>SUM(C104+E104*0.5)/B104</f>
        <v>#DIV/0!</v>
      </c>
      <c r="G104" s="251">
        <v>0</v>
      </c>
      <c r="H104" s="251">
        <v>0</v>
      </c>
      <c r="I104" s="251">
        <f>SUM(G104-H104)</f>
        <v>0</v>
      </c>
      <c r="J104" s="250">
        <v>0</v>
      </c>
      <c r="K104" s="250">
        <v>0</v>
      </c>
      <c r="L104" s="250">
        <v>0</v>
      </c>
    </row>
    <row r="105" spans="1:12" x14ac:dyDescent="0.25">
      <c r="A105" s="250" t="s">
        <v>6</v>
      </c>
      <c r="B105" s="251">
        <v>0</v>
      </c>
      <c r="C105" s="251">
        <v>0</v>
      </c>
      <c r="D105" s="251">
        <v>0</v>
      </c>
      <c r="E105" s="251">
        <f>SUM(0+bthchallcupdrawn)</f>
        <v>0</v>
      </c>
      <c r="F105" s="252" t="e">
        <f>SUM(C105+E105*0.5)/B105</f>
        <v>#DIV/0!</v>
      </c>
      <c r="G105" s="251">
        <v>0</v>
      </c>
      <c r="H105" s="251">
        <v>0</v>
      </c>
      <c r="I105" s="251">
        <f>SUM(G105-H105)</f>
        <v>0</v>
      </c>
      <c r="J105" s="250">
        <v>0</v>
      </c>
      <c r="K105" s="250">
        <v>0</v>
      </c>
      <c r="L105" s="250">
        <v>0</v>
      </c>
    </row>
    <row r="106" spans="1:12" x14ac:dyDescent="0.25">
      <c r="A106" s="250" t="s">
        <v>7</v>
      </c>
      <c r="B106" s="251">
        <v>0</v>
      </c>
      <c r="C106" s="251">
        <v>0</v>
      </c>
      <c r="D106" s="251">
        <v>0</v>
      </c>
      <c r="E106" s="251">
        <f>SUM(0+bthchallcupdrawn)</f>
        <v>0</v>
      </c>
      <c r="F106" s="252" t="e">
        <f>SUM(C106+E106*0.5)/B106</f>
        <v>#DIV/0!</v>
      </c>
      <c r="G106" s="251">
        <v>0</v>
      </c>
      <c r="H106" s="251">
        <v>0</v>
      </c>
      <c r="I106" s="251">
        <f>SUM(G106-H106)</f>
        <v>0</v>
      </c>
      <c r="J106" s="250">
        <v>0</v>
      </c>
      <c r="K106" s="250">
        <v>0</v>
      </c>
      <c r="L106" s="250">
        <v>0</v>
      </c>
    </row>
    <row r="107" spans="1:12" x14ac:dyDescent="0.25">
      <c r="A107" s="250" t="s">
        <v>8</v>
      </c>
      <c r="B107" s="251">
        <v>2</v>
      </c>
      <c r="C107" s="251">
        <v>1</v>
      </c>
      <c r="D107" s="251">
        <v>1</v>
      </c>
      <c r="E107" s="251">
        <v>0</v>
      </c>
      <c r="F107" s="252">
        <f t="shared" si="9"/>
        <v>0.5</v>
      </c>
      <c r="G107" s="251">
        <v>62</v>
      </c>
      <c r="H107" s="251">
        <v>55</v>
      </c>
      <c r="I107" s="251">
        <f t="shared" si="10"/>
        <v>7</v>
      </c>
      <c r="J107" s="250">
        <v>6</v>
      </c>
      <c r="K107" s="250">
        <v>6</v>
      </c>
      <c r="L107" s="250">
        <v>0</v>
      </c>
    </row>
    <row r="108" spans="1:12" x14ac:dyDescent="0.25">
      <c r="A108" s="250" t="s">
        <v>9</v>
      </c>
      <c r="B108" s="251">
        <v>0</v>
      </c>
      <c r="C108" s="251">
        <v>0</v>
      </c>
      <c r="D108" s="251">
        <v>0</v>
      </c>
      <c r="E108" s="251">
        <f t="shared" ref="E108:E122" si="11">SUM(0+bthchallcupdrawn)</f>
        <v>0</v>
      </c>
      <c r="F108" s="252" t="e">
        <f t="shared" si="9"/>
        <v>#DIV/0!</v>
      </c>
      <c r="G108" s="251">
        <v>0</v>
      </c>
      <c r="H108" s="251">
        <v>0</v>
      </c>
      <c r="I108" s="251">
        <f t="shared" si="10"/>
        <v>0</v>
      </c>
      <c r="J108" s="250">
        <v>0</v>
      </c>
      <c r="K108" s="250">
        <v>0</v>
      </c>
      <c r="L108" s="250">
        <v>0</v>
      </c>
    </row>
    <row r="109" spans="1:12" x14ac:dyDescent="0.25">
      <c r="A109" s="250" t="s">
        <v>10</v>
      </c>
      <c r="B109" s="251">
        <v>0</v>
      </c>
      <c r="C109" s="251">
        <v>0</v>
      </c>
      <c r="D109" s="251">
        <v>0</v>
      </c>
      <c r="E109" s="251">
        <f t="shared" si="11"/>
        <v>0</v>
      </c>
      <c r="F109" s="252" t="e">
        <f t="shared" si="9"/>
        <v>#DIV/0!</v>
      </c>
      <c r="G109" s="251">
        <v>0</v>
      </c>
      <c r="H109" s="251">
        <v>0</v>
      </c>
      <c r="I109" s="251">
        <f t="shared" si="10"/>
        <v>0</v>
      </c>
      <c r="J109" s="250">
        <v>0</v>
      </c>
      <c r="K109" s="250">
        <v>0</v>
      </c>
      <c r="L109" s="250">
        <v>0</v>
      </c>
    </row>
    <row r="110" spans="1:12" x14ac:dyDescent="0.25">
      <c r="A110" s="250" t="s">
        <v>11</v>
      </c>
      <c r="B110" s="251">
        <v>0</v>
      </c>
      <c r="C110" s="251">
        <v>0</v>
      </c>
      <c r="D110" s="251">
        <v>0</v>
      </c>
      <c r="E110" s="251">
        <f t="shared" si="11"/>
        <v>0</v>
      </c>
      <c r="F110" s="252" t="e">
        <f t="shared" si="9"/>
        <v>#DIV/0!</v>
      </c>
      <c r="G110" s="251">
        <v>0</v>
      </c>
      <c r="H110" s="251">
        <v>0</v>
      </c>
      <c r="I110" s="251">
        <f t="shared" si="10"/>
        <v>0</v>
      </c>
      <c r="J110" s="250">
        <v>0</v>
      </c>
      <c r="K110" s="250">
        <v>0</v>
      </c>
      <c r="L110" s="250">
        <v>0</v>
      </c>
    </row>
    <row r="111" spans="1:12" x14ac:dyDescent="0.25">
      <c r="A111" s="250" t="s">
        <v>12</v>
      </c>
      <c r="B111" s="251">
        <v>0</v>
      </c>
      <c r="C111" s="251">
        <v>0</v>
      </c>
      <c r="D111" s="251">
        <v>0</v>
      </c>
      <c r="E111" s="251">
        <f t="shared" si="11"/>
        <v>0</v>
      </c>
      <c r="F111" s="252" t="e">
        <f t="shared" si="9"/>
        <v>#DIV/0!</v>
      </c>
      <c r="G111" s="251">
        <v>0</v>
      </c>
      <c r="H111" s="251">
        <v>0</v>
      </c>
      <c r="I111" s="251">
        <f t="shared" si="10"/>
        <v>0</v>
      </c>
      <c r="J111" s="250">
        <v>0</v>
      </c>
      <c r="K111" s="250">
        <v>0</v>
      </c>
      <c r="L111" s="250">
        <v>0</v>
      </c>
    </row>
    <row r="112" spans="1:12" x14ac:dyDescent="0.25">
      <c r="A112" s="250" t="s">
        <v>13</v>
      </c>
      <c r="B112" s="251">
        <v>0</v>
      </c>
      <c r="C112" s="251">
        <v>0</v>
      </c>
      <c r="D112" s="251">
        <v>0</v>
      </c>
      <c r="E112" s="251">
        <f t="shared" si="11"/>
        <v>0</v>
      </c>
      <c r="F112" s="252" t="e">
        <f t="shared" si="9"/>
        <v>#DIV/0!</v>
      </c>
      <c r="G112" s="251">
        <v>0</v>
      </c>
      <c r="H112" s="251">
        <v>0</v>
      </c>
      <c r="I112" s="251">
        <f t="shared" si="10"/>
        <v>0</v>
      </c>
      <c r="J112" s="250">
        <v>0</v>
      </c>
      <c r="K112" s="250">
        <v>0</v>
      </c>
      <c r="L112" s="250">
        <v>0</v>
      </c>
    </row>
    <row r="113" spans="1:12" x14ac:dyDescent="0.25">
      <c r="A113" s="250" t="s">
        <v>14</v>
      </c>
      <c r="B113" s="251">
        <v>0</v>
      </c>
      <c r="C113" s="251">
        <v>0</v>
      </c>
      <c r="D113" s="251">
        <v>0</v>
      </c>
      <c r="E113" s="251">
        <f t="shared" si="11"/>
        <v>0</v>
      </c>
      <c r="F113" s="252" t="e">
        <f t="shared" si="9"/>
        <v>#DIV/0!</v>
      </c>
      <c r="G113" s="251">
        <v>0</v>
      </c>
      <c r="H113" s="251">
        <v>0</v>
      </c>
      <c r="I113" s="251">
        <f t="shared" si="10"/>
        <v>0</v>
      </c>
      <c r="J113" s="250">
        <v>0</v>
      </c>
      <c r="K113" s="250">
        <v>0</v>
      </c>
      <c r="L113" s="250">
        <v>0</v>
      </c>
    </row>
    <row r="114" spans="1:12" x14ac:dyDescent="0.25">
      <c r="A114" s="250" t="s">
        <v>15</v>
      </c>
      <c r="B114" s="251">
        <v>2</v>
      </c>
      <c r="C114" s="251">
        <v>2</v>
      </c>
      <c r="D114" s="251">
        <v>0</v>
      </c>
      <c r="E114" s="251">
        <f t="shared" si="11"/>
        <v>0</v>
      </c>
      <c r="F114" s="252">
        <f t="shared" si="9"/>
        <v>1</v>
      </c>
      <c r="G114" s="251">
        <v>44</v>
      </c>
      <c r="H114" s="251">
        <v>37</v>
      </c>
      <c r="I114" s="251">
        <f t="shared" si="10"/>
        <v>7</v>
      </c>
      <c r="J114" s="250">
        <v>4</v>
      </c>
      <c r="K114" s="250">
        <v>5</v>
      </c>
      <c r="L114" s="250">
        <v>0</v>
      </c>
    </row>
    <row r="115" spans="1:12" x14ac:dyDescent="0.25">
      <c r="A115" s="250" t="s">
        <v>16</v>
      </c>
      <c r="B115" s="251">
        <v>0</v>
      </c>
      <c r="C115" s="251">
        <v>0</v>
      </c>
      <c r="D115" s="251">
        <v>0</v>
      </c>
      <c r="E115" s="251">
        <f t="shared" si="11"/>
        <v>0</v>
      </c>
      <c r="F115" s="252" t="e">
        <f t="shared" si="9"/>
        <v>#DIV/0!</v>
      </c>
      <c r="G115" s="251">
        <v>0</v>
      </c>
      <c r="H115" s="251">
        <v>0</v>
      </c>
      <c r="I115" s="251">
        <f t="shared" si="10"/>
        <v>0</v>
      </c>
      <c r="J115" s="250">
        <v>0</v>
      </c>
      <c r="K115" s="250">
        <v>0</v>
      </c>
      <c r="L115" s="250">
        <v>0</v>
      </c>
    </row>
    <row r="116" spans="1:12" x14ac:dyDescent="0.25">
      <c r="A116" s="250" t="s">
        <v>17</v>
      </c>
      <c r="B116" s="251">
        <v>0</v>
      </c>
      <c r="C116" s="251">
        <v>0</v>
      </c>
      <c r="D116" s="251">
        <v>0</v>
      </c>
      <c r="E116" s="251">
        <f t="shared" si="11"/>
        <v>0</v>
      </c>
      <c r="F116" s="252" t="e">
        <f t="shared" si="9"/>
        <v>#DIV/0!</v>
      </c>
      <c r="G116" s="251">
        <v>0</v>
      </c>
      <c r="H116" s="251">
        <v>0</v>
      </c>
      <c r="I116" s="251">
        <f t="shared" si="10"/>
        <v>0</v>
      </c>
      <c r="J116" s="250">
        <v>0</v>
      </c>
      <c r="K116" s="250">
        <v>0</v>
      </c>
      <c r="L116" s="250">
        <v>0</v>
      </c>
    </row>
    <row r="117" spans="1:12" x14ac:dyDescent="0.25">
      <c r="A117" s="250" t="s">
        <v>18</v>
      </c>
      <c r="B117" s="251">
        <v>0</v>
      </c>
      <c r="C117" s="251">
        <v>0</v>
      </c>
      <c r="D117" s="251">
        <v>0</v>
      </c>
      <c r="E117" s="251">
        <f t="shared" si="11"/>
        <v>0</v>
      </c>
      <c r="F117" s="252" t="e">
        <f t="shared" si="9"/>
        <v>#DIV/0!</v>
      </c>
      <c r="G117" s="251">
        <v>0</v>
      </c>
      <c r="H117" s="251">
        <v>0</v>
      </c>
      <c r="I117" s="251">
        <f t="shared" si="10"/>
        <v>0</v>
      </c>
      <c r="J117" s="250">
        <v>0</v>
      </c>
      <c r="K117" s="250">
        <v>0</v>
      </c>
      <c r="L117" s="250">
        <v>0</v>
      </c>
    </row>
    <row r="118" spans="1:12" x14ac:dyDescent="0.25">
      <c r="A118" s="250" t="s">
        <v>19</v>
      </c>
      <c r="B118" s="251">
        <v>0</v>
      </c>
      <c r="C118" s="251">
        <v>0</v>
      </c>
      <c r="D118" s="251">
        <v>0</v>
      </c>
      <c r="E118" s="251">
        <f t="shared" si="11"/>
        <v>0</v>
      </c>
      <c r="F118" s="252" t="e">
        <f t="shared" si="9"/>
        <v>#DIV/0!</v>
      </c>
      <c r="G118" s="251">
        <v>0</v>
      </c>
      <c r="H118" s="251">
        <v>0</v>
      </c>
      <c r="I118" s="251">
        <f t="shared" si="10"/>
        <v>0</v>
      </c>
      <c r="J118" s="250">
        <v>0</v>
      </c>
      <c r="K118" s="250">
        <v>0</v>
      </c>
      <c r="L118" s="250">
        <v>0</v>
      </c>
    </row>
    <row r="119" spans="1:12" x14ac:dyDescent="0.25">
      <c r="A119" s="250" t="s">
        <v>106</v>
      </c>
      <c r="B119" s="251">
        <v>2</v>
      </c>
      <c r="C119" s="251">
        <v>2</v>
      </c>
      <c r="D119" s="251">
        <v>0</v>
      </c>
      <c r="E119" s="251">
        <v>0</v>
      </c>
      <c r="F119" s="252">
        <f t="shared" si="9"/>
        <v>1</v>
      </c>
      <c r="G119" s="251">
        <v>50</v>
      </c>
      <c r="H119" s="251">
        <v>35</v>
      </c>
      <c r="I119" s="251">
        <f t="shared" si="10"/>
        <v>15</v>
      </c>
      <c r="J119" s="250">
        <v>5</v>
      </c>
      <c r="K119" s="250">
        <v>4</v>
      </c>
      <c r="L119" s="250">
        <v>0</v>
      </c>
    </row>
    <row r="120" spans="1:12" x14ac:dyDescent="0.25">
      <c r="A120" s="250" t="s">
        <v>20</v>
      </c>
      <c r="B120" s="251">
        <v>0</v>
      </c>
      <c r="C120" s="251">
        <v>0</v>
      </c>
      <c r="D120" s="251">
        <v>0</v>
      </c>
      <c r="E120" s="251">
        <f t="shared" si="11"/>
        <v>0</v>
      </c>
      <c r="F120" s="252" t="e">
        <f t="shared" si="9"/>
        <v>#DIV/0!</v>
      </c>
      <c r="G120" s="251">
        <v>0</v>
      </c>
      <c r="H120" s="251">
        <v>0</v>
      </c>
      <c r="I120" s="251">
        <f t="shared" si="10"/>
        <v>0</v>
      </c>
      <c r="J120" s="250">
        <v>0</v>
      </c>
      <c r="K120" s="250">
        <v>0</v>
      </c>
      <c r="L120" s="250">
        <v>0</v>
      </c>
    </row>
    <row r="121" spans="1:12" x14ac:dyDescent="0.25">
      <c r="A121" s="250" t="s">
        <v>21</v>
      </c>
      <c r="B121" s="251">
        <v>0</v>
      </c>
      <c r="C121" s="251">
        <v>0</v>
      </c>
      <c r="D121" s="251">
        <v>0</v>
      </c>
      <c r="E121" s="251">
        <f t="shared" si="11"/>
        <v>0</v>
      </c>
      <c r="F121" s="252" t="e">
        <f t="shared" si="9"/>
        <v>#DIV/0!</v>
      </c>
      <c r="G121" s="251">
        <v>0</v>
      </c>
      <c r="H121" s="251">
        <v>0</v>
      </c>
      <c r="I121" s="251">
        <f t="shared" si="10"/>
        <v>0</v>
      </c>
      <c r="J121" s="250">
        <v>0</v>
      </c>
      <c r="K121" s="250">
        <v>0</v>
      </c>
      <c r="L121" s="250">
        <v>0</v>
      </c>
    </row>
    <row r="122" spans="1:12" x14ac:dyDescent="0.25">
      <c r="A122" s="250" t="s">
        <v>143</v>
      </c>
      <c r="B122" s="251">
        <v>0</v>
      </c>
      <c r="C122" s="251">
        <v>0</v>
      </c>
      <c r="D122" s="251">
        <v>0</v>
      </c>
      <c r="E122" s="251">
        <f t="shared" si="11"/>
        <v>0</v>
      </c>
      <c r="F122" s="252" t="e">
        <f t="shared" si="9"/>
        <v>#DIV/0!</v>
      </c>
      <c r="G122" s="251">
        <v>0</v>
      </c>
      <c r="H122" s="251">
        <v>0</v>
      </c>
      <c r="I122" s="251">
        <f t="shared" si="10"/>
        <v>0</v>
      </c>
      <c r="J122" s="250">
        <v>0</v>
      </c>
      <c r="K122" s="250">
        <v>0</v>
      </c>
      <c r="L122" s="250">
        <v>0</v>
      </c>
    </row>
    <row r="123" spans="1:12" x14ac:dyDescent="0.25">
      <c r="A123" s="253" t="s">
        <v>59</v>
      </c>
      <c r="B123" s="254" t="s">
        <v>87</v>
      </c>
      <c r="C123" s="254">
        <f>SUM(C103:C122)/2</f>
        <v>2.5</v>
      </c>
      <c r="D123" s="254">
        <f>SUM(D103:D122)/2</f>
        <v>0.5</v>
      </c>
      <c r="E123" s="186">
        <f>SUM(E103:E122)/2</f>
        <v>0</v>
      </c>
      <c r="F123" s="255" t="s">
        <v>77</v>
      </c>
      <c r="G123" s="186">
        <f>SUM(G103:G122)</f>
        <v>156</v>
      </c>
      <c r="H123" s="186">
        <f>SUM(H103:H122)</f>
        <v>127</v>
      </c>
      <c r="I123" s="255" t="s">
        <v>77</v>
      </c>
      <c r="J123" s="186">
        <f>SUM(J103:J122)</f>
        <v>15</v>
      </c>
      <c r="K123" s="186">
        <f>SUM(K103:K122)</f>
        <v>15</v>
      </c>
      <c r="L123" s="186">
        <f>SUM(L103:L122)</f>
        <v>0</v>
      </c>
    </row>
    <row r="124" spans="1:12" x14ac:dyDescent="0.25">
      <c r="A124" s="186" t="s">
        <v>290</v>
      </c>
      <c r="B124" s="247"/>
      <c r="C124" s="247"/>
      <c r="D124" s="247"/>
      <c r="E124" s="247"/>
      <c r="F124" s="247"/>
      <c r="G124" s="247"/>
      <c r="H124" s="247"/>
      <c r="I124" s="247"/>
      <c r="J124" s="247"/>
      <c r="K124" s="247"/>
      <c r="L124" s="247"/>
    </row>
    <row r="130" spans="1:1" x14ac:dyDescent="0.25">
      <c r="A130" s="908" t="s">
        <v>107</v>
      </c>
    </row>
  </sheetData>
  <sortState xmlns:xlrd2="http://schemas.microsoft.com/office/spreadsheetml/2017/richdata2" ref="A2:L21">
    <sortCondition ref="A2:A21"/>
  </sortState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C52"/>
  <sheetViews>
    <sheetView workbookViewId="0">
      <pane ySplit="2" topLeftCell="A3" activePane="bottomLeft" state="frozen"/>
      <selection pane="bottomLeft" activeCell="W38" sqref="W38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5" width="3.75" customWidth="1"/>
    <col min="6" max="7" width="4.125" customWidth="1"/>
    <col min="8" max="18" width="3.75" customWidth="1"/>
    <col min="19" max="20" width="5.75" customWidth="1"/>
    <col min="21" max="21" width="22.125" bestFit="1" customWidth="1"/>
    <col min="22" max="22" width="20.25" bestFit="1" customWidth="1"/>
    <col min="23" max="23" width="26.25" bestFit="1" customWidth="1"/>
    <col min="24" max="24" width="25.625" bestFit="1" customWidth="1"/>
    <col min="25" max="40" width="3.75" customWidth="1"/>
    <col min="43" max="43" width="15.75" customWidth="1"/>
    <col min="46" max="46" width="11.75" bestFit="1" customWidth="1"/>
    <col min="47" max="47" width="6.75" customWidth="1"/>
    <col min="48" max="48" width="11.75" bestFit="1" customWidth="1"/>
    <col min="49" max="49" width="6.75" customWidth="1"/>
    <col min="50" max="50" width="11.75" bestFit="1" customWidth="1"/>
    <col min="51" max="51" width="6.75" customWidth="1"/>
    <col min="52" max="52" width="11.75" bestFit="1" customWidth="1"/>
    <col min="53" max="53" width="6.75" customWidth="1"/>
    <col min="54" max="54" width="11.75" bestFit="1" customWidth="1"/>
    <col min="55" max="55" width="6.75" customWidth="1"/>
  </cols>
  <sheetData>
    <row r="1" spans="1:55" ht="14.95" customHeight="1" thickBot="1" x14ac:dyDescent="0.3">
      <c r="A1" s="1016" t="s">
        <v>276</v>
      </c>
      <c r="B1" s="1017"/>
      <c r="C1" s="1017"/>
      <c r="D1" s="1018"/>
      <c r="E1" s="1019" t="s">
        <v>70</v>
      </c>
      <c r="F1" s="1020"/>
      <c r="G1" s="1021"/>
      <c r="H1" s="1019" t="s">
        <v>69</v>
      </c>
      <c r="I1" s="1021"/>
      <c r="J1" s="1029" t="s">
        <v>40</v>
      </c>
      <c r="K1" s="1030"/>
      <c r="L1" s="1030"/>
      <c r="M1" s="1031"/>
      <c r="N1" s="1029" t="s">
        <v>41</v>
      </c>
      <c r="O1" s="1031"/>
      <c r="P1" s="1029" t="s">
        <v>72</v>
      </c>
      <c r="Q1" s="1030"/>
      <c r="R1" s="1031"/>
      <c r="S1" s="726" t="s">
        <v>42</v>
      </c>
      <c r="T1" s="726" t="s">
        <v>43</v>
      </c>
      <c r="U1" s="423" t="s">
        <v>44</v>
      </c>
      <c r="V1" s="422" t="s">
        <v>45</v>
      </c>
      <c r="W1" s="424" t="s">
        <v>101</v>
      </c>
      <c r="X1" s="424" t="s">
        <v>102</v>
      </c>
      <c r="Y1" s="1036" t="s">
        <v>64</v>
      </c>
      <c r="Z1" s="966"/>
      <c r="AA1" s="966"/>
      <c r="AB1" s="967"/>
      <c r="AC1" s="1036" t="s">
        <v>65</v>
      </c>
      <c r="AD1" s="966"/>
      <c r="AE1" s="966"/>
      <c r="AF1" s="967"/>
      <c r="AG1" s="1036" t="s">
        <v>66</v>
      </c>
      <c r="AH1" s="966"/>
      <c r="AI1" s="966"/>
      <c r="AJ1" s="966"/>
      <c r="AK1" s="1036" t="s">
        <v>137</v>
      </c>
      <c r="AL1" s="966"/>
      <c r="AM1" s="966"/>
      <c r="AN1" s="967"/>
    </row>
    <row r="2" spans="1:55" ht="14.95" customHeight="1" thickBot="1" x14ac:dyDescent="0.3">
      <c r="A2" s="425" t="s">
        <v>62</v>
      </c>
      <c r="B2" s="426" t="s">
        <v>61</v>
      </c>
      <c r="C2" s="427" t="s">
        <v>60</v>
      </c>
      <c r="D2" s="427" t="s">
        <v>71</v>
      </c>
      <c r="E2" s="428" t="s">
        <v>50</v>
      </c>
      <c r="F2" s="428" t="s">
        <v>35</v>
      </c>
      <c r="G2" s="428" t="s">
        <v>36</v>
      </c>
      <c r="H2" s="429" t="s">
        <v>67</v>
      </c>
      <c r="I2" s="430" t="s">
        <v>68</v>
      </c>
      <c r="J2" s="430" t="s">
        <v>46</v>
      </c>
      <c r="K2" s="430" t="s">
        <v>47</v>
      </c>
      <c r="L2" s="430" t="s">
        <v>33</v>
      </c>
      <c r="M2" s="430" t="s">
        <v>48</v>
      </c>
      <c r="N2" s="430" t="s">
        <v>49</v>
      </c>
      <c r="O2" s="430" t="s">
        <v>50</v>
      </c>
      <c r="P2" s="430" t="s">
        <v>67</v>
      </c>
      <c r="Q2" s="430" t="s">
        <v>68</v>
      </c>
      <c r="R2" s="430" t="s">
        <v>46</v>
      </c>
      <c r="S2" s="431"/>
      <c r="T2" s="432"/>
      <c r="U2" s="433"/>
      <c r="V2" s="431"/>
      <c r="W2" s="434"/>
      <c r="X2" s="434"/>
      <c r="Y2" s="567" t="s">
        <v>31</v>
      </c>
      <c r="Z2" s="567" t="s">
        <v>32</v>
      </c>
      <c r="AA2" s="567" t="s">
        <v>33</v>
      </c>
      <c r="AB2" s="567" t="s">
        <v>34</v>
      </c>
      <c r="AC2" s="567" t="s">
        <v>31</v>
      </c>
      <c r="AD2" s="567" t="s">
        <v>32</v>
      </c>
      <c r="AE2" s="567" t="s">
        <v>33</v>
      </c>
      <c r="AF2" s="567" t="s">
        <v>34</v>
      </c>
      <c r="AG2" s="567" t="s">
        <v>31</v>
      </c>
      <c r="AH2" s="567" t="s">
        <v>32</v>
      </c>
      <c r="AI2" s="567" t="s">
        <v>33</v>
      </c>
      <c r="AJ2" s="567" t="s">
        <v>34</v>
      </c>
      <c r="AK2" s="567" t="s">
        <v>31</v>
      </c>
      <c r="AL2" s="567" t="s">
        <v>32</v>
      </c>
      <c r="AM2" s="567" t="s">
        <v>33</v>
      </c>
      <c r="AN2" s="567" t="s">
        <v>34</v>
      </c>
      <c r="AQ2" s="435" t="s">
        <v>240</v>
      </c>
      <c r="AT2" s="1034" t="s">
        <v>240</v>
      </c>
      <c r="AU2" s="1035"/>
    </row>
    <row r="3" spans="1:55" ht="14.95" customHeight="1" thickBot="1" x14ac:dyDescent="0.3">
      <c r="A3" s="581" t="s">
        <v>298</v>
      </c>
      <c r="B3" s="554" t="s">
        <v>222</v>
      </c>
      <c r="C3" s="555" t="s">
        <v>9</v>
      </c>
      <c r="D3" s="556" t="s">
        <v>36</v>
      </c>
      <c r="E3" s="556" t="s">
        <v>34</v>
      </c>
      <c r="F3" s="556">
        <v>12</v>
      </c>
      <c r="G3" s="556">
        <v>24</v>
      </c>
      <c r="H3" s="556">
        <v>0</v>
      </c>
      <c r="I3" s="556">
        <v>0</v>
      </c>
      <c r="J3" s="556">
        <v>2</v>
      </c>
      <c r="K3" s="556">
        <v>1</v>
      </c>
      <c r="L3" s="556">
        <v>0</v>
      </c>
      <c r="M3" s="556">
        <v>0</v>
      </c>
      <c r="N3" s="556">
        <v>0</v>
      </c>
      <c r="O3" s="556">
        <v>0</v>
      </c>
      <c r="P3" s="556">
        <v>0</v>
      </c>
      <c r="Q3" s="556">
        <v>0</v>
      </c>
      <c r="R3" s="556">
        <v>3</v>
      </c>
      <c r="S3" s="557">
        <v>9051</v>
      </c>
      <c r="T3" s="563" t="s">
        <v>301</v>
      </c>
      <c r="U3" s="559" t="s">
        <v>318</v>
      </c>
      <c r="V3" s="557" t="s">
        <v>329</v>
      </c>
      <c r="W3" s="557" t="s">
        <v>316</v>
      </c>
      <c r="X3" s="558" t="s">
        <v>319</v>
      </c>
      <c r="Y3" s="557">
        <v>1</v>
      </c>
      <c r="Z3" s="557">
        <v>0</v>
      </c>
      <c r="AA3" s="557">
        <v>0</v>
      </c>
      <c r="AB3" s="583">
        <v>1</v>
      </c>
      <c r="AC3" s="557">
        <v>0</v>
      </c>
      <c r="AD3" s="557">
        <v>0</v>
      </c>
      <c r="AE3" s="557">
        <v>0</v>
      </c>
      <c r="AF3" s="583">
        <v>0</v>
      </c>
      <c r="AG3" s="557">
        <v>1</v>
      </c>
      <c r="AH3" s="557">
        <v>0</v>
      </c>
      <c r="AI3" s="557">
        <v>0</v>
      </c>
      <c r="AJ3" s="558">
        <v>1</v>
      </c>
      <c r="AK3" s="557">
        <v>0</v>
      </c>
      <c r="AL3" s="557">
        <v>0</v>
      </c>
      <c r="AM3" s="557">
        <v>0</v>
      </c>
      <c r="AN3" s="558">
        <v>0</v>
      </c>
      <c r="AQ3" s="507" t="s">
        <v>171</v>
      </c>
      <c r="AR3" s="4"/>
      <c r="AS3" s="4"/>
      <c r="AT3" s="4" t="s">
        <v>177</v>
      </c>
    </row>
    <row r="4" spans="1:55" ht="14.95" customHeight="1" thickBot="1" x14ac:dyDescent="0.3">
      <c r="A4" s="546" t="s">
        <v>754</v>
      </c>
      <c r="B4" s="547" t="s">
        <v>222</v>
      </c>
      <c r="C4" s="548" t="s">
        <v>347</v>
      </c>
      <c r="D4" s="549" t="s">
        <v>299</v>
      </c>
      <c r="E4" s="549" t="s">
        <v>32</v>
      </c>
      <c r="F4" s="549">
        <v>20</v>
      </c>
      <c r="G4" s="549">
        <v>17</v>
      </c>
      <c r="H4" s="549">
        <v>0</v>
      </c>
      <c r="I4" s="549">
        <v>0</v>
      </c>
      <c r="J4" s="549">
        <v>2</v>
      </c>
      <c r="K4" s="549">
        <v>2</v>
      </c>
      <c r="L4" s="549">
        <v>0</v>
      </c>
      <c r="M4" s="549">
        <v>2</v>
      </c>
      <c r="N4" s="549">
        <v>2</v>
      </c>
      <c r="O4" s="549">
        <v>0</v>
      </c>
      <c r="P4" s="549">
        <v>0</v>
      </c>
      <c r="Q4" s="549">
        <v>1</v>
      </c>
      <c r="R4" s="549">
        <v>3</v>
      </c>
      <c r="S4" s="584">
        <v>7274</v>
      </c>
      <c r="T4" s="585" t="s">
        <v>361</v>
      </c>
      <c r="U4" s="586" t="s">
        <v>463</v>
      </c>
      <c r="V4" s="584" t="s">
        <v>202</v>
      </c>
      <c r="W4" s="587" t="s">
        <v>346</v>
      </c>
      <c r="X4" s="587" t="s">
        <v>316</v>
      </c>
      <c r="Y4" s="550">
        <v>1</v>
      </c>
      <c r="Z4" s="550">
        <v>1</v>
      </c>
      <c r="AA4" s="550">
        <v>0</v>
      </c>
      <c r="AB4" s="588">
        <v>0</v>
      </c>
      <c r="AC4" s="550">
        <v>1</v>
      </c>
      <c r="AD4" s="550">
        <v>1</v>
      </c>
      <c r="AE4" s="550">
        <v>0</v>
      </c>
      <c r="AF4" s="588">
        <v>0</v>
      </c>
      <c r="AG4" s="550">
        <v>0</v>
      </c>
      <c r="AH4" s="550">
        <v>0</v>
      </c>
      <c r="AI4" s="550">
        <v>0</v>
      </c>
      <c r="AJ4" s="552">
        <v>0</v>
      </c>
      <c r="AK4" s="550">
        <v>0</v>
      </c>
      <c r="AL4" s="550">
        <v>0</v>
      </c>
      <c r="AM4" s="550">
        <v>0</v>
      </c>
      <c r="AN4" s="552">
        <v>0</v>
      </c>
      <c r="AQ4" s="173" t="s">
        <v>167</v>
      </c>
      <c r="AR4" s="174">
        <f>Bristol_Rugbyhistplayed</f>
        <v>266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989" t="s">
        <v>174</v>
      </c>
      <c r="BC4" s="990"/>
    </row>
    <row r="5" spans="1:55" ht="14.95" customHeight="1" thickBot="1" x14ac:dyDescent="0.3">
      <c r="A5" s="626" t="s">
        <v>358</v>
      </c>
      <c r="B5" s="547" t="s">
        <v>222</v>
      </c>
      <c r="C5" s="627" t="s">
        <v>11</v>
      </c>
      <c r="D5" s="628" t="s">
        <v>299</v>
      </c>
      <c r="E5" s="628" t="s">
        <v>32</v>
      </c>
      <c r="F5" s="628">
        <v>44</v>
      </c>
      <c r="G5" s="628">
        <v>27</v>
      </c>
      <c r="H5" s="628">
        <v>1</v>
      </c>
      <c r="I5" s="628">
        <v>0</v>
      </c>
      <c r="J5" s="628">
        <v>5</v>
      </c>
      <c r="K5" s="628">
        <v>5</v>
      </c>
      <c r="L5" s="628">
        <v>0</v>
      </c>
      <c r="M5" s="628">
        <v>3</v>
      </c>
      <c r="N5" s="628">
        <v>0</v>
      </c>
      <c r="O5" s="628">
        <v>0</v>
      </c>
      <c r="P5" s="628">
        <v>1</v>
      </c>
      <c r="Q5" s="628">
        <v>0</v>
      </c>
      <c r="R5" s="628">
        <v>4</v>
      </c>
      <c r="S5" s="550">
        <v>4865</v>
      </c>
      <c r="T5" s="629" t="s">
        <v>407</v>
      </c>
      <c r="U5" s="551" t="s">
        <v>350</v>
      </c>
      <c r="V5" s="550" t="s">
        <v>202</v>
      </c>
      <c r="W5" s="550" t="s">
        <v>346</v>
      </c>
      <c r="X5" s="550" t="s">
        <v>398</v>
      </c>
      <c r="Y5" s="550">
        <v>1</v>
      </c>
      <c r="Z5" s="550">
        <v>1</v>
      </c>
      <c r="AA5" s="550">
        <v>0</v>
      </c>
      <c r="AB5" s="550">
        <v>0</v>
      </c>
      <c r="AC5" s="550">
        <v>1</v>
      </c>
      <c r="AD5" s="550">
        <v>1</v>
      </c>
      <c r="AE5" s="550">
        <v>0</v>
      </c>
      <c r="AF5" s="550">
        <v>0</v>
      </c>
      <c r="AG5" s="550">
        <v>0</v>
      </c>
      <c r="AH5" s="550">
        <v>0</v>
      </c>
      <c r="AI5" s="550">
        <v>0</v>
      </c>
      <c r="AJ5" s="551">
        <v>0</v>
      </c>
      <c r="AK5" s="550">
        <v>0</v>
      </c>
      <c r="AL5" s="550">
        <v>0</v>
      </c>
      <c r="AM5" s="550">
        <v>0</v>
      </c>
      <c r="AN5" s="551">
        <v>0</v>
      </c>
      <c r="AQ5" s="175" t="s">
        <v>0</v>
      </c>
      <c r="AR5" s="176">
        <f>bsthistwon</f>
        <v>96</v>
      </c>
      <c r="AT5" s="177" t="s">
        <v>167</v>
      </c>
      <c r="AU5" s="189">
        <f>Bsteuropeancuphistplayed</f>
        <v>12</v>
      </c>
      <c r="AV5" s="179" t="s">
        <v>167</v>
      </c>
      <c r="AW5" s="180">
        <f>bstchampscuphistplayed</f>
        <v>0</v>
      </c>
      <c r="AX5" s="187" t="s">
        <v>167</v>
      </c>
      <c r="AY5" s="188">
        <f>harchampscuppohistplayed</f>
        <v>0</v>
      </c>
      <c r="AZ5" s="181" t="s">
        <v>167</v>
      </c>
      <c r="BA5" s="178">
        <f>bsteurochallcuphistoryplayed</f>
        <v>73</v>
      </c>
      <c r="BB5" s="182" t="s">
        <v>167</v>
      </c>
      <c r="BC5" s="183">
        <f>SUM(AU5+AY5+BA5)</f>
        <v>85</v>
      </c>
    </row>
    <row r="6" spans="1:55" ht="14.95" customHeight="1" thickBot="1" x14ac:dyDescent="0.3">
      <c r="A6" s="553" t="s">
        <v>241</v>
      </c>
      <c r="B6" s="554" t="s">
        <v>222</v>
      </c>
      <c r="C6" s="625" t="s">
        <v>28</v>
      </c>
      <c r="D6" s="556" t="s">
        <v>36</v>
      </c>
      <c r="E6" s="556" t="s">
        <v>34</v>
      </c>
      <c r="F6" s="556">
        <v>19</v>
      </c>
      <c r="G6" s="556">
        <v>42</v>
      </c>
      <c r="H6" s="556">
        <v>0</v>
      </c>
      <c r="I6" s="556">
        <v>0</v>
      </c>
      <c r="J6" s="556">
        <v>3</v>
      </c>
      <c r="K6" s="556">
        <v>2</v>
      </c>
      <c r="L6" s="556">
        <v>0</v>
      </c>
      <c r="M6" s="556">
        <v>0</v>
      </c>
      <c r="N6" s="556">
        <v>0</v>
      </c>
      <c r="O6" s="556">
        <v>0</v>
      </c>
      <c r="P6" s="556">
        <v>1</v>
      </c>
      <c r="Q6" s="556">
        <v>0</v>
      </c>
      <c r="R6" s="556">
        <v>6</v>
      </c>
      <c r="S6" s="557">
        <v>9706</v>
      </c>
      <c r="T6" s="563" t="s">
        <v>421</v>
      </c>
      <c r="U6" s="559" t="s">
        <v>396</v>
      </c>
      <c r="V6" s="557" t="s">
        <v>330</v>
      </c>
      <c r="W6" s="557" t="s">
        <v>308</v>
      </c>
      <c r="X6" s="558" t="s">
        <v>397</v>
      </c>
      <c r="Y6" s="557">
        <v>1</v>
      </c>
      <c r="Z6" s="557">
        <v>0</v>
      </c>
      <c r="AA6" s="557">
        <v>0</v>
      </c>
      <c r="AB6" s="557">
        <v>1</v>
      </c>
      <c r="AC6" s="557">
        <v>0</v>
      </c>
      <c r="AD6" s="557">
        <v>0</v>
      </c>
      <c r="AE6" s="557">
        <v>0</v>
      </c>
      <c r="AF6" s="557">
        <v>0</v>
      </c>
      <c r="AG6" s="557">
        <v>1</v>
      </c>
      <c r="AH6" s="557">
        <v>0</v>
      </c>
      <c r="AI6" s="557">
        <v>0</v>
      </c>
      <c r="AJ6" s="559">
        <v>1</v>
      </c>
      <c r="AK6" s="557">
        <v>0</v>
      </c>
      <c r="AL6" s="557">
        <v>0</v>
      </c>
      <c r="AM6" s="557">
        <v>0</v>
      </c>
      <c r="AN6" s="559">
        <v>0</v>
      </c>
      <c r="AQ6" s="175" t="s">
        <v>168</v>
      </c>
      <c r="AR6" s="176">
        <f>bsthistdrawn</f>
        <v>10</v>
      </c>
      <c r="AT6" s="177" t="s">
        <v>0</v>
      </c>
      <c r="AU6" s="189">
        <f>Bsteuropeancuphistwon</f>
        <v>6</v>
      </c>
      <c r="AV6" s="179" t="s">
        <v>0</v>
      </c>
      <c r="AW6" s="180">
        <f>bstchampscuphisteon</f>
        <v>0</v>
      </c>
      <c r="AX6" s="187" t="s">
        <v>0</v>
      </c>
      <c r="AY6" s="188">
        <f>harchampscuppohistwon</f>
        <v>0</v>
      </c>
      <c r="AZ6" s="181" t="s">
        <v>0</v>
      </c>
      <c r="BA6" s="178">
        <f>bsteurochallcuphistorywon</f>
        <v>42</v>
      </c>
      <c r="BB6" s="182" t="s">
        <v>0</v>
      </c>
      <c r="BC6" s="183">
        <f t="shared" ref="BC6:BC12" si="0">SUM(AU6+AY6+BA6)</f>
        <v>48</v>
      </c>
    </row>
    <row r="7" spans="1:55" ht="14.95" customHeight="1" thickBot="1" x14ac:dyDescent="0.3">
      <c r="A7" s="468" t="s">
        <v>426</v>
      </c>
      <c r="B7" s="469" t="s">
        <v>199</v>
      </c>
      <c r="C7" s="470" t="s">
        <v>22</v>
      </c>
      <c r="D7" s="471" t="s">
        <v>299</v>
      </c>
      <c r="E7" s="471" t="s">
        <v>32</v>
      </c>
      <c r="F7" s="471">
        <v>43</v>
      </c>
      <c r="G7" s="471">
        <v>16</v>
      </c>
      <c r="H7" s="471">
        <v>1</v>
      </c>
      <c r="I7" s="471">
        <v>0</v>
      </c>
      <c r="J7" s="471">
        <v>7</v>
      </c>
      <c r="K7" s="471">
        <v>4</v>
      </c>
      <c r="L7" s="471">
        <v>0</v>
      </c>
      <c r="M7" s="471">
        <v>0</v>
      </c>
      <c r="N7" s="471">
        <v>0</v>
      </c>
      <c r="O7" s="471">
        <v>0</v>
      </c>
      <c r="P7" s="471">
        <v>0</v>
      </c>
      <c r="Q7" s="471">
        <v>0</v>
      </c>
      <c r="R7" s="471">
        <v>1</v>
      </c>
      <c r="S7" s="472">
        <v>26399</v>
      </c>
      <c r="T7" s="480" t="s">
        <v>462</v>
      </c>
      <c r="U7" s="478" t="s">
        <v>463</v>
      </c>
      <c r="V7" s="472" t="s">
        <v>464</v>
      </c>
      <c r="W7" s="472" t="s">
        <v>304</v>
      </c>
      <c r="X7" s="473" t="s">
        <v>319</v>
      </c>
      <c r="Y7" s="472">
        <v>1</v>
      </c>
      <c r="Z7" s="472">
        <v>1</v>
      </c>
      <c r="AA7" s="472">
        <v>0</v>
      </c>
      <c r="AB7" s="472">
        <v>0</v>
      </c>
      <c r="AC7" s="472">
        <v>1</v>
      </c>
      <c r="AD7" s="472">
        <v>1</v>
      </c>
      <c r="AE7" s="472">
        <v>0</v>
      </c>
      <c r="AF7" s="472">
        <v>0</v>
      </c>
      <c r="AG7" s="472">
        <v>0</v>
      </c>
      <c r="AH7" s="472">
        <v>0</v>
      </c>
      <c r="AI7" s="472">
        <v>0</v>
      </c>
      <c r="AJ7" s="478">
        <v>0</v>
      </c>
      <c r="AK7" s="472">
        <v>0</v>
      </c>
      <c r="AL7" s="472">
        <v>0</v>
      </c>
      <c r="AM7" s="472">
        <v>0</v>
      </c>
      <c r="AN7" s="478">
        <v>0</v>
      </c>
      <c r="AQ7" s="175" t="s">
        <v>1</v>
      </c>
      <c r="AR7" s="176">
        <f>bsthistlost</f>
        <v>160</v>
      </c>
      <c r="AT7" s="177" t="s">
        <v>168</v>
      </c>
      <c r="AU7" s="189">
        <f>Bsteuropeancuphistdrawn</f>
        <v>0</v>
      </c>
      <c r="AV7" s="179" t="s">
        <v>168</v>
      </c>
      <c r="AW7" s="180">
        <f>bstchampscuphistdrawn</f>
        <v>0</v>
      </c>
      <c r="AX7" s="187" t="s">
        <v>168</v>
      </c>
      <c r="AY7" s="188">
        <f>harchampscuppohistdrawn</f>
        <v>0</v>
      </c>
      <c r="AZ7" s="181" t="s">
        <v>168</v>
      </c>
      <c r="BA7" s="178">
        <f>bsteurochallcuphistorydrawn</f>
        <v>2</v>
      </c>
      <c r="BB7" s="182" t="s">
        <v>168</v>
      </c>
      <c r="BC7" s="183">
        <f t="shared" si="0"/>
        <v>2</v>
      </c>
    </row>
    <row r="8" spans="1:55" ht="14.95" customHeight="1" thickBot="1" x14ac:dyDescent="0.3">
      <c r="A8" s="479" t="s">
        <v>238</v>
      </c>
      <c r="B8" s="461" t="s">
        <v>199</v>
      </c>
      <c r="C8" s="462" t="s">
        <v>9</v>
      </c>
      <c r="D8" s="463" t="s">
        <v>36</v>
      </c>
      <c r="E8" s="463" t="s">
        <v>34</v>
      </c>
      <c r="F8" s="463">
        <v>17</v>
      </c>
      <c r="G8" s="463">
        <v>22</v>
      </c>
      <c r="H8" s="463">
        <v>0</v>
      </c>
      <c r="I8" s="463">
        <v>1</v>
      </c>
      <c r="J8" s="463">
        <v>1</v>
      </c>
      <c r="K8" s="463">
        <v>0</v>
      </c>
      <c r="L8" s="463">
        <v>0</v>
      </c>
      <c r="M8" s="463">
        <v>4</v>
      </c>
      <c r="N8" s="463">
        <v>1</v>
      </c>
      <c r="O8" s="463">
        <v>0</v>
      </c>
      <c r="P8" s="463">
        <v>0</v>
      </c>
      <c r="Q8" s="463">
        <v>0</v>
      </c>
      <c r="R8" s="463">
        <v>1</v>
      </c>
      <c r="S8" s="464">
        <v>13006</v>
      </c>
      <c r="T8" s="485" t="s">
        <v>512</v>
      </c>
      <c r="U8" s="466" t="s">
        <v>318</v>
      </c>
      <c r="V8" s="464" t="s">
        <v>348</v>
      </c>
      <c r="W8" s="464" t="s">
        <v>395</v>
      </c>
      <c r="X8" s="467" t="s">
        <v>306</v>
      </c>
      <c r="Y8" s="464">
        <v>1</v>
      </c>
      <c r="Z8" s="464">
        <v>0</v>
      </c>
      <c r="AA8" s="464">
        <v>0</v>
      </c>
      <c r="AB8" s="464">
        <v>1</v>
      </c>
      <c r="AC8" s="464">
        <v>0</v>
      </c>
      <c r="AD8" s="464">
        <v>0</v>
      </c>
      <c r="AE8" s="464">
        <v>0</v>
      </c>
      <c r="AF8" s="464">
        <v>0</v>
      </c>
      <c r="AG8" s="464">
        <v>1</v>
      </c>
      <c r="AH8" s="464">
        <v>0</v>
      </c>
      <c r="AI8" s="464">
        <v>0</v>
      </c>
      <c r="AJ8" s="466">
        <v>1</v>
      </c>
      <c r="AK8" s="464">
        <v>0</v>
      </c>
      <c r="AL8" s="464">
        <v>0</v>
      </c>
      <c r="AM8" s="464">
        <v>0</v>
      </c>
      <c r="AN8" s="466">
        <v>0</v>
      </c>
      <c r="AQ8" s="175" t="s">
        <v>169</v>
      </c>
      <c r="AR8" s="176">
        <f>bsthistfor</f>
        <v>5488</v>
      </c>
      <c r="AT8" s="177" t="s">
        <v>1</v>
      </c>
      <c r="AU8" s="189">
        <f>Bsteuropeancuphistlost</f>
        <v>6</v>
      </c>
      <c r="AV8" s="179" t="s">
        <v>1</v>
      </c>
      <c r="AW8" s="180">
        <f>bstchampscuphistlost</f>
        <v>0</v>
      </c>
      <c r="AX8" s="187" t="s">
        <v>1</v>
      </c>
      <c r="AY8" s="188">
        <f>harchampscuppohistlost</f>
        <v>0</v>
      </c>
      <c r="AZ8" s="181" t="s">
        <v>1</v>
      </c>
      <c r="BA8" s="178">
        <f>bsteurochallcuphistorylost</f>
        <v>29</v>
      </c>
      <c r="BB8" s="182" t="s">
        <v>1</v>
      </c>
      <c r="BC8" s="183">
        <f t="shared" si="0"/>
        <v>35</v>
      </c>
    </row>
    <row r="9" spans="1:55" ht="14.95" customHeight="1" thickBot="1" x14ac:dyDescent="0.3">
      <c r="A9" s="468" t="s">
        <v>435</v>
      </c>
      <c r="B9" s="469" t="s">
        <v>199</v>
      </c>
      <c r="C9" s="470" t="s">
        <v>27</v>
      </c>
      <c r="D9" s="471" t="s">
        <v>299</v>
      </c>
      <c r="E9" s="471" t="s">
        <v>32</v>
      </c>
      <c r="F9" s="471">
        <v>16</v>
      </c>
      <c r="G9" s="471">
        <v>10</v>
      </c>
      <c r="H9" s="471">
        <v>0</v>
      </c>
      <c r="I9" s="471">
        <v>0</v>
      </c>
      <c r="J9" s="471">
        <v>1</v>
      </c>
      <c r="K9" s="471">
        <v>1</v>
      </c>
      <c r="L9" s="471">
        <v>0</v>
      </c>
      <c r="M9" s="471">
        <v>3</v>
      </c>
      <c r="N9" s="471">
        <v>1</v>
      </c>
      <c r="O9" s="471">
        <v>0</v>
      </c>
      <c r="P9" s="471">
        <v>0</v>
      </c>
      <c r="Q9" s="471">
        <v>1</v>
      </c>
      <c r="R9" s="471">
        <v>1</v>
      </c>
      <c r="S9" s="472">
        <v>14639</v>
      </c>
      <c r="T9" s="480" t="s">
        <v>527</v>
      </c>
      <c r="U9" s="478" t="s">
        <v>326</v>
      </c>
      <c r="V9" s="472" t="s">
        <v>330</v>
      </c>
      <c r="W9" s="472" t="s">
        <v>320</v>
      </c>
      <c r="X9" s="473" t="s">
        <v>343</v>
      </c>
      <c r="Y9" s="472">
        <v>1</v>
      </c>
      <c r="Z9" s="472">
        <v>1</v>
      </c>
      <c r="AA9" s="472">
        <v>0</v>
      </c>
      <c r="AB9" s="472">
        <v>0</v>
      </c>
      <c r="AC9" s="472">
        <v>1</v>
      </c>
      <c r="AD9" s="472">
        <v>1</v>
      </c>
      <c r="AE9" s="472">
        <v>0</v>
      </c>
      <c r="AF9" s="472">
        <v>0</v>
      </c>
      <c r="AG9" s="472">
        <v>0</v>
      </c>
      <c r="AH9" s="472">
        <v>0</v>
      </c>
      <c r="AI9" s="472">
        <v>0</v>
      </c>
      <c r="AJ9" s="478">
        <v>0</v>
      </c>
      <c r="AK9" s="472">
        <v>0</v>
      </c>
      <c r="AL9" s="472">
        <v>0</v>
      </c>
      <c r="AM9" s="472">
        <v>0</v>
      </c>
      <c r="AN9" s="478">
        <v>0</v>
      </c>
      <c r="AQ9" s="175" t="s">
        <v>170</v>
      </c>
      <c r="AR9" s="176">
        <f>bsthistagainst</f>
        <v>6858</v>
      </c>
      <c r="AT9" s="177" t="s">
        <v>169</v>
      </c>
      <c r="AU9" s="189">
        <f>Bsteuropeancuphistpointsscored</f>
        <v>232</v>
      </c>
      <c r="AV9" s="179" t="s">
        <v>169</v>
      </c>
      <c r="AW9" s="180">
        <f>bstchampscuphistptsscored</f>
        <v>0</v>
      </c>
      <c r="AX9" s="187" t="s">
        <v>169</v>
      </c>
      <c r="AY9" s="188">
        <f>harchampscuppohistptsscored</f>
        <v>0</v>
      </c>
      <c r="AZ9" s="181" t="s">
        <v>169</v>
      </c>
      <c r="BA9" s="178">
        <f>bsteurochallcuphistoryptsscored</f>
        <v>2177</v>
      </c>
      <c r="BB9" s="182" t="s">
        <v>169</v>
      </c>
      <c r="BC9" s="183">
        <f t="shared" si="0"/>
        <v>2409</v>
      </c>
    </row>
    <row r="10" spans="1:55" ht="14.95" customHeight="1" thickBot="1" x14ac:dyDescent="0.3">
      <c r="A10" s="479" t="s">
        <v>436</v>
      </c>
      <c r="B10" s="461" t="s">
        <v>199</v>
      </c>
      <c r="C10" s="462" t="s">
        <v>28</v>
      </c>
      <c r="D10" s="463" t="s">
        <v>36</v>
      </c>
      <c r="E10" s="463" t="s">
        <v>32</v>
      </c>
      <c r="F10" s="463">
        <v>20</v>
      </c>
      <c r="G10" s="463">
        <v>17</v>
      </c>
      <c r="H10" s="463">
        <v>0</v>
      </c>
      <c r="I10" s="463">
        <v>0</v>
      </c>
      <c r="J10" s="463">
        <v>2</v>
      </c>
      <c r="K10" s="463">
        <v>2</v>
      </c>
      <c r="L10" s="463">
        <v>0</v>
      </c>
      <c r="M10" s="463">
        <v>2</v>
      </c>
      <c r="N10" s="463">
        <v>0</v>
      </c>
      <c r="O10" s="463">
        <v>0</v>
      </c>
      <c r="P10" s="463">
        <v>0</v>
      </c>
      <c r="Q10" s="463">
        <v>1</v>
      </c>
      <c r="R10" s="463">
        <v>2</v>
      </c>
      <c r="S10" s="635">
        <v>11015</v>
      </c>
      <c r="T10" s="465" t="s">
        <v>555</v>
      </c>
      <c r="U10" s="466" t="s">
        <v>554</v>
      </c>
      <c r="V10" s="464" t="s">
        <v>399</v>
      </c>
      <c r="W10" s="464" t="s">
        <v>343</v>
      </c>
      <c r="X10" s="467" t="s">
        <v>346</v>
      </c>
      <c r="Y10" s="464">
        <v>1</v>
      </c>
      <c r="Z10" s="464">
        <v>1</v>
      </c>
      <c r="AA10" s="464">
        <v>0</v>
      </c>
      <c r="AB10" s="464">
        <v>0</v>
      </c>
      <c r="AC10" s="464">
        <v>0</v>
      </c>
      <c r="AD10" s="464">
        <v>0</v>
      </c>
      <c r="AE10" s="464">
        <v>0</v>
      </c>
      <c r="AF10" s="464">
        <v>0</v>
      </c>
      <c r="AG10" s="464">
        <v>1</v>
      </c>
      <c r="AH10" s="464">
        <v>1</v>
      </c>
      <c r="AI10" s="464">
        <v>0</v>
      </c>
      <c r="AJ10" s="466">
        <v>0</v>
      </c>
      <c r="AK10" s="464">
        <v>0</v>
      </c>
      <c r="AL10" s="464">
        <v>0</v>
      </c>
      <c r="AM10" s="464">
        <v>0</v>
      </c>
      <c r="AN10" s="466">
        <v>0</v>
      </c>
      <c r="AQ10" s="175" t="s">
        <v>73</v>
      </c>
      <c r="AR10" s="176">
        <f>bsthisttriescored</f>
        <v>564</v>
      </c>
      <c r="AT10" s="177" t="s">
        <v>175</v>
      </c>
      <c r="AU10" s="189">
        <f>Bsteuropeancuphistptsagainst</f>
        <v>224</v>
      </c>
      <c r="AV10" s="179" t="s">
        <v>175</v>
      </c>
      <c r="AW10" s="180">
        <f>bstchampscuphistptsagainst</f>
        <v>0</v>
      </c>
      <c r="AX10" s="187" t="s">
        <v>175</v>
      </c>
      <c r="AY10" s="188">
        <f>harchampscuppohistptsagainst</f>
        <v>0</v>
      </c>
      <c r="AZ10" s="181" t="s">
        <v>175</v>
      </c>
      <c r="BA10" s="178">
        <f>bsteurochallcuphistoryptsagainst</f>
        <v>1642</v>
      </c>
      <c r="BB10" s="182" t="s">
        <v>175</v>
      </c>
      <c r="BC10" s="183">
        <f t="shared" si="0"/>
        <v>1866</v>
      </c>
    </row>
    <row r="11" spans="1:55" ht="14.95" customHeight="1" thickBot="1" x14ac:dyDescent="0.3">
      <c r="A11" s="597" t="s">
        <v>234</v>
      </c>
      <c r="B11" s="598" t="s">
        <v>142</v>
      </c>
      <c r="C11" s="599" t="s">
        <v>439</v>
      </c>
      <c r="D11" s="600" t="s">
        <v>299</v>
      </c>
      <c r="E11" s="600" t="s">
        <v>32</v>
      </c>
      <c r="F11" s="600">
        <v>59</v>
      </c>
      <c r="G11" s="600">
        <v>21</v>
      </c>
      <c r="H11" s="600">
        <v>1</v>
      </c>
      <c r="I11" s="600">
        <v>0</v>
      </c>
      <c r="J11" s="600">
        <v>8</v>
      </c>
      <c r="K11" s="600">
        <v>8</v>
      </c>
      <c r="L11" s="600">
        <v>0</v>
      </c>
      <c r="M11" s="600">
        <v>1</v>
      </c>
      <c r="N11" s="600">
        <v>2</v>
      </c>
      <c r="O11" s="600">
        <v>0</v>
      </c>
      <c r="P11" s="600">
        <v>0</v>
      </c>
      <c r="Q11" s="600">
        <v>0</v>
      </c>
      <c r="R11" s="600">
        <v>3</v>
      </c>
      <c r="S11" s="601">
        <v>10511</v>
      </c>
      <c r="T11" s="602" t="s">
        <v>656</v>
      </c>
      <c r="U11" s="603" t="s">
        <v>646</v>
      </c>
      <c r="V11" s="601" t="s">
        <v>202</v>
      </c>
      <c r="W11" s="601" t="s">
        <v>657</v>
      </c>
      <c r="X11" s="604" t="s">
        <v>658</v>
      </c>
      <c r="Y11" s="601">
        <v>1</v>
      </c>
      <c r="Z11" s="601">
        <v>1</v>
      </c>
      <c r="AA11" s="601">
        <v>0</v>
      </c>
      <c r="AB11" s="601">
        <v>0</v>
      </c>
      <c r="AC11" s="601">
        <v>1</v>
      </c>
      <c r="AD11" s="601">
        <v>1</v>
      </c>
      <c r="AE11" s="601">
        <v>0</v>
      </c>
      <c r="AF11" s="601">
        <v>0</v>
      </c>
      <c r="AG11" s="601">
        <v>0</v>
      </c>
      <c r="AH11" s="601">
        <v>0</v>
      </c>
      <c r="AI11" s="601">
        <v>0</v>
      </c>
      <c r="AJ11" s="603">
        <v>0</v>
      </c>
      <c r="AK11" s="601">
        <v>0</v>
      </c>
      <c r="AL11" s="601">
        <v>0</v>
      </c>
      <c r="AM11" s="601">
        <v>0</v>
      </c>
      <c r="AN11" s="603">
        <v>0</v>
      </c>
      <c r="AQ11" s="175" t="s">
        <v>75</v>
      </c>
      <c r="AR11" s="176">
        <f>bsthisttriesagainst</f>
        <v>766</v>
      </c>
      <c r="AT11" s="177" t="s">
        <v>73</v>
      </c>
      <c r="AU11" s="189">
        <f>Bsteuropeancuphisttriesscored</f>
        <v>25</v>
      </c>
      <c r="AV11" s="179" t="s">
        <v>73</v>
      </c>
      <c r="AW11" s="180">
        <f>bstchampscuphisttriesscored</f>
        <v>0</v>
      </c>
      <c r="AX11" s="187" t="s">
        <v>73</v>
      </c>
      <c r="AY11" s="188">
        <f>harchampscuppohisttriesscopred</f>
        <v>0</v>
      </c>
      <c r="AZ11" s="181" t="s">
        <v>73</v>
      </c>
      <c r="BA11" s="178">
        <f>bsteurochallcuphistorytriesscored</f>
        <v>263</v>
      </c>
      <c r="BB11" s="182" t="s">
        <v>73</v>
      </c>
      <c r="BC11" s="183">
        <f t="shared" si="0"/>
        <v>288</v>
      </c>
    </row>
    <row r="12" spans="1:55" ht="14.95" customHeight="1" thickBot="1" x14ac:dyDescent="0.3">
      <c r="A12" s="750" t="s">
        <v>437</v>
      </c>
      <c r="B12" s="751" t="s">
        <v>142</v>
      </c>
      <c r="C12" s="752" t="s">
        <v>440</v>
      </c>
      <c r="D12" s="753" t="s">
        <v>36</v>
      </c>
      <c r="E12" s="753" t="s">
        <v>32</v>
      </c>
      <c r="F12" s="753">
        <v>36</v>
      </c>
      <c r="G12" s="753">
        <v>0</v>
      </c>
      <c r="H12" s="753">
        <v>1</v>
      </c>
      <c r="I12" s="753">
        <v>0</v>
      </c>
      <c r="J12" s="753">
        <v>5</v>
      </c>
      <c r="K12" s="753">
        <v>4</v>
      </c>
      <c r="L12" s="753">
        <v>0</v>
      </c>
      <c r="M12" s="753">
        <v>1</v>
      </c>
      <c r="N12" s="753">
        <v>0</v>
      </c>
      <c r="O12" s="753">
        <v>0</v>
      </c>
      <c r="P12" s="753">
        <v>0</v>
      </c>
      <c r="Q12" s="753">
        <v>0</v>
      </c>
      <c r="R12" s="753">
        <v>0</v>
      </c>
      <c r="S12" s="756">
        <v>4533</v>
      </c>
      <c r="T12" s="771" t="s">
        <v>653</v>
      </c>
      <c r="U12" s="754" t="s">
        <v>654</v>
      </c>
      <c r="V12" s="755" t="s">
        <v>202</v>
      </c>
      <c r="W12" s="756" t="s">
        <v>561</v>
      </c>
      <c r="X12" s="757" t="s">
        <v>655</v>
      </c>
      <c r="Y12" s="756">
        <v>1</v>
      </c>
      <c r="Z12" s="756">
        <v>1</v>
      </c>
      <c r="AA12" s="756">
        <v>0</v>
      </c>
      <c r="AB12" s="756">
        <v>0</v>
      </c>
      <c r="AC12" s="756">
        <v>0</v>
      </c>
      <c r="AD12" s="756">
        <v>0</v>
      </c>
      <c r="AE12" s="756">
        <v>0</v>
      </c>
      <c r="AF12" s="756">
        <v>0</v>
      </c>
      <c r="AG12" s="756">
        <v>1</v>
      </c>
      <c r="AH12" s="756">
        <v>1</v>
      </c>
      <c r="AI12" s="756">
        <v>0</v>
      </c>
      <c r="AJ12" s="758">
        <v>0</v>
      </c>
      <c r="AK12" s="756">
        <v>0</v>
      </c>
      <c r="AL12" s="756">
        <v>0</v>
      </c>
      <c r="AM12" s="756">
        <v>0</v>
      </c>
      <c r="AN12" s="758">
        <v>0</v>
      </c>
      <c r="AT12" s="177" t="s">
        <v>176</v>
      </c>
      <c r="AU12" s="189">
        <f>Bsteuropeancuphisttriesagainst</f>
        <v>26</v>
      </c>
      <c r="AV12" s="179" t="s">
        <v>176</v>
      </c>
      <c r="AW12" s="180">
        <f>bstchampscuphisttriesagainst</f>
        <v>0</v>
      </c>
      <c r="AX12" s="187" t="s">
        <v>176</v>
      </c>
      <c r="AY12" s="188">
        <f>harchampscuppohisttriesagainst</f>
        <v>0</v>
      </c>
      <c r="AZ12" s="181" t="s">
        <v>176</v>
      </c>
      <c r="BA12" s="178">
        <f>bsteurochallcuphistorytriesagainst</f>
        <v>190</v>
      </c>
      <c r="BB12" s="182" t="s">
        <v>176</v>
      </c>
      <c r="BC12" s="183">
        <f t="shared" si="0"/>
        <v>216</v>
      </c>
    </row>
    <row r="13" spans="1:55" ht="14.95" customHeight="1" thickBot="1" x14ac:dyDescent="0.3">
      <c r="A13" s="468" t="s">
        <v>438</v>
      </c>
      <c r="B13" s="469" t="s">
        <v>199</v>
      </c>
      <c r="C13" s="470" t="s">
        <v>11</v>
      </c>
      <c r="D13" s="471" t="s">
        <v>299</v>
      </c>
      <c r="E13" s="471" t="s">
        <v>33</v>
      </c>
      <c r="F13" s="471">
        <v>27</v>
      </c>
      <c r="G13" s="471">
        <v>27</v>
      </c>
      <c r="H13" s="471">
        <v>1</v>
      </c>
      <c r="I13" s="471">
        <v>0</v>
      </c>
      <c r="J13" s="471">
        <v>4</v>
      </c>
      <c r="K13" s="471">
        <v>2</v>
      </c>
      <c r="L13" s="471">
        <v>0</v>
      </c>
      <c r="M13" s="471">
        <v>1</v>
      </c>
      <c r="N13" s="471">
        <v>1</v>
      </c>
      <c r="O13" s="471">
        <v>0</v>
      </c>
      <c r="P13" s="471">
        <v>0</v>
      </c>
      <c r="Q13" s="471">
        <v>0</v>
      </c>
      <c r="R13" s="471">
        <v>3</v>
      </c>
      <c r="S13" s="472">
        <v>15033</v>
      </c>
      <c r="T13" s="477" t="s">
        <v>636</v>
      </c>
      <c r="U13" s="478" t="s">
        <v>637</v>
      </c>
      <c r="V13" s="472" t="s">
        <v>464</v>
      </c>
      <c r="W13" s="472" t="s">
        <v>326</v>
      </c>
      <c r="X13" s="473" t="s">
        <v>316</v>
      </c>
      <c r="Y13" s="472">
        <v>1</v>
      </c>
      <c r="Z13" s="472">
        <v>0</v>
      </c>
      <c r="AA13" s="472">
        <v>1</v>
      </c>
      <c r="AB13" s="472">
        <v>0</v>
      </c>
      <c r="AC13" s="472">
        <v>1</v>
      </c>
      <c r="AD13" s="472">
        <v>0</v>
      </c>
      <c r="AE13" s="472">
        <v>1</v>
      </c>
      <c r="AF13" s="472">
        <v>0</v>
      </c>
      <c r="AG13" s="472">
        <v>0</v>
      </c>
      <c r="AH13" s="472">
        <v>0</v>
      </c>
      <c r="AI13" s="472">
        <v>0</v>
      </c>
      <c r="AJ13" s="478">
        <v>0</v>
      </c>
      <c r="AK13" s="472">
        <v>0</v>
      </c>
      <c r="AL13" s="472">
        <v>0</v>
      </c>
      <c r="AM13" s="472">
        <v>0</v>
      </c>
      <c r="AN13" s="478">
        <v>0</v>
      </c>
    </row>
    <row r="14" spans="1:55" ht="14.95" customHeight="1" thickBot="1" x14ac:dyDescent="0.3">
      <c r="A14" s="597" t="s">
        <v>243</v>
      </c>
      <c r="B14" s="598" t="s">
        <v>142</v>
      </c>
      <c r="C14" s="599" t="s">
        <v>541</v>
      </c>
      <c r="D14" s="600" t="s">
        <v>299</v>
      </c>
      <c r="E14" s="600" t="s">
        <v>32</v>
      </c>
      <c r="F14" s="600">
        <v>37</v>
      </c>
      <c r="G14" s="600">
        <v>11</v>
      </c>
      <c r="H14" s="600">
        <v>1</v>
      </c>
      <c r="I14" s="600">
        <v>0</v>
      </c>
      <c r="J14" s="600">
        <v>4</v>
      </c>
      <c r="K14" s="600">
        <v>4</v>
      </c>
      <c r="L14" s="600">
        <v>0</v>
      </c>
      <c r="M14" s="600">
        <v>3</v>
      </c>
      <c r="N14" s="600">
        <v>0</v>
      </c>
      <c r="O14" s="600">
        <v>0</v>
      </c>
      <c r="P14" s="600">
        <v>0</v>
      </c>
      <c r="Q14" s="600">
        <v>0</v>
      </c>
      <c r="R14" s="600">
        <v>1</v>
      </c>
      <c r="S14" s="601">
        <v>11120</v>
      </c>
      <c r="T14" s="602" t="s">
        <v>652</v>
      </c>
      <c r="U14" s="603" t="s">
        <v>649</v>
      </c>
      <c r="V14" s="601" t="s">
        <v>202</v>
      </c>
      <c r="W14" s="601" t="s">
        <v>650</v>
      </c>
      <c r="X14" s="604" t="s">
        <v>651</v>
      </c>
      <c r="Y14" s="601">
        <v>1</v>
      </c>
      <c r="Z14" s="601">
        <v>1</v>
      </c>
      <c r="AA14" s="601">
        <v>0</v>
      </c>
      <c r="AB14" s="601">
        <v>0</v>
      </c>
      <c r="AC14" s="601">
        <v>1</v>
      </c>
      <c r="AD14" s="601">
        <v>1</v>
      </c>
      <c r="AE14" s="601">
        <v>0</v>
      </c>
      <c r="AF14" s="601">
        <v>0</v>
      </c>
      <c r="AG14" s="601">
        <v>0</v>
      </c>
      <c r="AH14" s="601">
        <v>0</v>
      </c>
      <c r="AI14" s="601">
        <v>0</v>
      </c>
      <c r="AJ14" s="603">
        <v>0</v>
      </c>
      <c r="AK14" s="601">
        <v>0</v>
      </c>
      <c r="AL14" s="601">
        <v>0</v>
      </c>
      <c r="AM14" s="601">
        <v>0</v>
      </c>
      <c r="AN14" s="603">
        <v>0</v>
      </c>
    </row>
    <row r="15" spans="1:55" ht="14.95" customHeight="1" thickBot="1" x14ac:dyDescent="0.3">
      <c r="A15" s="750" t="s">
        <v>244</v>
      </c>
      <c r="B15" s="751" t="s">
        <v>142</v>
      </c>
      <c r="C15" s="752" t="s">
        <v>541</v>
      </c>
      <c r="D15" s="753" t="s">
        <v>36</v>
      </c>
      <c r="E15" s="753" t="s">
        <v>32</v>
      </c>
      <c r="F15" s="753">
        <v>18</v>
      </c>
      <c r="G15" s="753">
        <v>16</v>
      </c>
      <c r="H15" s="753">
        <v>0</v>
      </c>
      <c r="I15" s="753">
        <v>0</v>
      </c>
      <c r="J15" s="753">
        <v>2</v>
      </c>
      <c r="K15" s="753">
        <v>1</v>
      </c>
      <c r="L15" s="753">
        <v>0</v>
      </c>
      <c r="M15" s="753">
        <v>2</v>
      </c>
      <c r="N15" s="753">
        <v>0</v>
      </c>
      <c r="O15" s="753">
        <v>0</v>
      </c>
      <c r="P15" s="753">
        <v>0</v>
      </c>
      <c r="Q15" s="753">
        <v>1</v>
      </c>
      <c r="R15" s="753">
        <v>1</v>
      </c>
      <c r="S15" s="759">
        <v>2000</v>
      </c>
      <c r="T15" s="762" t="s">
        <v>546</v>
      </c>
      <c r="U15" s="760" t="s">
        <v>666</v>
      </c>
      <c r="V15" s="759" t="s">
        <v>566</v>
      </c>
      <c r="W15" s="759" t="s">
        <v>667</v>
      </c>
      <c r="X15" s="761" t="s">
        <v>567</v>
      </c>
      <c r="Y15" s="759">
        <v>1</v>
      </c>
      <c r="Z15" s="759">
        <v>1</v>
      </c>
      <c r="AA15" s="759">
        <v>0</v>
      </c>
      <c r="AB15" s="759">
        <v>0</v>
      </c>
      <c r="AC15" s="759">
        <v>0</v>
      </c>
      <c r="AD15" s="759">
        <v>0</v>
      </c>
      <c r="AE15" s="759">
        <v>0</v>
      </c>
      <c r="AF15" s="759">
        <v>0</v>
      </c>
      <c r="AG15" s="759">
        <v>1</v>
      </c>
      <c r="AH15" s="759">
        <v>0</v>
      </c>
      <c r="AI15" s="759">
        <v>0</v>
      </c>
      <c r="AJ15" s="760">
        <v>1</v>
      </c>
      <c r="AK15" s="759">
        <v>0</v>
      </c>
      <c r="AL15" s="759">
        <v>0</v>
      </c>
      <c r="AM15" s="759">
        <v>0</v>
      </c>
      <c r="AN15" s="760">
        <v>0</v>
      </c>
    </row>
    <row r="16" spans="1:55" ht="14.95" customHeight="1" thickBot="1" x14ac:dyDescent="0.3">
      <c r="A16" s="479" t="s">
        <v>256</v>
      </c>
      <c r="B16" s="461" t="s">
        <v>199</v>
      </c>
      <c r="C16" s="462" t="s">
        <v>19</v>
      </c>
      <c r="D16" s="463" t="s">
        <v>36</v>
      </c>
      <c r="E16" s="463" t="s">
        <v>34</v>
      </c>
      <c r="F16" s="463">
        <v>13</v>
      </c>
      <c r="G16" s="463">
        <v>47</v>
      </c>
      <c r="H16" s="463">
        <v>0</v>
      </c>
      <c r="I16" s="463">
        <v>0</v>
      </c>
      <c r="J16" s="463">
        <v>1</v>
      </c>
      <c r="K16" s="463">
        <v>1</v>
      </c>
      <c r="L16" s="463">
        <v>0</v>
      </c>
      <c r="M16" s="463">
        <v>2</v>
      </c>
      <c r="N16" s="463">
        <v>1</v>
      </c>
      <c r="O16" s="463">
        <v>0</v>
      </c>
      <c r="P16" s="463">
        <v>1</v>
      </c>
      <c r="Q16" s="463">
        <v>0</v>
      </c>
      <c r="R16" s="463">
        <v>7</v>
      </c>
      <c r="S16" s="464">
        <v>8250</v>
      </c>
      <c r="T16" s="465" t="s">
        <v>697</v>
      </c>
      <c r="U16" s="466" t="s">
        <v>463</v>
      </c>
      <c r="V16" s="464" t="s">
        <v>634</v>
      </c>
      <c r="W16" s="464" t="s">
        <v>350</v>
      </c>
      <c r="X16" s="467" t="s">
        <v>394</v>
      </c>
      <c r="Y16" s="464">
        <v>1</v>
      </c>
      <c r="Z16" s="464">
        <v>0</v>
      </c>
      <c r="AA16" s="464">
        <v>0</v>
      </c>
      <c r="AB16" s="464">
        <v>1</v>
      </c>
      <c r="AC16" s="464">
        <v>0</v>
      </c>
      <c r="AD16" s="464">
        <v>0</v>
      </c>
      <c r="AE16" s="464">
        <v>0</v>
      </c>
      <c r="AF16" s="464">
        <v>0</v>
      </c>
      <c r="AG16" s="464">
        <v>1</v>
      </c>
      <c r="AH16" s="464">
        <v>0</v>
      </c>
      <c r="AI16" s="464">
        <v>0</v>
      </c>
      <c r="AJ16" s="466">
        <v>1</v>
      </c>
      <c r="AK16" s="464">
        <v>0</v>
      </c>
      <c r="AL16" s="464">
        <v>0</v>
      </c>
      <c r="AM16" s="464">
        <v>0</v>
      </c>
      <c r="AN16" s="466">
        <v>0</v>
      </c>
    </row>
    <row r="17" spans="1:40" ht="14.95" customHeight="1" thickBot="1" x14ac:dyDescent="0.3">
      <c r="A17" s="468" t="s">
        <v>441</v>
      </c>
      <c r="B17" s="469" t="s">
        <v>199</v>
      </c>
      <c r="C17" s="470" t="s">
        <v>106</v>
      </c>
      <c r="D17" s="471" t="s">
        <v>299</v>
      </c>
      <c r="E17" s="471" t="s">
        <v>34</v>
      </c>
      <c r="F17" s="471">
        <v>21</v>
      </c>
      <c r="G17" s="471">
        <v>26</v>
      </c>
      <c r="H17" s="471">
        <v>0</v>
      </c>
      <c r="I17" s="471">
        <v>1</v>
      </c>
      <c r="J17" s="471">
        <v>2</v>
      </c>
      <c r="K17" s="471">
        <v>1</v>
      </c>
      <c r="L17" s="471">
        <v>0</v>
      </c>
      <c r="M17" s="471">
        <v>3</v>
      </c>
      <c r="N17" s="471">
        <v>0</v>
      </c>
      <c r="O17" s="471">
        <v>0</v>
      </c>
      <c r="P17" s="471">
        <v>1</v>
      </c>
      <c r="Q17" s="471">
        <v>0</v>
      </c>
      <c r="R17" s="471">
        <v>4</v>
      </c>
      <c r="S17" s="595">
        <v>23078</v>
      </c>
      <c r="T17" s="498" t="s">
        <v>710</v>
      </c>
      <c r="U17" s="478" t="s">
        <v>633</v>
      </c>
      <c r="V17" s="472" t="s">
        <v>348</v>
      </c>
      <c r="W17" s="472" t="s">
        <v>304</v>
      </c>
      <c r="X17" s="473" t="s">
        <v>328</v>
      </c>
      <c r="Y17" s="472">
        <v>1</v>
      </c>
      <c r="Z17" s="472">
        <v>0</v>
      </c>
      <c r="AA17" s="472">
        <v>0</v>
      </c>
      <c r="AB17" s="472">
        <v>1</v>
      </c>
      <c r="AC17" s="472">
        <v>1</v>
      </c>
      <c r="AD17" s="472">
        <v>0</v>
      </c>
      <c r="AE17" s="472">
        <v>0</v>
      </c>
      <c r="AF17" s="472">
        <v>1</v>
      </c>
      <c r="AG17" s="472">
        <v>0</v>
      </c>
      <c r="AH17" s="472">
        <v>0</v>
      </c>
      <c r="AI17" s="472">
        <v>0</v>
      </c>
      <c r="AJ17" s="478">
        <v>0</v>
      </c>
      <c r="AK17" s="472">
        <v>0</v>
      </c>
      <c r="AL17" s="472">
        <v>0</v>
      </c>
      <c r="AM17" s="472">
        <v>0</v>
      </c>
      <c r="AN17" s="478">
        <v>0</v>
      </c>
    </row>
    <row r="18" spans="1:40" ht="14.95" customHeight="1" thickBot="1" x14ac:dyDescent="0.3">
      <c r="A18" s="479" t="s">
        <v>258</v>
      </c>
      <c r="B18" s="461" t="s">
        <v>199</v>
      </c>
      <c r="C18" s="462" t="s">
        <v>26</v>
      </c>
      <c r="D18" s="463" t="s">
        <v>36</v>
      </c>
      <c r="E18" s="463" t="s">
        <v>34</v>
      </c>
      <c r="F18" s="463">
        <v>18</v>
      </c>
      <c r="G18" s="463">
        <v>31</v>
      </c>
      <c r="H18" s="463">
        <v>0</v>
      </c>
      <c r="I18" s="463">
        <v>0</v>
      </c>
      <c r="J18" s="463">
        <v>2</v>
      </c>
      <c r="K18" s="463">
        <v>1</v>
      </c>
      <c r="L18" s="463">
        <v>0</v>
      </c>
      <c r="M18" s="463">
        <v>2</v>
      </c>
      <c r="N18" s="463">
        <v>2</v>
      </c>
      <c r="O18" s="463">
        <v>0</v>
      </c>
      <c r="P18" s="463">
        <v>1</v>
      </c>
      <c r="Q18" s="463">
        <v>0</v>
      </c>
      <c r="R18" s="463">
        <v>4</v>
      </c>
      <c r="S18" s="464">
        <v>19807</v>
      </c>
      <c r="T18" s="465" t="s">
        <v>729</v>
      </c>
      <c r="U18" s="466" t="s">
        <v>324</v>
      </c>
      <c r="V18" s="464" t="s">
        <v>509</v>
      </c>
      <c r="W18" s="464" t="s">
        <v>350</v>
      </c>
      <c r="X18" s="467" t="s">
        <v>346</v>
      </c>
      <c r="Y18" s="464">
        <v>1</v>
      </c>
      <c r="Z18" s="464">
        <v>0</v>
      </c>
      <c r="AA18" s="464">
        <v>0</v>
      </c>
      <c r="AB18" s="464">
        <v>1</v>
      </c>
      <c r="AC18" s="464">
        <v>0</v>
      </c>
      <c r="AD18" s="464">
        <v>0</v>
      </c>
      <c r="AE18" s="464">
        <v>0</v>
      </c>
      <c r="AF18" s="464">
        <v>0</v>
      </c>
      <c r="AG18" s="464">
        <v>1</v>
      </c>
      <c r="AH18" s="464">
        <v>0</v>
      </c>
      <c r="AI18" s="464">
        <v>0</v>
      </c>
      <c r="AJ18" s="466">
        <v>1</v>
      </c>
      <c r="AK18" s="464">
        <v>0</v>
      </c>
      <c r="AL18" s="464">
        <v>0</v>
      </c>
      <c r="AM18" s="464">
        <v>0</v>
      </c>
      <c r="AN18" s="466">
        <v>0</v>
      </c>
    </row>
    <row r="19" spans="1:40" ht="14.95" customHeight="1" thickBot="1" x14ac:dyDescent="0.3">
      <c r="A19" s="597" t="s">
        <v>245</v>
      </c>
      <c r="B19" s="598" t="s">
        <v>142</v>
      </c>
      <c r="C19" s="599" t="s">
        <v>440</v>
      </c>
      <c r="D19" s="600" t="s">
        <v>299</v>
      </c>
      <c r="E19" s="600" t="s">
        <v>32</v>
      </c>
      <c r="F19" s="600">
        <v>52</v>
      </c>
      <c r="G19" s="600">
        <v>3</v>
      </c>
      <c r="H19" s="600">
        <v>1</v>
      </c>
      <c r="I19" s="600">
        <v>0</v>
      </c>
      <c r="J19" s="600">
        <v>7</v>
      </c>
      <c r="K19" s="600">
        <v>7</v>
      </c>
      <c r="L19" s="600">
        <v>0</v>
      </c>
      <c r="M19" s="600">
        <v>1</v>
      </c>
      <c r="N19" s="600">
        <v>0</v>
      </c>
      <c r="O19" s="600">
        <v>0</v>
      </c>
      <c r="P19" s="600">
        <v>0</v>
      </c>
      <c r="Q19" s="600">
        <v>0</v>
      </c>
      <c r="R19" s="600">
        <v>0</v>
      </c>
      <c r="S19" s="633">
        <v>10874</v>
      </c>
      <c r="T19" s="602" t="s">
        <v>755</v>
      </c>
      <c r="U19" s="603" t="s">
        <v>756</v>
      </c>
      <c r="V19" s="601" t="s">
        <v>202</v>
      </c>
      <c r="W19" s="601" t="s">
        <v>757</v>
      </c>
      <c r="X19" s="604" t="s">
        <v>758</v>
      </c>
      <c r="Y19" s="601">
        <v>1</v>
      </c>
      <c r="Z19" s="601">
        <v>1</v>
      </c>
      <c r="AA19" s="601">
        <v>0</v>
      </c>
      <c r="AB19" s="601">
        <v>0</v>
      </c>
      <c r="AC19" s="601">
        <v>1</v>
      </c>
      <c r="AD19" s="601">
        <v>1</v>
      </c>
      <c r="AE19" s="601">
        <v>0</v>
      </c>
      <c r="AF19" s="601">
        <v>0</v>
      </c>
      <c r="AG19" s="601">
        <v>0</v>
      </c>
      <c r="AH19" s="601">
        <v>0</v>
      </c>
      <c r="AI19" s="601">
        <v>0</v>
      </c>
      <c r="AJ19" s="603">
        <v>0</v>
      </c>
      <c r="AK19" s="601">
        <v>0</v>
      </c>
      <c r="AL19" s="601">
        <v>0</v>
      </c>
      <c r="AM19" s="601">
        <v>0</v>
      </c>
      <c r="AN19" s="603">
        <v>0</v>
      </c>
    </row>
    <row r="20" spans="1:40" ht="14.95" customHeight="1" thickBot="1" x14ac:dyDescent="0.3">
      <c r="A20" s="750" t="s">
        <v>246</v>
      </c>
      <c r="B20" s="751" t="s">
        <v>142</v>
      </c>
      <c r="C20" s="752" t="s">
        <v>439</v>
      </c>
      <c r="D20" s="753" t="s">
        <v>36</v>
      </c>
      <c r="E20" s="753" t="s">
        <v>33</v>
      </c>
      <c r="F20" s="753">
        <v>7</v>
      </c>
      <c r="G20" s="753">
        <v>7</v>
      </c>
      <c r="H20" s="753">
        <v>0</v>
      </c>
      <c r="I20" s="753">
        <v>0</v>
      </c>
      <c r="J20" s="753">
        <v>1</v>
      </c>
      <c r="K20" s="753">
        <v>1</v>
      </c>
      <c r="L20" s="753">
        <v>0</v>
      </c>
      <c r="M20" s="753">
        <v>0</v>
      </c>
      <c r="N20" s="753">
        <v>1</v>
      </c>
      <c r="O20" s="753">
        <v>0</v>
      </c>
      <c r="P20" s="753">
        <v>0</v>
      </c>
      <c r="Q20" s="753">
        <v>0</v>
      </c>
      <c r="R20" s="753">
        <v>1</v>
      </c>
      <c r="S20" s="756">
        <v>1900</v>
      </c>
      <c r="T20" s="764" t="s">
        <v>722</v>
      </c>
      <c r="U20" s="758" t="s">
        <v>602</v>
      </c>
      <c r="V20" s="756" t="s">
        <v>202</v>
      </c>
      <c r="W20" s="756" t="s">
        <v>676</v>
      </c>
      <c r="X20" s="757" t="s">
        <v>681</v>
      </c>
      <c r="Y20" s="756">
        <v>1</v>
      </c>
      <c r="Z20" s="756">
        <v>0</v>
      </c>
      <c r="AA20" s="756">
        <v>1</v>
      </c>
      <c r="AB20" s="756">
        <v>0</v>
      </c>
      <c r="AC20" s="756">
        <v>0</v>
      </c>
      <c r="AD20" s="756">
        <v>0</v>
      </c>
      <c r="AE20" s="756">
        <v>0</v>
      </c>
      <c r="AF20" s="756">
        <v>0</v>
      </c>
      <c r="AG20" s="756">
        <v>1</v>
      </c>
      <c r="AH20" s="756">
        <v>0</v>
      </c>
      <c r="AI20" s="756">
        <v>1</v>
      </c>
      <c r="AJ20" s="758">
        <v>0</v>
      </c>
      <c r="AK20" s="756">
        <v>0</v>
      </c>
      <c r="AL20" s="756">
        <v>0</v>
      </c>
      <c r="AM20" s="756">
        <v>0</v>
      </c>
      <c r="AN20" s="758">
        <v>0</v>
      </c>
    </row>
    <row r="21" spans="1:40" ht="14.95" customHeight="1" thickBot="1" x14ac:dyDescent="0.3">
      <c r="A21" s="468" t="s">
        <v>442</v>
      </c>
      <c r="B21" s="469" t="s">
        <v>199</v>
      </c>
      <c r="C21" s="470" t="s">
        <v>347</v>
      </c>
      <c r="D21" s="471" t="s">
        <v>299</v>
      </c>
      <c r="E21" s="471" t="s">
        <v>32</v>
      </c>
      <c r="F21" s="471">
        <v>34</v>
      </c>
      <c r="G21" s="471">
        <v>16</v>
      </c>
      <c r="H21" s="471">
        <v>0</v>
      </c>
      <c r="I21" s="471">
        <v>0</v>
      </c>
      <c r="J21" s="471">
        <v>3</v>
      </c>
      <c r="K21" s="471">
        <v>2</v>
      </c>
      <c r="L21" s="471">
        <v>0</v>
      </c>
      <c r="M21" s="471">
        <v>5</v>
      </c>
      <c r="N21" s="471">
        <v>1</v>
      </c>
      <c r="O21" s="471">
        <v>0</v>
      </c>
      <c r="P21" s="471">
        <v>0</v>
      </c>
      <c r="Q21" s="471">
        <v>0</v>
      </c>
      <c r="R21" s="471">
        <v>1</v>
      </c>
      <c r="S21" s="504">
        <v>18779</v>
      </c>
      <c r="T21" s="480" t="s">
        <v>768</v>
      </c>
      <c r="U21" s="478" t="s">
        <v>554</v>
      </c>
      <c r="V21" s="472" t="s">
        <v>329</v>
      </c>
      <c r="W21" s="472" t="s">
        <v>395</v>
      </c>
      <c r="X21" s="473" t="s">
        <v>319</v>
      </c>
      <c r="Y21" s="472">
        <v>1</v>
      </c>
      <c r="Z21" s="472">
        <v>1</v>
      </c>
      <c r="AA21" s="472">
        <v>0</v>
      </c>
      <c r="AB21" s="472">
        <v>0</v>
      </c>
      <c r="AC21" s="472">
        <v>1</v>
      </c>
      <c r="AD21" s="472">
        <v>1</v>
      </c>
      <c r="AE21" s="472">
        <v>0</v>
      </c>
      <c r="AF21" s="472">
        <v>0</v>
      </c>
      <c r="AG21" s="472">
        <v>0</v>
      </c>
      <c r="AH21" s="472">
        <v>0</v>
      </c>
      <c r="AI21" s="472">
        <v>0</v>
      </c>
      <c r="AJ21" s="478">
        <v>0</v>
      </c>
      <c r="AK21" s="472">
        <v>0</v>
      </c>
      <c r="AL21" s="472">
        <v>0</v>
      </c>
      <c r="AM21" s="472">
        <v>0</v>
      </c>
      <c r="AN21" s="478">
        <v>0</v>
      </c>
    </row>
    <row r="22" spans="1:40" ht="14.95" customHeight="1" thickBot="1" x14ac:dyDescent="0.3">
      <c r="A22" s="479" t="s">
        <v>726</v>
      </c>
      <c r="B22" s="461" t="s">
        <v>199</v>
      </c>
      <c r="C22" s="462" t="s">
        <v>25</v>
      </c>
      <c r="D22" s="463" t="s">
        <v>36</v>
      </c>
      <c r="E22" s="463" t="s">
        <v>32</v>
      </c>
      <c r="F22" s="463">
        <v>20</v>
      </c>
      <c r="G22" s="463">
        <v>14</v>
      </c>
      <c r="H22" s="463">
        <v>0</v>
      </c>
      <c r="I22" s="463">
        <v>0</v>
      </c>
      <c r="J22" s="463">
        <v>2</v>
      </c>
      <c r="K22" s="463">
        <v>2</v>
      </c>
      <c r="L22" s="463">
        <v>0</v>
      </c>
      <c r="M22" s="463">
        <v>2</v>
      </c>
      <c r="N22" s="463">
        <v>0</v>
      </c>
      <c r="O22" s="463">
        <v>0</v>
      </c>
      <c r="P22" s="463">
        <v>0</v>
      </c>
      <c r="Q22" s="463">
        <v>1</v>
      </c>
      <c r="R22" s="463">
        <v>1</v>
      </c>
      <c r="S22" s="486">
        <v>12666</v>
      </c>
      <c r="T22" s="485" t="s">
        <v>797</v>
      </c>
      <c r="U22" s="466" t="s">
        <v>463</v>
      </c>
      <c r="V22" s="464" t="s">
        <v>634</v>
      </c>
      <c r="W22" s="464" t="s">
        <v>554</v>
      </c>
      <c r="X22" s="467" t="s">
        <v>637</v>
      </c>
      <c r="Y22" s="464">
        <v>1</v>
      </c>
      <c r="Z22" s="464">
        <v>1</v>
      </c>
      <c r="AA22" s="464">
        <v>0</v>
      </c>
      <c r="AB22" s="464">
        <v>0</v>
      </c>
      <c r="AC22" s="464">
        <v>0</v>
      </c>
      <c r="AD22" s="464">
        <v>0</v>
      </c>
      <c r="AE22" s="464">
        <v>0</v>
      </c>
      <c r="AF22" s="464">
        <v>0</v>
      </c>
      <c r="AG22" s="464">
        <v>1</v>
      </c>
      <c r="AH22" s="464">
        <v>1</v>
      </c>
      <c r="AI22" s="464">
        <v>0</v>
      </c>
      <c r="AJ22" s="466">
        <v>0</v>
      </c>
      <c r="AK22" s="464">
        <v>0</v>
      </c>
      <c r="AL22" s="464">
        <v>0</v>
      </c>
      <c r="AM22" s="464">
        <v>0</v>
      </c>
      <c r="AN22" s="466">
        <v>0</v>
      </c>
    </row>
    <row r="23" spans="1:40" ht="14.95" customHeight="1" thickBot="1" x14ac:dyDescent="0.3">
      <c r="A23" s="468" t="s">
        <v>727</v>
      </c>
      <c r="B23" s="469" t="s">
        <v>199</v>
      </c>
      <c r="C23" s="470" t="s">
        <v>23</v>
      </c>
      <c r="D23" s="471" t="s">
        <v>299</v>
      </c>
      <c r="E23" s="471" t="s">
        <v>32</v>
      </c>
      <c r="F23" s="471">
        <v>13</v>
      </c>
      <c r="G23" s="471">
        <v>10</v>
      </c>
      <c r="H23" s="471">
        <v>0</v>
      </c>
      <c r="I23" s="471">
        <v>0</v>
      </c>
      <c r="J23" s="471">
        <v>1</v>
      </c>
      <c r="K23" s="471">
        <v>1</v>
      </c>
      <c r="L23" s="471">
        <v>0</v>
      </c>
      <c r="M23" s="471">
        <v>2</v>
      </c>
      <c r="N23" s="471">
        <v>0</v>
      </c>
      <c r="O23" s="471">
        <v>0</v>
      </c>
      <c r="P23" s="471">
        <v>0</v>
      </c>
      <c r="Q23" s="471">
        <v>1</v>
      </c>
      <c r="R23" s="471">
        <v>1</v>
      </c>
      <c r="S23" s="472">
        <v>12867</v>
      </c>
      <c r="T23" s="480" t="s">
        <v>471</v>
      </c>
      <c r="U23" s="478" t="s">
        <v>324</v>
      </c>
      <c r="V23" s="472" t="s">
        <v>464</v>
      </c>
      <c r="W23" s="472" t="s">
        <v>343</v>
      </c>
      <c r="X23" s="473" t="s">
        <v>325</v>
      </c>
      <c r="Y23" s="472">
        <v>1</v>
      </c>
      <c r="Z23" s="472">
        <v>1</v>
      </c>
      <c r="AA23" s="472">
        <v>0</v>
      </c>
      <c r="AB23" s="472">
        <v>0</v>
      </c>
      <c r="AC23" s="472">
        <v>1</v>
      </c>
      <c r="AD23" s="472">
        <v>1</v>
      </c>
      <c r="AE23" s="472">
        <v>0</v>
      </c>
      <c r="AF23" s="472">
        <v>0</v>
      </c>
      <c r="AG23" s="472">
        <v>0</v>
      </c>
      <c r="AH23" s="472">
        <v>0</v>
      </c>
      <c r="AI23" s="472">
        <v>0</v>
      </c>
      <c r="AJ23" s="478">
        <v>0</v>
      </c>
      <c r="AK23" s="472">
        <v>0</v>
      </c>
      <c r="AL23" s="472">
        <v>0</v>
      </c>
      <c r="AM23" s="472">
        <v>0</v>
      </c>
      <c r="AN23" s="478">
        <v>0</v>
      </c>
    </row>
    <row r="24" spans="1:40" ht="14.95" customHeight="1" thickBot="1" x14ac:dyDescent="0.3">
      <c r="A24" s="479" t="s">
        <v>497</v>
      </c>
      <c r="B24" s="461" t="s">
        <v>199</v>
      </c>
      <c r="C24" s="462" t="s">
        <v>22</v>
      </c>
      <c r="D24" s="463" t="s">
        <v>36</v>
      </c>
      <c r="E24" s="463" t="s">
        <v>32</v>
      </c>
      <c r="F24" s="463">
        <v>19</v>
      </c>
      <c r="G24" s="463">
        <v>13</v>
      </c>
      <c r="H24" s="463">
        <v>0</v>
      </c>
      <c r="I24" s="463">
        <v>0</v>
      </c>
      <c r="J24" s="463">
        <v>3</v>
      </c>
      <c r="K24" s="463">
        <v>2</v>
      </c>
      <c r="L24" s="463">
        <v>0</v>
      </c>
      <c r="M24" s="463">
        <v>0</v>
      </c>
      <c r="N24" s="463">
        <v>1</v>
      </c>
      <c r="O24" s="463">
        <v>0</v>
      </c>
      <c r="P24" s="463">
        <v>0</v>
      </c>
      <c r="Q24" s="463">
        <v>1</v>
      </c>
      <c r="R24" s="463">
        <v>1</v>
      </c>
      <c r="S24" s="464">
        <v>13976</v>
      </c>
      <c r="T24" s="481" t="s">
        <v>814</v>
      </c>
      <c r="U24" s="466" t="s">
        <v>318</v>
      </c>
      <c r="V24" s="464" t="s">
        <v>399</v>
      </c>
      <c r="W24" s="464" t="s">
        <v>715</v>
      </c>
      <c r="X24" s="467" t="s">
        <v>316</v>
      </c>
      <c r="Y24" s="464">
        <v>1</v>
      </c>
      <c r="Z24" s="464">
        <v>1</v>
      </c>
      <c r="AA24" s="464">
        <v>0</v>
      </c>
      <c r="AB24" s="464">
        <v>0</v>
      </c>
      <c r="AC24" s="464">
        <v>0</v>
      </c>
      <c r="AD24" s="464">
        <v>0</v>
      </c>
      <c r="AE24" s="464">
        <v>0</v>
      </c>
      <c r="AF24" s="464">
        <v>0</v>
      </c>
      <c r="AG24" s="464">
        <v>1</v>
      </c>
      <c r="AH24" s="464">
        <v>1</v>
      </c>
      <c r="AI24" s="464">
        <v>0</v>
      </c>
      <c r="AJ24" s="466">
        <v>0</v>
      </c>
      <c r="AK24" s="464">
        <v>0</v>
      </c>
      <c r="AL24" s="464">
        <v>0</v>
      </c>
      <c r="AM24" s="464">
        <v>0</v>
      </c>
      <c r="AN24" s="466">
        <v>0</v>
      </c>
    </row>
    <row r="25" spans="1:40" ht="14.95" customHeight="1" thickBot="1" x14ac:dyDescent="0.3">
      <c r="A25" s="468" t="s">
        <v>443</v>
      </c>
      <c r="B25" s="469" t="s">
        <v>199</v>
      </c>
      <c r="C25" s="470" t="s">
        <v>9</v>
      </c>
      <c r="D25" s="471" t="s">
        <v>299</v>
      </c>
      <c r="E25" s="471" t="s">
        <v>32</v>
      </c>
      <c r="F25" s="471">
        <v>28</v>
      </c>
      <c r="G25" s="471">
        <v>15</v>
      </c>
      <c r="H25" s="471">
        <v>0</v>
      </c>
      <c r="I25" s="471">
        <v>0</v>
      </c>
      <c r="J25" s="471">
        <v>3</v>
      </c>
      <c r="K25" s="471">
        <v>2</v>
      </c>
      <c r="L25" s="471">
        <v>0</v>
      </c>
      <c r="M25" s="471">
        <v>3</v>
      </c>
      <c r="N25" s="471">
        <v>1</v>
      </c>
      <c r="O25" s="471">
        <v>0</v>
      </c>
      <c r="P25" s="471">
        <v>0</v>
      </c>
      <c r="Q25" s="471">
        <v>0</v>
      </c>
      <c r="R25" s="471">
        <v>2</v>
      </c>
      <c r="S25" s="472">
        <v>14618</v>
      </c>
      <c r="T25" s="480" t="s">
        <v>825</v>
      </c>
      <c r="U25" s="478" t="s">
        <v>396</v>
      </c>
      <c r="V25" s="472" t="s">
        <v>464</v>
      </c>
      <c r="W25" s="472" t="s">
        <v>320</v>
      </c>
      <c r="X25" s="473" t="s">
        <v>325</v>
      </c>
      <c r="Y25" s="472">
        <v>1</v>
      </c>
      <c r="Z25" s="472">
        <v>1</v>
      </c>
      <c r="AA25" s="472">
        <v>0</v>
      </c>
      <c r="AB25" s="472">
        <v>0</v>
      </c>
      <c r="AC25" s="472">
        <v>1</v>
      </c>
      <c r="AD25" s="472">
        <v>1</v>
      </c>
      <c r="AE25" s="472">
        <v>0</v>
      </c>
      <c r="AF25" s="472">
        <v>0</v>
      </c>
      <c r="AG25" s="472">
        <v>0</v>
      </c>
      <c r="AH25" s="472">
        <v>0</v>
      </c>
      <c r="AI25" s="472">
        <v>0</v>
      </c>
      <c r="AJ25" s="478">
        <v>0</v>
      </c>
      <c r="AK25" s="472">
        <v>0</v>
      </c>
      <c r="AL25" s="472">
        <v>0</v>
      </c>
      <c r="AM25" s="472">
        <v>0</v>
      </c>
      <c r="AN25" s="478">
        <v>0</v>
      </c>
    </row>
    <row r="26" spans="1:40" ht="14.95" customHeight="1" thickBot="1" x14ac:dyDescent="0.3">
      <c r="A26" s="468" t="s">
        <v>829</v>
      </c>
      <c r="B26" s="469" t="s">
        <v>199</v>
      </c>
      <c r="C26" s="470" t="s">
        <v>19</v>
      </c>
      <c r="D26" s="471" t="s">
        <v>299</v>
      </c>
      <c r="E26" s="471" t="s">
        <v>32</v>
      </c>
      <c r="F26" s="471">
        <v>16</v>
      </c>
      <c r="G26" s="471">
        <v>12</v>
      </c>
      <c r="H26" s="471">
        <v>0</v>
      </c>
      <c r="I26" s="471">
        <v>0</v>
      </c>
      <c r="J26" s="471">
        <v>1</v>
      </c>
      <c r="K26" s="471">
        <v>0</v>
      </c>
      <c r="L26" s="471">
        <v>0</v>
      </c>
      <c r="M26" s="471">
        <v>3</v>
      </c>
      <c r="N26" s="471">
        <v>1</v>
      </c>
      <c r="O26" s="471">
        <v>0</v>
      </c>
      <c r="P26" s="471">
        <v>0</v>
      </c>
      <c r="Q26" s="471">
        <v>1</v>
      </c>
      <c r="R26" s="471">
        <v>0</v>
      </c>
      <c r="S26" s="472">
        <v>0</v>
      </c>
      <c r="T26" s="508" t="s">
        <v>880</v>
      </c>
      <c r="U26" s="478" t="s">
        <v>550</v>
      </c>
      <c r="V26" s="472" t="s">
        <v>403</v>
      </c>
      <c r="W26" s="472" t="s">
        <v>308</v>
      </c>
      <c r="X26" s="473" t="s">
        <v>304</v>
      </c>
      <c r="Y26" s="472">
        <v>1</v>
      </c>
      <c r="Z26" s="472">
        <v>1</v>
      </c>
      <c r="AA26" s="472">
        <v>0</v>
      </c>
      <c r="AB26" s="472">
        <v>0</v>
      </c>
      <c r="AC26" s="472">
        <v>1</v>
      </c>
      <c r="AD26" s="472">
        <v>1</v>
      </c>
      <c r="AE26" s="472">
        <v>0</v>
      </c>
      <c r="AF26" s="472">
        <v>0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</row>
    <row r="27" spans="1:40" ht="16.5" thickBot="1" x14ac:dyDescent="0.3">
      <c r="A27" s="479" t="s">
        <v>831</v>
      </c>
      <c r="B27" s="461" t="s">
        <v>199</v>
      </c>
      <c r="C27" s="462" t="s">
        <v>347</v>
      </c>
      <c r="D27" s="463" t="s">
        <v>36</v>
      </c>
      <c r="E27" s="463" t="s">
        <v>32</v>
      </c>
      <c r="F27" s="463">
        <v>33</v>
      </c>
      <c r="G27" s="463">
        <v>24</v>
      </c>
      <c r="H27" s="463">
        <v>1</v>
      </c>
      <c r="I27" s="463">
        <v>0</v>
      </c>
      <c r="J27" s="463">
        <v>5</v>
      </c>
      <c r="K27" s="463">
        <v>4</v>
      </c>
      <c r="L27" s="463">
        <v>0</v>
      </c>
      <c r="M27" s="463">
        <v>0</v>
      </c>
      <c r="N27" s="463">
        <v>0</v>
      </c>
      <c r="O27" s="463">
        <v>0</v>
      </c>
      <c r="P27" s="463">
        <v>0</v>
      </c>
      <c r="Q27" s="463">
        <v>0</v>
      </c>
      <c r="R27" s="463">
        <v>3</v>
      </c>
      <c r="S27" s="483">
        <v>0</v>
      </c>
      <c r="T27" s="481" t="s">
        <v>887</v>
      </c>
      <c r="U27" s="466" t="s">
        <v>633</v>
      </c>
      <c r="V27" s="464" t="s">
        <v>403</v>
      </c>
      <c r="W27" s="464" t="s">
        <v>475</v>
      </c>
      <c r="X27" s="467" t="s">
        <v>355</v>
      </c>
      <c r="Y27" s="464">
        <v>1</v>
      </c>
      <c r="Z27" s="464">
        <v>1</v>
      </c>
      <c r="AA27" s="464">
        <v>0</v>
      </c>
      <c r="AB27" s="464">
        <v>0</v>
      </c>
      <c r="AC27" s="464">
        <v>0</v>
      </c>
      <c r="AD27" s="464">
        <v>0</v>
      </c>
      <c r="AE27" s="464">
        <v>0</v>
      </c>
      <c r="AF27" s="464">
        <v>0</v>
      </c>
      <c r="AG27" s="464">
        <v>1</v>
      </c>
      <c r="AH27" s="464">
        <v>1</v>
      </c>
      <c r="AI27" s="464">
        <v>0</v>
      </c>
      <c r="AJ27" s="466">
        <v>0</v>
      </c>
      <c r="AK27" s="464">
        <v>0</v>
      </c>
      <c r="AL27" s="464">
        <v>0</v>
      </c>
      <c r="AM27" s="464">
        <v>0</v>
      </c>
      <c r="AN27" s="466">
        <v>0</v>
      </c>
    </row>
    <row r="28" spans="1:40" ht="15.8" thickBot="1" x14ac:dyDescent="0.3">
      <c r="A28" s="468" t="s">
        <v>833</v>
      </c>
      <c r="B28" s="469" t="s">
        <v>199</v>
      </c>
      <c r="C28" s="470" t="s">
        <v>28</v>
      </c>
      <c r="D28" s="471" t="s">
        <v>299</v>
      </c>
      <c r="E28" s="471" t="s">
        <v>34</v>
      </c>
      <c r="F28" s="471">
        <v>22</v>
      </c>
      <c r="G28" s="471">
        <v>25</v>
      </c>
      <c r="H28" s="471">
        <v>0</v>
      </c>
      <c r="I28" s="471">
        <v>1</v>
      </c>
      <c r="J28" s="471">
        <v>3</v>
      </c>
      <c r="K28" s="471">
        <v>2</v>
      </c>
      <c r="L28" s="471">
        <v>0</v>
      </c>
      <c r="M28" s="471">
        <v>1</v>
      </c>
      <c r="N28" s="471">
        <v>0</v>
      </c>
      <c r="O28" s="471">
        <v>0</v>
      </c>
      <c r="P28" s="471">
        <v>0</v>
      </c>
      <c r="Q28" s="471">
        <v>0</v>
      </c>
      <c r="R28" s="471">
        <v>3</v>
      </c>
      <c r="S28" s="472">
        <v>0</v>
      </c>
      <c r="T28" s="477" t="s">
        <v>313</v>
      </c>
      <c r="U28" s="478" t="s">
        <v>637</v>
      </c>
      <c r="V28" s="472" t="s">
        <v>632</v>
      </c>
      <c r="W28" s="472" t="s">
        <v>554</v>
      </c>
      <c r="X28" s="473" t="s">
        <v>463</v>
      </c>
      <c r="Y28" s="472">
        <v>1</v>
      </c>
      <c r="Z28" s="472">
        <v>0</v>
      </c>
      <c r="AA28" s="472">
        <v>0</v>
      </c>
      <c r="AB28" s="472">
        <v>1</v>
      </c>
      <c r="AC28" s="472">
        <v>1</v>
      </c>
      <c r="AD28" s="472">
        <v>0</v>
      </c>
      <c r="AE28" s="472">
        <v>0</v>
      </c>
      <c r="AF28" s="472">
        <v>1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40" ht="15.8" customHeight="1" thickBot="1" x14ac:dyDescent="0.3">
      <c r="A29" s="479" t="s">
        <v>838</v>
      </c>
      <c r="B29" s="461" t="s">
        <v>199</v>
      </c>
      <c r="C29" s="462" t="s">
        <v>27</v>
      </c>
      <c r="D29" s="463" t="s">
        <v>36</v>
      </c>
      <c r="E29" s="463" t="s">
        <v>34</v>
      </c>
      <c r="F29" s="463">
        <v>7</v>
      </c>
      <c r="G29" s="463">
        <v>40</v>
      </c>
      <c r="H29" s="463">
        <v>0</v>
      </c>
      <c r="I29" s="463">
        <v>0</v>
      </c>
      <c r="J29" s="463">
        <v>1</v>
      </c>
      <c r="K29" s="463">
        <v>1</v>
      </c>
      <c r="L29" s="463">
        <v>0</v>
      </c>
      <c r="M29" s="463">
        <v>0</v>
      </c>
      <c r="N29" s="463">
        <v>0</v>
      </c>
      <c r="O29" s="463">
        <v>0</v>
      </c>
      <c r="P29" s="463">
        <v>1</v>
      </c>
      <c r="Q29" s="463">
        <v>0</v>
      </c>
      <c r="R29" s="463">
        <v>6</v>
      </c>
      <c r="S29" s="464">
        <v>0</v>
      </c>
      <c r="T29" s="465" t="s">
        <v>901</v>
      </c>
      <c r="U29" s="466" t="s">
        <v>554</v>
      </c>
      <c r="V29" s="464" t="s">
        <v>320</v>
      </c>
      <c r="W29" s="464" t="s">
        <v>318</v>
      </c>
      <c r="X29" s="467" t="s">
        <v>395</v>
      </c>
      <c r="Y29" s="464">
        <v>1</v>
      </c>
      <c r="Z29" s="464">
        <v>0</v>
      </c>
      <c r="AA29" s="464">
        <v>0</v>
      </c>
      <c r="AB29" s="464">
        <v>1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0</v>
      </c>
      <c r="AI29" s="464">
        <v>0</v>
      </c>
      <c r="AJ29" s="466">
        <v>1</v>
      </c>
      <c r="AK29" s="464">
        <v>0</v>
      </c>
      <c r="AL29" s="464">
        <v>0</v>
      </c>
      <c r="AM29" s="464">
        <v>0</v>
      </c>
      <c r="AN29" s="466">
        <v>0</v>
      </c>
    </row>
    <row r="30" spans="1:40" ht="15.8" customHeight="1" thickBot="1" x14ac:dyDescent="0.3">
      <c r="A30" s="479" t="s">
        <v>854</v>
      </c>
      <c r="B30" s="461" t="s">
        <v>199</v>
      </c>
      <c r="C30" s="462" t="s">
        <v>23</v>
      </c>
      <c r="D30" s="463" t="s">
        <v>36</v>
      </c>
      <c r="E30" s="463" t="s">
        <v>32</v>
      </c>
      <c r="F30" s="463">
        <v>36</v>
      </c>
      <c r="G30" s="463">
        <v>13</v>
      </c>
      <c r="H30" s="463">
        <v>1</v>
      </c>
      <c r="I30" s="463">
        <v>0</v>
      </c>
      <c r="J30" s="463">
        <v>5</v>
      </c>
      <c r="K30" s="463">
        <v>4</v>
      </c>
      <c r="L30" s="463">
        <v>0</v>
      </c>
      <c r="M30" s="463">
        <v>1</v>
      </c>
      <c r="N30" s="463">
        <v>1</v>
      </c>
      <c r="O30" s="463">
        <v>0</v>
      </c>
      <c r="P30" s="463">
        <v>0</v>
      </c>
      <c r="Q30" s="463">
        <v>0</v>
      </c>
      <c r="R30" s="463">
        <v>1</v>
      </c>
      <c r="S30" s="486">
        <v>0</v>
      </c>
      <c r="T30" s="482" t="s">
        <v>543</v>
      </c>
      <c r="U30" s="466" t="s">
        <v>637</v>
      </c>
      <c r="V30" s="464" t="s">
        <v>468</v>
      </c>
      <c r="W30" s="464" t="s">
        <v>345</v>
      </c>
      <c r="X30" s="467" t="s">
        <v>316</v>
      </c>
      <c r="Y30" s="464">
        <v>1</v>
      </c>
      <c r="Z30" s="464">
        <v>1</v>
      </c>
      <c r="AA30" s="464">
        <v>0</v>
      </c>
      <c r="AB30" s="464">
        <v>0</v>
      </c>
      <c r="AC30" s="464">
        <v>0</v>
      </c>
      <c r="AD30" s="464">
        <v>0</v>
      </c>
      <c r="AE30" s="464">
        <v>0</v>
      </c>
      <c r="AF30" s="464">
        <v>0</v>
      </c>
      <c r="AG30" s="464">
        <v>1</v>
      </c>
      <c r="AH30" s="464">
        <v>1</v>
      </c>
      <c r="AI30" s="464">
        <v>0</v>
      </c>
      <c r="AJ30" s="466">
        <v>0</v>
      </c>
      <c r="AK30" s="464">
        <v>0</v>
      </c>
      <c r="AL30" s="464">
        <v>0</v>
      </c>
      <c r="AM30" s="464">
        <v>0</v>
      </c>
      <c r="AN30" s="466">
        <v>0</v>
      </c>
    </row>
    <row r="31" spans="1:40" ht="16.5" thickBot="1" x14ac:dyDescent="0.3">
      <c r="A31" s="496" t="s">
        <v>859</v>
      </c>
      <c r="B31" s="496" t="s">
        <v>199</v>
      </c>
      <c r="C31" s="476" t="s">
        <v>25</v>
      </c>
      <c r="D31" s="501" t="s">
        <v>299</v>
      </c>
      <c r="E31" s="501" t="s">
        <v>32</v>
      </c>
      <c r="F31" s="471">
        <v>47</v>
      </c>
      <c r="G31" s="501">
        <v>10</v>
      </c>
      <c r="H31" s="471">
        <v>1</v>
      </c>
      <c r="I31" s="471">
        <v>0</v>
      </c>
      <c r="J31" s="471">
        <v>7</v>
      </c>
      <c r="K31" s="471">
        <v>6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1</v>
      </c>
      <c r="S31" s="472">
        <v>0</v>
      </c>
      <c r="T31" s="480" t="s">
        <v>922</v>
      </c>
      <c r="U31" s="472" t="s">
        <v>463</v>
      </c>
      <c r="V31" s="472" t="s">
        <v>637</v>
      </c>
      <c r="W31" s="472" t="s">
        <v>304</v>
      </c>
      <c r="X31" s="472" t="s">
        <v>319</v>
      </c>
      <c r="Y31" s="472">
        <v>1</v>
      </c>
      <c r="Z31" s="472">
        <v>1</v>
      </c>
      <c r="AA31" s="472">
        <v>0</v>
      </c>
      <c r="AB31" s="472">
        <v>0</v>
      </c>
      <c r="AC31" s="472">
        <v>1</v>
      </c>
      <c r="AD31" s="472">
        <v>1</v>
      </c>
      <c r="AE31" s="472">
        <v>0</v>
      </c>
      <c r="AF31" s="472">
        <v>0</v>
      </c>
      <c r="AG31" s="472">
        <v>0</v>
      </c>
      <c r="AH31" s="472">
        <v>0</v>
      </c>
      <c r="AI31" s="472">
        <v>0</v>
      </c>
      <c r="AJ31" s="478">
        <v>0</v>
      </c>
      <c r="AK31" s="472">
        <v>0</v>
      </c>
      <c r="AL31" s="472">
        <v>0</v>
      </c>
      <c r="AM31" s="472">
        <v>0</v>
      </c>
      <c r="AN31" s="478">
        <v>0</v>
      </c>
    </row>
    <row r="32" spans="1:40" ht="15.8" thickBot="1" x14ac:dyDescent="0.3">
      <c r="A32" s="474" t="s">
        <v>864</v>
      </c>
      <c r="B32" s="474" t="s">
        <v>199</v>
      </c>
      <c r="C32" s="487" t="s">
        <v>106</v>
      </c>
      <c r="D32" s="488" t="s">
        <v>36</v>
      </c>
      <c r="E32" s="463" t="s">
        <v>34</v>
      </c>
      <c r="F32" s="463">
        <v>35</v>
      </c>
      <c r="G32" s="463">
        <v>59</v>
      </c>
      <c r="H32" s="463">
        <v>1</v>
      </c>
      <c r="I32" s="463">
        <v>0</v>
      </c>
      <c r="J32" s="463">
        <v>5</v>
      </c>
      <c r="K32" s="463">
        <v>4</v>
      </c>
      <c r="L32" s="463">
        <v>0</v>
      </c>
      <c r="M32" s="463">
        <v>0</v>
      </c>
      <c r="N32" s="463">
        <v>0</v>
      </c>
      <c r="O32" s="463">
        <v>0</v>
      </c>
      <c r="P32" s="463">
        <v>1</v>
      </c>
      <c r="Q32" s="463">
        <v>0</v>
      </c>
      <c r="R32" s="463">
        <v>9</v>
      </c>
      <c r="S32" s="464">
        <v>0</v>
      </c>
      <c r="T32" s="465" t="s">
        <v>707</v>
      </c>
      <c r="U32" s="464" t="s">
        <v>630</v>
      </c>
      <c r="V32" s="464" t="s">
        <v>634</v>
      </c>
      <c r="W32" s="464" t="s">
        <v>326</v>
      </c>
      <c r="X32" s="464" t="s">
        <v>319</v>
      </c>
      <c r="Y32" s="464">
        <v>1</v>
      </c>
      <c r="Z32" s="464">
        <v>0</v>
      </c>
      <c r="AA32" s="464">
        <v>0</v>
      </c>
      <c r="AB32" s="464">
        <v>1</v>
      </c>
      <c r="AC32" s="464">
        <v>0</v>
      </c>
      <c r="AD32" s="464">
        <v>0</v>
      </c>
      <c r="AE32" s="464">
        <v>0</v>
      </c>
      <c r="AF32" s="464">
        <v>0</v>
      </c>
      <c r="AG32" s="464">
        <v>1</v>
      </c>
      <c r="AH32" s="464">
        <v>0</v>
      </c>
      <c r="AI32" s="464">
        <v>0</v>
      </c>
      <c r="AJ32" s="466">
        <v>1</v>
      </c>
      <c r="AK32" s="464">
        <v>0</v>
      </c>
      <c r="AL32" s="464">
        <v>0</v>
      </c>
      <c r="AM32" s="464">
        <v>0</v>
      </c>
      <c r="AN32" s="466">
        <v>0</v>
      </c>
    </row>
    <row r="33" spans="1:40" ht="16.5" thickBot="1" x14ac:dyDescent="0.3">
      <c r="A33" s="828" t="s">
        <v>846</v>
      </c>
      <c r="B33" s="828" t="s">
        <v>847</v>
      </c>
      <c r="C33" s="829" t="s">
        <v>504</v>
      </c>
      <c r="D33" s="830" t="s">
        <v>299</v>
      </c>
      <c r="E33" s="830" t="s">
        <v>32</v>
      </c>
      <c r="F33" s="600">
        <v>56</v>
      </c>
      <c r="G33" s="600">
        <v>17</v>
      </c>
      <c r="H33" s="600" t="s">
        <v>77</v>
      </c>
      <c r="I33" s="600" t="s">
        <v>77</v>
      </c>
      <c r="J33" s="600">
        <v>7</v>
      </c>
      <c r="K33" s="600">
        <v>6</v>
      </c>
      <c r="L33" s="600">
        <v>0</v>
      </c>
      <c r="M33" s="600">
        <v>3</v>
      </c>
      <c r="N33" s="600">
        <v>0</v>
      </c>
      <c r="O33" s="600">
        <v>0</v>
      </c>
      <c r="P33" s="600" t="s">
        <v>77</v>
      </c>
      <c r="Q33" s="600" t="s">
        <v>77</v>
      </c>
      <c r="R33" s="600">
        <v>2</v>
      </c>
      <c r="S33" s="601">
        <v>0</v>
      </c>
      <c r="T33" s="602" t="s">
        <v>631</v>
      </c>
      <c r="U33" s="601" t="s">
        <v>951</v>
      </c>
      <c r="V33" s="601" t="s">
        <v>632</v>
      </c>
      <c r="W33" s="601" t="s">
        <v>554</v>
      </c>
      <c r="X33" s="601" t="s">
        <v>318</v>
      </c>
      <c r="Y33" s="601">
        <v>1</v>
      </c>
      <c r="Z33" s="601">
        <v>1</v>
      </c>
      <c r="AA33" s="601">
        <v>0</v>
      </c>
      <c r="AB33" s="601">
        <v>0</v>
      </c>
      <c r="AC33" s="601">
        <v>1</v>
      </c>
      <c r="AD33" s="601">
        <v>1</v>
      </c>
      <c r="AE33" s="601">
        <v>0</v>
      </c>
      <c r="AF33" s="601">
        <v>0</v>
      </c>
      <c r="AG33" s="601">
        <v>0</v>
      </c>
      <c r="AH33" s="601">
        <v>0</v>
      </c>
      <c r="AI33" s="601">
        <v>0</v>
      </c>
      <c r="AJ33" s="603">
        <v>0</v>
      </c>
      <c r="AK33" s="601">
        <v>0</v>
      </c>
      <c r="AL33" s="601">
        <v>0</v>
      </c>
      <c r="AM33" s="601">
        <v>0</v>
      </c>
      <c r="AN33" s="603">
        <v>0</v>
      </c>
    </row>
    <row r="34" spans="1:40" ht="14.95" thickBot="1" x14ac:dyDescent="0.3">
      <c r="A34" s="828" t="s">
        <v>949</v>
      </c>
      <c r="B34" s="828" t="s">
        <v>848</v>
      </c>
      <c r="C34" s="829" t="s">
        <v>481</v>
      </c>
      <c r="D34" s="830" t="s">
        <v>299</v>
      </c>
      <c r="E34" s="869" t="s">
        <v>962</v>
      </c>
      <c r="F34" s="600">
        <v>37</v>
      </c>
      <c r="G34" s="600">
        <v>20</v>
      </c>
      <c r="H34" s="600" t="s">
        <v>77</v>
      </c>
      <c r="I34" s="600" t="s">
        <v>77</v>
      </c>
      <c r="J34" s="600">
        <v>4</v>
      </c>
      <c r="K34" s="600">
        <v>4</v>
      </c>
      <c r="L34" s="600">
        <v>0</v>
      </c>
      <c r="M34" s="600">
        <v>3</v>
      </c>
      <c r="N34" s="600">
        <v>1</v>
      </c>
      <c r="O34" s="600">
        <v>0</v>
      </c>
      <c r="P34" s="600" t="s">
        <v>77</v>
      </c>
      <c r="Q34" s="600" t="s">
        <v>77</v>
      </c>
      <c r="R34" s="600">
        <v>2</v>
      </c>
      <c r="S34" s="601">
        <v>0</v>
      </c>
      <c r="T34" s="605" t="s">
        <v>712</v>
      </c>
      <c r="U34" s="601" t="s">
        <v>961</v>
      </c>
      <c r="V34" s="601" t="s">
        <v>464</v>
      </c>
      <c r="W34" s="601" t="s">
        <v>633</v>
      </c>
      <c r="X34" s="601" t="s">
        <v>463</v>
      </c>
      <c r="Y34" s="601">
        <v>1</v>
      </c>
      <c r="Z34" s="601">
        <v>1</v>
      </c>
      <c r="AA34" s="601">
        <v>0</v>
      </c>
      <c r="AB34" s="601">
        <v>0</v>
      </c>
      <c r="AC34" s="601">
        <v>1</v>
      </c>
      <c r="AD34" s="601">
        <v>1</v>
      </c>
      <c r="AE34" s="601">
        <v>0</v>
      </c>
      <c r="AF34" s="601">
        <v>0</v>
      </c>
      <c r="AG34" s="601">
        <v>0</v>
      </c>
      <c r="AH34" s="601">
        <v>0</v>
      </c>
      <c r="AI34" s="601">
        <v>0</v>
      </c>
      <c r="AJ34" s="603">
        <v>0</v>
      </c>
      <c r="AK34" s="601">
        <v>0</v>
      </c>
      <c r="AL34" s="601">
        <v>0</v>
      </c>
      <c r="AM34" s="601">
        <v>0</v>
      </c>
      <c r="AN34" s="603">
        <v>0</v>
      </c>
    </row>
    <row r="35" spans="1:40" ht="17" thickBot="1" x14ac:dyDescent="0.35">
      <c r="A35" s="496" t="s">
        <v>950</v>
      </c>
      <c r="B35" s="496" t="s">
        <v>199</v>
      </c>
      <c r="C35" s="476" t="s">
        <v>26</v>
      </c>
      <c r="D35" s="501" t="s">
        <v>299</v>
      </c>
      <c r="E35" s="497" t="s">
        <v>32</v>
      </c>
      <c r="F35" s="471">
        <v>40</v>
      </c>
      <c r="G35" s="471">
        <v>3</v>
      </c>
      <c r="H35" s="471">
        <v>1</v>
      </c>
      <c r="I35" s="471">
        <v>0</v>
      </c>
      <c r="J35" s="471">
        <v>6</v>
      </c>
      <c r="K35" s="471">
        <v>4</v>
      </c>
      <c r="L35" s="471">
        <v>0</v>
      </c>
      <c r="M35" s="471">
        <v>0</v>
      </c>
      <c r="N35" s="471">
        <v>0</v>
      </c>
      <c r="O35" s="471">
        <v>0</v>
      </c>
      <c r="P35" s="471">
        <v>0</v>
      </c>
      <c r="Q35" s="471">
        <v>0</v>
      </c>
      <c r="R35" s="471">
        <v>0</v>
      </c>
      <c r="S35" s="472">
        <v>0</v>
      </c>
      <c r="T35" s="480" t="s">
        <v>922</v>
      </c>
      <c r="U35" s="472" t="s">
        <v>326</v>
      </c>
      <c r="V35" s="472" t="s">
        <v>396</v>
      </c>
      <c r="W35" s="472" t="s">
        <v>463</v>
      </c>
      <c r="X35" s="472" t="s">
        <v>316</v>
      </c>
      <c r="Y35" s="472">
        <v>1</v>
      </c>
      <c r="Z35" s="472">
        <v>1</v>
      </c>
      <c r="AA35" s="472">
        <v>0</v>
      </c>
      <c r="AB35" s="472">
        <v>0</v>
      </c>
      <c r="AC35" s="472">
        <v>1</v>
      </c>
      <c r="AD35" s="472">
        <v>1</v>
      </c>
      <c r="AE35" s="472">
        <v>0</v>
      </c>
      <c r="AF35" s="472">
        <v>0</v>
      </c>
      <c r="AG35" s="472">
        <v>0</v>
      </c>
      <c r="AH35" s="472">
        <v>0</v>
      </c>
      <c r="AI35" s="472">
        <v>0</v>
      </c>
      <c r="AJ35" s="478">
        <v>0</v>
      </c>
      <c r="AK35" s="472">
        <v>0</v>
      </c>
      <c r="AL35" s="472">
        <v>0</v>
      </c>
      <c r="AM35" s="472">
        <v>0</v>
      </c>
      <c r="AN35" s="478">
        <v>0</v>
      </c>
    </row>
    <row r="36" spans="1:40" ht="17" thickBot="1" x14ac:dyDescent="0.35">
      <c r="A36" s="474" t="s">
        <v>357</v>
      </c>
      <c r="B36" s="474" t="s">
        <v>199</v>
      </c>
      <c r="C36" s="487" t="s">
        <v>11</v>
      </c>
      <c r="D36" s="488" t="s">
        <v>664</v>
      </c>
      <c r="E36" s="475" t="s">
        <v>32</v>
      </c>
      <c r="F36" s="463">
        <v>36</v>
      </c>
      <c r="G36" s="463">
        <v>7</v>
      </c>
      <c r="H36" s="463">
        <v>1</v>
      </c>
      <c r="I36" s="463">
        <v>0</v>
      </c>
      <c r="J36" s="463">
        <v>5</v>
      </c>
      <c r="K36" s="463">
        <v>3</v>
      </c>
      <c r="L36" s="463">
        <v>0</v>
      </c>
      <c r="M36" s="463">
        <v>1</v>
      </c>
      <c r="N36" s="463">
        <v>0</v>
      </c>
      <c r="O36" s="463">
        <v>0</v>
      </c>
      <c r="P36" s="463">
        <v>0</v>
      </c>
      <c r="Q36" s="463">
        <v>0</v>
      </c>
      <c r="R36" s="463">
        <v>1</v>
      </c>
      <c r="S36" s="464">
        <v>0</v>
      </c>
      <c r="T36" s="481" t="s">
        <v>553</v>
      </c>
      <c r="U36" s="464" t="s">
        <v>701</v>
      </c>
      <c r="V36" s="464" t="s">
        <v>509</v>
      </c>
      <c r="W36" s="464" t="s">
        <v>308</v>
      </c>
      <c r="X36" s="464" t="s">
        <v>343</v>
      </c>
      <c r="Y36" s="464">
        <v>1</v>
      </c>
      <c r="Z36" s="464">
        <v>1</v>
      </c>
      <c r="AA36" s="464">
        <v>0</v>
      </c>
      <c r="AB36" s="464">
        <v>0</v>
      </c>
      <c r="AC36" s="464">
        <v>0</v>
      </c>
      <c r="AD36" s="464">
        <v>0</v>
      </c>
      <c r="AE36" s="464">
        <v>0</v>
      </c>
      <c r="AF36" s="464">
        <v>0</v>
      </c>
      <c r="AG36" s="464">
        <v>1</v>
      </c>
      <c r="AH36" s="464">
        <v>1</v>
      </c>
      <c r="AI36" s="464">
        <v>0</v>
      </c>
      <c r="AJ36" s="466">
        <v>0</v>
      </c>
      <c r="AK36" s="464">
        <v>0</v>
      </c>
      <c r="AL36" s="464">
        <v>0</v>
      </c>
      <c r="AM36" s="464">
        <v>0</v>
      </c>
      <c r="AN36" s="466">
        <v>0</v>
      </c>
    </row>
    <row r="37" spans="1:40" ht="14.95" thickBot="1" x14ac:dyDescent="0.3">
      <c r="A37" s="474" t="s">
        <v>872</v>
      </c>
      <c r="B37" s="474" t="s">
        <v>200</v>
      </c>
      <c r="C37" s="487" t="s">
        <v>106</v>
      </c>
      <c r="D37" s="488" t="s">
        <v>36</v>
      </c>
      <c r="E37" s="475" t="s">
        <v>34</v>
      </c>
      <c r="F37" s="463">
        <v>24</v>
      </c>
      <c r="G37" s="463">
        <v>47</v>
      </c>
      <c r="H37" s="463" t="s">
        <v>77</v>
      </c>
      <c r="I37" s="463" t="s">
        <v>77</v>
      </c>
      <c r="J37" s="463">
        <v>4</v>
      </c>
      <c r="K37" s="463">
        <v>2</v>
      </c>
      <c r="L37" s="463">
        <v>0</v>
      </c>
      <c r="M37" s="463">
        <v>0</v>
      </c>
      <c r="N37" s="463">
        <v>0</v>
      </c>
      <c r="O37" s="463">
        <v>0</v>
      </c>
      <c r="P37" s="463" t="s">
        <v>77</v>
      </c>
      <c r="Q37" s="463" t="s">
        <v>77</v>
      </c>
      <c r="R37" s="463">
        <v>5</v>
      </c>
      <c r="S37" s="464">
        <v>0</v>
      </c>
      <c r="T37" s="465" t="s">
        <v>1024</v>
      </c>
      <c r="U37" s="464" t="s">
        <v>550</v>
      </c>
      <c r="V37" s="464" t="s">
        <v>463</v>
      </c>
      <c r="W37" s="464" t="s">
        <v>554</v>
      </c>
      <c r="X37" s="464" t="s">
        <v>318</v>
      </c>
      <c r="Y37" s="464">
        <v>1</v>
      </c>
      <c r="Z37" s="464">
        <v>0</v>
      </c>
      <c r="AA37" s="464">
        <v>0</v>
      </c>
      <c r="AB37" s="464">
        <v>1</v>
      </c>
      <c r="AC37" s="464">
        <v>0</v>
      </c>
      <c r="AD37" s="464">
        <v>0</v>
      </c>
      <c r="AE37" s="464">
        <v>0</v>
      </c>
      <c r="AF37" s="464">
        <v>0</v>
      </c>
      <c r="AG37" s="464">
        <v>1</v>
      </c>
      <c r="AH37" s="464">
        <v>0</v>
      </c>
      <c r="AI37" s="464">
        <v>0</v>
      </c>
      <c r="AJ37" s="466">
        <v>1</v>
      </c>
      <c r="AK37" s="464">
        <v>0</v>
      </c>
      <c r="AL37" s="464">
        <v>0</v>
      </c>
      <c r="AM37" s="464">
        <v>0</v>
      </c>
      <c r="AN37" s="466">
        <v>0</v>
      </c>
    </row>
    <row r="38" spans="1:40" ht="14.95" thickBot="1" x14ac:dyDescent="0.3">
      <c r="A38" s="606" t="s">
        <v>850</v>
      </c>
      <c r="B38" s="606" t="s">
        <v>297</v>
      </c>
      <c r="C38" s="607" t="s">
        <v>955</v>
      </c>
      <c r="D38" s="608" t="s">
        <v>963</v>
      </c>
      <c r="E38" s="831" t="s">
        <v>32</v>
      </c>
      <c r="F38" s="609">
        <v>32</v>
      </c>
      <c r="G38" s="609">
        <v>19</v>
      </c>
      <c r="H38" s="609" t="s">
        <v>77</v>
      </c>
      <c r="I38" s="609" t="s">
        <v>77</v>
      </c>
      <c r="J38" s="609">
        <v>2</v>
      </c>
      <c r="K38" s="609">
        <v>2</v>
      </c>
      <c r="L38" s="609">
        <v>0</v>
      </c>
      <c r="M38" s="609">
        <v>6</v>
      </c>
      <c r="N38" s="609">
        <v>0</v>
      </c>
      <c r="O38" s="609">
        <v>0</v>
      </c>
      <c r="P38" s="609" t="s">
        <v>77</v>
      </c>
      <c r="Q38" s="609" t="s">
        <v>77</v>
      </c>
      <c r="R38" s="609">
        <v>1</v>
      </c>
      <c r="S38" s="610">
        <v>1000</v>
      </c>
      <c r="T38" s="904" t="s">
        <v>957</v>
      </c>
      <c r="U38" s="610" t="s">
        <v>594</v>
      </c>
      <c r="V38" s="610" t="s">
        <v>595</v>
      </c>
      <c r="W38" s="610" t="s">
        <v>589</v>
      </c>
      <c r="X38" s="610" t="s">
        <v>591</v>
      </c>
      <c r="Y38" s="610">
        <v>1</v>
      </c>
      <c r="Z38" s="610">
        <v>1</v>
      </c>
      <c r="AA38" s="610">
        <v>0</v>
      </c>
      <c r="AB38" s="610">
        <v>0</v>
      </c>
      <c r="AC38" s="610">
        <v>0</v>
      </c>
      <c r="AD38" s="610">
        <v>0</v>
      </c>
      <c r="AE38" s="610">
        <v>0</v>
      </c>
      <c r="AF38" s="610">
        <v>0</v>
      </c>
      <c r="AG38" s="610">
        <v>0</v>
      </c>
      <c r="AH38" s="610">
        <v>0</v>
      </c>
      <c r="AI38" s="610">
        <v>0</v>
      </c>
      <c r="AJ38" s="611">
        <v>0</v>
      </c>
      <c r="AK38" s="610">
        <v>1</v>
      </c>
      <c r="AL38" s="610">
        <v>1</v>
      </c>
      <c r="AM38" s="610">
        <v>0</v>
      </c>
      <c r="AN38" s="611">
        <v>0</v>
      </c>
    </row>
    <row r="39" spans="1:40" ht="15.8" customHeight="1" thickBot="1" x14ac:dyDescent="0.3">
      <c r="A39" s="505"/>
      <c r="B39" s="506"/>
      <c r="C39" s="1022" t="s">
        <v>105</v>
      </c>
      <c r="D39" s="1023"/>
      <c r="E39" s="1024"/>
      <c r="F39" s="743">
        <f t="shared" ref="F39:R39" si="1">SUM(F7+F8+F9+F10+F13+F16+F17+F18+F21+F22+F23+F24+F25+F26+F27+F28+F29+F30+F31+F32+F35+F36)</f>
        <v>561</v>
      </c>
      <c r="G39" s="743">
        <f t="shared" si="1"/>
        <v>457</v>
      </c>
      <c r="H39" s="743">
        <f t="shared" si="1"/>
        <v>8</v>
      </c>
      <c r="I39" s="743">
        <f t="shared" si="1"/>
        <v>3</v>
      </c>
      <c r="J39" s="743">
        <f t="shared" si="1"/>
        <v>70</v>
      </c>
      <c r="K39" s="743">
        <f t="shared" si="1"/>
        <v>49</v>
      </c>
      <c r="L39" s="743">
        <f t="shared" si="1"/>
        <v>0</v>
      </c>
      <c r="M39" s="743">
        <f t="shared" si="1"/>
        <v>35</v>
      </c>
      <c r="N39" s="743">
        <f t="shared" si="1"/>
        <v>11</v>
      </c>
      <c r="O39" s="743">
        <f t="shared" si="1"/>
        <v>0</v>
      </c>
      <c r="P39" s="743">
        <f t="shared" si="1"/>
        <v>5</v>
      </c>
      <c r="Q39" s="743">
        <f t="shared" si="1"/>
        <v>6</v>
      </c>
      <c r="R39" s="743">
        <f t="shared" si="1"/>
        <v>53</v>
      </c>
      <c r="S39" s="739"/>
      <c r="T39" s="739"/>
      <c r="U39" s="739"/>
      <c r="V39" s="740"/>
      <c r="W39" s="740"/>
      <c r="X39" s="890" t="s">
        <v>105</v>
      </c>
      <c r="Y39" s="743">
        <f t="shared" ref="Y39:AN39" si="2">SUM(Y7+Y8+Y9+Y10+Y13+Y16+Y17+Y18+Y21+Y22+Y23+Y24+Y25+Y26+Y27+Y28+Y29+Y30+Y31+Y32+Y35+Y36)</f>
        <v>22</v>
      </c>
      <c r="Z39" s="743">
        <f t="shared" si="2"/>
        <v>14</v>
      </c>
      <c r="AA39" s="743">
        <f t="shared" si="2"/>
        <v>1</v>
      </c>
      <c r="AB39" s="743">
        <f t="shared" si="2"/>
        <v>7</v>
      </c>
      <c r="AC39" s="741">
        <f t="shared" si="2"/>
        <v>11</v>
      </c>
      <c r="AD39" s="741">
        <f t="shared" si="2"/>
        <v>8</v>
      </c>
      <c r="AE39" s="741">
        <f t="shared" si="2"/>
        <v>1</v>
      </c>
      <c r="AF39" s="741">
        <f t="shared" si="2"/>
        <v>2</v>
      </c>
      <c r="AG39" s="742">
        <f t="shared" si="2"/>
        <v>11</v>
      </c>
      <c r="AH39" s="742">
        <f t="shared" si="2"/>
        <v>6</v>
      </c>
      <c r="AI39" s="742">
        <f t="shared" si="2"/>
        <v>0</v>
      </c>
      <c r="AJ39" s="742">
        <f t="shared" si="2"/>
        <v>5</v>
      </c>
      <c r="AK39" s="743">
        <f t="shared" si="2"/>
        <v>0</v>
      </c>
      <c r="AL39" s="743">
        <f t="shared" si="2"/>
        <v>0</v>
      </c>
      <c r="AM39" s="743">
        <f t="shared" si="2"/>
        <v>0</v>
      </c>
      <c r="AN39" s="743">
        <f t="shared" si="2"/>
        <v>0</v>
      </c>
    </row>
    <row r="40" spans="1:40" ht="15.65" customHeight="1" thickBot="1" x14ac:dyDescent="0.3">
      <c r="A40" s="499"/>
      <c r="B40" s="499"/>
      <c r="C40" s="1022" t="s">
        <v>197</v>
      </c>
      <c r="D40" s="1023"/>
      <c r="E40" s="1024"/>
      <c r="F40" s="743">
        <f>SUM(F37)</f>
        <v>24</v>
      </c>
      <c r="G40" s="743">
        <f>SUM(G37)</f>
        <v>47</v>
      </c>
      <c r="H40" s="889" t="s">
        <v>77</v>
      </c>
      <c r="I40" s="889" t="s">
        <v>77</v>
      </c>
      <c r="J40" s="743">
        <f t="shared" ref="J40:O40" si="3">SUM(J37)</f>
        <v>4</v>
      </c>
      <c r="K40" s="743">
        <f t="shared" si="3"/>
        <v>2</v>
      </c>
      <c r="L40" s="743">
        <f t="shared" si="3"/>
        <v>0</v>
      </c>
      <c r="M40" s="743">
        <f t="shared" si="3"/>
        <v>0</v>
      </c>
      <c r="N40" s="743">
        <f t="shared" si="3"/>
        <v>0</v>
      </c>
      <c r="O40" s="743">
        <f t="shared" si="3"/>
        <v>0</v>
      </c>
      <c r="P40" s="889" t="s">
        <v>77</v>
      </c>
      <c r="Q40" s="889" t="s">
        <v>77</v>
      </c>
      <c r="R40" s="743">
        <f>SUM(R37)</f>
        <v>5</v>
      </c>
      <c r="S40" s="739"/>
      <c r="T40" s="739"/>
      <c r="U40" s="739"/>
      <c r="V40" s="739"/>
      <c r="W40" s="740"/>
      <c r="X40" s="890" t="s">
        <v>197</v>
      </c>
      <c r="Y40" s="743">
        <f t="shared" ref="Y40:AN40" si="4">SUM(Y37)</f>
        <v>1</v>
      </c>
      <c r="Z40" s="743">
        <f t="shared" si="4"/>
        <v>0</v>
      </c>
      <c r="AA40" s="743">
        <f t="shared" si="4"/>
        <v>0</v>
      </c>
      <c r="AB40" s="743">
        <f t="shared" si="4"/>
        <v>1</v>
      </c>
      <c r="AC40" s="741">
        <f t="shared" si="4"/>
        <v>0</v>
      </c>
      <c r="AD40" s="741">
        <f t="shared" si="4"/>
        <v>0</v>
      </c>
      <c r="AE40" s="741">
        <f t="shared" si="4"/>
        <v>0</v>
      </c>
      <c r="AF40" s="741">
        <f t="shared" si="4"/>
        <v>0</v>
      </c>
      <c r="AG40" s="744">
        <f t="shared" si="4"/>
        <v>1</v>
      </c>
      <c r="AH40" s="744">
        <f t="shared" si="4"/>
        <v>0</v>
      </c>
      <c r="AI40" s="744">
        <f t="shared" si="4"/>
        <v>0</v>
      </c>
      <c r="AJ40" s="744">
        <f t="shared" si="4"/>
        <v>1</v>
      </c>
      <c r="AK40" s="743">
        <f t="shared" si="4"/>
        <v>0</v>
      </c>
      <c r="AL40" s="743">
        <f t="shared" si="4"/>
        <v>0</v>
      </c>
      <c r="AM40" s="743">
        <f t="shared" si="4"/>
        <v>0</v>
      </c>
      <c r="AN40" s="743">
        <f t="shared" si="4"/>
        <v>0</v>
      </c>
    </row>
    <row r="41" spans="1:40" ht="15.65" customHeight="1" thickBot="1" x14ac:dyDescent="0.3">
      <c r="A41" s="499"/>
      <c r="B41" s="499"/>
      <c r="C41" s="1022" t="s">
        <v>219</v>
      </c>
      <c r="D41" s="1023"/>
      <c r="E41" s="1024"/>
      <c r="F41" s="743">
        <f>SUM(F39+F40)</f>
        <v>585</v>
      </c>
      <c r="G41" s="743">
        <f t="shared" ref="G41:R41" si="5">SUM(G39+G40)</f>
        <v>504</v>
      </c>
      <c r="H41" s="743">
        <f>SUM(H39)</f>
        <v>8</v>
      </c>
      <c r="I41" s="743">
        <f>SUM(I39)</f>
        <v>3</v>
      </c>
      <c r="J41" s="743">
        <f t="shared" si="5"/>
        <v>74</v>
      </c>
      <c r="K41" s="743">
        <f t="shared" si="5"/>
        <v>51</v>
      </c>
      <c r="L41" s="743">
        <f t="shared" si="5"/>
        <v>0</v>
      </c>
      <c r="M41" s="743">
        <f t="shared" si="5"/>
        <v>35</v>
      </c>
      <c r="N41" s="743">
        <f t="shared" si="5"/>
        <v>11</v>
      </c>
      <c r="O41" s="743">
        <f t="shared" si="5"/>
        <v>0</v>
      </c>
      <c r="P41" s="743">
        <f t="shared" ref="P41:Q41" si="6">SUM(P39)</f>
        <v>5</v>
      </c>
      <c r="Q41" s="743">
        <f t="shared" si="6"/>
        <v>6</v>
      </c>
      <c r="R41" s="743">
        <f t="shared" si="5"/>
        <v>58</v>
      </c>
      <c r="S41" s="739"/>
      <c r="T41" s="739"/>
      <c r="U41" s="739"/>
      <c r="V41" s="739"/>
      <c r="W41" s="740"/>
      <c r="X41" s="890" t="s">
        <v>219</v>
      </c>
      <c r="Y41" s="743">
        <f t="shared" ref="Y41:AN41" si="7">SUM(Y39+Y40)</f>
        <v>23</v>
      </c>
      <c r="Z41" s="743">
        <f t="shared" si="7"/>
        <v>14</v>
      </c>
      <c r="AA41" s="743">
        <f t="shared" si="7"/>
        <v>1</v>
      </c>
      <c r="AB41" s="743">
        <f t="shared" si="7"/>
        <v>8</v>
      </c>
      <c r="AC41" s="741">
        <f t="shared" si="7"/>
        <v>11</v>
      </c>
      <c r="AD41" s="741">
        <f t="shared" si="7"/>
        <v>8</v>
      </c>
      <c r="AE41" s="741">
        <f t="shared" si="7"/>
        <v>1</v>
      </c>
      <c r="AF41" s="741">
        <f t="shared" si="7"/>
        <v>2</v>
      </c>
      <c r="AG41" s="742">
        <f t="shared" si="7"/>
        <v>12</v>
      </c>
      <c r="AH41" s="742">
        <f t="shared" si="7"/>
        <v>6</v>
      </c>
      <c r="AI41" s="742">
        <f t="shared" si="7"/>
        <v>0</v>
      </c>
      <c r="AJ41" s="742">
        <f t="shared" si="7"/>
        <v>6</v>
      </c>
      <c r="AK41" s="743">
        <f t="shared" si="7"/>
        <v>0</v>
      </c>
      <c r="AL41" s="743">
        <f t="shared" si="7"/>
        <v>0</v>
      </c>
      <c r="AM41" s="743">
        <f t="shared" si="7"/>
        <v>0</v>
      </c>
      <c r="AN41" s="743">
        <f t="shared" si="7"/>
        <v>0</v>
      </c>
    </row>
    <row r="42" spans="1:40" ht="15.65" customHeight="1" thickBot="1" x14ac:dyDescent="0.3">
      <c r="A42" s="100"/>
      <c r="C42" s="1025" t="s">
        <v>261</v>
      </c>
      <c r="D42" s="1026"/>
      <c r="E42" s="1027"/>
      <c r="F42" s="419">
        <f t="shared" ref="F42:R42" si="8">SUM(F11+F12+F14+F15+F19+F20)</f>
        <v>209</v>
      </c>
      <c r="G42" s="419">
        <f t="shared" si="8"/>
        <v>58</v>
      </c>
      <c r="H42" s="419">
        <f t="shared" si="8"/>
        <v>4</v>
      </c>
      <c r="I42" s="419">
        <f t="shared" si="8"/>
        <v>0</v>
      </c>
      <c r="J42" s="419">
        <f t="shared" si="8"/>
        <v>27</v>
      </c>
      <c r="K42" s="419">
        <f t="shared" si="8"/>
        <v>25</v>
      </c>
      <c r="L42" s="419">
        <f t="shared" si="8"/>
        <v>0</v>
      </c>
      <c r="M42" s="419">
        <f t="shared" si="8"/>
        <v>8</v>
      </c>
      <c r="N42" s="419">
        <f t="shared" si="8"/>
        <v>3</v>
      </c>
      <c r="O42" s="419">
        <f t="shared" si="8"/>
        <v>0</v>
      </c>
      <c r="P42" s="419">
        <f t="shared" si="8"/>
        <v>0</v>
      </c>
      <c r="Q42" s="419">
        <f t="shared" si="8"/>
        <v>1</v>
      </c>
      <c r="R42" s="419">
        <f t="shared" si="8"/>
        <v>6</v>
      </c>
      <c r="S42" s="159"/>
      <c r="T42" s="159"/>
      <c r="U42" s="159"/>
      <c r="V42" s="159"/>
      <c r="W42" s="407"/>
      <c r="X42" s="891" t="s">
        <v>261</v>
      </c>
      <c r="Y42" s="419">
        <f t="shared" ref="Y42:AN42" si="9">SUM(Y11+Y12+Y14+Y15+Y19+Y20)</f>
        <v>6</v>
      </c>
      <c r="Z42" s="416">
        <f t="shared" si="9"/>
        <v>5</v>
      </c>
      <c r="AA42" s="416">
        <f t="shared" si="9"/>
        <v>1</v>
      </c>
      <c r="AB42" s="416">
        <f t="shared" si="9"/>
        <v>0</v>
      </c>
      <c r="AC42" s="414">
        <f t="shared" si="9"/>
        <v>3</v>
      </c>
      <c r="AD42" s="414">
        <f t="shared" si="9"/>
        <v>3</v>
      </c>
      <c r="AE42" s="414">
        <f t="shared" si="9"/>
        <v>0</v>
      </c>
      <c r="AF42" s="414">
        <f t="shared" si="9"/>
        <v>0</v>
      </c>
      <c r="AG42" s="415">
        <f t="shared" si="9"/>
        <v>3</v>
      </c>
      <c r="AH42" s="415">
        <f t="shared" si="9"/>
        <v>1</v>
      </c>
      <c r="AI42" s="415">
        <f t="shared" si="9"/>
        <v>1</v>
      </c>
      <c r="AJ42" s="415">
        <f t="shared" si="9"/>
        <v>1</v>
      </c>
      <c r="AK42" s="416">
        <f t="shared" si="9"/>
        <v>0</v>
      </c>
      <c r="AL42" s="416">
        <f t="shared" si="9"/>
        <v>0</v>
      </c>
      <c r="AM42" s="416">
        <f t="shared" si="9"/>
        <v>0</v>
      </c>
      <c r="AN42" s="416">
        <f t="shared" si="9"/>
        <v>0</v>
      </c>
    </row>
    <row r="43" spans="1:40" ht="15.65" customHeight="1" thickBot="1" x14ac:dyDescent="0.3">
      <c r="A43" s="100"/>
      <c r="C43" s="1025" t="s">
        <v>262</v>
      </c>
      <c r="D43" s="1026"/>
      <c r="E43" s="1027"/>
      <c r="F43" s="419">
        <f>SUM(F33+F34+F38)</f>
        <v>125</v>
      </c>
      <c r="G43" s="419">
        <f>SUM(G33+G34+G38)</f>
        <v>56</v>
      </c>
      <c r="H43" s="416" t="s">
        <v>77</v>
      </c>
      <c r="I43" s="416" t="s">
        <v>77</v>
      </c>
      <c r="J43" s="419">
        <f t="shared" ref="J43:O43" si="10">SUM(J33+J34+J38)</f>
        <v>13</v>
      </c>
      <c r="K43" s="419">
        <f t="shared" si="10"/>
        <v>12</v>
      </c>
      <c r="L43" s="419">
        <f t="shared" si="10"/>
        <v>0</v>
      </c>
      <c r="M43" s="419">
        <f t="shared" si="10"/>
        <v>12</v>
      </c>
      <c r="N43" s="419">
        <f t="shared" si="10"/>
        <v>1</v>
      </c>
      <c r="O43" s="419">
        <f t="shared" si="10"/>
        <v>0</v>
      </c>
      <c r="P43" s="416" t="s">
        <v>77</v>
      </c>
      <c r="Q43" s="416" t="s">
        <v>77</v>
      </c>
      <c r="R43" s="419">
        <f>SUM(R33+R34+R38)</f>
        <v>5</v>
      </c>
      <c r="S43" s="159"/>
      <c r="T43" s="159"/>
      <c r="U43" s="159"/>
      <c r="V43" s="159"/>
      <c r="W43" s="407"/>
      <c r="X43" s="891" t="s">
        <v>262</v>
      </c>
      <c r="Y43" s="419">
        <f t="shared" ref="Y43:AN43" si="11">SUM(Y33+Y34+Y38)</f>
        <v>3</v>
      </c>
      <c r="Z43" s="419">
        <f t="shared" si="11"/>
        <v>3</v>
      </c>
      <c r="AA43" s="419">
        <f t="shared" si="11"/>
        <v>0</v>
      </c>
      <c r="AB43" s="419">
        <f t="shared" si="11"/>
        <v>0</v>
      </c>
      <c r="AC43" s="417">
        <f t="shared" si="11"/>
        <v>2</v>
      </c>
      <c r="AD43" s="417">
        <f t="shared" si="11"/>
        <v>2</v>
      </c>
      <c r="AE43" s="417">
        <f t="shared" si="11"/>
        <v>0</v>
      </c>
      <c r="AF43" s="417">
        <f t="shared" si="11"/>
        <v>0</v>
      </c>
      <c r="AG43" s="418">
        <f t="shared" si="11"/>
        <v>0</v>
      </c>
      <c r="AH43" s="418">
        <f t="shared" si="11"/>
        <v>0</v>
      </c>
      <c r="AI43" s="418">
        <f t="shared" si="11"/>
        <v>0</v>
      </c>
      <c r="AJ43" s="418">
        <f t="shared" si="11"/>
        <v>0</v>
      </c>
      <c r="AK43" s="419">
        <f t="shared" si="11"/>
        <v>1</v>
      </c>
      <c r="AL43" s="419">
        <f t="shared" si="11"/>
        <v>1</v>
      </c>
      <c r="AM43" s="419">
        <f t="shared" si="11"/>
        <v>0</v>
      </c>
      <c r="AN43" s="419">
        <f t="shared" si="11"/>
        <v>0</v>
      </c>
    </row>
    <row r="44" spans="1:40" ht="15.65" customHeight="1" thickBot="1" x14ac:dyDescent="0.3">
      <c r="A44" s="100"/>
      <c r="C44" s="1028" t="s">
        <v>263</v>
      </c>
      <c r="D44" s="1026"/>
      <c r="E44" s="1027"/>
      <c r="F44" s="396">
        <f>SUM(F42+F43)</f>
        <v>334</v>
      </c>
      <c r="G44" s="396">
        <f t="shared" ref="G44:R44" si="12">SUM(G42+G43)</f>
        <v>114</v>
      </c>
      <c r="H44" s="396">
        <f>SUM(H42)</f>
        <v>4</v>
      </c>
      <c r="I44" s="396">
        <f>SUM(I42)</f>
        <v>0</v>
      </c>
      <c r="J44" s="396">
        <f t="shared" si="12"/>
        <v>40</v>
      </c>
      <c r="K44" s="396">
        <f t="shared" si="12"/>
        <v>37</v>
      </c>
      <c r="L44" s="396">
        <f t="shared" si="12"/>
        <v>0</v>
      </c>
      <c r="M44" s="396">
        <f t="shared" si="12"/>
        <v>20</v>
      </c>
      <c r="N44" s="396">
        <f t="shared" si="12"/>
        <v>4</v>
      </c>
      <c r="O44" s="396">
        <f t="shared" si="12"/>
        <v>0</v>
      </c>
      <c r="P44" s="396">
        <f t="shared" ref="P44:Q44" si="13">SUM(P42)</f>
        <v>0</v>
      </c>
      <c r="Q44" s="396">
        <f t="shared" si="13"/>
        <v>1</v>
      </c>
      <c r="R44" s="396">
        <f t="shared" si="12"/>
        <v>11</v>
      </c>
      <c r="S44" s="159"/>
      <c r="T44" s="159"/>
      <c r="U44" s="159"/>
      <c r="V44" s="159"/>
      <c r="W44" s="160"/>
      <c r="X44" s="892" t="s">
        <v>263</v>
      </c>
      <c r="Y44" s="396">
        <f>SUM(Y42+Y43)</f>
        <v>9</v>
      </c>
      <c r="Z44" s="396">
        <f t="shared" ref="Z44:AN44" si="14">SUM(Z42+Z43)</f>
        <v>8</v>
      </c>
      <c r="AA44" s="396">
        <f t="shared" si="14"/>
        <v>1</v>
      </c>
      <c r="AB44" s="396">
        <f t="shared" si="14"/>
        <v>0</v>
      </c>
      <c r="AC44" s="394">
        <f t="shared" si="14"/>
        <v>5</v>
      </c>
      <c r="AD44" s="394">
        <f t="shared" si="14"/>
        <v>5</v>
      </c>
      <c r="AE44" s="394">
        <f t="shared" si="14"/>
        <v>0</v>
      </c>
      <c r="AF44" s="394">
        <f t="shared" si="14"/>
        <v>0</v>
      </c>
      <c r="AG44" s="395">
        <f t="shared" si="14"/>
        <v>3</v>
      </c>
      <c r="AH44" s="395">
        <f t="shared" si="14"/>
        <v>1</v>
      </c>
      <c r="AI44" s="395">
        <f t="shared" si="14"/>
        <v>1</v>
      </c>
      <c r="AJ44" s="395">
        <f t="shared" si="14"/>
        <v>1</v>
      </c>
      <c r="AK44" s="396">
        <f t="shared" si="14"/>
        <v>1</v>
      </c>
      <c r="AL44" s="396">
        <f t="shared" si="14"/>
        <v>1</v>
      </c>
      <c r="AM44" s="396">
        <f t="shared" si="14"/>
        <v>0</v>
      </c>
      <c r="AN44" s="396">
        <f t="shared" si="14"/>
        <v>0</v>
      </c>
    </row>
    <row r="45" spans="1:40" ht="15.8" customHeight="1" thickBot="1" x14ac:dyDescent="0.3">
      <c r="A45" s="100"/>
      <c r="C45" s="977" t="s">
        <v>227</v>
      </c>
      <c r="D45" s="978"/>
      <c r="E45" s="979"/>
      <c r="F45" s="541">
        <f t="shared" ref="F45:R45" si="15">SUM(F3+F4+F5+F6)</f>
        <v>95</v>
      </c>
      <c r="G45" s="541">
        <f t="shared" si="15"/>
        <v>110</v>
      </c>
      <c r="H45" s="541">
        <f t="shared" si="15"/>
        <v>1</v>
      </c>
      <c r="I45" s="541">
        <f t="shared" si="15"/>
        <v>0</v>
      </c>
      <c r="J45" s="541">
        <f t="shared" si="15"/>
        <v>12</v>
      </c>
      <c r="K45" s="541">
        <f t="shared" si="15"/>
        <v>10</v>
      </c>
      <c r="L45" s="541">
        <f t="shared" si="15"/>
        <v>0</v>
      </c>
      <c r="M45" s="541">
        <f t="shared" si="15"/>
        <v>5</v>
      </c>
      <c r="N45" s="541">
        <f t="shared" si="15"/>
        <v>2</v>
      </c>
      <c r="O45" s="541">
        <f t="shared" si="15"/>
        <v>0</v>
      </c>
      <c r="P45" s="541">
        <f t="shared" si="15"/>
        <v>2</v>
      </c>
      <c r="Q45" s="541">
        <f t="shared" si="15"/>
        <v>1</v>
      </c>
      <c r="R45" s="541">
        <f t="shared" si="15"/>
        <v>16</v>
      </c>
      <c r="S45" s="534"/>
      <c r="T45" s="534"/>
      <c r="U45" s="534"/>
      <c r="V45" s="535"/>
      <c r="W45" s="535"/>
      <c r="X45" s="888" t="s">
        <v>227</v>
      </c>
      <c r="Y45" s="541">
        <f t="shared" ref="Y45:AN45" si="16">SUM(Y3+Y4+Y5+Y6)</f>
        <v>4</v>
      </c>
      <c r="Z45" s="541">
        <f t="shared" si="16"/>
        <v>2</v>
      </c>
      <c r="AA45" s="541">
        <f t="shared" si="16"/>
        <v>0</v>
      </c>
      <c r="AB45" s="541">
        <f t="shared" si="16"/>
        <v>2</v>
      </c>
      <c r="AC45" s="536">
        <f t="shared" si="16"/>
        <v>2</v>
      </c>
      <c r="AD45" s="536">
        <f t="shared" si="16"/>
        <v>2</v>
      </c>
      <c r="AE45" s="536">
        <f t="shared" si="16"/>
        <v>0</v>
      </c>
      <c r="AF45" s="536">
        <f t="shared" si="16"/>
        <v>0</v>
      </c>
      <c r="AG45" s="537">
        <f t="shared" si="16"/>
        <v>2</v>
      </c>
      <c r="AH45" s="537">
        <f t="shared" si="16"/>
        <v>0</v>
      </c>
      <c r="AI45" s="537">
        <f t="shared" si="16"/>
        <v>0</v>
      </c>
      <c r="AJ45" s="537">
        <f t="shared" si="16"/>
        <v>2</v>
      </c>
      <c r="AK45" s="538">
        <f t="shared" si="16"/>
        <v>0</v>
      </c>
      <c r="AL45" s="538">
        <f t="shared" si="16"/>
        <v>0</v>
      </c>
      <c r="AM45" s="538">
        <f t="shared" si="16"/>
        <v>0</v>
      </c>
      <c r="AN45" s="538">
        <f t="shared" si="16"/>
        <v>0</v>
      </c>
    </row>
    <row r="46" spans="1:40" ht="14.95" thickBot="1" x14ac:dyDescent="0.3">
      <c r="C46" s="977" t="s">
        <v>228</v>
      </c>
      <c r="D46" s="978"/>
      <c r="E46" s="979"/>
      <c r="F46" s="541">
        <v>0</v>
      </c>
      <c r="G46" s="541">
        <v>0</v>
      </c>
      <c r="H46" s="538" t="s">
        <v>77</v>
      </c>
      <c r="I46" s="538" t="s">
        <v>77</v>
      </c>
      <c r="J46" s="541">
        <v>0</v>
      </c>
      <c r="K46" s="541">
        <v>0</v>
      </c>
      <c r="L46" s="541">
        <v>0</v>
      </c>
      <c r="M46" s="541">
        <v>0</v>
      </c>
      <c r="N46" s="541">
        <v>0</v>
      </c>
      <c r="O46" s="541">
        <v>0</v>
      </c>
      <c r="P46" s="538" t="s">
        <v>77</v>
      </c>
      <c r="Q46" s="538" t="s">
        <v>77</v>
      </c>
      <c r="R46" s="541">
        <v>0</v>
      </c>
      <c r="S46" s="534"/>
      <c r="T46" s="534"/>
      <c r="U46" s="534"/>
      <c r="V46" s="534"/>
      <c r="W46" s="535"/>
      <c r="X46" s="888" t="s">
        <v>228</v>
      </c>
      <c r="Y46" s="541">
        <v>0</v>
      </c>
      <c r="Z46" s="541">
        <v>0</v>
      </c>
      <c r="AA46" s="541">
        <v>0</v>
      </c>
      <c r="AB46" s="541">
        <v>0</v>
      </c>
      <c r="AC46" s="539">
        <v>0</v>
      </c>
      <c r="AD46" s="539">
        <v>0</v>
      </c>
      <c r="AE46" s="539">
        <v>0</v>
      </c>
      <c r="AF46" s="539">
        <v>0</v>
      </c>
      <c r="AG46" s="540">
        <v>0</v>
      </c>
      <c r="AH46" s="540">
        <v>0</v>
      </c>
      <c r="AI46" s="540">
        <v>0</v>
      </c>
      <c r="AJ46" s="540">
        <v>0</v>
      </c>
      <c r="AK46" s="541">
        <v>0</v>
      </c>
      <c r="AL46" s="541">
        <v>0</v>
      </c>
      <c r="AM46" s="541">
        <v>0</v>
      </c>
      <c r="AN46" s="541">
        <v>0</v>
      </c>
    </row>
    <row r="47" spans="1:40" ht="15.65" customHeight="1" thickBot="1" x14ac:dyDescent="0.3">
      <c r="C47" s="1010" t="s">
        <v>229</v>
      </c>
      <c r="D47" s="978"/>
      <c r="E47" s="979"/>
      <c r="F47" s="545">
        <f>SUM(F45+F46)</f>
        <v>95</v>
      </c>
      <c r="G47" s="545">
        <f t="shared" ref="G47:R47" si="17">SUM(G45+G46)</f>
        <v>110</v>
      </c>
      <c r="H47" s="545">
        <f>H45</f>
        <v>1</v>
      </c>
      <c r="I47" s="545">
        <f>I45</f>
        <v>0</v>
      </c>
      <c r="J47" s="545">
        <f t="shared" si="17"/>
        <v>12</v>
      </c>
      <c r="K47" s="545">
        <f t="shared" si="17"/>
        <v>10</v>
      </c>
      <c r="L47" s="545">
        <f t="shared" si="17"/>
        <v>0</v>
      </c>
      <c r="M47" s="545">
        <f t="shared" si="17"/>
        <v>5</v>
      </c>
      <c r="N47" s="545">
        <f t="shared" si="17"/>
        <v>2</v>
      </c>
      <c r="O47" s="545">
        <f t="shared" si="17"/>
        <v>0</v>
      </c>
      <c r="P47" s="545">
        <f t="shared" ref="P47:Q47" si="18">P45</f>
        <v>2</v>
      </c>
      <c r="Q47" s="545">
        <f t="shared" si="18"/>
        <v>1</v>
      </c>
      <c r="R47" s="545">
        <f t="shared" si="17"/>
        <v>16</v>
      </c>
      <c r="S47" s="534"/>
      <c r="T47" s="534"/>
      <c r="U47" s="534"/>
      <c r="V47" s="534"/>
      <c r="W47" s="542"/>
      <c r="X47" s="885" t="s">
        <v>229</v>
      </c>
      <c r="Y47" s="545">
        <f t="shared" ref="Y47:AN47" si="19">SUM(Y45+Y46)</f>
        <v>4</v>
      </c>
      <c r="Z47" s="545">
        <f t="shared" si="19"/>
        <v>2</v>
      </c>
      <c r="AA47" s="545">
        <f t="shared" si="19"/>
        <v>0</v>
      </c>
      <c r="AB47" s="545">
        <f t="shared" si="19"/>
        <v>2</v>
      </c>
      <c r="AC47" s="543">
        <f t="shared" si="19"/>
        <v>2</v>
      </c>
      <c r="AD47" s="543">
        <f t="shared" si="19"/>
        <v>2</v>
      </c>
      <c r="AE47" s="543">
        <f t="shared" si="19"/>
        <v>0</v>
      </c>
      <c r="AF47" s="543">
        <f t="shared" si="19"/>
        <v>0</v>
      </c>
      <c r="AG47" s="544">
        <f t="shared" si="19"/>
        <v>2</v>
      </c>
      <c r="AH47" s="544">
        <f t="shared" si="19"/>
        <v>0</v>
      </c>
      <c r="AI47" s="544">
        <f t="shared" si="19"/>
        <v>0</v>
      </c>
      <c r="AJ47" s="544">
        <f t="shared" si="19"/>
        <v>2</v>
      </c>
      <c r="AK47" s="545">
        <f t="shared" si="19"/>
        <v>0</v>
      </c>
      <c r="AL47" s="545">
        <f t="shared" si="19"/>
        <v>0</v>
      </c>
      <c r="AM47" s="545">
        <f t="shared" si="19"/>
        <v>0</v>
      </c>
      <c r="AN47" s="545">
        <f t="shared" si="19"/>
        <v>0</v>
      </c>
    </row>
    <row r="48" spans="1:40" ht="14.95" thickBot="1" x14ac:dyDescent="0.3">
      <c r="A48" s="100"/>
      <c r="C48" s="980" t="s">
        <v>63</v>
      </c>
      <c r="D48" s="981"/>
      <c r="E48" s="982"/>
      <c r="F48" s="378">
        <f t="shared" ref="F48:R48" si="20">SUM(F3:F38)</f>
        <v>1014</v>
      </c>
      <c r="G48" s="378">
        <f t="shared" si="20"/>
        <v>728</v>
      </c>
      <c r="H48" s="378">
        <f t="shared" si="20"/>
        <v>13</v>
      </c>
      <c r="I48" s="378">
        <f t="shared" si="20"/>
        <v>3</v>
      </c>
      <c r="J48" s="378">
        <f t="shared" si="20"/>
        <v>126</v>
      </c>
      <c r="K48" s="378">
        <f t="shared" si="20"/>
        <v>98</v>
      </c>
      <c r="L48" s="378">
        <f t="shared" si="20"/>
        <v>0</v>
      </c>
      <c r="M48" s="378">
        <f t="shared" si="20"/>
        <v>60</v>
      </c>
      <c r="N48" s="378">
        <f t="shared" si="20"/>
        <v>17</v>
      </c>
      <c r="O48" s="378">
        <f t="shared" si="20"/>
        <v>0</v>
      </c>
      <c r="P48" s="378">
        <f t="shared" si="20"/>
        <v>7</v>
      </c>
      <c r="Q48" s="378">
        <f t="shared" si="20"/>
        <v>8</v>
      </c>
      <c r="R48" s="378">
        <f t="shared" si="20"/>
        <v>85</v>
      </c>
      <c r="S48" s="168"/>
      <c r="T48" s="168"/>
      <c r="U48" s="168"/>
      <c r="V48" s="169"/>
      <c r="W48" s="169"/>
      <c r="X48" s="886" t="s">
        <v>63</v>
      </c>
      <c r="Y48" s="378">
        <f t="shared" ref="Y48:AN48" si="21">SUM(Y3:Y38)</f>
        <v>36</v>
      </c>
      <c r="Z48" s="378">
        <f t="shared" si="21"/>
        <v>24</v>
      </c>
      <c r="AA48" s="378">
        <f t="shared" si="21"/>
        <v>2</v>
      </c>
      <c r="AB48" s="378">
        <f t="shared" si="21"/>
        <v>10</v>
      </c>
      <c r="AC48" s="66">
        <f t="shared" si="21"/>
        <v>18</v>
      </c>
      <c r="AD48" s="66">
        <f t="shared" si="21"/>
        <v>15</v>
      </c>
      <c r="AE48" s="66">
        <f t="shared" si="21"/>
        <v>1</v>
      </c>
      <c r="AF48" s="66">
        <f t="shared" si="21"/>
        <v>2</v>
      </c>
      <c r="AG48" s="377">
        <f t="shared" si="21"/>
        <v>17</v>
      </c>
      <c r="AH48" s="377">
        <f t="shared" si="21"/>
        <v>7</v>
      </c>
      <c r="AI48" s="377">
        <f t="shared" si="21"/>
        <v>1</v>
      </c>
      <c r="AJ48" s="377">
        <f t="shared" si="21"/>
        <v>9</v>
      </c>
      <c r="AK48" s="378">
        <f t="shared" si="21"/>
        <v>1</v>
      </c>
      <c r="AL48" s="378">
        <f t="shared" si="21"/>
        <v>1</v>
      </c>
      <c r="AM48" s="378">
        <f t="shared" si="21"/>
        <v>0</v>
      </c>
      <c r="AN48" s="378">
        <f t="shared" si="21"/>
        <v>0</v>
      </c>
    </row>
    <row r="49" spans="1:1" x14ac:dyDescent="0.25">
      <c r="A49" s="100" t="s">
        <v>964</v>
      </c>
    </row>
    <row r="50" spans="1:1" x14ac:dyDescent="0.25">
      <c r="A50" s="100" t="s">
        <v>973</v>
      </c>
    </row>
    <row r="51" spans="1:1" x14ac:dyDescent="0.25">
      <c r="A51" s="100" t="s">
        <v>107</v>
      </c>
    </row>
    <row r="52" spans="1:1" x14ac:dyDescent="0.25">
      <c r="A52" s="100" t="s">
        <v>87</v>
      </c>
    </row>
  </sheetData>
  <mergeCells count="26">
    <mergeCell ref="AT4:AU4"/>
    <mergeCell ref="AV4:AW4"/>
    <mergeCell ref="AZ4:BA4"/>
    <mergeCell ref="BB4:BC4"/>
    <mergeCell ref="H1:I1"/>
    <mergeCell ref="J1:M1"/>
    <mergeCell ref="N1:O1"/>
    <mergeCell ref="P1:R1"/>
    <mergeCell ref="AX4:AY4"/>
    <mergeCell ref="AT2:AU2"/>
    <mergeCell ref="Y1:AB1"/>
    <mergeCell ref="AC1:AF1"/>
    <mergeCell ref="AG1:AJ1"/>
    <mergeCell ref="AK1:AN1"/>
    <mergeCell ref="C48:E48"/>
    <mergeCell ref="A1:D1"/>
    <mergeCell ref="E1:G1"/>
    <mergeCell ref="C39:E39"/>
    <mergeCell ref="C42:E42"/>
    <mergeCell ref="C40:E40"/>
    <mergeCell ref="C43:E43"/>
    <mergeCell ref="C45:E45"/>
    <mergeCell ref="C46:E46"/>
    <mergeCell ref="C41:E41"/>
    <mergeCell ref="C44:E44"/>
    <mergeCell ref="C47:E4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A54"/>
  <sheetViews>
    <sheetView workbookViewId="0">
      <pane ySplit="2" topLeftCell="A15" activePane="bottomLeft" state="frozen"/>
      <selection pane="bottomLeft" activeCell="T44" sqref="T44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5" width="3.75" customWidth="1"/>
    <col min="6" max="6" width="5" customWidth="1"/>
    <col min="7" max="7" width="4.125" bestFit="1" customWidth="1"/>
    <col min="8" max="9" width="3.75" customWidth="1"/>
    <col min="10" max="10" width="4.125" bestFit="1" customWidth="1"/>
    <col min="11" max="18" width="3.75" customWidth="1"/>
    <col min="19" max="19" width="6.25" customWidth="1"/>
    <col min="20" max="20" width="5.75" customWidth="1"/>
    <col min="21" max="21" width="22.125" customWidth="1"/>
    <col min="22" max="22" width="23.625" bestFit="1" customWidth="1"/>
    <col min="23" max="23" width="25.125" bestFit="1" customWidth="1"/>
    <col min="24" max="24" width="26.25" bestFit="1" customWidth="1"/>
    <col min="25" max="40" width="3.75" customWidth="1"/>
    <col min="43" max="43" width="15.75" customWidth="1"/>
    <col min="46" max="46" width="10.875" bestFit="1" customWidth="1"/>
    <col min="48" max="48" width="10.875" bestFit="1" customWidth="1"/>
    <col min="49" max="49" width="6.75" customWidth="1"/>
    <col min="50" max="50" width="10.875" bestFit="1" customWidth="1"/>
    <col min="51" max="51" width="6.75" customWidth="1"/>
    <col min="52" max="52" width="10.875" bestFit="1" customWidth="1"/>
    <col min="53" max="53" width="6.75" customWidth="1"/>
  </cols>
  <sheetData>
    <row r="1" spans="1:53" ht="14.95" customHeight="1" thickBot="1" x14ac:dyDescent="0.3">
      <c r="A1" s="1045" t="s">
        <v>277</v>
      </c>
      <c r="B1" s="1046"/>
      <c r="C1" s="1046"/>
      <c r="D1" s="1047"/>
      <c r="E1" s="1048" t="s">
        <v>70</v>
      </c>
      <c r="F1" s="1049"/>
      <c r="G1" s="1050"/>
      <c r="H1" s="1048" t="s">
        <v>69</v>
      </c>
      <c r="I1" s="1050"/>
      <c r="J1" s="1037" t="s">
        <v>40</v>
      </c>
      <c r="K1" s="1038"/>
      <c r="L1" s="1038"/>
      <c r="M1" s="1039"/>
      <c r="N1" s="1037" t="s">
        <v>41</v>
      </c>
      <c r="O1" s="1039"/>
      <c r="P1" s="1037" t="s">
        <v>72</v>
      </c>
      <c r="Q1" s="1038"/>
      <c r="R1" s="1039"/>
      <c r="S1" s="390" t="s">
        <v>42</v>
      </c>
      <c r="T1" s="390" t="s">
        <v>43</v>
      </c>
      <c r="U1" s="86" t="s">
        <v>44</v>
      </c>
      <c r="V1" s="85" t="s">
        <v>45</v>
      </c>
      <c r="W1" s="85" t="s">
        <v>101</v>
      </c>
      <c r="X1" s="87" t="s">
        <v>102</v>
      </c>
      <c r="Y1" s="1040" t="s">
        <v>64</v>
      </c>
      <c r="Z1" s="1041"/>
      <c r="AA1" s="1041"/>
      <c r="AB1" s="1042"/>
      <c r="AC1" s="1043" t="s">
        <v>65</v>
      </c>
      <c r="AD1" s="966"/>
      <c r="AE1" s="966"/>
      <c r="AF1" s="967"/>
      <c r="AG1" s="1044" t="s">
        <v>66</v>
      </c>
      <c r="AH1" s="1041"/>
      <c r="AI1" s="1041"/>
      <c r="AJ1" s="1042"/>
      <c r="AK1" s="1044" t="s">
        <v>137</v>
      </c>
      <c r="AL1" s="1041"/>
      <c r="AM1" s="1041"/>
      <c r="AN1" s="1041"/>
    </row>
    <row r="2" spans="1:53" ht="14.95" customHeight="1" thickBot="1" x14ac:dyDescent="0.3">
      <c r="A2" s="89" t="s">
        <v>62</v>
      </c>
      <c r="B2" s="90" t="s">
        <v>61</v>
      </c>
      <c r="C2" s="91" t="s">
        <v>60</v>
      </c>
      <c r="D2" s="91" t="s">
        <v>71</v>
      </c>
      <c r="E2" s="92" t="s">
        <v>50</v>
      </c>
      <c r="F2" s="92" t="s">
        <v>35</v>
      </c>
      <c r="G2" s="92" t="s">
        <v>36</v>
      </c>
      <c r="H2" s="93" t="s">
        <v>67</v>
      </c>
      <c r="I2" s="94" t="s">
        <v>68</v>
      </c>
      <c r="J2" s="94" t="s">
        <v>46</v>
      </c>
      <c r="K2" s="94" t="s">
        <v>47</v>
      </c>
      <c r="L2" s="94" t="s">
        <v>33</v>
      </c>
      <c r="M2" s="94" t="s">
        <v>48</v>
      </c>
      <c r="N2" s="94" t="s">
        <v>49</v>
      </c>
      <c r="O2" s="94" t="s">
        <v>50</v>
      </c>
      <c r="P2" s="94" t="s">
        <v>67</v>
      </c>
      <c r="Q2" s="94" t="s">
        <v>68</v>
      </c>
      <c r="R2" s="94" t="s">
        <v>46</v>
      </c>
      <c r="S2" s="95"/>
      <c r="T2" s="96"/>
      <c r="U2" s="97"/>
      <c r="V2" s="95"/>
      <c r="W2" s="95"/>
      <c r="X2" s="98"/>
      <c r="Y2" s="533" t="s">
        <v>31</v>
      </c>
      <c r="Z2" s="533" t="s">
        <v>32</v>
      </c>
      <c r="AA2" s="533" t="s">
        <v>33</v>
      </c>
      <c r="AB2" s="533" t="s">
        <v>34</v>
      </c>
      <c r="AC2" s="533" t="s">
        <v>31</v>
      </c>
      <c r="AD2" s="533" t="s">
        <v>32</v>
      </c>
      <c r="AE2" s="533" t="s">
        <v>33</v>
      </c>
      <c r="AF2" s="533" t="s">
        <v>34</v>
      </c>
      <c r="AG2" s="533" t="s">
        <v>31</v>
      </c>
      <c r="AH2" s="533" t="s">
        <v>32</v>
      </c>
      <c r="AI2" s="533" t="s">
        <v>33</v>
      </c>
      <c r="AJ2" s="533" t="s">
        <v>34</v>
      </c>
      <c r="AK2" s="533" t="s">
        <v>31</v>
      </c>
      <c r="AL2" s="533" t="s">
        <v>32</v>
      </c>
      <c r="AM2" s="533" t="s">
        <v>33</v>
      </c>
      <c r="AN2" s="533" t="s">
        <v>34</v>
      </c>
      <c r="AQ2" s="185" t="s">
        <v>180</v>
      </c>
      <c r="AT2" s="185" t="s">
        <v>180</v>
      </c>
    </row>
    <row r="3" spans="1:53" s="130" customFormat="1" ht="14.95" customHeight="1" thickBot="1" x14ac:dyDescent="0.3">
      <c r="A3" s="619" t="s">
        <v>231</v>
      </c>
      <c r="B3" s="547" t="s">
        <v>222</v>
      </c>
      <c r="C3" s="548" t="s">
        <v>22</v>
      </c>
      <c r="D3" s="549" t="s">
        <v>299</v>
      </c>
      <c r="E3" s="549" t="s">
        <v>32</v>
      </c>
      <c r="F3" s="549">
        <v>28</v>
      </c>
      <c r="G3" s="549">
        <v>14</v>
      </c>
      <c r="H3" s="549">
        <v>1</v>
      </c>
      <c r="I3" s="549">
        <v>0</v>
      </c>
      <c r="J3" s="549">
        <v>4</v>
      </c>
      <c r="K3" s="549">
        <v>4</v>
      </c>
      <c r="L3" s="549">
        <v>0</v>
      </c>
      <c r="M3" s="549">
        <v>0</v>
      </c>
      <c r="N3" s="549">
        <v>0</v>
      </c>
      <c r="O3" s="549">
        <v>0</v>
      </c>
      <c r="P3" s="549">
        <v>0</v>
      </c>
      <c r="Q3" s="549">
        <v>0</v>
      </c>
      <c r="R3" s="549">
        <v>2</v>
      </c>
      <c r="S3" s="624">
        <v>9772</v>
      </c>
      <c r="T3" s="560" t="s">
        <v>307</v>
      </c>
      <c r="U3" s="551" t="s">
        <v>308</v>
      </c>
      <c r="V3" s="550" t="s">
        <v>330</v>
      </c>
      <c r="W3" s="550" t="s">
        <v>316</v>
      </c>
      <c r="X3" s="552" t="s">
        <v>317</v>
      </c>
      <c r="Y3" s="550">
        <v>1</v>
      </c>
      <c r="Z3" s="550">
        <v>1</v>
      </c>
      <c r="AA3" s="550">
        <v>0</v>
      </c>
      <c r="AB3" s="588">
        <v>0</v>
      </c>
      <c r="AC3" s="550">
        <v>1</v>
      </c>
      <c r="AD3" s="550">
        <v>1</v>
      </c>
      <c r="AE3" s="550">
        <v>0</v>
      </c>
      <c r="AF3" s="588">
        <v>0</v>
      </c>
      <c r="AG3" s="550">
        <v>0</v>
      </c>
      <c r="AH3" s="550">
        <v>0</v>
      </c>
      <c r="AI3" s="550">
        <v>0</v>
      </c>
      <c r="AJ3" s="552">
        <v>0</v>
      </c>
      <c r="AK3" s="550">
        <v>0</v>
      </c>
      <c r="AL3" s="550">
        <v>0</v>
      </c>
      <c r="AM3" s="550">
        <v>0</v>
      </c>
      <c r="AN3" s="552">
        <v>0</v>
      </c>
      <c r="AO3"/>
      <c r="AP3"/>
      <c r="AQ3" s="507" t="s">
        <v>171</v>
      </c>
      <c r="AR3"/>
      <c r="AS3"/>
      <c r="AT3" s="4" t="s">
        <v>177</v>
      </c>
      <c r="AU3"/>
      <c r="AV3"/>
      <c r="AW3"/>
      <c r="AX3"/>
      <c r="AY3"/>
      <c r="AZ3"/>
      <c r="BA3"/>
    </row>
    <row r="4" spans="1:53" s="117" customFormat="1" ht="14.95" customHeight="1" thickBot="1" x14ac:dyDescent="0.3">
      <c r="A4" s="553" t="s">
        <v>232</v>
      </c>
      <c r="B4" s="554" t="s">
        <v>222</v>
      </c>
      <c r="C4" s="555" t="s">
        <v>349</v>
      </c>
      <c r="D4" s="556" t="s">
        <v>36</v>
      </c>
      <c r="E4" s="556" t="s">
        <v>34</v>
      </c>
      <c r="F4" s="556">
        <v>7</v>
      </c>
      <c r="G4" s="556">
        <v>27</v>
      </c>
      <c r="H4" s="556">
        <v>0</v>
      </c>
      <c r="I4" s="556">
        <v>0</v>
      </c>
      <c r="J4" s="556">
        <v>1</v>
      </c>
      <c r="K4" s="556">
        <v>1</v>
      </c>
      <c r="L4" s="556">
        <v>0</v>
      </c>
      <c r="M4" s="556">
        <v>0</v>
      </c>
      <c r="N4" s="556">
        <v>0</v>
      </c>
      <c r="O4" s="556">
        <v>0</v>
      </c>
      <c r="P4" s="556">
        <v>1</v>
      </c>
      <c r="Q4" s="556">
        <v>0</v>
      </c>
      <c r="R4" s="556">
        <v>4</v>
      </c>
      <c r="S4" s="620">
        <v>13633</v>
      </c>
      <c r="T4" s="563" t="s">
        <v>367</v>
      </c>
      <c r="U4" s="622" t="s">
        <v>304</v>
      </c>
      <c r="V4" s="620" t="s">
        <v>348</v>
      </c>
      <c r="W4" s="623" t="s">
        <v>308</v>
      </c>
      <c r="X4" s="623" t="s">
        <v>305</v>
      </c>
      <c r="Y4" s="557">
        <v>1</v>
      </c>
      <c r="Z4" s="557">
        <v>0</v>
      </c>
      <c r="AA4" s="557">
        <v>0</v>
      </c>
      <c r="AB4" s="583">
        <v>1</v>
      </c>
      <c r="AC4" s="557">
        <v>0</v>
      </c>
      <c r="AD4" s="557">
        <v>0</v>
      </c>
      <c r="AE4" s="557">
        <v>0</v>
      </c>
      <c r="AF4" s="583">
        <v>0</v>
      </c>
      <c r="AG4" s="557">
        <v>1</v>
      </c>
      <c r="AH4" s="557">
        <v>0</v>
      </c>
      <c r="AI4" s="557">
        <v>0</v>
      </c>
      <c r="AJ4" s="558">
        <v>1</v>
      </c>
      <c r="AK4" s="557">
        <v>0</v>
      </c>
      <c r="AL4" s="557">
        <v>0</v>
      </c>
      <c r="AM4" s="557">
        <v>0</v>
      </c>
      <c r="AN4" s="558">
        <v>0</v>
      </c>
      <c r="AO4"/>
      <c r="AP4"/>
      <c r="AQ4" s="173" t="s">
        <v>167</v>
      </c>
      <c r="AR4" s="174">
        <f>Exepremhist</f>
        <v>230</v>
      </c>
      <c r="AS4"/>
      <c r="AT4" s="983" t="s">
        <v>179</v>
      </c>
      <c r="AU4" s="984"/>
      <c r="AV4" s="985" t="s">
        <v>172</v>
      </c>
      <c r="AW4" s="986"/>
      <c r="AX4" s="987" t="s">
        <v>173</v>
      </c>
      <c r="AY4" s="988"/>
      <c r="AZ4" s="989" t="s">
        <v>174</v>
      </c>
      <c r="BA4" s="990"/>
    </row>
    <row r="5" spans="1:53" s="130" customFormat="1" ht="14.95" customHeight="1" thickBot="1" x14ac:dyDescent="0.3">
      <c r="A5" s="582" t="s">
        <v>357</v>
      </c>
      <c r="B5" s="554" t="s">
        <v>222</v>
      </c>
      <c r="C5" s="589" t="s">
        <v>23</v>
      </c>
      <c r="D5" s="562" t="s">
        <v>36</v>
      </c>
      <c r="E5" s="562" t="s">
        <v>32</v>
      </c>
      <c r="F5" s="562">
        <v>34</v>
      </c>
      <c r="G5" s="562">
        <v>19</v>
      </c>
      <c r="H5" s="562">
        <v>1</v>
      </c>
      <c r="I5" s="562">
        <v>0</v>
      </c>
      <c r="J5" s="562">
        <v>4</v>
      </c>
      <c r="K5" s="562">
        <v>4</v>
      </c>
      <c r="L5" s="562">
        <v>2</v>
      </c>
      <c r="M5" s="562">
        <v>0</v>
      </c>
      <c r="N5" s="562">
        <v>0</v>
      </c>
      <c r="O5" s="562">
        <v>0</v>
      </c>
      <c r="P5" s="562">
        <v>0</v>
      </c>
      <c r="Q5" s="562">
        <v>0</v>
      </c>
      <c r="R5" s="562">
        <v>3</v>
      </c>
      <c r="S5" s="557">
        <v>6743</v>
      </c>
      <c r="T5" s="569" t="s">
        <v>388</v>
      </c>
      <c r="U5" s="559" t="s">
        <v>324</v>
      </c>
      <c r="V5" s="557" t="s">
        <v>399</v>
      </c>
      <c r="W5" s="557" t="s">
        <v>323</v>
      </c>
      <c r="X5" s="557" t="s">
        <v>316</v>
      </c>
      <c r="Y5" s="557">
        <v>1</v>
      </c>
      <c r="Z5" s="557">
        <v>1</v>
      </c>
      <c r="AA5" s="557">
        <v>0</v>
      </c>
      <c r="AB5" s="557">
        <v>0</v>
      </c>
      <c r="AC5" s="557">
        <v>0</v>
      </c>
      <c r="AD5" s="557">
        <v>0</v>
      </c>
      <c r="AE5" s="557">
        <v>0</v>
      </c>
      <c r="AF5" s="557">
        <v>0</v>
      </c>
      <c r="AG5" s="557">
        <v>1</v>
      </c>
      <c r="AH5" s="557">
        <v>1</v>
      </c>
      <c r="AI5" s="557">
        <v>0</v>
      </c>
      <c r="AJ5" s="559">
        <v>0</v>
      </c>
      <c r="AK5" s="557">
        <v>0</v>
      </c>
      <c r="AL5" s="557">
        <v>0</v>
      </c>
      <c r="AM5" s="557">
        <v>0</v>
      </c>
      <c r="AN5" s="559">
        <v>0</v>
      </c>
      <c r="AO5"/>
      <c r="AP5"/>
      <c r="AQ5" s="175" t="s">
        <v>0</v>
      </c>
      <c r="AR5" s="176">
        <f>exepremhistwon</f>
        <v>143</v>
      </c>
      <c r="AS5"/>
      <c r="AT5" s="177" t="s">
        <v>167</v>
      </c>
      <c r="AU5" s="189">
        <f>Exeeuropeancuphistplayed</f>
        <v>46</v>
      </c>
      <c r="AV5" s="179" t="s">
        <v>167</v>
      </c>
      <c r="AW5" s="180">
        <f>exechampscuphistplayed</f>
        <v>34</v>
      </c>
      <c r="AX5" s="181" t="s">
        <v>167</v>
      </c>
      <c r="AY5" s="178">
        <v>21</v>
      </c>
      <c r="AZ5" s="182" t="s">
        <v>167</v>
      </c>
      <c r="BA5" s="183">
        <f t="shared" ref="BA5:BA12" si="0">SUM(AU5+AY5)</f>
        <v>67</v>
      </c>
    </row>
    <row r="6" spans="1:53" s="117" customFormat="1" ht="14.95" customHeight="1" thickBot="1" x14ac:dyDescent="0.3">
      <c r="A6" s="546" t="s">
        <v>241</v>
      </c>
      <c r="B6" s="547" t="s">
        <v>222</v>
      </c>
      <c r="C6" s="590" t="s">
        <v>165</v>
      </c>
      <c r="D6" s="549" t="s">
        <v>299</v>
      </c>
      <c r="E6" s="549" t="s">
        <v>32</v>
      </c>
      <c r="F6" s="549">
        <v>42</v>
      </c>
      <c r="G6" s="549">
        <v>19</v>
      </c>
      <c r="H6" s="549">
        <v>1</v>
      </c>
      <c r="I6" s="549">
        <v>0</v>
      </c>
      <c r="J6" s="549">
        <v>6</v>
      </c>
      <c r="K6" s="549">
        <v>6</v>
      </c>
      <c r="L6" s="549">
        <v>0</v>
      </c>
      <c r="M6" s="549">
        <v>0</v>
      </c>
      <c r="N6" s="549">
        <v>0</v>
      </c>
      <c r="O6" s="549">
        <v>0</v>
      </c>
      <c r="P6" s="549">
        <v>0</v>
      </c>
      <c r="Q6" s="549">
        <v>0</v>
      </c>
      <c r="R6" s="549">
        <v>3</v>
      </c>
      <c r="S6" s="550">
        <v>9706</v>
      </c>
      <c r="T6" s="560" t="s">
        <v>420</v>
      </c>
      <c r="U6" s="551" t="s">
        <v>396</v>
      </c>
      <c r="V6" s="550" t="s">
        <v>330</v>
      </c>
      <c r="W6" s="550" t="s">
        <v>308</v>
      </c>
      <c r="X6" s="552" t="s">
        <v>397</v>
      </c>
      <c r="Y6" s="550">
        <v>1</v>
      </c>
      <c r="Z6" s="550">
        <v>1</v>
      </c>
      <c r="AA6" s="550">
        <v>0</v>
      </c>
      <c r="AB6" s="550">
        <v>0</v>
      </c>
      <c r="AC6" s="550">
        <v>1</v>
      </c>
      <c r="AD6" s="550">
        <v>1</v>
      </c>
      <c r="AE6" s="550">
        <v>0</v>
      </c>
      <c r="AF6" s="550">
        <v>0</v>
      </c>
      <c r="AG6" s="550">
        <v>0</v>
      </c>
      <c r="AH6" s="550">
        <v>0</v>
      </c>
      <c r="AI6" s="550">
        <v>0</v>
      </c>
      <c r="AJ6" s="551">
        <v>0</v>
      </c>
      <c r="AK6" s="550">
        <v>0</v>
      </c>
      <c r="AL6" s="550">
        <v>0</v>
      </c>
      <c r="AM6" s="550">
        <v>0</v>
      </c>
      <c r="AN6" s="551">
        <v>0</v>
      </c>
      <c r="AO6"/>
      <c r="AP6"/>
      <c r="AQ6" s="175" t="s">
        <v>168</v>
      </c>
      <c r="AR6" s="176">
        <f>exepremhistdrawn</f>
        <v>4</v>
      </c>
      <c r="AS6"/>
      <c r="AT6" s="177" t="s">
        <v>0</v>
      </c>
      <c r="AU6" s="189">
        <f>Exeeuropeancuphistwon</f>
        <v>22</v>
      </c>
      <c r="AV6" s="179" t="s">
        <v>0</v>
      </c>
      <c r="AW6" s="180">
        <f>exechampscuphistwon</f>
        <v>18</v>
      </c>
      <c r="AX6" s="181" t="s">
        <v>0</v>
      </c>
      <c r="AY6" s="178">
        <v>14</v>
      </c>
      <c r="AZ6" s="182" t="s">
        <v>0</v>
      </c>
      <c r="BA6" s="183">
        <f t="shared" si="0"/>
        <v>36</v>
      </c>
    </row>
    <row r="7" spans="1:53" ht="14.95" customHeight="1" thickBot="1" x14ac:dyDescent="0.3">
      <c r="A7" s="468" t="s">
        <v>242</v>
      </c>
      <c r="B7" s="469" t="s">
        <v>199</v>
      </c>
      <c r="C7" s="470" t="s">
        <v>9</v>
      </c>
      <c r="D7" s="471" t="s">
        <v>299</v>
      </c>
      <c r="E7" s="471" t="s">
        <v>32</v>
      </c>
      <c r="F7" s="471">
        <v>22</v>
      </c>
      <c r="G7" s="471">
        <v>19</v>
      </c>
      <c r="H7" s="471">
        <v>0</v>
      </c>
      <c r="I7" s="471">
        <v>0</v>
      </c>
      <c r="J7" s="471">
        <v>1</v>
      </c>
      <c r="K7" s="471">
        <v>1</v>
      </c>
      <c r="L7" s="471">
        <v>0</v>
      </c>
      <c r="M7" s="471">
        <v>5</v>
      </c>
      <c r="N7" s="471">
        <v>0</v>
      </c>
      <c r="O7" s="471">
        <v>0</v>
      </c>
      <c r="P7" s="471">
        <v>0</v>
      </c>
      <c r="Q7" s="471">
        <v>1</v>
      </c>
      <c r="R7" s="471">
        <v>2</v>
      </c>
      <c r="S7" s="472">
        <v>11896</v>
      </c>
      <c r="T7" s="480" t="s">
        <v>467</v>
      </c>
      <c r="U7" s="478" t="s">
        <v>326</v>
      </c>
      <c r="V7" s="472" t="s">
        <v>468</v>
      </c>
      <c r="W7" s="472" t="s">
        <v>343</v>
      </c>
      <c r="X7" s="473" t="s">
        <v>316</v>
      </c>
      <c r="Y7" s="472">
        <v>1</v>
      </c>
      <c r="Z7" s="472">
        <v>1</v>
      </c>
      <c r="AA7" s="472">
        <v>0</v>
      </c>
      <c r="AB7" s="472">
        <v>0</v>
      </c>
      <c r="AC7" s="472">
        <v>1</v>
      </c>
      <c r="AD7" s="472">
        <v>1</v>
      </c>
      <c r="AE7" s="472">
        <v>0</v>
      </c>
      <c r="AF7" s="472">
        <v>0</v>
      </c>
      <c r="AG7" s="472">
        <v>0</v>
      </c>
      <c r="AH7" s="472">
        <v>0</v>
      </c>
      <c r="AI7" s="472">
        <v>0</v>
      </c>
      <c r="AJ7" s="478">
        <v>0</v>
      </c>
      <c r="AK7" s="472">
        <v>0</v>
      </c>
      <c r="AL7" s="472">
        <v>0</v>
      </c>
      <c r="AM7" s="472">
        <v>0</v>
      </c>
      <c r="AN7" s="478">
        <v>0</v>
      </c>
      <c r="AO7" s="641"/>
      <c r="AQ7" s="175" t="s">
        <v>1</v>
      </c>
      <c r="AR7" s="274">
        <f>exepremhistlost</f>
        <v>83</v>
      </c>
      <c r="AT7" s="275" t="s">
        <v>168</v>
      </c>
      <c r="AU7" s="276">
        <f>Exeeuropeancuphistdrawn</f>
        <v>2</v>
      </c>
      <c r="AV7" s="277" t="s">
        <v>168</v>
      </c>
      <c r="AW7" s="278">
        <f>exechampscuphistdrawn</f>
        <v>2</v>
      </c>
      <c r="AX7" s="279" t="s">
        <v>168</v>
      </c>
      <c r="AY7" s="280">
        <v>0</v>
      </c>
      <c r="AZ7" s="281" t="s">
        <v>168</v>
      </c>
      <c r="BA7" s="282">
        <f t="shared" si="0"/>
        <v>2</v>
      </c>
    </row>
    <row r="8" spans="1:53" ht="14.95" customHeight="1" thickBot="1" x14ac:dyDescent="0.3">
      <c r="A8" s="479" t="s">
        <v>427</v>
      </c>
      <c r="B8" s="461" t="s">
        <v>199</v>
      </c>
      <c r="C8" s="462" t="s">
        <v>22</v>
      </c>
      <c r="D8" s="463" t="s">
        <v>36</v>
      </c>
      <c r="E8" s="463" t="s">
        <v>34</v>
      </c>
      <c r="F8" s="463">
        <v>10</v>
      </c>
      <c r="G8" s="463">
        <v>13</v>
      </c>
      <c r="H8" s="463">
        <v>0</v>
      </c>
      <c r="I8" s="463">
        <v>1</v>
      </c>
      <c r="J8" s="463">
        <v>1</v>
      </c>
      <c r="K8" s="463">
        <v>1</v>
      </c>
      <c r="L8" s="463">
        <v>0</v>
      </c>
      <c r="M8" s="463">
        <v>1</v>
      </c>
      <c r="N8" s="463">
        <v>0</v>
      </c>
      <c r="O8" s="463">
        <v>0</v>
      </c>
      <c r="P8" s="463">
        <v>0</v>
      </c>
      <c r="Q8" s="463">
        <v>0</v>
      </c>
      <c r="R8" s="463">
        <v>1</v>
      </c>
      <c r="S8" s="464">
        <v>14290</v>
      </c>
      <c r="T8" s="640" t="s">
        <v>506</v>
      </c>
      <c r="U8" s="466" t="s">
        <v>324</v>
      </c>
      <c r="V8" s="464" t="s">
        <v>329</v>
      </c>
      <c r="W8" s="464" t="s">
        <v>323</v>
      </c>
      <c r="X8" s="467" t="s">
        <v>316</v>
      </c>
      <c r="Y8" s="464">
        <v>1</v>
      </c>
      <c r="Z8" s="464">
        <v>0</v>
      </c>
      <c r="AA8" s="464">
        <v>0</v>
      </c>
      <c r="AB8" s="464">
        <v>1</v>
      </c>
      <c r="AC8" s="464">
        <v>0</v>
      </c>
      <c r="AD8" s="464">
        <v>0</v>
      </c>
      <c r="AE8" s="464">
        <v>0</v>
      </c>
      <c r="AF8" s="464">
        <v>0</v>
      </c>
      <c r="AG8" s="464">
        <v>1</v>
      </c>
      <c r="AH8" s="464">
        <v>0</v>
      </c>
      <c r="AI8" s="464">
        <v>0</v>
      </c>
      <c r="AJ8" s="466">
        <v>1</v>
      </c>
      <c r="AK8" s="464">
        <v>0</v>
      </c>
      <c r="AL8" s="464">
        <v>0</v>
      </c>
      <c r="AM8" s="464">
        <v>0</v>
      </c>
      <c r="AN8" s="466">
        <v>0</v>
      </c>
      <c r="AQ8" s="175" t="s">
        <v>169</v>
      </c>
      <c r="AR8" s="176">
        <f>exepremhistptsscored</f>
        <v>5896</v>
      </c>
      <c r="AT8" s="177" t="s">
        <v>1</v>
      </c>
      <c r="AU8" s="189">
        <f>Exeeuropeancuphistlost</f>
        <v>22</v>
      </c>
      <c r="AV8" s="179" t="s">
        <v>1</v>
      </c>
      <c r="AW8" s="180">
        <f>exechampscuphistlost</f>
        <v>14</v>
      </c>
      <c r="AX8" s="181" t="s">
        <v>1</v>
      </c>
      <c r="AY8" s="178">
        <v>7</v>
      </c>
      <c r="AZ8" s="182" t="s">
        <v>1</v>
      </c>
      <c r="BA8" s="183">
        <f t="shared" si="0"/>
        <v>29</v>
      </c>
    </row>
    <row r="9" spans="1:53" s="117" customFormat="1" ht="14.95" customHeight="1" thickBot="1" x14ac:dyDescent="0.3">
      <c r="A9" s="479" t="s">
        <v>444</v>
      </c>
      <c r="B9" s="461" t="s">
        <v>199</v>
      </c>
      <c r="C9" s="462" t="s">
        <v>23</v>
      </c>
      <c r="D9" s="463" t="s">
        <v>36</v>
      </c>
      <c r="E9" s="463" t="s">
        <v>32</v>
      </c>
      <c r="F9" s="463">
        <v>24</v>
      </c>
      <c r="G9" s="463">
        <v>20</v>
      </c>
      <c r="H9" s="463">
        <v>0</v>
      </c>
      <c r="I9" s="463">
        <v>0</v>
      </c>
      <c r="J9" s="463">
        <v>3</v>
      </c>
      <c r="K9" s="463">
        <v>3</v>
      </c>
      <c r="L9" s="463">
        <v>0</v>
      </c>
      <c r="M9" s="463">
        <v>1</v>
      </c>
      <c r="N9" s="463">
        <v>0</v>
      </c>
      <c r="O9" s="463">
        <v>0</v>
      </c>
      <c r="P9" s="463">
        <v>0</v>
      </c>
      <c r="Q9" s="463">
        <v>1</v>
      </c>
      <c r="R9" s="463">
        <v>2</v>
      </c>
      <c r="S9" s="464">
        <v>8598</v>
      </c>
      <c r="T9" s="485" t="s">
        <v>535</v>
      </c>
      <c r="U9" s="466" t="s">
        <v>463</v>
      </c>
      <c r="V9" s="464" t="s">
        <v>464</v>
      </c>
      <c r="W9" s="464" t="s">
        <v>304</v>
      </c>
      <c r="X9" s="467" t="s">
        <v>319</v>
      </c>
      <c r="Y9" s="464">
        <v>1</v>
      </c>
      <c r="Z9" s="464">
        <v>1</v>
      </c>
      <c r="AA9" s="464">
        <v>0</v>
      </c>
      <c r="AB9" s="464">
        <v>0</v>
      </c>
      <c r="AC9" s="464">
        <v>0</v>
      </c>
      <c r="AD9" s="464">
        <v>0</v>
      </c>
      <c r="AE9" s="464">
        <v>0</v>
      </c>
      <c r="AF9" s="464">
        <v>0</v>
      </c>
      <c r="AG9" s="464">
        <v>1</v>
      </c>
      <c r="AH9" s="464">
        <v>1</v>
      </c>
      <c r="AI9" s="464">
        <v>0</v>
      </c>
      <c r="AJ9" s="466">
        <v>0</v>
      </c>
      <c r="AK9" s="464">
        <v>0</v>
      </c>
      <c r="AL9" s="464">
        <v>0</v>
      </c>
      <c r="AM9" s="464">
        <v>0</v>
      </c>
      <c r="AN9" s="466">
        <v>0</v>
      </c>
      <c r="AO9"/>
      <c r="AP9"/>
      <c r="AQ9" s="175" t="s">
        <v>170</v>
      </c>
      <c r="AR9" s="176">
        <f>exepremhistptsagainst</f>
        <v>4479</v>
      </c>
      <c r="AS9"/>
      <c r="AT9" s="177" t="s">
        <v>169</v>
      </c>
      <c r="AU9" s="189">
        <f>Exeeuropeancuphistptsscored</f>
        <v>1038</v>
      </c>
      <c r="AV9" s="179" t="s">
        <v>169</v>
      </c>
      <c r="AW9" s="180">
        <f>exechampscuphistptsscored</f>
        <v>827</v>
      </c>
      <c r="AX9" s="181" t="s">
        <v>169</v>
      </c>
      <c r="AY9" s="178">
        <v>652</v>
      </c>
      <c r="AZ9" s="182" t="s">
        <v>169</v>
      </c>
      <c r="BA9" s="183">
        <f t="shared" si="0"/>
        <v>1690</v>
      </c>
    </row>
    <row r="10" spans="1:53" s="130" customFormat="1" ht="14.95" customHeight="1" thickBot="1" x14ac:dyDescent="0.3">
      <c r="A10" s="468" t="s">
        <v>436</v>
      </c>
      <c r="B10" s="469" t="s">
        <v>199</v>
      </c>
      <c r="C10" s="470" t="s">
        <v>165</v>
      </c>
      <c r="D10" s="471" t="s">
        <v>299</v>
      </c>
      <c r="E10" s="471" t="s">
        <v>34</v>
      </c>
      <c r="F10" s="471">
        <v>17</v>
      </c>
      <c r="G10" s="471">
        <v>20</v>
      </c>
      <c r="H10" s="471">
        <v>0</v>
      </c>
      <c r="I10" s="471">
        <v>1</v>
      </c>
      <c r="J10" s="471">
        <v>2</v>
      </c>
      <c r="K10" s="471">
        <v>2</v>
      </c>
      <c r="L10" s="471">
        <v>0</v>
      </c>
      <c r="M10" s="471">
        <v>1</v>
      </c>
      <c r="N10" s="471">
        <v>1</v>
      </c>
      <c r="O10" s="471">
        <v>0</v>
      </c>
      <c r="P10" s="471">
        <v>0</v>
      </c>
      <c r="Q10" s="471">
        <v>0</v>
      </c>
      <c r="R10" s="471">
        <v>2</v>
      </c>
      <c r="S10" s="503">
        <v>11015</v>
      </c>
      <c r="T10" s="480" t="s">
        <v>553</v>
      </c>
      <c r="U10" s="478" t="s">
        <v>554</v>
      </c>
      <c r="V10" s="472" t="s">
        <v>399</v>
      </c>
      <c r="W10" s="472" t="s">
        <v>343</v>
      </c>
      <c r="X10" s="473" t="s">
        <v>346</v>
      </c>
      <c r="Y10" s="472">
        <v>1</v>
      </c>
      <c r="Z10" s="472">
        <v>0</v>
      </c>
      <c r="AA10" s="472">
        <v>0</v>
      </c>
      <c r="AB10" s="472">
        <v>1</v>
      </c>
      <c r="AC10" s="472">
        <v>1</v>
      </c>
      <c r="AD10" s="472">
        <v>0</v>
      </c>
      <c r="AE10" s="472">
        <v>0</v>
      </c>
      <c r="AF10" s="472">
        <v>1</v>
      </c>
      <c r="AG10" s="472">
        <v>0</v>
      </c>
      <c r="AH10" s="472">
        <v>0</v>
      </c>
      <c r="AI10" s="472">
        <v>0</v>
      </c>
      <c r="AJ10" s="478">
        <v>0</v>
      </c>
      <c r="AK10" s="472">
        <v>0</v>
      </c>
      <c r="AL10" s="472">
        <v>0</v>
      </c>
      <c r="AM10" s="472">
        <v>0</v>
      </c>
      <c r="AN10" s="478">
        <v>0</v>
      </c>
      <c r="AO10"/>
      <c r="AP10"/>
      <c r="AQ10" s="175" t="s">
        <v>73</v>
      </c>
      <c r="AR10" s="176">
        <f>exepremhisttriesscored</f>
        <v>671</v>
      </c>
      <c r="AS10"/>
      <c r="AT10" s="177" t="s">
        <v>175</v>
      </c>
      <c r="AU10" s="189">
        <f>Exeeuropeancuphistptsagainst</f>
        <v>997</v>
      </c>
      <c r="AV10" s="179" t="s">
        <v>175</v>
      </c>
      <c r="AW10" s="180">
        <f>exechampscuphistptsagainst</f>
        <v>708</v>
      </c>
      <c r="AX10" s="181" t="s">
        <v>175</v>
      </c>
      <c r="AY10" s="178">
        <v>339</v>
      </c>
      <c r="AZ10" s="182" t="s">
        <v>175</v>
      </c>
      <c r="BA10" s="183">
        <f t="shared" si="0"/>
        <v>1336</v>
      </c>
    </row>
    <row r="11" spans="1:53" ht="14.95" customHeight="1" thickBot="1" x14ac:dyDescent="0.3">
      <c r="A11" s="145" t="s">
        <v>234</v>
      </c>
      <c r="B11" s="139" t="s">
        <v>104</v>
      </c>
      <c r="C11" s="140" t="s">
        <v>446</v>
      </c>
      <c r="D11" s="141" t="s">
        <v>36</v>
      </c>
      <c r="E11" s="141" t="s">
        <v>32</v>
      </c>
      <c r="F11" s="141">
        <v>31</v>
      </c>
      <c r="G11" s="141">
        <v>12</v>
      </c>
      <c r="H11" s="141">
        <v>1</v>
      </c>
      <c r="I11" s="141">
        <v>0</v>
      </c>
      <c r="J11" s="141">
        <v>4</v>
      </c>
      <c r="K11" s="141">
        <v>4</v>
      </c>
      <c r="L11" s="141">
        <v>0</v>
      </c>
      <c r="M11" s="141">
        <v>1</v>
      </c>
      <c r="N11" s="141">
        <v>0</v>
      </c>
      <c r="O11" s="141">
        <v>0</v>
      </c>
      <c r="P11" s="141">
        <v>0</v>
      </c>
      <c r="Q11" s="141">
        <v>0</v>
      </c>
      <c r="R11" s="141">
        <v>2</v>
      </c>
      <c r="S11" s="142">
        <v>16000</v>
      </c>
      <c r="T11" s="272" t="s">
        <v>578</v>
      </c>
      <c r="U11" s="143" t="s">
        <v>574</v>
      </c>
      <c r="V11" s="142" t="s">
        <v>575</v>
      </c>
      <c r="W11" s="142" t="s">
        <v>576</v>
      </c>
      <c r="X11" s="144" t="s">
        <v>577</v>
      </c>
      <c r="Y11" s="142">
        <v>1</v>
      </c>
      <c r="Z11" s="142">
        <v>1</v>
      </c>
      <c r="AA11" s="142">
        <v>0</v>
      </c>
      <c r="AB11" s="142">
        <v>0</v>
      </c>
      <c r="AC11" s="142">
        <v>0</v>
      </c>
      <c r="AD11" s="142">
        <v>0</v>
      </c>
      <c r="AE11" s="142">
        <v>0</v>
      </c>
      <c r="AF11" s="142">
        <v>0</v>
      </c>
      <c r="AG11" s="142">
        <v>1</v>
      </c>
      <c r="AH11" s="142">
        <v>1</v>
      </c>
      <c r="AI11" s="142">
        <v>0</v>
      </c>
      <c r="AJ11" s="143">
        <v>0</v>
      </c>
      <c r="AK11" s="142">
        <v>0</v>
      </c>
      <c r="AL11" s="142">
        <v>0</v>
      </c>
      <c r="AM11" s="142">
        <v>0</v>
      </c>
      <c r="AN11" s="143">
        <v>0</v>
      </c>
      <c r="AQ11" s="175" t="s">
        <v>75</v>
      </c>
      <c r="AR11" s="176">
        <f>exepremhisttriesagainst</f>
        <v>486</v>
      </c>
      <c r="AT11" s="177" t="s">
        <v>73</v>
      </c>
      <c r="AU11" s="189">
        <f>Exeeuropeancuphisttriesscored</f>
        <v>125</v>
      </c>
      <c r="AV11" s="179" t="s">
        <v>73</v>
      </c>
      <c r="AW11" s="180">
        <f>exechampscuphisttriesscored</f>
        <v>108</v>
      </c>
      <c r="AX11" s="181" t="s">
        <v>73</v>
      </c>
      <c r="AY11" s="178">
        <v>72</v>
      </c>
      <c r="AZ11" s="182" t="s">
        <v>73</v>
      </c>
      <c r="BA11" s="183">
        <f t="shared" si="0"/>
        <v>197</v>
      </c>
    </row>
    <row r="12" spans="1:53" ht="14.95" customHeight="1" thickBot="1" x14ac:dyDescent="0.3">
      <c r="A12" s="309" t="s">
        <v>235</v>
      </c>
      <c r="B12" s="310" t="s">
        <v>104</v>
      </c>
      <c r="C12" s="93" t="s">
        <v>447</v>
      </c>
      <c r="D12" s="94" t="s">
        <v>299</v>
      </c>
      <c r="E12" s="94" t="s">
        <v>32</v>
      </c>
      <c r="F12" s="94">
        <v>34</v>
      </c>
      <c r="G12" s="94">
        <v>18</v>
      </c>
      <c r="H12" s="94">
        <v>1</v>
      </c>
      <c r="I12" s="94">
        <v>0</v>
      </c>
      <c r="J12" s="94">
        <v>4</v>
      </c>
      <c r="K12" s="94">
        <v>4</v>
      </c>
      <c r="L12" s="94">
        <v>0</v>
      </c>
      <c r="M12" s="94">
        <v>2</v>
      </c>
      <c r="N12" s="94">
        <v>1</v>
      </c>
      <c r="O12" s="94">
        <v>0</v>
      </c>
      <c r="P12" s="94">
        <v>0</v>
      </c>
      <c r="Q12" s="94">
        <v>0</v>
      </c>
      <c r="R12" s="94">
        <v>2</v>
      </c>
      <c r="S12" s="311">
        <v>10545</v>
      </c>
      <c r="T12" s="697" t="s">
        <v>543</v>
      </c>
      <c r="U12" s="636" t="s">
        <v>611</v>
      </c>
      <c r="V12" s="637" t="s">
        <v>612</v>
      </c>
      <c r="W12" s="311" t="s">
        <v>613</v>
      </c>
      <c r="X12" s="88" t="s">
        <v>614</v>
      </c>
      <c r="Y12" s="311">
        <v>1</v>
      </c>
      <c r="Z12" s="311">
        <v>1</v>
      </c>
      <c r="AA12" s="311">
        <v>0</v>
      </c>
      <c r="AB12" s="311">
        <v>0</v>
      </c>
      <c r="AC12" s="311">
        <v>1</v>
      </c>
      <c r="AD12" s="311">
        <v>1</v>
      </c>
      <c r="AE12" s="311">
        <v>0</v>
      </c>
      <c r="AF12" s="311">
        <v>0</v>
      </c>
      <c r="AG12" s="311">
        <v>0</v>
      </c>
      <c r="AH12" s="311">
        <v>0</v>
      </c>
      <c r="AI12" s="311">
        <v>0</v>
      </c>
      <c r="AJ12" s="313">
        <v>0</v>
      </c>
      <c r="AK12" s="311">
        <v>0</v>
      </c>
      <c r="AL12" s="311">
        <v>0</v>
      </c>
      <c r="AM12" s="311">
        <v>0</v>
      </c>
      <c r="AN12" s="313">
        <v>0</v>
      </c>
      <c r="AT12" s="177" t="s">
        <v>176</v>
      </c>
      <c r="AU12" s="189">
        <f>Exeeuropeancuphisttriesagainst</f>
        <v>118</v>
      </c>
      <c r="AV12" s="179" t="s">
        <v>176</v>
      </c>
      <c r="AW12" s="180">
        <f>exechampscuphisttrieseagainst</f>
        <v>85</v>
      </c>
      <c r="AX12" s="181" t="s">
        <v>176</v>
      </c>
      <c r="AY12" s="178">
        <v>31</v>
      </c>
      <c r="AZ12" s="182" t="s">
        <v>176</v>
      </c>
      <c r="BA12" s="183">
        <f t="shared" si="0"/>
        <v>149</v>
      </c>
    </row>
    <row r="13" spans="1:53" s="117" customFormat="1" ht="14.95" customHeight="1" thickBot="1" x14ac:dyDescent="0.3">
      <c r="A13" s="468" t="s">
        <v>236</v>
      </c>
      <c r="B13" s="469" t="s">
        <v>199</v>
      </c>
      <c r="C13" s="470" t="s">
        <v>106</v>
      </c>
      <c r="D13" s="471" t="s">
        <v>299</v>
      </c>
      <c r="E13" s="471" t="s">
        <v>32</v>
      </c>
      <c r="F13" s="471">
        <v>38</v>
      </c>
      <c r="G13" s="471">
        <v>3</v>
      </c>
      <c r="H13" s="471">
        <v>1</v>
      </c>
      <c r="I13" s="471">
        <v>0</v>
      </c>
      <c r="J13" s="471">
        <v>5</v>
      </c>
      <c r="K13" s="471">
        <v>4</v>
      </c>
      <c r="L13" s="471">
        <v>0</v>
      </c>
      <c r="M13" s="471">
        <v>1</v>
      </c>
      <c r="N13" s="471">
        <v>0</v>
      </c>
      <c r="O13" s="471">
        <v>0</v>
      </c>
      <c r="P13" s="471">
        <v>0</v>
      </c>
      <c r="Q13" s="471">
        <v>0</v>
      </c>
      <c r="R13" s="471">
        <v>0</v>
      </c>
      <c r="S13" s="472">
        <v>13320</v>
      </c>
      <c r="T13" s="480" t="s">
        <v>516</v>
      </c>
      <c r="U13" s="478" t="s">
        <v>630</v>
      </c>
      <c r="V13" s="472" t="s">
        <v>468</v>
      </c>
      <c r="W13" s="472" t="s">
        <v>319</v>
      </c>
      <c r="X13" s="473" t="s">
        <v>305</v>
      </c>
      <c r="Y13" s="472">
        <v>1</v>
      </c>
      <c r="Z13" s="472">
        <v>1</v>
      </c>
      <c r="AA13" s="472">
        <v>0</v>
      </c>
      <c r="AB13" s="472">
        <v>0</v>
      </c>
      <c r="AC13" s="472">
        <v>1</v>
      </c>
      <c r="AD13" s="472">
        <v>1</v>
      </c>
      <c r="AE13" s="472">
        <v>0</v>
      </c>
      <c r="AF13" s="472">
        <v>0</v>
      </c>
      <c r="AG13" s="472">
        <v>0</v>
      </c>
      <c r="AH13" s="472">
        <v>0</v>
      </c>
      <c r="AI13" s="472">
        <v>0</v>
      </c>
      <c r="AJ13" s="478">
        <v>0</v>
      </c>
      <c r="AK13" s="472">
        <v>0</v>
      </c>
      <c r="AL13" s="472">
        <v>0</v>
      </c>
      <c r="AM13" s="472">
        <v>0</v>
      </c>
      <c r="AN13" s="478">
        <v>0</v>
      </c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4.95" customHeight="1" thickBot="1" x14ac:dyDescent="0.3">
      <c r="A14" s="145" t="s">
        <v>445</v>
      </c>
      <c r="B14" s="139" t="s">
        <v>104</v>
      </c>
      <c r="C14" s="140" t="s">
        <v>27</v>
      </c>
      <c r="D14" s="141" t="s">
        <v>36</v>
      </c>
      <c r="E14" s="141" t="s">
        <v>32</v>
      </c>
      <c r="F14" s="141">
        <v>22</v>
      </c>
      <c r="G14" s="141">
        <v>20</v>
      </c>
      <c r="H14" s="141">
        <v>0</v>
      </c>
      <c r="I14" s="141">
        <v>0</v>
      </c>
      <c r="J14" s="141">
        <v>3</v>
      </c>
      <c r="K14" s="141">
        <v>1</v>
      </c>
      <c r="L14" s="141">
        <v>0</v>
      </c>
      <c r="M14" s="141">
        <v>1</v>
      </c>
      <c r="N14" s="141">
        <v>1</v>
      </c>
      <c r="O14" s="141">
        <v>0</v>
      </c>
      <c r="P14" s="141">
        <v>0</v>
      </c>
      <c r="Q14" s="141">
        <v>1</v>
      </c>
      <c r="R14" s="141">
        <v>3</v>
      </c>
      <c r="S14" s="142">
        <v>11090</v>
      </c>
      <c r="T14" s="272" t="s">
        <v>424</v>
      </c>
      <c r="U14" s="143" t="s">
        <v>600</v>
      </c>
      <c r="V14" s="142" t="s">
        <v>601</v>
      </c>
      <c r="W14" s="142" t="s">
        <v>602</v>
      </c>
      <c r="X14" s="144" t="s">
        <v>647</v>
      </c>
      <c r="Y14" s="142">
        <v>1</v>
      </c>
      <c r="Z14" s="142">
        <v>1</v>
      </c>
      <c r="AA14" s="142">
        <v>0</v>
      </c>
      <c r="AB14" s="142">
        <v>0</v>
      </c>
      <c r="AC14" s="142">
        <v>0</v>
      </c>
      <c r="AD14" s="142">
        <v>0</v>
      </c>
      <c r="AE14" s="142">
        <v>0</v>
      </c>
      <c r="AF14" s="142">
        <v>0</v>
      </c>
      <c r="AG14" s="142">
        <v>1</v>
      </c>
      <c r="AH14" s="142">
        <v>1</v>
      </c>
      <c r="AI14" s="142">
        <v>0</v>
      </c>
      <c r="AJ14" s="143">
        <v>0</v>
      </c>
      <c r="AK14" s="142">
        <v>0</v>
      </c>
      <c r="AL14" s="142">
        <v>0</v>
      </c>
      <c r="AM14" s="142">
        <v>0</v>
      </c>
      <c r="AN14" s="143">
        <v>0</v>
      </c>
    </row>
    <row r="15" spans="1:53" s="117" customFormat="1" ht="14.95" customHeight="1" thickBot="1" x14ac:dyDescent="0.3">
      <c r="A15" s="309" t="s">
        <v>433</v>
      </c>
      <c r="B15" s="310" t="s">
        <v>104</v>
      </c>
      <c r="C15" s="93" t="s">
        <v>27</v>
      </c>
      <c r="D15" s="94" t="s">
        <v>299</v>
      </c>
      <c r="E15" s="94" t="s">
        <v>32</v>
      </c>
      <c r="F15" s="94">
        <v>35</v>
      </c>
      <c r="G15" s="94">
        <v>10</v>
      </c>
      <c r="H15" s="94">
        <v>1</v>
      </c>
      <c r="I15" s="94">
        <v>0</v>
      </c>
      <c r="J15" s="94">
        <v>5</v>
      </c>
      <c r="K15" s="94">
        <v>5</v>
      </c>
      <c r="L15" s="94">
        <v>0</v>
      </c>
      <c r="M15" s="94">
        <v>0</v>
      </c>
      <c r="N15" s="94">
        <v>0</v>
      </c>
      <c r="O15" s="94">
        <v>0</v>
      </c>
      <c r="P15" s="94">
        <v>0</v>
      </c>
      <c r="Q15" s="94">
        <v>0</v>
      </c>
      <c r="R15" s="94">
        <v>1</v>
      </c>
      <c r="S15" s="85">
        <v>10217</v>
      </c>
      <c r="T15" s="312" t="s">
        <v>638</v>
      </c>
      <c r="U15" s="313" t="s">
        <v>645</v>
      </c>
      <c r="V15" s="311" t="s">
        <v>674</v>
      </c>
      <c r="W15" s="311" t="s">
        <v>675</v>
      </c>
      <c r="X15" s="88" t="s">
        <v>676</v>
      </c>
      <c r="Y15" s="311">
        <v>1</v>
      </c>
      <c r="Z15" s="311">
        <v>1</v>
      </c>
      <c r="AA15" s="311">
        <v>0</v>
      </c>
      <c r="AB15" s="311">
        <v>0</v>
      </c>
      <c r="AC15" s="311">
        <v>1</v>
      </c>
      <c r="AD15" s="311">
        <v>1</v>
      </c>
      <c r="AE15" s="311">
        <v>0</v>
      </c>
      <c r="AF15" s="311">
        <v>0</v>
      </c>
      <c r="AG15" s="311">
        <v>0</v>
      </c>
      <c r="AH15" s="311">
        <v>0</v>
      </c>
      <c r="AI15" s="311">
        <v>0</v>
      </c>
      <c r="AJ15" s="313">
        <v>0</v>
      </c>
      <c r="AK15" s="311">
        <v>0</v>
      </c>
      <c r="AL15" s="311">
        <v>0</v>
      </c>
      <c r="AM15" s="311">
        <v>0</v>
      </c>
      <c r="AN15" s="313">
        <v>0</v>
      </c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4.95" customHeight="1" thickBot="1" x14ac:dyDescent="0.3">
      <c r="A16" s="479" t="s">
        <v>256</v>
      </c>
      <c r="B16" s="461" t="s">
        <v>199</v>
      </c>
      <c r="C16" s="462" t="s">
        <v>349</v>
      </c>
      <c r="D16" s="463" t="s">
        <v>36</v>
      </c>
      <c r="E16" s="463" t="s">
        <v>32</v>
      </c>
      <c r="F16" s="463">
        <v>31</v>
      </c>
      <c r="G16" s="463">
        <v>22</v>
      </c>
      <c r="H16" s="463">
        <v>1</v>
      </c>
      <c r="I16" s="463">
        <v>0</v>
      </c>
      <c r="J16" s="463">
        <v>4</v>
      </c>
      <c r="K16" s="463">
        <v>4</v>
      </c>
      <c r="L16" s="463">
        <v>0</v>
      </c>
      <c r="M16" s="463">
        <v>1</v>
      </c>
      <c r="N16" s="463">
        <v>0</v>
      </c>
      <c r="O16" s="463">
        <v>0</v>
      </c>
      <c r="P16" s="463">
        <v>0</v>
      </c>
      <c r="Q16" s="463">
        <v>0</v>
      </c>
      <c r="R16" s="463">
        <v>3</v>
      </c>
      <c r="S16" s="464">
        <v>21219</v>
      </c>
      <c r="T16" s="485" t="s">
        <v>695</v>
      </c>
      <c r="U16" s="466" t="s">
        <v>633</v>
      </c>
      <c r="V16" s="464" t="s">
        <v>632</v>
      </c>
      <c r="W16" s="464" t="s">
        <v>304</v>
      </c>
      <c r="X16" s="467" t="s">
        <v>305</v>
      </c>
      <c r="Y16" s="464">
        <v>1</v>
      </c>
      <c r="Z16" s="464">
        <v>1</v>
      </c>
      <c r="AA16" s="464">
        <v>0</v>
      </c>
      <c r="AB16" s="464">
        <v>0</v>
      </c>
      <c r="AC16" s="464">
        <v>0</v>
      </c>
      <c r="AD16" s="464">
        <v>0</v>
      </c>
      <c r="AE16" s="464">
        <v>0</v>
      </c>
      <c r="AF16" s="464">
        <v>0</v>
      </c>
      <c r="AG16" s="464">
        <v>1</v>
      </c>
      <c r="AH16" s="464">
        <v>1</v>
      </c>
      <c r="AI16" s="464">
        <v>0</v>
      </c>
      <c r="AJ16" s="466">
        <v>0</v>
      </c>
      <c r="AK16" s="464">
        <v>0</v>
      </c>
      <c r="AL16" s="464">
        <v>0</v>
      </c>
      <c r="AM16" s="464">
        <v>0</v>
      </c>
      <c r="AN16" s="466">
        <v>0</v>
      </c>
    </row>
    <row r="17" spans="1:47" ht="14.95" customHeight="1" thickBot="1" x14ac:dyDescent="0.3">
      <c r="A17" s="468" t="s">
        <v>448</v>
      </c>
      <c r="B17" s="469" t="s">
        <v>199</v>
      </c>
      <c r="C17" s="470" t="s">
        <v>19</v>
      </c>
      <c r="D17" s="471" t="s">
        <v>299</v>
      </c>
      <c r="E17" s="471" t="s">
        <v>32</v>
      </c>
      <c r="F17" s="471">
        <v>14</v>
      </c>
      <c r="G17" s="471">
        <v>7</v>
      </c>
      <c r="H17" s="471">
        <v>0</v>
      </c>
      <c r="I17" s="471">
        <v>0</v>
      </c>
      <c r="J17" s="471">
        <v>2</v>
      </c>
      <c r="K17" s="471">
        <v>2</v>
      </c>
      <c r="L17" s="471">
        <v>0</v>
      </c>
      <c r="M17" s="471">
        <v>0</v>
      </c>
      <c r="N17" s="471">
        <v>2</v>
      </c>
      <c r="O17" s="471">
        <v>1</v>
      </c>
      <c r="P17" s="471">
        <v>0</v>
      </c>
      <c r="Q17" s="471">
        <v>1</v>
      </c>
      <c r="R17" s="471">
        <v>1</v>
      </c>
      <c r="S17" s="595">
        <v>13593</v>
      </c>
      <c r="T17" s="480" t="s">
        <v>720</v>
      </c>
      <c r="U17" s="478" t="s">
        <v>637</v>
      </c>
      <c r="V17" s="472" t="s">
        <v>468</v>
      </c>
      <c r="W17" s="472" t="s">
        <v>326</v>
      </c>
      <c r="X17" s="473" t="s">
        <v>463</v>
      </c>
      <c r="Y17" s="472">
        <v>1</v>
      </c>
      <c r="Z17" s="472">
        <v>1</v>
      </c>
      <c r="AA17" s="472">
        <v>0</v>
      </c>
      <c r="AB17" s="472">
        <v>0</v>
      </c>
      <c r="AC17" s="472">
        <v>1</v>
      </c>
      <c r="AD17" s="472">
        <v>1</v>
      </c>
      <c r="AE17" s="472">
        <v>0</v>
      </c>
      <c r="AF17" s="472">
        <v>0</v>
      </c>
      <c r="AG17" s="472">
        <v>0</v>
      </c>
      <c r="AH17" s="472">
        <v>0</v>
      </c>
      <c r="AI17" s="472">
        <v>0</v>
      </c>
      <c r="AJ17" s="478">
        <v>0</v>
      </c>
      <c r="AK17" s="472">
        <v>0</v>
      </c>
      <c r="AL17" s="472">
        <v>0</v>
      </c>
      <c r="AM17" s="472">
        <v>0</v>
      </c>
      <c r="AN17" s="478">
        <v>0</v>
      </c>
    </row>
    <row r="18" spans="1:47" ht="14.95" customHeight="1" thickBot="1" x14ac:dyDescent="0.3">
      <c r="A18" s="479" t="s">
        <v>449</v>
      </c>
      <c r="B18" s="461" t="s">
        <v>199</v>
      </c>
      <c r="C18" s="462" t="s">
        <v>11</v>
      </c>
      <c r="D18" s="463" t="s">
        <v>36</v>
      </c>
      <c r="E18" s="463" t="s">
        <v>32</v>
      </c>
      <c r="F18" s="463">
        <v>45</v>
      </c>
      <c r="G18" s="463">
        <v>28</v>
      </c>
      <c r="H18" s="463">
        <v>1</v>
      </c>
      <c r="I18" s="463">
        <v>0</v>
      </c>
      <c r="J18" s="463">
        <v>6</v>
      </c>
      <c r="K18" s="463">
        <v>6</v>
      </c>
      <c r="L18" s="463">
        <v>0</v>
      </c>
      <c r="M18" s="463">
        <v>1</v>
      </c>
      <c r="N18" s="463">
        <v>2</v>
      </c>
      <c r="O18" s="463">
        <v>0</v>
      </c>
      <c r="P18" s="463">
        <v>1</v>
      </c>
      <c r="Q18" s="463">
        <v>0</v>
      </c>
      <c r="R18" s="463">
        <v>4</v>
      </c>
      <c r="S18" s="464">
        <v>6412</v>
      </c>
      <c r="T18" s="481" t="s">
        <v>735</v>
      </c>
      <c r="U18" s="466" t="s">
        <v>326</v>
      </c>
      <c r="V18" s="464" t="s">
        <v>468</v>
      </c>
      <c r="W18" s="464" t="s">
        <v>356</v>
      </c>
      <c r="X18" s="467" t="s">
        <v>321</v>
      </c>
      <c r="Y18" s="464">
        <v>1</v>
      </c>
      <c r="Z18" s="464">
        <v>1</v>
      </c>
      <c r="AA18" s="464">
        <v>0</v>
      </c>
      <c r="AB18" s="464">
        <v>0</v>
      </c>
      <c r="AC18" s="464">
        <v>0</v>
      </c>
      <c r="AD18" s="464">
        <v>0</v>
      </c>
      <c r="AE18" s="464">
        <v>0</v>
      </c>
      <c r="AF18" s="464">
        <v>0</v>
      </c>
      <c r="AG18" s="464">
        <v>1</v>
      </c>
      <c r="AH18" s="464">
        <v>1</v>
      </c>
      <c r="AI18" s="464">
        <v>0</v>
      </c>
      <c r="AJ18" s="466">
        <v>0</v>
      </c>
      <c r="AK18" s="464">
        <v>0</v>
      </c>
      <c r="AL18" s="464">
        <v>0</v>
      </c>
      <c r="AM18" s="464">
        <v>0</v>
      </c>
      <c r="AN18" s="466">
        <v>0</v>
      </c>
      <c r="AQ18" s="1011"/>
      <c r="AR18" s="1012"/>
      <c r="AT18" s="1011" t="s">
        <v>252</v>
      </c>
      <c r="AU18" s="1012"/>
    </row>
    <row r="19" spans="1:47" s="117" customFormat="1" ht="14.95" customHeight="1" thickBot="1" x14ac:dyDescent="0.3">
      <c r="A19" s="145" t="s">
        <v>245</v>
      </c>
      <c r="B19" s="139" t="s">
        <v>104</v>
      </c>
      <c r="C19" s="140" t="s">
        <v>447</v>
      </c>
      <c r="D19" s="141" t="s">
        <v>36</v>
      </c>
      <c r="E19" s="141" t="s">
        <v>33</v>
      </c>
      <c r="F19" s="141">
        <v>31</v>
      </c>
      <c r="G19" s="141">
        <v>31</v>
      </c>
      <c r="H19" s="141">
        <v>1</v>
      </c>
      <c r="I19" s="141">
        <v>0</v>
      </c>
      <c r="J19" s="141">
        <v>4</v>
      </c>
      <c r="K19" s="141">
        <v>4</v>
      </c>
      <c r="L19" s="141">
        <v>0</v>
      </c>
      <c r="M19" s="141">
        <v>1</v>
      </c>
      <c r="N19" s="141">
        <v>0</v>
      </c>
      <c r="O19" s="141">
        <v>0</v>
      </c>
      <c r="P19" s="141">
        <v>1</v>
      </c>
      <c r="Q19" s="141">
        <v>0</v>
      </c>
      <c r="R19" s="141">
        <v>4</v>
      </c>
      <c r="S19" s="363">
        <v>7351</v>
      </c>
      <c r="T19" s="727" t="s">
        <v>740</v>
      </c>
      <c r="U19" s="143" t="s">
        <v>643</v>
      </c>
      <c r="V19" s="142" t="s">
        <v>644</v>
      </c>
      <c r="W19" s="142" t="s">
        <v>603</v>
      </c>
      <c r="X19" s="144" t="s">
        <v>571</v>
      </c>
      <c r="Y19" s="142">
        <v>1</v>
      </c>
      <c r="Z19" s="142">
        <v>0</v>
      </c>
      <c r="AA19" s="142">
        <v>1</v>
      </c>
      <c r="AB19" s="142">
        <v>0</v>
      </c>
      <c r="AC19" s="142">
        <v>0</v>
      </c>
      <c r="AD19" s="142">
        <v>0</v>
      </c>
      <c r="AE19" s="142">
        <v>0</v>
      </c>
      <c r="AF19" s="142">
        <v>0</v>
      </c>
      <c r="AG19" s="142">
        <v>1</v>
      </c>
      <c r="AH19" s="142">
        <v>0</v>
      </c>
      <c r="AI19" s="142">
        <v>1</v>
      </c>
      <c r="AJ19" s="143">
        <v>0</v>
      </c>
      <c r="AK19" s="142">
        <v>0</v>
      </c>
      <c r="AL19" s="142">
        <v>0</v>
      </c>
      <c r="AM19" s="142">
        <v>0</v>
      </c>
      <c r="AN19" s="143">
        <v>0</v>
      </c>
      <c r="AO19"/>
      <c r="AP19"/>
      <c r="AQ19"/>
      <c r="AR19"/>
      <c r="AS19"/>
      <c r="AT19" t="s">
        <v>171</v>
      </c>
      <c r="AU19"/>
    </row>
    <row r="20" spans="1:47" ht="14.95" customHeight="1" thickBot="1" x14ac:dyDescent="0.3">
      <c r="A20" s="309" t="s">
        <v>246</v>
      </c>
      <c r="B20" s="310" t="s">
        <v>104</v>
      </c>
      <c r="C20" s="93" t="s">
        <v>446</v>
      </c>
      <c r="D20" s="94" t="s">
        <v>299</v>
      </c>
      <c r="E20" s="94" t="s">
        <v>32</v>
      </c>
      <c r="F20" s="94">
        <v>33</v>
      </c>
      <c r="G20" s="94">
        <v>14</v>
      </c>
      <c r="H20" s="94">
        <v>1</v>
      </c>
      <c r="I20" s="94">
        <v>0</v>
      </c>
      <c r="J20" s="94">
        <v>5</v>
      </c>
      <c r="K20" s="94">
        <v>4</v>
      </c>
      <c r="L20" s="94">
        <v>0</v>
      </c>
      <c r="M20" s="94">
        <v>0</v>
      </c>
      <c r="N20" s="94">
        <v>1</v>
      </c>
      <c r="O20" s="94">
        <v>0</v>
      </c>
      <c r="P20" s="94">
        <v>0</v>
      </c>
      <c r="Q20" s="94">
        <v>0</v>
      </c>
      <c r="R20" s="94">
        <v>2</v>
      </c>
      <c r="S20" s="311">
        <v>12632</v>
      </c>
      <c r="T20" s="738" t="s">
        <v>776</v>
      </c>
      <c r="U20" s="313" t="s">
        <v>589</v>
      </c>
      <c r="V20" s="311" t="s">
        <v>590</v>
      </c>
      <c r="W20" s="311" t="s">
        <v>777</v>
      </c>
      <c r="X20" s="88" t="s">
        <v>615</v>
      </c>
      <c r="Y20" s="311">
        <v>1</v>
      </c>
      <c r="Z20" s="311">
        <v>1</v>
      </c>
      <c r="AA20" s="311">
        <v>0</v>
      </c>
      <c r="AB20" s="311">
        <v>0</v>
      </c>
      <c r="AC20" s="311">
        <v>1</v>
      </c>
      <c r="AD20" s="311">
        <v>1</v>
      </c>
      <c r="AE20" s="311">
        <v>0</v>
      </c>
      <c r="AF20" s="311">
        <v>0</v>
      </c>
      <c r="AG20" s="311">
        <v>0</v>
      </c>
      <c r="AH20" s="311">
        <v>0</v>
      </c>
      <c r="AI20" s="311">
        <v>0</v>
      </c>
      <c r="AJ20" s="313">
        <v>0</v>
      </c>
      <c r="AK20" s="311">
        <v>0</v>
      </c>
      <c r="AL20" s="311">
        <v>0</v>
      </c>
      <c r="AM20" s="311">
        <v>0</v>
      </c>
      <c r="AN20" s="313">
        <v>0</v>
      </c>
      <c r="AT20" t="s">
        <v>270</v>
      </c>
    </row>
    <row r="21" spans="1:47" s="130" customFormat="1" ht="14.95" customHeight="1" thickBot="1" x14ac:dyDescent="0.3">
      <c r="A21" s="468" t="s">
        <v>293</v>
      </c>
      <c r="B21" s="469" t="s">
        <v>199</v>
      </c>
      <c r="C21" s="470" t="s">
        <v>27</v>
      </c>
      <c r="D21" s="471" t="s">
        <v>299</v>
      </c>
      <c r="E21" s="471" t="s">
        <v>34</v>
      </c>
      <c r="F21" s="471">
        <v>19</v>
      </c>
      <c r="G21" s="471">
        <v>22</v>
      </c>
      <c r="H21" s="471">
        <v>0</v>
      </c>
      <c r="I21" s="471">
        <v>1</v>
      </c>
      <c r="J21" s="471">
        <v>3</v>
      </c>
      <c r="K21" s="471">
        <v>2</v>
      </c>
      <c r="L21" s="471">
        <v>0</v>
      </c>
      <c r="M21" s="471">
        <v>0</v>
      </c>
      <c r="N21" s="471">
        <v>1</v>
      </c>
      <c r="O21" s="471">
        <v>0</v>
      </c>
      <c r="P21" s="471">
        <v>0</v>
      </c>
      <c r="Q21" s="471">
        <v>0</v>
      </c>
      <c r="R21" s="471">
        <v>3</v>
      </c>
      <c r="S21" s="504">
        <v>11965</v>
      </c>
      <c r="T21" s="477" t="s">
        <v>771</v>
      </c>
      <c r="U21" s="478" t="s">
        <v>324</v>
      </c>
      <c r="V21" s="472" t="s">
        <v>468</v>
      </c>
      <c r="W21" s="472" t="s">
        <v>350</v>
      </c>
      <c r="X21" s="473" t="s">
        <v>328</v>
      </c>
      <c r="Y21" s="472">
        <v>1</v>
      </c>
      <c r="Z21" s="472">
        <v>0</v>
      </c>
      <c r="AA21" s="472">
        <v>0</v>
      </c>
      <c r="AB21" s="472">
        <v>1</v>
      </c>
      <c r="AC21" s="472">
        <v>1</v>
      </c>
      <c r="AD21" s="472">
        <v>0</v>
      </c>
      <c r="AE21" s="472">
        <v>0</v>
      </c>
      <c r="AF21" s="472">
        <v>1</v>
      </c>
      <c r="AG21" s="472">
        <v>0</v>
      </c>
      <c r="AH21" s="472">
        <v>0</v>
      </c>
      <c r="AI21" s="472">
        <v>0</v>
      </c>
      <c r="AJ21" s="478">
        <v>0</v>
      </c>
      <c r="AK21" s="472">
        <v>0</v>
      </c>
      <c r="AL21" s="472">
        <v>0</v>
      </c>
      <c r="AM21" s="472">
        <v>0</v>
      </c>
      <c r="AN21" s="478">
        <v>0</v>
      </c>
      <c r="AO21"/>
      <c r="AP21"/>
      <c r="AQ21"/>
      <c r="AR21"/>
      <c r="AS21"/>
      <c r="AT21" t="s">
        <v>287</v>
      </c>
      <c r="AU21"/>
    </row>
    <row r="22" spans="1:47" s="117" customFormat="1" ht="14.95" customHeight="1" thickBot="1" x14ac:dyDescent="0.3">
      <c r="A22" s="546" t="s">
        <v>540</v>
      </c>
      <c r="B22" s="547" t="s">
        <v>223</v>
      </c>
      <c r="C22" s="548" t="s">
        <v>9</v>
      </c>
      <c r="D22" s="549" t="s">
        <v>299</v>
      </c>
      <c r="E22" s="549" t="s">
        <v>34</v>
      </c>
      <c r="F22" s="549">
        <v>22</v>
      </c>
      <c r="G22" s="549">
        <v>49</v>
      </c>
      <c r="H22" s="549" t="s">
        <v>77</v>
      </c>
      <c r="I22" s="549" t="s">
        <v>77</v>
      </c>
      <c r="J22" s="549">
        <v>4</v>
      </c>
      <c r="K22" s="549">
        <v>1</v>
      </c>
      <c r="L22" s="549">
        <v>0</v>
      </c>
      <c r="M22" s="549">
        <v>0</v>
      </c>
      <c r="N22" s="549">
        <v>0</v>
      </c>
      <c r="O22" s="549">
        <v>0</v>
      </c>
      <c r="P22" s="549" t="s">
        <v>77</v>
      </c>
      <c r="Q22" s="549" t="s">
        <v>77</v>
      </c>
      <c r="R22" s="549">
        <v>7</v>
      </c>
      <c r="S22" s="550">
        <v>9418</v>
      </c>
      <c r="T22" s="782" t="s">
        <v>778</v>
      </c>
      <c r="U22" s="551" t="s">
        <v>323</v>
      </c>
      <c r="V22" s="550" t="s">
        <v>399</v>
      </c>
      <c r="W22" s="550" t="s">
        <v>308</v>
      </c>
      <c r="X22" s="552" t="s">
        <v>356</v>
      </c>
      <c r="Y22" s="550">
        <v>1</v>
      </c>
      <c r="Z22" s="550">
        <v>0</v>
      </c>
      <c r="AA22" s="550">
        <v>0</v>
      </c>
      <c r="AB22" s="550">
        <v>1</v>
      </c>
      <c r="AC22" s="550">
        <v>1</v>
      </c>
      <c r="AD22" s="550">
        <v>0</v>
      </c>
      <c r="AE22" s="550">
        <v>0</v>
      </c>
      <c r="AF22" s="550">
        <v>1</v>
      </c>
      <c r="AG22" s="550">
        <v>0</v>
      </c>
      <c r="AH22" s="550">
        <v>0</v>
      </c>
      <c r="AI22" s="550">
        <v>0</v>
      </c>
      <c r="AJ22" s="551">
        <v>0</v>
      </c>
      <c r="AK22" s="550">
        <v>0</v>
      </c>
      <c r="AL22" s="550">
        <v>0</v>
      </c>
      <c r="AM22" s="550">
        <v>0</v>
      </c>
      <c r="AN22" s="551">
        <v>0</v>
      </c>
      <c r="AO22"/>
      <c r="AP22"/>
      <c r="AQ22"/>
      <c r="AR22"/>
      <c r="AS22"/>
      <c r="AT22"/>
      <c r="AU22"/>
    </row>
    <row r="23" spans="1:47" s="130" customFormat="1" ht="14.95" customHeight="1" thickBot="1" x14ac:dyDescent="0.3">
      <c r="A23" s="479" t="s">
        <v>458</v>
      </c>
      <c r="B23" s="461" t="s">
        <v>199</v>
      </c>
      <c r="C23" s="462" t="s">
        <v>24</v>
      </c>
      <c r="D23" s="463" t="s">
        <v>36</v>
      </c>
      <c r="E23" s="463" t="s">
        <v>32</v>
      </c>
      <c r="F23" s="463">
        <v>26</v>
      </c>
      <c r="G23" s="463">
        <v>15</v>
      </c>
      <c r="H23" s="463">
        <v>0</v>
      </c>
      <c r="I23" s="463">
        <v>0</v>
      </c>
      <c r="J23" s="463">
        <v>2</v>
      </c>
      <c r="K23" s="463">
        <v>2</v>
      </c>
      <c r="L23" s="463">
        <v>0</v>
      </c>
      <c r="M23" s="463">
        <v>4</v>
      </c>
      <c r="N23" s="463">
        <v>0</v>
      </c>
      <c r="O23" s="463">
        <v>0</v>
      </c>
      <c r="P23" s="463">
        <v>0</v>
      </c>
      <c r="Q23" s="463">
        <v>0</v>
      </c>
      <c r="R23" s="463">
        <v>2</v>
      </c>
      <c r="S23" s="486">
        <v>13497</v>
      </c>
      <c r="T23" s="481" t="s">
        <v>638</v>
      </c>
      <c r="U23" s="466" t="s">
        <v>396</v>
      </c>
      <c r="V23" s="464" t="s">
        <v>403</v>
      </c>
      <c r="W23" s="464" t="s">
        <v>308</v>
      </c>
      <c r="X23" s="467" t="s">
        <v>475</v>
      </c>
      <c r="Y23" s="464">
        <v>1</v>
      </c>
      <c r="Z23" s="464">
        <v>1</v>
      </c>
      <c r="AA23" s="464">
        <v>0</v>
      </c>
      <c r="AB23" s="464">
        <v>0</v>
      </c>
      <c r="AC23" s="464">
        <v>0</v>
      </c>
      <c r="AD23" s="464">
        <v>0</v>
      </c>
      <c r="AE23" s="464">
        <v>0</v>
      </c>
      <c r="AF23" s="464">
        <v>0</v>
      </c>
      <c r="AG23" s="464">
        <v>1</v>
      </c>
      <c r="AH23" s="464">
        <v>1</v>
      </c>
      <c r="AI23" s="464">
        <v>0</v>
      </c>
      <c r="AJ23" s="466">
        <v>0</v>
      </c>
      <c r="AK23" s="464">
        <v>0</v>
      </c>
      <c r="AL23" s="464">
        <v>0</v>
      </c>
      <c r="AM23" s="464">
        <v>0</v>
      </c>
      <c r="AN23" s="466">
        <v>0</v>
      </c>
      <c r="AO23"/>
      <c r="AP23"/>
      <c r="AQ23"/>
      <c r="AR23"/>
      <c r="AS23"/>
      <c r="AT23"/>
      <c r="AU23"/>
    </row>
    <row r="24" spans="1:47" s="117" customFormat="1" ht="14.95" customHeight="1" thickBot="1" x14ac:dyDescent="0.3">
      <c r="A24" s="468" t="s">
        <v>727</v>
      </c>
      <c r="B24" s="469" t="s">
        <v>199</v>
      </c>
      <c r="C24" s="470" t="s">
        <v>25</v>
      </c>
      <c r="D24" s="471" t="s">
        <v>299</v>
      </c>
      <c r="E24" s="471" t="s">
        <v>32</v>
      </c>
      <c r="F24" s="471">
        <v>57</v>
      </c>
      <c r="G24" s="471">
        <v>7</v>
      </c>
      <c r="H24" s="471">
        <v>1</v>
      </c>
      <c r="I24" s="471">
        <v>0</v>
      </c>
      <c r="J24" s="471">
        <v>8</v>
      </c>
      <c r="K24" s="471">
        <v>7</v>
      </c>
      <c r="L24" s="471">
        <v>0</v>
      </c>
      <c r="M24" s="471">
        <v>1</v>
      </c>
      <c r="N24" s="471">
        <v>0</v>
      </c>
      <c r="O24" s="471">
        <v>0</v>
      </c>
      <c r="P24" s="471">
        <v>0</v>
      </c>
      <c r="Q24" s="471">
        <v>0</v>
      </c>
      <c r="R24" s="471">
        <v>1</v>
      </c>
      <c r="S24" s="472">
        <v>11528</v>
      </c>
      <c r="T24" s="480" t="s">
        <v>807</v>
      </c>
      <c r="U24" s="478" t="s">
        <v>304</v>
      </c>
      <c r="V24" s="472" t="s">
        <v>399</v>
      </c>
      <c r="W24" s="472" t="s">
        <v>463</v>
      </c>
      <c r="X24" s="473" t="s">
        <v>346</v>
      </c>
      <c r="Y24" s="472">
        <v>1</v>
      </c>
      <c r="Z24" s="472">
        <v>1</v>
      </c>
      <c r="AA24" s="472">
        <v>0</v>
      </c>
      <c r="AB24" s="472">
        <v>0</v>
      </c>
      <c r="AC24" s="472">
        <v>1</v>
      </c>
      <c r="AD24" s="472">
        <v>1</v>
      </c>
      <c r="AE24" s="472">
        <v>0</v>
      </c>
      <c r="AF24" s="472">
        <v>0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  <c r="AO24"/>
      <c r="AP24"/>
      <c r="AQ24"/>
      <c r="AR24"/>
      <c r="AS24"/>
      <c r="AT24"/>
      <c r="AU24"/>
    </row>
    <row r="25" spans="1:47" ht="14.95" customHeight="1" thickBot="1" x14ac:dyDescent="0.3">
      <c r="A25" s="479" t="s">
        <v>294</v>
      </c>
      <c r="B25" s="461" t="s">
        <v>199</v>
      </c>
      <c r="C25" s="462" t="s">
        <v>9</v>
      </c>
      <c r="D25" s="463" t="s">
        <v>36</v>
      </c>
      <c r="E25" s="463" t="s">
        <v>34</v>
      </c>
      <c r="F25" s="463">
        <v>30</v>
      </c>
      <c r="G25" s="463">
        <v>34</v>
      </c>
      <c r="H25" s="463">
        <v>0</v>
      </c>
      <c r="I25" s="463">
        <v>1</v>
      </c>
      <c r="J25" s="463">
        <v>3</v>
      </c>
      <c r="K25" s="463">
        <v>3</v>
      </c>
      <c r="L25" s="463">
        <v>0</v>
      </c>
      <c r="M25" s="463">
        <v>3</v>
      </c>
      <c r="N25" s="463">
        <v>2</v>
      </c>
      <c r="O25" s="463">
        <v>0</v>
      </c>
      <c r="P25" s="463">
        <v>1</v>
      </c>
      <c r="Q25" s="463">
        <v>0</v>
      </c>
      <c r="R25" s="463">
        <v>4</v>
      </c>
      <c r="S25" s="464">
        <v>14172</v>
      </c>
      <c r="T25" s="734" t="s">
        <v>618</v>
      </c>
      <c r="U25" s="466" t="s">
        <v>326</v>
      </c>
      <c r="V25" s="464" t="s">
        <v>509</v>
      </c>
      <c r="W25" s="464" t="s">
        <v>304</v>
      </c>
      <c r="X25" s="467" t="s">
        <v>475</v>
      </c>
      <c r="Y25" s="464">
        <v>1</v>
      </c>
      <c r="Z25" s="464">
        <v>0</v>
      </c>
      <c r="AA25" s="464">
        <v>0</v>
      </c>
      <c r="AB25" s="464">
        <v>1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0</v>
      </c>
      <c r="AI25" s="464">
        <v>0</v>
      </c>
      <c r="AJ25" s="466">
        <v>1</v>
      </c>
      <c r="AK25" s="464">
        <v>0</v>
      </c>
      <c r="AL25" s="464">
        <v>0</v>
      </c>
      <c r="AM25" s="464">
        <v>0</v>
      </c>
      <c r="AN25" s="466">
        <v>0</v>
      </c>
    </row>
    <row r="26" spans="1:47" ht="14.95" customHeight="1" thickBot="1" x14ac:dyDescent="0.3">
      <c r="A26" s="468" t="s">
        <v>295</v>
      </c>
      <c r="B26" s="469" t="s">
        <v>199</v>
      </c>
      <c r="C26" s="470" t="s">
        <v>22</v>
      </c>
      <c r="D26" s="471" t="s">
        <v>299</v>
      </c>
      <c r="E26" s="471" t="s">
        <v>32</v>
      </c>
      <c r="F26" s="471">
        <v>57</v>
      </c>
      <c r="G26" s="471">
        <v>20</v>
      </c>
      <c r="H26" s="471">
        <v>1</v>
      </c>
      <c r="I26" s="471">
        <v>0</v>
      </c>
      <c r="J26" s="471">
        <v>8</v>
      </c>
      <c r="K26" s="471">
        <v>7</v>
      </c>
      <c r="L26" s="471">
        <v>0</v>
      </c>
      <c r="M26" s="471">
        <v>1</v>
      </c>
      <c r="N26" s="471">
        <v>0</v>
      </c>
      <c r="O26" s="471">
        <v>0</v>
      </c>
      <c r="P26" s="471">
        <v>0</v>
      </c>
      <c r="Q26" s="471">
        <v>0</v>
      </c>
      <c r="R26" s="471">
        <v>3</v>
      </c>
      <c r="S26" s="472">
        <v>13571</v>
      </c>
      <c r="T26" s="480" t="s">
        <v>820</v>
      </c>
      <c r="U26" s="478" t="s">
        <v>633</v>
      </c>
      <c r="V26" s="472" t="s">
        <v>399</v>
      </c>
      <c r="W26" s="472" t="s">
        <v>308</v>
      </c>
      <c r="X26" s="473" t="s">
        <v>475</v>
      </c>
      <c r="Y26" s="472">
        <v>1</v>
      </c>
      <c r="Z26" s="472">
        <v>1</v>
      </c>
      <c r="AA26" s="472">
        <v>0</v>
      </c>
      <c r="AB26" s="472">
        <v>0</v>
      </c>
      <c r="AC26" s="472">
        <v>1</v>
      </c>
      <c r="AD26" s="472">
        <v>1</v>
      </c>
      <c r="AE26" s="472">
        <v>0</v>
      </c>
      <c r="AF26" s="472">
        <v>0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</row>
    <row r="27" spans="1:47" s="117" customFormat="1" ht="14.95" customHeight="1" thickBot="1" x14ac:dyDescent="0.3">
      <c r="A27" s="468" t="s">
        <v>829</v>
      </c>
      <c r="B27" s="469" t="s">
        <v>199</v>
      </c>
      <c r="C27" s="470" t="s">
        <v>349</v>
      </c>
      <c r="D27" s="471" t="s">
        <v>299</v>
      </c>
      <c r="E27" s="471" t="s">
        <v>32</v>
      </c>
      <c r="F27" s="471">
        <v>26</v>
      </c>
      <c r="G27" s="471">
        <v>13</v>
      </c>
      <c r="H27" s="471">
        <v>1</v>
      </c>
      <c r="I27" s="471">
        <v>0</v>
      </c>
      <c r="J27" s="471">
        <v>4</v>
      </c>
      <c r="K27" s="471">
        <v>2</v>
      </c>
      <c r="L27" s="471">
        <v>0</v>
      </c>
      <c r="M27" s="471">
        <v>0</v>
      </c>
      <c r="N27" s="471">
        <v>1</v>
      </c>
      <c r="O27" s="471">
        <v>0</v>
      </c>
      <c r="P27" s="471">
        <v>0</v>
      </c>
      <c r="Q27" s="471">
        <v>0</v>
      </c>
      <c r="R27" s="471">
        <v>1</v>
      </c>
      <c r="S27" s="472">
        <v>0</v>
      </c>
      <c r="T27" s="480" t="s">
        <v>876</v>
      </c>
      <c r="U27" s="478" t="s">
        <v>463</v>
      </c>
      <c r="V27" s="472" t="s">
        <v>464</v>
      </c>
      <c r="W27" s="472" t="s">
        <v>356</v>
      </c>
      <c r="X27" s="473" t="s">
        <v>346</v>
      </c>
      <c r="Y27" s="472">
        <v>1</v>
      </c>
      <c r="Z27" s="472">
        <v>1</v>
      </c>
      <c r="AA27" s="472">
        <v>0</v>
      </c>
      <c r="AB27" s="472">
        <v>0</v>
      </c>
      <c r="AC27" s="472">
        <v>1</v>
      </c>
      <c r="AD27" s="472">
        <v>1</v>
      </c>
      <c r="AE27" s="472">
        <v>0</v>
      </c>
      <c r="AF27" s="472">
        <v>0</v>
      </c>
      <c r="AG27" s="472">
        <v>0</v>
      </c>
      <c r="AH27" s="472">
        <v>0</v>
      </c>
      <c r="AI27" s="472">
        <v>0</v>
      </c>
      <c r="AJ27" s="478">
        <v>0</v>
      </c>
      <c r="AK27" s="472">
        <v>0</v>
      </c>
      <c r="AL27" s="472">
        <v>0</v>
      </c>
      <c r="AM27" s="472">
        <v>0</v>
      </c>
      <c r="AN27" s="478">
        <v>0</v>
      </c>
      <c r="AO27"/>
      <c r="AP27"/>
      <c r="AQ27"/>
      <c r="AR27"/>
      <c r="AS27"/>
      <c r="AT27"/>
      <c r="AU27"/>
    </row>
    <row r="28" spans="1:47" s="101" customFormat="1" ht="14.95" customHeight="1" thickBot="1" x14ac:dyDescent="0.3">
      <c r="A28" s="479" t="s">
        <v>831</v>
      </c>
      <c r="B28" s="461" t="s">
        <v>199</v>
      </c>
      <c r="C28" s="462" t="s">
        <v>27</v>
      </c>
      <c r="D28" s="463" t="s">
        <v>36</v>
      </c>
      <c r="E28" s="463" t="s">
        <v>32</v>
      </c>
      <c r="F28" s="463">
        <v>32</v>
      </c>
      <c r="G28" s="463">
        <v>22</v>
      </c>
      <c r="H28" s="463">
        <v>1</v>
      </c>
      <c r="I28" s="463">
        <v>0</v>
      </c>
      <c r="J28" s="463">
        <v>4</v>
      </c>
      <c r="K28" s="463">
        <v>3</v>
      </c>
      <c r="L28" s="463">
        <v>0</v>
      </c>
      <c r="M28" s="463">
        <v>2</v>
      </c>
      <c r="N28" s="463">
        <v>0</v>
      </c>
      <c r="O28" s="463">
        <v>0</v>
      </c>
      <c r="P28" s="463">
        <v>0</v>
      </c>
      <c r="Q28" s="463">
        <v>0</v>
      </c>
      <c r="R28" s="463">
        <v>3</v>
      </c>
      <c r="S28" s="483">
        <v>0</v>
      </c>
      <c r="T28" s="465" t="s">
        <v>885</v>
      </c>
      <c r="U28" s="466" t="s">
        <v>463</v>
      </c>
      <c r="V28" s="464" t="s">
        <v>348</v>
      </c>
      <c r="W28" s="464" t="s">
        <v>304</v>
      </c>
      <c r="X28" s="467" t="s">
        <v>322</v>
      </c>
      <c r="Y28" s="464">
        <v>1</v>
      </c>
      <c r="Z28" s="464">
        <v>1</v>
      </c>
      <c r="AA28" s="464">
        <v>0</v>
      </c>
      <c r="AB28" s="464">
        <v>0</v>
      </c>
      <c r="AC28" s="464">
        <v>0</v>
      </c>
      <c r="AD28" s="464">
        <v>0</v>
      </c>
      <c r="AE28" s="464">
        <v>0</v>
      </c>
      <c r="AF28" s="464">
        <v>0</v>
      </c>
      <c r="AG28" s="464">
        <v>1</v>
      </c>
      <c r="AH28" s="464">
        <v>1</v>
      </c>
      <c r="AI28" s="464">
        <v>0</v>
      </c>
      <c r="AJ28" s="466">
        <v>0</v>
      </c>
      <c r="AK28" s="464">
        <v>0</v>
      </c>
      <c r="AL28" s="464">
        <v>0</v>
      </c>
      <c r="AM28" s="464">
        <v>0</v>
      </c>
      <c r="AN28" s="466">
        <v>0</v>
      </c>
      <c r="AO28"/>
      <c r="AP28"/>
      <c r="AQ28"/>
      <c r="AR28"/>
      <c r="AS28"/>
      <c r="AT28"/>
      <c r="AU28"/>
    </row>
    <row r="29" spans="1:47" ht="16.5" thickBot="1" x14ac:dyDescent="0.3">
      <c r="A29" s="479" t="s">
        <v>833</v>
      </c>
      <c r="B29" s="461" t="s">
        <v>199</v>
      </c>
      <c r="C29" s="462" t="s">
        <v>165</v>
      </c>
      <c r="D29" s="463" t="s">
        <v>36</v>
      </c>
      <c r="E29" s="463" t="s">
        <v>32</v>
      </c>
      <c r="F29" s="463">
        <v>25</v>
      </c>
      <c r="G29" s="463">
        <v>22</v>
      </c>
      <c r="H29" s="463">
        <v>0</v>
      </c>
      <c r="I29" s="463">
        <v>0</v>
      </c>
      <c r="J29" s="463">
        <v>3</v>
      </c>
      <c r="K29" s="463">
        <v>2</v>
      </c>
      <c r="L29" s="463">
        <v>0</v>
      </c>
      <c r="M29" s="463">
        <v>2</v>
      </c>
      <c r="N29" s="463">
        <v>0</v>
      </c>
      <c r="O29" s="463">
        <v>0</v>
      </c>
      <c r="P29" s="463">
        <v>0</v>
      </c>
      <c r="Q29" s="463">
        <v>1</v>
      </c>
      <c r="R29" s="463">
        <v>3</v>
      </c>
      <c r="S29" s="464">
        <v>0</v>
      </c>
      <c r="T29" s="481" t="s">
        <v>312</v>
      </c>
      <c r="U29" s="466" t="s">
        <v>637</v>
      </c>
      <c r="V29" s="464" t="s">
        <v>632</v>
      </c>
      <c r="W29" s="464" t="s">
        <v>554</v>
      </c>
      <c r="X29" s="467" t="s">
        <v>463</v>
      </c>
      <c r="Y29" s="464">
        <v>1</v>
      </c>
      <c r="Z29" s="464">
        <v>1</v>
      </c>
      <c r="AA29" s="464">
        <v>0</v>
      </c>
      <c r="AB29" s="464">
        <v>0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1</v>
      </c>
      <c r="AI29" s="464">
        <v>0</v>
      </c>
      <c r="AJ29" s="466">
        <v>0</v>
      </c>
      <c r="AK29" s="464">
        <v>0</v>
      </c>
      <c r="AL29" s="464">
        <v>0</v>
      </c>
      <c r="AM29" s="464">
        <v>0</v>
      </c>
      <c r="AN29" s="466">
        <v>0</v>
      </c>
    </row>
    <row r="30" spans="1:47" ht="16.5" thickBot="1" x14ac:dyDescent="0.3">
      <c r="A30" s="468" t="s">
        <v>840</v>
      </c>
      <c r="B30" s="469" t="s">
        <v>199</v>
      </c>
      <c r="C30" s="470" t="s">
        <v>23</v>
      </c>
      <c r="D30" s="471" t="s">
        <v>299</v>
      </c>
      <c r="E30" s="471" t="s">
        <v>32</v>
      </c>
      <c r="F30" s="471">
        <v>59</v>
      </c>
      <c r="G30" s="471">
        <v>7</v>
      </c>
      <c r="H30" s="471">
        <v>1</v>
      </c>
      <c r="I30" s="471">
        <v>0</v>
      </c>
      <c r="J30" s="471">
        <v>9</v>
      </c>
      <c r="K30" s="471">
        <v>7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1</v>
      </c>
      <c r="S30" s="472">
        <v>0</v>
      </c>
      <c r="T30" s="480" t="s">
        <v>903</v>
      </c>
      <c r="U30" s="478" t="s">
        <v>308</v>
      </c>
      <c r="V30" s="472" t="s">
        <v>330</v>
      </c>
      <c r="W30" s="472" t="s">
        <v>346</v>
      </c>
      <c r="X30" s="473" t="s">
        <v>475</v>
      </c>
      <c r="Y30" s="472">
        <v>1</v>
      </c>
      <c r="Z30" s="472">
        <v>1</v>
      </c>
      <c r="AA30" s="472">
        <v>0</v>
      </c>
      <c r="AB30" s="472">
        <v>0</v>
      </c>
      <c r="AC30" s="472">
        <v>1</v>
      </c>
      <c r="AD30" s="472">
        <v>1</v>
      </c>
      <c r="AE30" s="472">
        <v>0</v>
      </c>
      <c r="AF30" s="472">
        <v>0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7" ht="16.5" thickBot="1" x14ac:dyDescent="0.3">
      <c r="A31" s="479" t="s">
        <v>854</v>
      </c>
      <c r="B31" s="461" t="s">
        <v>199</v>
      </c>
      <c r="C31" s="462" t="s">
        <v>25</v>
      </c>
      <c r="D31" s="463" t="s">
        <v>36</v>
      </c>
      <c r="E31" s="463" t="s">
        <v>32</v>
      </c>
      <c r="F31" s="463">
        <v>22</v>
      </c>
      <c r="G31" s="463">
        <v>19</v>
      </c>
      <c r="H31" s="463">
        <v>0</v>
      </c>
      <c r="I31" s="463">
        <v>0</v>
      </c>
      <c r="J31" s="463">
        <v>3</v>
      </c>
      <c r="K31" s="463">
        <v>2</v>
      </c>
      <c r="L31" s="463">
        <v>0</v>
      </c>
      <c r="M31" s="463">
        <v>1</v>
      </c>
      <c r="N31" s="463">
        <v>0</v>
      </c>
      <c r="O31" s="463">
        <v>0</v>
      </c>
      <c r="P31" s="463">
        <v>0</v>
      </c>
      <c r="Q31" s="463">
        <v>1</v>
      </c>
      <c r="R31" s="463">
        <v>3</v>
      </c>
      <c r="S31" s="486">
        <v>0</v>
      </c>
      <c r="T31" s="481" t="s">
        <v>745</v>
      </c>
      <c r="U31" s="466" t="s">
        <v>633</v>
      </c>
      <c r="V31" s="464" t="s">
        <v>399</v>
      </c>
      <c r="W31" s="464" t="s">
        <v>356</v>
      </c>
      <c r="X31" s="467" t="s">
        <v>320</v>
      </c>
      <c r="Y31" s="464">
        <v>1</v>
      </c>
      <c r="Z31" s="464">
        <v>1</v>
      </c>
      <c r="AA31" s="464">
        <v>0</v>
      </c>
      <c r="AB31" s="464">
        <v>0</v>
      </c>
      <c r="AC31" s="464">
        <v>0</v>
      </c>
      <c r="AD31" s="464">
        <v>0</v>
      </c>
      <c r="AE31" s="464">
        <v>0</v>
      </c>
      <c r="AF31" s="464">
        <v>0</v>
      </c>
      <c r="AG31" s="464">
        <v>1</v>
      </c>
      <c r="AH31" s="464">
        <v>1</v>
      </c>
      <c r="AI31" s="464">
        <v>0</v>
      </c>
      <c r="AJ31" s="466">
        <v>0</v>
      </c>
      <c r="AK31" s="464">
        <v>0</v>
      </c>
      <c r="AL31" s="464">
        <v>0</v>
      </c>
      <c r="AM31" s="464">
        <v>0</v>
      </c>
      <c r="AN31" s="466">
        <v>0</v>
      </c>
    </row>
    <row r="32" spans="1:47" ht="15.8" customHeight="1" thickBot="1" x14ac:dyDescent="0.3">
      <c r="A32" s="496" t="s">
        <v>861</v>
      </c>
      <c r="B32" s="496" t="s">
        <v>199</v>
      </c>
      <c r="C32" s="476" t="s">
        <v>24</v>
      </c>
      <c r="D32" s="501" t="s">
        <v>299</v>
      </c>
      <c r="E32" s="501" t="s">
        <v>32</v>
      </c>
      <c r="F32" s="471">
        <v>35</v>
      </c>
      <c r="G32" s="501">
        <v>22</v>
      </c>
      <c r="H32" s="471">
        <v>1</v>
      </c>
      <c r="I32" s="471">
        <v>0</v>
      </c>
      <c r="J32" s="471">
        <v>5</v>
      </c>
      <c r="K32" s="471">
        <v>5</v>
      </c>
      <c r="L32" s="471">
        <v>0</v>
      </c>
      <c r="M32" s="471">
        <v>0</v>
      </c>
      <c r="N32" s="471">
        <v>0</v>
      </c>
      <c r="O32" s="471">
        <v>0</v>
      </c>
      <c r="P32" s="471">
        <v>0</v>
      </c>
      <c r="Q32" s="471">
        <v>0</v>
      </c>
      <c r="R32" s="471">
        <v>3</v>
      </c>
      <c r="S32" s="472">
        <v>0</v>
      </c>
      <c r="T32" s="480" t="s">
        <v>924</v>
      </c>
      <c r="U32" s="472" t="s">
        <v>326</v>
      </c>
      <c r="V32" s="472" t="s">
        <v>468</v>
      </c>
      <c r="W32" s="472" t="s">
        <v>345</v>
      </c>
      <c r="X32" s="472" t="s">
        <v>316</v>
      </c>
      <c r="Y32" s="472">
        <v>1</v>
      </c>
      <c r="Z32" s="472">
        <v>1</v>
      </c>
      <c r="AA32" s="472">
        <v>0</v>
      </c>
      <c r="AB32" s="472">
        <v>0</v>
      </c>
      <c r="AC32" s="472">
        <v>1</v>
      </c>
      <c r="AD32" s="472">
        <v>1</v>
      </c>
      <c r="AE32" s="472">
        <v>0</v>
      </c>
      <c r="AF32" s="472">
        <v>0</v>
      </c>
      <c r="AG32" s="472">
        <v>0</v>
      </c>
      <c r="AH32" s="472">
        <v>0</v>
      </c>
      <c r="AI32" s="472">
        <v>0</v>
      </c>
      <c r="AJ32" s="478">
        <v>0</v>
      </c>
      <c r="AK32" s="472">
        <v>0</v>
      </c>
      <c r="AL32" s="472">
        <v>0</v>
      </c>
      <c r="AM32" s="472">
        <v>0</v>
      </c>
      <c r="AN32" s="478">
        <v>0</v>
      </c>
    </row>
    <row r="33" spans="1:40" ht="15.8" customHeight="1" thickBot="1" x14ac:dyDescent="0.3">
      <c r="A33" s="474" t="s">
        <v>864</v>
      </c>
      <c r="B33" s="474" t="s">
        <v>199</v>
      </c>
      <c r="C33" s="487" t="s">
        <v>19</v>
      </c>
      <c r="D33" s="488" t="s">
        <v>36</v>
      </c>
      <c r="E33" s="463" t="s">
        <v>34</v>
      </c>
      <c r="F33" s="463">
        <v>17</v>
      </c>
      <c r="G33" s="463">
        <v>40</v>
      </c>
      <c r="H33" s="463">
        <v>0</v>
      </c>
      <c r="I33" s="463">
        <v>0</v>
      </c>
      <c r="J33" s="463">
        <v>3</v>
      </c>
      <c r="K33" s="463">
        <v>1</v>
      </c>
      <c r="L33" s="463">
        <v>0</v>
      </c>
      <c r="M33" s="463">
        <v>0</v>
      </c>
      <c r="N33" s="463">
        <v>0</v>
      </c>
      <c r="O33" s="463">
        <v>0</v>
      </c>
      <c r="P33" s="463">
        <v>1</v>
      </c>
      <c r="Q33" s="463">
        <v>0</v>
      </c>
      <c r="R33" s="463">
        <v>5</v>
      </c>
      <c r="S33" s="464">
        <v>0</v>
      </c>
      <c r="T33" s="465" t="s">
        <v>945</v>
      </c>
      <c r="U33" s="464" t="s">
        <v>308</v>
      </c>
      <c r="V33" s="464" t="s">
        <v>329</v>
      </c>
      <c r="W33" s="464" t="s">
        <v>320</v>
      </c>
      <c r="X33" s="464" t="s">
        <v>401</v>
      </c>
      <c r="Y33" s="464">
        <v>1</v>
      </c>
      <c r="Z33" s="464">
        <v>0</v>
      </c>
      <c r="AA33" s="464">
        <v>0</v>
      </c>
      <c r="AB33" s="464">
        <v>1</v>
      </c>
      <c r="AC33" s="464">
        <v>0</v>
      </c>
      <c r="AD33" s="464">
        <v>0</v>
      </c>
      <c r="AE33" s="464">
        <v>0</v>
      </c>
      <c r="AF33" s="464">
        <v>0</v>
      </c>
      <c r="AG33" s="464">
        <v>1</v>
      </c>
      <c r="AH33" s="464">
        <v>0</v>
      </c>
      <c r="AI33" s="464">
        <v>0</v>
      </c>
      <c r="AJ33" s="466">
        <v>1</v>
      </c>
      <c r="AK33" s="464">
        <v>0</v>
      </c>
      <c r="AL33" s="464">
        <v>0</v>
      </c>
      <c r="AM33" s="464">
        <v>0</v>
      </c>
      <c r="AN33" s="466">
        <v>0</v>
      </c>
    </row>
    <row r="34" spans="1:40" ht="15.8" customHeight="1" thickBot="1" x14ac:dyDescent="0.3">
      <c r="A34" s="836" t="s">
        <v>298</v>
      </c>
      <c r="B34" s="836" t="s">
        <v>103</v>
      </c>
      <c r="C34" s="91" t="s">
        <v>25</v>
      </c>
      <c r="D34" s="92" t="s">
        <v>299</v>
      </c>
      <c r="E34" s="92" t="s">
        <v>32</v>
      </c>
      <c r="F34" s="94">
        <v>38</v>
      </c>
      <c r="G34" s="94">
        <v>15</v>
      </c>
      <c r="H34" s="94" t="s">
        <v>77</v>
      </c>
      <c r="I34" s="94" t="s">
        <v>77</v>
      </c>
      <c r="J34" s="94">
        <v>5</v>
      </c>
      <c r="K34" s="94">
        <v>5</v>
      </c>
      <c r="L34" s="94">
        <v>0</v>
      </c>
      <c r="M34" s="94">
        <v>1</v>
      </c>
      <c r="N34" s="94">
        <v>0</v>
      </c>
      <c r="O34" s="94">
        <v>0</v>
      </c>
      <c r="P34" s="94" t="s">
        <v>77</v>
      </c>
      <c r="Q34" s="94" t="s">
        <v>77</v>
      </c>
      <c r="R34" s="94">
        <v>2</v>
      </c>
      <c r="S34" s="311">
        <v>0</v>
      </c>
      <c r="T34" s="312" t="s">
        <v>423</v>
      </c>
      <c r="U34" s="311" t="s">
        <v>550</v>
      </c>
      <c r="V34" s="311" t="s">
        <v>464</v>
      </c>
      <c r="W34" s="311" t="s">
        <v>633</v>
      </c>
      <c r="X34" s="311" t="s">
        <v>463</v>
      </c>
      <c r="Y34" s="311">
        <v>1</v>
      </c>
      <c r="Z34" s="311">
        <v>1</v>
      </c>
      <c r="AA34" s="311">
        <v>0</v>
      </c>
      <c r="AB34" s="311">
        <v>0</v>
      </c>
      <c r="AC34" s="311">
        <v>1</v>
      </c>
      <c r="AD34" s="311">
        <v>1</v>
      </c>
      <c r="AE34" s="311">
        <v>0</v>
      </c>
      <c r="AF34" s="311">
        <v>0</v>
      </c>
      <c r="AG34" s="311">
        <v>0</v>
      </c>
      <c r="AH34" s="311">
        <v>0</v>
      </c>
      <c r="AI34" s="311">
        <v>0</v>
      </c>
      <c r="AJ34" s="313">
        <v>0</v>
      </c>
      <c r="AK34" s="311">
        <v>0</v>
      </c>
      <c r="AL34" s="311">
        <v>0</v>
      </c>
      <c r="AM34" s="311">
        <v>0</v>
      </c>
      <c r="AN34" s="313">
        <v>0</v>
      </c>
    </row>
    <row r="35" spans="1:40" ht="15.8" customHeight="1" thickBot="1" x14ac:dyDescent="0.3">
      <c r="A35" s="836" t="s">
        <v>952</v>
      </c>
      <c r="B35" s="836" t="s">
        <v>225</v>
      </c>
      <c r="C35" s="91" t="s">
        <v>451</v>
      </c>
      <c r="D35" s="92" t="s">
        <v>299</v>
      </c>
      <c r="E35" s="870" t="s">
        <v>32</v>
      </c>
      <c r="F35" s="94">
        <v>28</v>
      </c>
      <c r="G35" s="94">
        <v>18</v>
      </c>
      <c r="H35" s="94" t="s">
        <v>77</v>
      </c>
      <c r="I35" s="94" t="s">
        <v>77</v>
      </c>
      <c r="J35" s="94">
        <v>4</v>
      </c>
      <c r="K35" s="94">
        <v>4</v>
      </c>
      <c r="L35" s="94">
        <v>0</v>
      </c>
      <c r="M35" s="94">
        <v>0</v>
      </c>
      <c r="N35" s="94">
        <v>0</v>
      </c>
      <c r="O35" s="94">
        <v>0</v>
      </c>
      <c r="P35" s="94" t="s">
        <v>77</v>
      </c>
      <c r="Q35" s="94" t="s">
        <v>77</v>
      </c>
      <c r="R35" s="94">
        <v>2</v>
      </c>
      <c r="S35" s="311">
        <v>0</v>
      </c>
      <c r="T35" s="312" t="s">
        <v>960</v>
      </c>
      <c r="U35" s="311" t="s">
        <v>594</v>
      </c>
      <c r="V35" s="311" t="s">
        <v>632</v>
      </c>
      <c r="W35" s="311" t="s">
        <v>637</v>
      </c>
      <c r="X35" s="311" t="s">
        <v>550</v>
      </c>
      <c r="Y35" s="311">
        <v>1</v>
      </c>
      <c r="Z35" s="311">
        <v>1</v>
      </c>
      <c r="AA35" s="311">
        <v>0</v>
      </c>
      <c r="AB35" s="311">
        <v>0</v>
      </c>
      <c r="AC35" s="311">
        <v>1</v>
      </c>
      <c r="AD35" s="311">
        <v>1</v>
      </c>
      <c r="AE35" s="311">
        <v>0</v>
      </c>
      <c r="AF35" s="311">
        <v>0</v>
      </c>
      <c r="AG35" s="311">
        <v>0</v>
      </c>
      <c r="AH35" s="311">
        <v>0</v>
      </c>
      <c r="AI35" s="311">
        <v>0</v>
      </c>
      <c r="AJ35" s="313">
        <v>0</v>
      </c>
      <c r="AK35" s="311">
        <v>0</v>
      </c>
      <c r="AL35" s="311">
        <v>0</v>
      </c>
      <c r="AM35" s="311">
        <v>0</v>
      </c>
      <c r="AN35" s="313">
        <v>0</v>
      </c>
    </row>
    <row r="36" spans="1:40" ht="15.8" customHeight="1" thickBot="1" x14ac:dyDescent="0.3">
      <c r="A36" s="496" t="s">
        <v>950</v>
      </c>
      <c r="B36" s="496" t="s">
        <v>199</v>
      </c>
      <c r="C36" s="476" t="s">
        <v>11</v>
      </c>
      <c r="D36" s="501" t="s">
        <v>299</v>
      </c>
      <c r="E36" s="497" t="s">
        <v>34</v>
      </c>
      <c r="F36" s="471">
        <v>19</v>
      </c>
      <c r="G36" s="471">
        <v>22</v>
      </c>
      <c r="H36" s="471">
        <v>0</v>
      </c>
      <c r="I36" s="471">
        <v>1</v>
      </c>
      <c r="J36" s="471">
        <v>3</v>
      </c>
      <c r="K36" s="471">
        <v>2</v>
      </c>
      <c r="L36" s="471">
        <v>0</v>
      </c>
      <c r="M36" s="471">
        <v>0</v>
      </c>
      <c r="N36" s="471">
        <v>0</v>
      </c>
      <c r="O36" s="471">
        <v>0</v>
      </c>
      <c r="P36" s="471">
        <v>0</v>
      </c>
      <c r="Q36" s="471">
        <v>0</v>
      </c>
      <c r="R36" s="471">
        <v>3</v>
      </c>
      <c r="S36" s="472">
        <v>0</v>
      </c>
      <c r="T36" s="477" t="s">
        <v>975</v>
      </c>
      <c r="U36" s="472" t="s">
        <v>630</v>
      </c>
      <c r="V36" s="472" t="s">
        <v>633</v>
      </c>
      <c r="W36" s="472" t="s">
        <v>308</v>
      </c>
      <c r="X36" s="472" t="s">
        <v>401</v>
      </c>
      <c r="Y36" s="472">
        <v>1</v>
      </c>
      <c r="Z36" s="472">
        <v>0</v>
      </c>
      <c r="AA36" s="472">
        <v>0</v>
      </c>
      <c r="AB36" s="472">
        <v>1</v>
      </c>
      <c r="AC36" s="472">
        <v>1</v>
      </c>
      <c r="AD36" s="472">
        <v>0</v>
      </c>
      <c r="AE36" s="472">
        <v>0</v>
      </c>
      <c r="AF36" s="472">
        <v>1</v>
      </c>
      <c r="AG36" s="472">
        <v>0</v>
      </c>
      <c r="AH36" s="472">
        <v>0</v>
      </c>
      <c r="AI36" s="472">
        <v>0</v>
      </c>
      <c r="AJ36" s="478">
        <v>0</v>
      </c>
      <c r="AK36" s="472">
        <v>0</v>
      </c>
      <c r="AL36" s="472">
        <v>0</v>
      </c>
      <c r="AM36" s="472">
        <v>0</v>
      </c>
      <c r="AN36" s="478">
        <v>0</v>
      </c>
    </row>
    <row r="37" spans="1:40" ht="15.8" customHeight="1" thickBot="1" x14ac:dyDescent="0.3">
      <c r="A37" s="474" t="s">
        <v>357</v>
      </c>
      <c r="B37" s="474" t="s">
        <v>199</v>
      </c>
      <c r="C37" s="487" t="s">
        <v>106</v>
      </c>
      <c r="D37" s="488" t="s">
        <v>36</v>
      </c>
      <c r="E37" s="475" t="s">
        <v>34</v>
      </c>
      <c r="F37" s="463">
        <v>5</v>
      </c>
      <c r="G37" s="463">
        <v>46</v>
      </c>
      <c r="H37" s="463">
        <v>0</v>
      </c>
      <c r="I37" s="463">
        <v>0</v>
      </c>
      <c r="J37" s="463">
        <v>1</v>
      </c>
      <c r="K37" s="463">
        <v>0</v>
      </c>
      <c r="L37" s="463">
        <v>0</v>
      </c>
      <c r="M37" s="463">
        <v>0</v>
      </c>
      <c r="N37" s="463">
        <v>0</v>
      </c>
      <c r="O37" s="463">
        <v>0</v>
      </c>
      <c r="P37" s="463">
        <v>1</v>
      </c>
      <c r="Q37" s="463">
        <v>0</v>
      </c>
      <c r="R37" s="463">
        <v>6</v>
      </c>
      <c r="S37" s="464">
        <v>0</v>
      </c>
      <c r="T37" s="465" t="s">
        <v>1004</v>
      </c>
      <c r="U37" s="464" t="s">
        <v>463</v>
      </c>
      <c r="V37" s="464" t="s">
        <v>348</v>
      </c>
      <c r="W37" s="464" t="s">
        <v>395</v>
      </c>
      <c r="X37" s="464" t="s">
        <v>346</v>
      </c>
      <c r="Y37" s="464">
        <v>1</v>
      </c>
      <c r="Z37" s="464">
        <v>0</v>
      </c>
      <c r="AA37" s="464">
        <v>0</v>
      </c>
      <c r="AB37" s="464">
        <v>1</v>
      </c>
      <c r="AC37" s="464">
        <v>0</v>
      </c>
      <c r="AD37" s="464">
        <v>0</v>
      </c>
      <c r="AE37" s="464">
        <v>0</v>
      </c>
      <c r="AF37" s="464">
        <v>0</v>
      </c>
      <c r="AG37" s="464">
        <v>1</v>
      </c>
      <c r="AH37" s="464">
        <v>0</v>
      </c>
      <c r="AI37" s="464">
        <v>0</v>
      </c>
      <c r="AJ37" s="466">
        <v>1</v>
      </c>
      <c r="AK37" s="464">
        <v>0</v>
      </c>
      <c r="AL37" s="464">
        <v>0</v>
      </c>
      <c r="AM37" s="464">
        <v>0</v>
      </c>
      <c r="AN37" s="466">
        <v>0</v>
      </c>
    </row>
    <row r="38" spans="1:40" ht="15.8" customHeight="1" thickBot="1" x14ac:dyDescent="0.3">
      <c r="A38" s="496" t="s">
        <v>872</v>
      </c>
      <c r="B38" s="496" t="s">
        <v>200</v>
      </c>
      <c r="C38" s="476" t="s">
        <v>22</v>
      </c>
      <c r="D38" s="501" t="s">
        <v>299</v>
      </c>
      <c r="E38" s="497" t="s">
        <v>32</v>
      </c>
      <c r="F38" s="471">
        <v>35</v>
      </c>
      <c r="G38" s="471">
        <v>6</v>
      </c>
      <c r="H38" s="471" t="s">
        <v>77</v>
      </c>
      <c r="I38" s="471" t="s">
        <v>77</v>
      </c>
      <c r="J38" s="471">
        <v>5</v>
      </c>
      <c r="K38" s="471">
        <v>5</v>
      </c>
      <c r="L38" s="471">
        <v>0</v>
      </c>
      <c r="M38" s="471">
        <v>0</v>
      </c>
      <c r="N38" s="471">
        <v>1</v>
      </c>
      <c r="O38" s="471">
        <v>0</v>
      </c>
      <c r="P38" s="471" t="s">
        <v>77</v>
      </c>
      <c r="Q38" s="471" t="s">
        <v>77</v>
      </c>
      <c r="R38" s="471">
        <v>0</v>
      </c>
      <c r="S38" s="472">
        <v>0</v>
      </c>
      <c r="T38" s="480" t="s">
        <v>881</v>
      </c>
      <c r="U38" s="472" t="s">
        <v>633</v>
      </c>
      <c r="V38" s="472" t="s">
        <v>637</v>
      </c>
      <c r="W38" s="472" t="s">
        <v>396</v>
      </c>
      <c r="X38" s="472" t="s">
        <v>308</v>
      </c>
      <c r="Y38" s="472">
        <v>1</v>
      </c>
      <c r="Z38" s="472">
        <v>1</v>
      </c>
      <c r="AA38" s="472">
        <v>0</v>
      </c>
      <c r="AB38" s="472">
        <v>0</v>
      </c>
      <c r="AC38" s="472">
        <v>1</v>
      </c>
      <c r="AD38" s="472">
        <v>1</v>
      </c>
      <c r="AE38" s="472">
        <v>0</v>
      </c>
      <c r="AF38" s="472">
        <v>0</v>
      </c>
      <c r="AG38" s="472">
        <v>0</v>
      </c>
      <c r="AH38" s="472">
        <v>0</v>
      </c>
      <c r="AI38" s="472">
        <v>0</v>
      </c>
      <c r="AJ38" s="478">
        <v>0</v>
      </c>
      <c r="AK38" s="472">
        <v>0</v>
      </c>
      <c r="AL38" s="472">
        <v>0</v>
      </c>
      <c r="AM38" s="472">
        <v>0</v>
      </c>
      <c r="AN38" s="478">
        <v>0</v>
      </c>
    </row>
    <row r="39" spans="1:40" ht="15.8" customHeight="1" thickBot="1" x14ac:dyDescent="0.3">
      <c r="A39" s="400" t="s">
        <v>852</v>
      </c>
      <c r="B39" s="400" t="s">
        <v>226</v>
      </c>
      <c r="C39" s="401" t="s">
        <v>490</v>
      </c>
      <c r="D39" s="384" t="s">
        <v>963</v>
      </c>
      <c r="E39" s="834" t="s">
        <v>32</v>
      </c>
      <c r="F39" s="397">
        <v>31</v>
      </c>
      <c r="G39" s="397">
        <v>27</v>
      </c>
      <c r="H39" s="397" t="s">
        <v>77</v>
      </c>
      <c r="I39" s="397" t="s">
        <v>77</v>
      </c>
      <c r="J39" s="397">
        <v>4</v>
      </c>
      <c r="K39" s="397">
        <v>4</v>
      </c>
      <c r="L39" s="397">
        <v>0</v>
      </c>
      <c r="M39" s="397">
        <v>1</v>
      </c>
      <c r="N39" s="397">
        <v>1</v>
      </c>
      <c r="O39" s="397">
        <v>0</v>
      </c>
      <c r="P39" s="397" t="s">
        <v>77</v>
      </c>
      <c r="Q39" s="397" t="s">
        <v>77</v>
      </c>
      <c r="R39" s="397">
        <v>4</v>
      </c>
      <c r="S39" s="399">
        <v>0</v>
      </c>
      <c r="T39" s="402" t="s">
        <v>1032</v>
      </c>
      <c r="U39" s="399" t="s">
        <v>762</v>
      </c>
      <c r="V39" s="399" t="s">
        <v>561</v>
      </c>
      <c r="W39" s="399" t="s">
        <v>574</v>
      </c>
      <c r="X39" s="399" t="s">
        <v>654</v>
      </c>
      <c r="Y39" s="399">
        <v>1</v>
      </c>
      <c r="Z39" s="399">
        <v>1</v>
      </c>
      <c r="AA39" s="399">
        <v>0</v>
      </c>
      <c r="AB39" s="399">
        <v>0</v>
      </c>
      <c r="AC39" s="399">
        <v>0</v>
      </c>
      <c r="AD39" s="399">
        <v>0</v>
      </c>
      <c r="AE39" s="399">
        <v>0</v>
      </c>
      <c r="AF39" s="399">
        <v>0</v>
      </c>
      <c r="AG39" s="399">
        <v>0</v>
      </c>
      <c r="AH39" s="399">
        <v>0</v>
      </c>
      <c r="AI39" s="399">
        <v>0</v>
      </c>
      <c r="AJ39" s="398">
        <v>0</v>
      </c>
      <c r="AK39" s="399">
        <v>1</v>
      </c>
      <c r="AL39" s="399">
        <v>1</v>
      </c>
      <c r="AM39" s="399">
        <v>0</v>
      </c>
      <c r="AN39" s="398">
        <v>0</v>
      </c>
    </row>
    <row r="40" spans="1:40" ht="15.8" customHeight="1" thickBot="1" x14ac:dyDescent="0.3">
      <c r="A40" s="489" t="s">
        <v>849</v>
      </c>
      <c r="B40" s="489" t="s">
        <v>201</v>
      </c>
      <c r="C40" s="490" t="s">
        <v>106</v>
      </c>
      <c r="D40" s="491" t="s">
        <v>1022</v>
      </c>
      <c r="E40" s="492" t="s">
        <v>32</v>
      </c>
      <c r="F40" s="493">
        <v>19</v>
      </c>
      <c r="G40" s="493">
        <v>13</v>
      </c>
      <c r="H40" s="493" t="s">
        <v>77</v>
      </c>
      <c r="I40" s="493" t="s">
        <v>77</v>
      </c>
      <c r="J40" s="493">
        <v>1</v>
      </c>
      <c r="K40" s="493">
        <v>1</v>
      </c>
      <c r="L40" s="493">
        <v>0</v>
      </c>
      <c r="M40" s="493">
        <v>4</v>
      </c>
      <c r="N40" s="493">
        <v>0</v>
      </c>
      <c r="O40" s="493">
        <v>0</v>
      </c>
      <c r="P40" s="493" t="s">
        <v>77</v>
      </c>
      <c r="Q40" s="493" t="s">
        <v>77</v>
      </c>
      <c r="R40" s="493">
        <v>1</v>
      </c>
      <c r="S40" s="494">
        <v>0</v>
      </c>
      <c r="T40" s="906" t="s">
        <v>542</v>
      </c>
      <c r="U40" s="494" t="s">
        <v>396</v>
      </c>
      <c r="V40" s="494" t="s">
        <v>632</v>
      </c>
      <c r="W40" s="494" t="s">
        <v>343</v>
      </c>
      <c r="X40" s="494" t="s">
        <v>316</v>
      </c>
      <c r="Y40" s="494">
        <v>1</v>
      </c>
      <c r="Z40" s="494">
        <v>1</v>
      </c>
      <c r="AA40" s="494">
        <v>0</v>
      </c>
      <c r="AB40" s="494">
        <v>0</v>
      </c>
      <c r="AC40" s="494">
        <v>0</v>
      </c>
      <c r="AD40" s="494">
        <v>0</v>
      </c>
      <c r="AE40" s="494">
        <v>0</v>
      </c>
      <c r="AF40" s="494">
        <v>0</v>
      </c>
      <c r="AG40" s="494">
        <v>0</v>
      </c>
      <c r="AH40" s="494">
        <v>0</v>
      </c>
      <c r="AI40" s="494">
        <v>0</v>
      </c>
      <c r="AJ40" s="495">
        <v>0</v>
      </c>
      <c r="AK40" s="494">
        <v>1</v>
      </c>
      <c r="AL40" s="494">
        <v>1</v>
      </c>
      <c r="AM40" s="494">
        <v>0</v>
      </c>
      <c r="AN40" s="495">
        <v>0</v>
      </c>
    </row>
    <row r="41" spans="1:40" ht="15.65" customHeight="1" thickBot="1" x14ac:dyDescent="0.3">
      <c r="A41" s="505"/>
      <c r="B41" s="506"/>
      <c r="C41" s="1000" t="s">
        <v>105</v>
      </c>
      <c r="D41" s="1001"/>
      <c r="E41" s="1002"/>
      <c r="F41" s="491">
        <f t="shared" ref="F41:R41" si="1">SUM(F7+F8+F9+F10+F13+F16+F17+F18+F21+F23+F24+F25+F26+F27+F28+F29+F30+F31+F32+F33+F36+F37)</f>
        <v>630</v>
      </c>
      <c r="G41" s="491">
        <f t="shared" si="1"/>
        <v>443</v>
      </c>
      <c r="H41" s="491">
        <f t="shared" si="1"/>
        <v>9</v>
      </c>
      <c r="I41" s="491">
        <f t="shared" si="1"/>
        <v>5</v>
      </c>
      <c r="J41" s="491">
        <f t="shared" si="1"/>
        <v>83</v>
      </c>
      <c r="K41" s="491">
        <f t="shared" si="1"/>
        <v>68</v>
      </c>
      <c r="L41" s="491">
        <f t="shared" si="1"/>
        <v>0</v>
      </c>
      <c r="M41" s="491">
        <f t="shared" si="1"/>
        <v>25</v>
      </c>
      <c r="N41" s="491">
        <f t="shared" si="1"/>
        <v>9</v>
      </c>
      <c r="O41" s="491">
        <f t="shared" si="1"/>
        <v>1</v>
      </c>
      <c r="P41" s="491">
        <f t="shared" si="1"/>
        <v>4</v>
      </c>
      <c r="Q41" s="491">
        <f t="shared" si="1"/>
        <v>5</v>
      </c>
      <c r="R41" s="491">
        <f t="shared" si="1"/>
        <v>56</v>
      </c>
      <c r="S41" s="502"/>
      <c r="T41" s="502"/>
      <c r="U41" s="502"/>
      <c r="V41" s="500"/>
      <c r="W41" s="500"/>
      <c r="X41" s="883" t="s">
        <v>105</v>
      </c>
      <c r="Y41" s="491">
        <f t="shared" ref="Y41:AN41" si="2">SUM(Y7+Y8+Y9+Y10+Y13+Y16+Y17+Y18+Y21+Y23+Y24+Y25+Y26+Y27+Y28+Y29+Y30+Y31+Y32+Y33+Y36+Y37)</f>
        <v>22</v>
      </c>
      <c r="Z41" s="491">
        <f t="shared" si="2"/>
        <v>15</v>
      </c>
      <c r="AA41" s="491">
        <f t="shared" si="2"/>
        <v>0</v>
      </c>
      <c r="AB41" s="491">
        <f t="shared" si="2"/>
        <v>7</v>
      </c>
      <c r="AC41" s="501">
        <f t="shared" si="2"/>
        <v>11</v>
      </c>
      <c r="AD41" s="501">
        <f t="shared" si="2"/>
        <v>8</v>
      </c>
      <c r="AE41" s="501">
        <f t="shared" si="2"/>
        <v>0</v>
      </c>
      <c r="AF41" s="501">
        <f t="shared" si="2"/>
        <v>3</v>
      </c>
      <c r="AG41" s="488">
        <f t="shared" si="2"/>
        <v>11</v>
      </c>
      <c r="AH41" s="488">
        <f t="shared" si="2"/>
        <v>7</v>
      </c>
      <c r="AI41" s="488">
        <f t="shared" si="2"/>
        <v>0</v>
      </c>
      <c r="AJ41" s="488">
        <f t="shared" si="2"/>
        <v>4</v>
      </c>
      <c r="AK41" s="491">
        <f t="shared" si="2"/>
        <v>0</v>
      </c>
      <c r="AL41" s="491">
        <f t="shared" si="2"/>
        <v>0</v>
      </c>
      <c r="AM41" s="491">
        <f t="shared" si="2"/>
        <v>0</v>
      </c>
      <c r="AN41" s="491">
        <f t="shared" si="2"/>
        <v>0</v>
      </c>
    </row>
    <row r="42" spans="1:40" ht="15.65" customHeight="1" thickBot="1" x14ac:dyDescent="0.3">
      <c r="A42" s="499"/>
      <c r="B42" s="499"/>
      <c r="C42" s="1000" t="s">
        <v>197</v>
      </c>
      <c r="D42" s="1001"/>
      <c r="E42" s="1002"/>
      <c r="F42" s="491">
        <f>SUM(F38+F40)</f>
        <v>54</v>
      </c>
      <c r="G42" s="491">
        <f t="shared" ref="G42:R42" si="3">SUM(G38+G40)</f>
        <v>19</v>
      </c>
      <c r="H42" s="492" t="s">
        <v>77</v>
      </c>
      <c r="I42" s="492" t="s">
        <v>77</v>
      </c>
      <c r="J42" s="491">
        <f t="shared" si="3"/>
        <v>6</v>
      </c>
      <c r="K42" s="491">
        <f t="shared" si="3"/>
        <v>6</v>
      </c>
      <c r="L42" s="491">
        <f t="shared" si="3"/>
        <v>0</v>
      </c>
      <c r="M42" s="491">
        <f t="shared" si="3"/>
        <v>4</v>
      </c>
      <c r="N42" s="491">
        <f t="shared" si="3"/>
        <v>1</v>
      </c>
      <c r="O42" s="491">
        <f t="shared" si="3"/>
        <v>0</v>
      </c>
      <c r="P42" s="492" t="s">
        <v>77</v>
      </c>
      <c r="Q42" s="492" t="s">
        <v>77</v>
      </c>
      <c r="R42" s="491">
        <f t="shared" si="3"/>
        <v>1</v>
      </c>
      <c r="S42" s="502"/>
      <c r="T42" s="502"/>
      <c r="U42" s="502"/>
      <c r="V42" s="502"/>
      <c r="W42" s="500"/>
      <c r="X42" s="883" t="s">
        <v>197</v>
      </c>
      <c r="Y42" s="491">
        <f t="shared" ref="Y42:AN42" si="4">SUM(Y38+Y40)</f>
        <v>2</v>
      </c>
      <c r="Z42" s="491">
        <f t="shared" si="4"/>
        <v>2</v>
      </c>
      <c r="AA42" s="491">
        <f t="shared" si="4"/>
        <v>0</v>
      </c>
      <c r="AB42" s="491">
        <f t="shared" si="4"/>
        <v>0</v>
      </c>
      <c r="AC42" s="501">
        <f t="shared" si="4"/>
        <v>1</v>
      </c>
      <c r="AD42" s="501">
        <f t="shared" si="4"/>
        <v>1</v>
      </c>
      <c r="AE42" s="501">
        <f t="shared" si="4"/>
        <v>0</v>
      </c>
      <c r="AF42" s="501">
        <f t="shared" si="4"/>
        <v>0</v>
      </c>
      <c r="AG42" s="475">
        <f t="shared" si="4"/>
        <v>0</v>
      </c>
      <c r="AH42" s="475">
        <f t="shared" si="4"/>
        <v>0</v>
      </c>
      <c r="AI42" s="475">
        <f t="shared" si="4"/>
        <v>0</v>
      </c>
      <c r="AJ42" s="475">
        <f t="shared" si="4"/>
        <v>0</v>
      </c>
      <c r="AK42" s="491">
        <f t="shared" si="4"/>
        <v>1</v>
      </c>
      <c r="AL42" s="491">
        <f t="shared" si="4"/>
        <v>1</v>
      </c>
      <c r="AM42" s="491">
        <f t="shared" si="4"/>
        <v>0</v>
      </c>
      <c r="AN42" s="491">
        <f t="shared" si="4"/>
        <v>0</v>
      </c>
    </row>
    <row r="43" spans="1:40" ht="15.65" customHeight="1" thickBot="1" x14ac:dyDescent="0.3">
      <c r="A43" s="499"/>
      <c r="B43" s="499"/>
      <c r="C43" s="1000" t="s">
        <v>219</v>
      </c>
      <c r="D43" s="1001"/>
      <c r="E43" s="1002"/>
      <c r="F43" s="491">
        <f>SUM(F41+F42)</f>
        <v>684</v>
      </c>
      <c r="G43" s="491">
        <f t="shared" ref="G43:R43" si="5">SUM(G41+G42)</f>
        <v>462</v>
      </c>
      <c r="H43" s="491">
        <f>H41</f>
        <v>9</v>
      </c>
      <c r="I43" s="491">
        <f>I41</f>
        <v>5</v>
      </c>
      <c r="J43" s="491">
        <f t="shared" si="5"/>
        <v>89</v>
      </c>
      <c r="K43" s="491">
        <f t="shared" si="5"/>
        <v>74</v>
      </c>
      <c r="L43" s="491">
        <f t="shared" si="5"/>
        <v>0</v>
      </c>
      <c r="M43" s="491">
        <f t="shared" si="5"/>
        <v>29</v>
      </c>
      <c r="N43" s="491">
        <f t="shared" si="5"/>
        <v>10</v>
      </c>
      <c r="O43" s="491">
        <f t="shared" si="5"/>
        <v>1</v>
      </c>
      <c r="P43" s="491">
        <f t="shared" ref="P43:Q43" si="6">P41</f>
        <v>4</v>
      </c>
      <c r="Q43" s="491">
        <f t="shared" si="6"/>
        <v>5</v>
      </c>
      <c r="R43" s="491">
        <f t="shared" si="5"/>
        <v>57</v>
      </c>
      <c r="S43" s="502"/>
      <c r="T43" s="502"/>
      <c r="U43" s="502"/>
      <c r="V43" s="502"/>
      <c r="W43" s="500"/>
      <c r="X43" s="883" t="s">
        <v>219</v>
      </c>
      <c r="Y43" s="491">
        <f t="shared" ref="Y43:AN43" si="7">SUM(Y41+Y42)</f>
        <v>24</v>
      </c>
      <c r="Z43" s="491">
        <f t="shared" si="7"/>
        <v>17</v>
      </c>
      <c r="AA43" s="491">
        <f t="shared" si="7"/>
        <v>0</v>
      </c>
      <c r="AB43" s="491">
        <f t="shared" si="7"/>
        <v>7</v>
      </c>
      <c r="AC43" s="501">
        <f t="shared" si="7"/>
        <v>12</v>
      </c>
      <c r="AD43" s="501">
        <f t="shared" si="7"/>
        <v>9</v>
      </c>
      <c r="AE43" s="501">
        <f t="shared" si="7"/>
        <v>0</v>
      </c>
      <c r="AF43" s="501">
        <f t="shared" si="7"/>
        <v>3</v>
      </c>
      <c r="AG43" s="488">
        <f t="shared" si="7"/>
        <v>11</v>
      </c>
      <c r="AH43" s="488">
        <f t="shared" si="7"/>
        <v>7</v>
      </c>
      <c r="AI43" s="488">
        <f t="shared" si="7"/>
        <v>0</v>
      </c>
      <c r="AJ43" s="488">
        <f t="shared" si="7"/>
        <v>4</v>
      </c>
      <c r="AK43" s="491">
        <f t="shared" si="7"/>
        <v>1</v>
      </c>
      <c r="AL43" s="491">
        <f t="shared" si="7"/>
        <v>1</v>
      </c>
      <c r="AM43" s="491">
        <f t="shared" si="7"/>
        <v>0</v>
      </c>
      <c r="AN43" s="491">
        <f t="shared" si="7"/>
        <v>0</v>
      </c>
    </row>
    <row r="44" spans="1:40" ht="15.65" customHeight="1" thickBot="1" x14ac:dyDescent="0.3">
      <c r="A44" s="100"/>
      <c r="C44" s="1004" t="s">
        <v>144</v>
      </c>
      <c r="D44" s="1005"/>
      <c r="E44" s="1006"/>
      <c r="F44" s="410">
        <f t="shared" ref="F44:R44" si="8">SUM(F11+F12+F14+F15+F19+F20)</f>
        <v>186</v>
      </c>
      <c r="G44" s="410">
        <f t="shared" si="8"/>
        <v>105</v>
      </c>
      <c r="H44" s="410">
        <f t="shared" si="8"/>
        <v>5</v>
      </c>
      <c r="I44" s="410">
        <f t="shared" si="8"/>
        <v>0</v>
      </c>
      <c r="J44" s="410">
        <f t="shared" si="8"/>
        <v>25</v>
      </c>
      <c r="K44" s="410">
        <f t="shared" si="8"/>
        <v>22</v>
      </c>
      <c r="L44" s="410">
        <f t="shared" si="8"/>
        <v>0</v>
      </c>
      <c r="M44" s="410">
        <f t="shared" si="8"/>
        <v>5</v>
      </c>
      <c r="N44" s="410">
        <f t="shared" si="8"/>
        <v>3</v>
      </c>
      <c r="O44" s="410">
        <f t="shared" si="8"/>
        <v>0</v>
      </c>
      <c r="P44" s="410">
        <f t="shared" si="8"/>
        <v>1</v>
      </c>
      <c r="Q44" s="410">
        <f t="shared" si="8"/>
        <v>1</v>
      </c>
      <c r="R44" s="410">
        <f t="shared" si="8"/>
        <v>14</v>
      </c>
      <c r="S44" s="171"/>
      <c r="T44" s="171"/>
      <c r="U44" s="171"/>
      <c r="V44" s="171"/>
      <c r="W44" s="403"/>
      <c r="X44" s="399" t="s">
        <v>144</v>
      </c>
      <c r="Y44" s="410">
        <f t="shared" ref="Y44:AN44" si="9">SUM(Y11+Y12+Y14+Y15+Y19+Y20)</f>
        <v>6</v>
      </c>
      <c r="Z44" s="406">
        <f t="shared" si="9"/>
        <v>5</v>
      </c>
      <c r="AA44" s="406">
        <f t="shared" si="9"/>
        <v>1</v>
      </c>
      <c r="AB44" s="406">
        <f t="shared" si="9"/>
        <v>0</v>
      </c>
      <c r="AC44" s="404">
        <f t="shared" si="9"/>
        <v>3</v>
      </c>
      <c r="AD44" s="404">
        <f t="shared" si="9"/>
        <v>3</v>
      </c>
      <c r="AE44" s="404">
        <f t="shared" si="9"/>
        <v>0</v>
      </c>
      <c r="AF44" s="404">
        <f t="shared" si="9"/>
        <v>0</v>
      </c>
      <c r="AG44" s="405">
        <f t="shared" si="9"/>
        <v>3</v>
      </c>
      <c r="AH44" s="405">
        <f t="shared" si="9"/>
        <v>2</v>
      </c>
      <c r="AI44" s="405">
        <f t="shared" si="9"/>
        <v>1</v>
      </c>
      <c r="AJ44" s="405">
        <f t="shared" si="9"/>
        <v>0</v>
      </c>
      <c r="AK44" s="406">
        <f t="shared" si="9"/>
        <v>0</v>
      </c>
      <c r="AL44" s="406">
        <f t="shared" si="9"/>
        <v>0</v>
      </c>
      <c r="AM44" s="406">
        <f t="shared" si="9"/>
        <v>0</v>
      </c>
      <c r="AN44" s="406">
        <f t="shared" si="9"/>
        <v>0</v>
      </c>
    </row>
    <row r="45" spans="1:40" ht="15.65" customHeight="1" thickBot="1" x14ac:dyDescent="0.3">
      <c r="A45" s="100"/>
      <c r="C45" s="1004" t="s">
        <v>195</v>
      </c>
      <c r="D45" s="1007"/>
      <c r="E45" s="1008"/>
      <c r="F45" s="410">
        <f>SUM(F34+F35+F39)</f>
        <v>97</v>
      </c>
      <c r="G45" s="410">
        <f>SUM(G34+G35+G39)</f>
        <v>60</v>
      </c>
      <c r="H45" s="406" t="s">
        <v>77</v>
      </c>
      <c r="I45" s="406" t="s">
        <v>77</v>
      </c>
      <c r="J45" s="410">
        <f t="shared" ref="J45:O45" si="10">SUM(J34+J35+J39)</f>
        <v>13</v>
      </c>
      <c r="K45" s="410">
        <f t="shared" si="10"/>
        <v>13</v>
      </c>
      <c r="L45" s="410">
        <f t="shared" si="10"/>
        <v>0</v>
      </c>
      <c r="M45" s="410">
        <f t="shared" si="10"/>
        <v>2</v>
      </c>
      <c r="N45" s="410">
        <f t="shared" si="10"/>
        <v>1</v>
      </c>
      <c r="O45" s="410">
        <f t="shared" si="10"/>
        <v>0</v>
      </c>
      <c r="P45" s="406" t="s">
        <v>77</v>
      </c>
      <c r="Q45" s="406" t="s">
        <v>77</v>
      </c>
      <c r="R45" s="410">
        <f>SUM(R34+R35+R39)</f>
        <v>8</v>
      </c>
      <c r="S45" s="171"/>
      <c r="T45" s="171"/>
      <c r="U45" s="171"/>
      <c r="V45" s="171"/>
      <c r="W45" s="403"/>
      <c r="X45" s="399" t="s">
        <v>195</v>
      </c>
      <c r="Y45" s="410">
        <f t="shared" ref="Y45:AN45" si="11">SUM(Y34+Y35+Y39)</f>
        <v>3</v>
      </c>
      <c r="Z45" s="410">
        <f t="shared" si="11"/>
        <v>3</v>
      </c>
      <c r="AA45" s="410">
        <f t="shared" si="11"/>
        <v>0</v>
      </c>
      <c r="AB45" s="410">
        <f t="shared" si="11"/>
        <v>0</v>
      </c>
      <c r="AC45" s="408">
        <f t="shared" si="11"/>
        <v>2</v>
      </c>
      <c r="AD45" s="408">
        <f t="shared" si="11"/>
        <v>2</v>
      </c>
      <c r="AE45" s="408">
        <f t="shared" si="11"/>
        <v>0</v>
      </c>
      <c r="AF45" s="408">
        <f t="shared" si="11"/>
        <v>0</v>
      </c>
      <c r="AG45" s="409">
        <f t="shared" si="11"/>
        <v>0</v>
      </c>
      <c r="AH45" s="409">
        <f t="shared" si="11"/>
        <v>0</v>
      </c>
      <c r="AI45" s="409">
        <f t="shared" si="11"/>
        <v>0</v>
      </c>
      <c r="AJ45" s="409">
        <f t="shared" si="11"/>
        <v>0</v>
      </c>
      <c r="AK45" s="410">
        <f t="shared" si="11"/>
        <v>1</v>
      </c>
      <c r="AL45" s="410">
        <f t="shared" si="11"/>
        <v>1</v>
      </c>
      <c r="AM45" s="410">
        <f t="shared" si="11"/>
        <v>0</v>
      </c>
      <c r="AN45" s="410">
        <f t="shared" si="11"/>
        <v>0</v>
      </c>
    </row>
    <row r="46" spans="1:40" ht="15.65" customHeight="1" thickBot="1" x14ac:dyDescent="0.3">
      <c r="A46" s="100"/>
      <c r="C46" s="1009" t="s">
        <v>230</v>
      </c>
      <c r="D46" s="1007"/>
      <c r="E46" s="1008"/>
      <c r="F46" s="384">
        <f>SUM(F44+F45)</f>
        <v>283</v>
      </c>
      <c r="G46" s="384">
        <f t="shared" ref="G46:R46" si="12">SUM(G44+G45)</f>
        <v>165</v>
      </c>
      <c r="H46" s="384">
        <f>SUM(H44)</f>
        <v>5</v>
      </c>
      <c r="I46" s="384">
        <f>SUM(I44)</f>
        <v>0</v>
      </c>
      <c r="J46" s="384">
        <f t="shared" si="12"/>
        <v>38</v>
      </c>
      <c r="K46" s="384">
        <f t="shared" si="12"/>
        <v>35</v>
      </c>
      <c r="L46" s="384">
        <f t="shared" si="12"/>
        <v>0</v>
      </c>
      <c r="M46" s="384">
        <f t="shared" si="12"/>
        <v>7</v>
      </c>
      <c r="N46" s="384">
        <f t="shared" si="12"/>
        <v>4</v>
      </c>
      <c r="O46" s="384">
        <f t="shared" si="12"/>
        <v>0</v>
      </c>
      <c r="P46" s="384">
        <f t="shared" ref="P46:Q46" si="13">SUM(P44)</f>
        <v>1</v>
      </c>
      <c r="Q46" s="384">
        <f t="shared" si="13"/>
        <v>1</v>
      </c>
      <c r="R46" s="384">
        <f t="shared" si="12"/>
        <v>22</v>
      </c>
      <c r="S46" s="171"/>
      <c r="T46" s="171"/>
      <c r="U46" s="171"/>
      <c r="V46" s="171"/>
      <c r="W46" s="172"/>
      <c r="X46" s="887" t="s">
        <v>230</v>
      </c>
      <c r="Y46" s="384">
        <f t="shared" ref="Y46:AN46" si="14">SUM(Y44+Y45)</f>
        <v>9</v>
      </c>
      <c r="Z46" s="384">
        <f t="shared" si="14"/>
        <v>8</v>
      </c>
      <c r="AA46" s="384">
        <f t="shared" si="14"/>
        <v>1</v>
      </c>
      <c r="AB46" s="384">
        <f t="shared" si="14"/>
        <v>0</v>
      </c>
      <c r="AC46" s="92">
        <f t="shared" si="14"/>
        <v>5</v>
      </c>
      <c r="AD46" s="92">
        <f t="shared" si="14"/>
        <v>5</v>
      </c>
      <c r="AE46" s="92">
        <f t="shared" si="14"/>
        <v>0</v>
      </c>
      <c r="AF46" s="92">
        <f t="shared" si="14"/>
        <v>0</v>
      </c>
      <c r="AG46" s="383">
        <f t="shared" si="14"/>
        <v>3</v>
      </c>
      <c r="AH46" s="383">
        <f t="shared" si="14"/>
        <v>2</v>
      </c>
      <c r="AI46" s="383">
        <f t="shared" si="14"/>
        <v>1</v>
      </c>
      <c r="AJ46" s="383">
        <f t="shared" si="14"/>
        <v>0</v>
      </c>
      <c r="AK46" s="384">
        <f t="shared" si="14"/>
        <v>1</v>
      </c>
      <c r="AL46" s="384">
        <f t="shared" si="14"/>
        <v>1</v>
      </c>
      <c r="AM46" s="384">
        <f t="shared" si="14"/>
        <v>0</v>
      </c>
      <c r="AN46" s="384">
        <f t="shared" si="14"/>
        <v>0</v>
      </c>
    </row>
    <row r="47" spans="1:40" ht="15.65" customHeight="1" thickBot="1" x14ac:dyDescent="0.3">
      <c r="A47" s="100"/>
      <c r="C47" s="977" t="s">
        <v>227</v>
      </c>
      <c r="D47" s="978"/>
      <c r="E47" s="979"/>
      <c r="F47" s="541">
        <f t="shared" ref="F47:R47" si="15">SUM(F3+F4+F5+F6)</f>
        <v>111</v>
      </c>
      <c r="G47" s="541">
        <f t="shared" si="15"/>
        <v>79</v>
      </c>
      <c r="H47" s="541">
        <f t="shared" si="15"/>
        <v>3</v>
      </c>
      <c r="I47" s="541">
        <f t="shared" si="15"/>
        <v>0</v>
      </c>
      <c r="J47" s="541">
        <f t="shared" si="15"/>
        <v>15</v>
      </c>
      <c r="K47" s="541">
        <f t="shared" si="15"/>
        <v>15</v>
      </c>
      <c r="L47" s="541">
        <f t="shared" si="15"/>
        <v>2</v>
      </c>
      <c r="M47" s="541">
        <f t="shared" si="15"/>
        <v>0</v>
      </c>
      <c r="N47" s="541">
        <f t="shared" si="15"/>
        <v>0</v>
      </c>
      <c r="O47" s="541">
        <f t="shared" si="15"/>
        <v>0</v>
      </c>
      <c r="P47" s="541">
        <f t="shared" si="15"/>
        <v>1</v>
      </c>
      <c r="Q47" s="541">
        <f t="shared" si="15"/>
        <v>0</v>
      </c>
      <c r="R47" s="541">
        <f t="shared" si="15"/>
        <v>12</v>
      </c>
      <c r="S47" s="534"/>
      <c r="T47" s="534"/>
      <c r="U47" s="534"/>
      <c r="V47" s="535"/>
      <c r="W47" s="535"/>
      <c r="X47" s="888" t="s">
        <v>227</v>
      </c>
      <c r="Y47" s="541">
        <f t="shared" ref="Y47:AN47" si="16">SUM(Y3+Y4+Y5+Y6)</f>
        <v>4</v>
      </c>
      <c r="Z47" s="541">
        <f t="shared" si="16"/>
        <v>3</v>
      </c>
      <c r="AA47" s="541">
        <f t="shared" si="16"/>
        <v>0</v>
      </c>
      <c r="AB47" s="541">
        <f t="shared" si="16"/>
        <v>1</v>
      </c>
      <c r="AC47" s="536">
        <f t="shared" si="16"/>
        <v>2</v>
      </c>
      <c r="AD47" s="536">
        <f t="shared" si="16"/>
        <v>2</v>
      </c>
      <c r="AE47" s="536">
        <f t="shared" si="16"/>
        <v>0</v>
      </c>
      <c r="AF47" s="536">
        <f t="shared" si="16"/>
        <v>0</v>
      </c>
      <c r="AG47" s="537">
        <f t="shared" si="16"/>
        <v>2</v>
      </c>
      <c r="AH47" s="537">
        <f t="shared" si="16"/>
        <v>1</v>
      </c>
      <c r="AI47" s="537">
        <f t="shared" si="16"/>
        <v>0</v>
      </c>
      <c r="AJ47" s="537">
        <f t="shared" si="16"/>
        <v>1</v>
      </c>
      <c r="AK47" s="538">
        <f t="shared" si="16"/>
        <v>0</v>
      </c>
      <c r="AL47" s="538">
        <f t="shared" si="16"/>
        <v>0</v>
      </c>
      <c r="AM47" s="538">
        <f t="shared" si="16"/>
        <v>0</v>
      </c>
      <c r="AN47" s="538">
        <f t="shared" si="16"/>
        <v>0</v>
      </c>
    </row>
    <row r="48" spans="1:40" ht="15.8" customHeight="1" thickBot="1" x14ac:dyDescent="0.3">
      <c r="C48" s="977" t="s">
        <v>228</v>
      </c>
      <c r="D48" s="978"/>
      <c r="E48" s="979"/>
      <c r="F48" s="541">
        <f>SUM(F22)</f>
        <v>22</v>
      </c>
      <c r="G48" s="541">
        <f>SUM(G22)</f>
        <v>49</v>
      </c>
      <c r="H48" s="538" t="s">
        <v>77</v>
      </c>
      <c r="I48" s="538" t="s">
        <v>77</v>
      </c>
      <c r="J48" s="541">
        <f t="shared" ref="J48:O48" si="17">SUM(J22)</f>
        <v>4</v>
      </c>
      <c r="K48" s="541">
        <f t="shared" si="17"/>
        <v>1</v>
      </c>
      <c r="L48" s="541">
        <f t="shared" si="17"/>
        <v>0</v>
      </c>
      <c r="M48" s="541">
        <f t="shared" si="17"/>
        <v>0</v>
      </c>
      <c r="N48" s="541">
        <f t="shared" si="17"/>
        <v>0</v>
      </c>
      <c r="O48" s="541">
        <f t="shared" si="17"/>
        <v>0</v>
      </c>
      <c r="P48" s="538" t="s">
        <v>77</v>
      </c>
      <c r="Q48" s="538" t="s">
        <v>77</v>
      </c>
      <c r="R48" s="541">
        <f>SUM(R22)</f>
        <v>7</v>
      </c>
      <c r="S48" s="534"/>
      <c r="T48" s="534"/>
      <c r="U48" s="534"/>
      <c r="V48" s="534"/>
      <c r="W48" s="535"/>
      <c r="X48" s="888" t="s">
        <v>228</v>
      </c>
      <c r="Y48" s="541">
        <f t="shared" ref="Y48:AN48" si="18">SUM(Y22)</f>
        <v>1</v>
      </c>
      <c r="Z48" s="541">
        <f t="shared" si="18"/>
        <v>0</v>
      </c>
      <c r="AA48" s="541">
        <f t="shared" si="18"/>
        <v>0</v>
      </c>
      <c r="AB48" s="541">
        <f t="shared" si="18"/>
        <v>1</v>
      </c>
      <c r="AC48" s="539">
        <f t="shared" si="18"/>
        <v>1</v>
      </c>
      <c r="AD48" s="539">
        <f t="shared" si="18"/>
        <v>0</v>
      </c>
      <c r="AE48" s="539">
        <f t="shared" si="18"/>
        <v>0</v>
      </c>
      <c r="AF48" s="539">
        <f t="shared" si="18"/>
        <v>1</v>
      </c>
      <c r="AG48" s="540">
        <f t="shared" si="18"/>
        <v>0</v>
      </c>
      <c r="AH48" s="540">
        <f t="shared" si="18"/>
        <v>0</v>
      </c>
      <c r="AI48" s="540">
        <f t="shared" si="18"/>
        <v>0</v>
      </c>
      <c r="AJ48" s="540">
        <f t="shared" si="18"/>
        <v>0</v>
      </c>
      <c r="AK48" s="541">
        <f t="shared" si="18"/>
        <v>0</v>
      </c>
      <c r="AL48" s="541">
        <f t="shared" si="18"/>
        <v>0</v>
      </c>
      <c r="AM48" s="541">
        <f t="shared" si="18"/>
        <v>0</v>
      </c>
      <c r="AN48" s="541">
        <f t="shared" si="18"/>
        <v>0</v>
      </c>
    </row>
    <row r="49" spans="1:40" ht="15.65" customHeight="1" thickBot="1" x14ac:dyDescent="0.3">
      <c r="C49" s="1010" t="s">
        <v>229</v>
      </c>
      <c r="D49" s="978"/>
      <c r="E49" s="979"/>
      <c r="F49" s="545">
        <f>SUM(F47+F48)</f>
        <v>133</v>
      </c>
      <c r="G49" s="545">
        <f t="shared" ref="G49:R49" si="19">SUM(G47+G48)</f>
        <v>128</v>
      </c>
      <c r="H49" s="545">
        <f>H47</f>
        <v>3</v>
      </c>
      <c r="I49" s="545">
        <f>I47</f>
        <v>0</v>
      </c>
      <c r="J49" s="545">
        <f t="shared" si="19"/>
        <v>19</v>
      </c>
      <c r="K49" s="545">
        <f t="shared" si="19"/>
        <v>16</v>
      </c>
      <c r="L49" s="545">
        <f t="shared" si="19"/>
        <v>2</v>
      </c>
      <c r="M49" s="545">
        <f t="shared" si="19"/>
        <v>0</v>
      </c>
      <c r="N49" s="545">
        <f t="shared" si="19"/>
        <v>0</v>
      </c>
      <c r="O49" s="545">
        <f t="shared" si="19"/>
        <v>0</v>
      </c>
      <c r="P49" s="545">
        <f t="shared" ref="P49:Q49" si="20">P47</f>
        <v>1</v>
      </c>
      <c r="Q49" s="545">
        <f t="shared" si="20"/>
        <v>0</v>
      </c>
      <c r="R49" s="545">
        <f t="shared" si="19"/>
        <v>19</v>
      </c>
      <c r="S49" s="534"/>
      <c r="T49" s="534"/>
      <c r="U49" s="534"/>
      <c r="V49" s="534"/>
      <c r="W49" s="542"/>
      <c r="X49" s="885" t="s">
        <v>229</v>
      </c>
      <c r="Y49" s="545">
        <f t="shared" ref="Y49:AN49" si="21">SUM(Y47+Y48)</f>
        <v>5</v>
      </c>
      <c r="Z49" s="545">
        <f t="shared" si="21"/>
        <v>3</v>
      </c>
      <c r="AA49" s="545">
        <f t="shared" si="21"/>
        <v>0</v>
      </c>
      <c r="AB49" s="545">
        <f t="shared" si="21"/>
        <v>2</v>
      </c>
      <c r="AC49" s="543">
        <f t="shared" si="21"/>
        <v>3</v>
      </c>
      <c r="AD49" s="543">
        <f t="shared" si="21"/>
        <v>2</v>
      </c>
      <c r="AE49" s="543">
        <f t="shared" si="21"/>
        <v>0</v>
      </c>
      <c r="AF49" s="543">
        <f t="shared" si="21"/>
        <v>1</v>
      </c>
      <c r="AG49" s="544">
        <f t="shared" si="21"/>
        <v>2</v>
      </c>
      <c r="AH49" s="544">
        <f t="shared" si="21"/>
        <v>1</v>
      </c>
      <c r="AI49" s="544">
        <f t="shared" si="21"/>
        <v>0</v>
      </c>
      <c r="AJ49" s="544">
        <f t="shared" si="21"/>
        <v>1</v>
      </c>
      <c r="AK49" s="545">
        <f t="shared" si="21"/>
        <v>0</v>
      </c>
      <c r="AL49" s="545">
        <f t="shared" si="21"/>
        <v>0</v>
      </c>
      <c r="AM49" s="545">
        <f t="shared" si="21"/>
        <v>0</v>
      </c>
      <c r="AN49" s="545">
        <f t="shared" si="21"/>
        <v>0</v>
      </c>
    </row>
    <row r="50" spans="1:40" ht="15.8" customHeight="1" thickBot="1" x14ac:dyDescent="0.3">
      <c r="A50" s="100"/>
      <c r="C50" s="980" t="s">
        <v>63</v>
      </c>
      <c r="D50" s="981"/>
      <c r="E50" s="982"/>
      <c r="F50" s="378">
        <f t="shared" ref="F50:R50" si="22">SUM(F3:F40)</f>
        <v>1100</v>
      </c>
      <c r="G50" s="378">
        <f t="shared" si="22"/>
        <v>755</v>
      </c>
      <c r="H50" s="378">
        <f t="shared" si="22"/>
        <v>17</v>
      </c>
      <c r="I50" s="378">
        <f t="shared" si="22"/>
        <v>5</v>
      </c>
      <c r="J50" s="378">
        <f t="shared" si="22"/>
        <v>146</v>
      </c>
      <c r="K50" s="378">
        <f t="shared" si="22"/>
        <v>125</v>
      </c>
      <c r="L50" s="378">
        <f t="shared" si="22"/>
        <v>2</v>
      </c>
      <c r="M50" s="378">
        <f t="shared" si="22"/>
        <v>36</v>
      </c>
      <c r="N50" s="378">
        <f t="shared" si="22"/>
        <v>14</v>
      </c>
      <c r="O50" s="378">
        <f t="shared" si="22"/>
        <v>1</v>
      </c>
      <c r="P50" s="378">
        <f t="shared" si="22"/>
        <v>6</v>
      </c>
      <c r="Q50" s="378">
        <f t="shared" si="22"/>
        <v>6</v>
      </c>
      <c r="R50" s="378">
        <f t="shared" si="22"/>
        <v>98</v>
      </c>
      <c r="S50" s="168"/>
      <c r="T50" s="168"/>
      <c r="U50" s="168"/>
      <c r="V50" s="169"/>
      <c r="W50" s="169"/>
      <c r="X50" s="886" t="s">
        <v>63</v>
      </c>
      <c r="Y50" s="378">
        <f t="shared" ref="Y50:AN50" si="23">SUM(Y3:Y40)</f>
        <v>38</v>
      </c>
      <c r="Z50" s="378">
        <f t="shared" si="23"/>
        <v>28</v>
      </c>
      <c r="AA50" s="378">
        <f t="shared" si="23"/>
        <v>1</v>
      </c>
      <c r="AB50" s="378">
        <f t="shared" si="23"/>
        <v>9</v>
      </c>
      <c r="AC50" s="66">
        <f t="shared" si="23"/>
        <v>20</v>
      </c>
      <c r="AD50" s="66">
        <f t="shared" si="23"/>
        <v>16</v>
      </c>
      <c r="AE50" s="66">
        <f t="shared" si="23"/>
        <v>0</v>
      </c>
      <c r="AF50" s="66">
        <f t="shared" si="23"/>
        <v>4</v>
      </c>
      <c r="AG50" s="377">
        <f t="shared" si="23"/>
        <v>16</v>
      </c>
      <c r="AH50" s="377">
        <f t="shared" si="23"/>
        <v>10</v>
      </c>
      <c r="AI50" s="377">
        <f t="shared" si="23"/>
        <v>1</v>
      </c>
      <c r="AJ50" s="377">
        <f t="shared" si="23"/>
        <v>5</v>
      </c>
      <c r="AK50" s="378">
        <f t="shared" si="23"/>
        <v>2</v>
      </c>
      <c r="AL50" s="378">
        <f t="shared" si="23"/>
        <v>2</v>
      </c>
      <c r="AM50" s="378">
        <f t="shared" si="23"/>
        <v>0</v>
      </c>
      <c r="AN50" s="378">
        <f t="shared" si="23"/>
        <v>0</v>
      </c>
    </row>
    <row r="51" spans="1:40" ht="15.8" customHeight="1" x14ac:dyDescent="0.25">
      <c r="A51" s="897" t="s">
        <v>1031</v>
      </c>
      <c r="B51" s="99"/>
      <c r="C51" s="898"/>
      <c r="D51" s="898"/>
      <c r="E51" s="89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877"/>
      <c r="T51" s="877"/>
      <c r="U51" s="877"/>
      <c r="V51" s="169"/>
      <c r="W51" s="169"/>
      <c r="X51" s="169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</row>
    <row r="52" spans="1:40" ht="15.8" customHeight="1" x14ac:dyDescent="0.25">
      <c r="A52" s="100" t="s">
        <v>721</v>
      </c>
    </row>
    <row r="53" spans="1:40" ht="15.8" customHeight="1" x14ac:dyDescent="0.25">
      <c r="A53" s="100" t="s">
        <v>875</v>
      </c>
    </row>
    <row r="54" spans="1:40" x14ac:dyDescent="0.25">
      <c r="A54" s="905" t="s">
        <v>107</v>
      </c>
    </row>
  </sheetData>
  <mergeCells count="26">
    <mergeCell ref="C50:E50"/>
    <mergeCell ref="C44:E44"/>
    <mergeCell ref="C41:E41"/>
    <mergeCell ref="N1:O1"/>
    <mergeCell ref="C45:E45"/>
    <mergeCell ref="C47:E47"/>
    <mergeCell ref="C48:E48"/>
    <mergeCell ref="C43:E43"/>
    <mergeCell ref="C46:E46"/>
    <mergeCell ref="C49:E49"/>
    <mergeCell ref="A1:D1"/>
    <mergeCell ref="E1:G1"/>
    <mergeCell ref="H1:I1"/>
    <mergeCell ref="J1:M1"/>
    <mergeCell ref="P1:R1"/>
    <mergeCell ref="AZ4:BA4"/>
    <mergeCell ref="C42:E42"/>
    <mergeCell ref="AQ18:AR18"/>
    <mergeCell ref="AT18:AU18"/>
    <mergeCell ref="AT4:AU4"/>
    <mergeCell ref="AV4:AW4"/>
    <mergeCell ref="AX4:AY4"/>
    <mergeCell ref="Y1:AB1"/>
    <mergeCell ref="AC1:AF1"/>
    <mergeCell ref="AG1:AJ1"/>
    <mergeCell ref="AK1:AN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C47"/>
  <sheetViews>
    <sheetView zoomScaleNormal="100" workbookViewId="0">
      <pane ySplit="2" topLeftCell="A3" activePane="bottomLeft" state="frozen"/>
      <selection pane="bottomLeft" activeCell="F3" sqref="F3"/>
    </sheetView>
  </sheetViews>
  <sheetFormatPr defaultColWidth="8.875" defaultRowHeight="14.3" x14ac:dyDescent="0.25"/>
  <cols>
    <col min="1" max="1" width="8.75" style="317" customWidth="1"/>
    <col min="2" max="2" width="5.75" style="317" customWidth="1"/>
    <col min="3" max="3" width="14" style="317" customWidth="1"/>
    <col min="4" max="5" width="3.75" style="317" customWidth="1"/>
    <col min="6" max="7" width="4.375" style="317" bestFit="1" customWidth="1"/>
    <col min="8" max="18" width="3.75" style="317" customWidth="1"/>
    <col min="19" max="19" width="6.25" style="317" customWidth="1"/>
    <col min="20" max="20" width="5.75" customWidth="1"/>
    <col min="21" max="21" width="22.125" style="317" bestFit="1" customWidth="1"/>
    <col min="22" max="22" width="23.375" style="317" bestFit="1" customWidth="1"/>
    <col min="23" max="23" width="24.875" style="317" bestFit="1" customWidth="1"/>
    <col min="24" max="24" width="25.625" style="317" bestFit="1" customWidth="1"/>
    <col min="25" max="40" width="3.75" style="317" customWidth="1"/>
    <col min="41" max="42" width="8.875" style="317"/>
    <col min="43" max="43" width="15.75" style="317" customWidth="1"/>
    <col min="44" max="45" width="8.875" style="317"/>
    <col min="46" max="46" width="10.875" style="317" bestFit="1" customWidth="1"/>
    <col min="47" max="47" width="6.75" style="317" customWidth="1"/>
    <col min="48" max="48" width="10.875" style="317" bestFit="1" customWidth="1"/>
    <col min="49" max="49" width="6.75" style="317" customWidth="1"/>
    <col min="50" max="50" width="10.875" style="317" bestFit="1" customWidth="1"/>
    <col min="51" max="51" width="6.75" style="317" customWidth="1"/>
    <col min="52" max="52" width="10.875" style="317" bestFit="1" customWidth="1"/>
    <col min="53" max="53" width="6.75" style="317" customWidth="1"/>
    <col min="54" max="54" width="10.875" style="317" bestFit="1" customWidth="1"/>
    <col min="55" max="55" width="6.75" style="317" customWidth="1"/>
    <col min="56" max="16384" width="8.875" style="317"/>
  </cols>
  <sheetData>
    <row r="1" spans="1:55" ht="14.95" customHeight="1" thickBot="1" x14ac:dyDescent="0.3">
      <c r="A1" s="1053" t="s">
        <v>278</v>
      </c>
      <c r="B1" s="1054"/>
      <c r="C1" s="1054"/>
      <c r="D1" s="1055"/>
      <c r="E1" s="1056" t="s">
        <v>70</v>
      </c>
      <c r="F1" s="1057"/>
      <c r="G1" s="1058"/>
      <c r="H1" s="1056" t="s">
        <v>69</v>
      </c>
      <c r="I1" s="1058"/>
      <c r="J1" s="1059" t="s">
        <v>40</v>
      </c>
      <c r="K1" s="1060"/>
      <c r="L1" s="1060"/>
      <c r="M1" s="1061"/>
      <c r="N1" s="1059" t="s">
        <v>41</v>
      </c>
      <c r="O1" s="1061"/>
      <c r="P1" s="1059" t="s">
        <v>72</v>
      </c>
      <c r="Q1" s="1060"/>
      <c r="R1" s="1061"/>
      <c r="S1" s="747" t="s">
        <v>42</v>
      </c>
      <c r="T1" s="748" t="s">
        <v>43</v>
      </c>
      <c r="U1" s="315" t="s">
        <v>44</v>
      </c>
      <c r="V1" s="314" t="s">
        <v>45</v>
      </c>
      <c r="W1" s="314" t="s">
        <v>101</v>
      </c>
      <c r="X1" s="749" t="s">
        <v>102</v>
      </c>
      <c r="Y1" s="1070" t="s">
        <v>64</v>
      </c>
      <c r="Z1" s="1041"/>
      <c r="AA1" s="1041"/>
      <c r="AB1" s="1042"/>
      <c r="AC1" s="1071" t="s">
        <v>65</v>
      </c>
      <c r="AD1" s="966"/>
      <c r="AE1" s="966"/>
      <c r="AF1" s="967"/>
      <c r="AG1" s="1071" t="s">
        <v>66</v>
      </c>
      <c r="AH1" s="966"/>
      <c r="AI1" s="966"/>
      <c r="AJ1" s="967"/>
      <c r="AK1" s="1071" t="s">
        <v>137</v>
      </c>
      <c r="AL1" s="966"/>
      <c r="AM1" s="966"/>
      <c r="AN1" s="967"/>
    </row>
    <row r="2" spans="1:55" ht="14.95" customHeight="1" thickBot="1" x14ac:dyDescent="0.3">
      <c r="A2" s="318" t="s">
        <v>62</v>
      </c>
      <c r="B2" s="319" t="s">
        <v>61</v>
      </c>
      <c r="C2" s="320" t="s">
        <v>60</v>
      </c>
      <c r="D2" s="320" t="s">
        <v>71</v>
      </c>
      <c r="E2" s="321" t="s">
        <v>50</v>
      </c>
      <c r="F2" s="321" t="s">
        <v>35</v>
      </c>
      <c r="G2" s="321" t="s">
        <v>36</v>
      </c>
      <c r="H2" s="322" t="s">
        <v>67</v>
      </c>
      <c r="I2" s="323" t="s">
        <v>68</v>
      </c>
      <c r="J2" s="323" t="s">
        <v>46</v>
      </c>
      <c r="K2" s="323" t="s">
        <v>47</v>
      </c>
      <c r="L2" s="323" t="s">
        <v>33</v>
      </c>
      <c r="M2" s="323" t="s">
        <v>48</v>
      </c>
      <c r="N2" s="323" t="s">
        <v>49</v>
      </c>
      <c r="O2" s="323" t="s">
        <v>50</v>
      </c>
      <c r="P2" s="323" t="s">
        <v>67</v>
      </c>
      <c r="Q2" s="323" t="s">
        <v>68</v>
      </c>
      <c r="R2" s="323" t="s">
        <v>46</v>
      </c>
      <c r="S2" s="324"/>
      <c r="T2" s="376"/>
      <c r="U2" s="325"/>
      <c r="V2" s="324"/>
      <c r="W2" s="316"/>
      <c r="X2" s="326"/>
      <c r="Y2" s="454" t="s">
        <v>31</v>
      </c>
      <c r="Z2" s="454" t="s">
        <v>32</v>
      </c>
      <c r="AA2" s="454" t="s">
        <v>33</v>
      </c>
      <c r="AB2" s="454" t="s">
        <v>34</v>
      </c>
      <c r="AC2" s="454" t="s">
        <v>31</v>
      </c>
      <c r="AD2" s="454" t="s">
        <v>32</v>
      </c>
      <c r="AE2" s="454" t="s">
        <v>33</v>
      </c>
      <c r="AF2" s="454" t="s">
        <v>34</v>
      </c>
      <c r="AG2" s="454" t="s">
        <v>31</v>
      </c>
      <c r="AH2" s="454" t="s">
        <v>32</v>
      </c>
      <c r="AI2" s="454" t="s">
        <v>33</v>
      </c>
      <c r="AJ2" s="454" t="s">
        <v>34</v>
      </c>
      <c r="AK2" s="454" t="s">
        <v>31</v>
      </c>
      <c r="AL2" s="454" t="s">
        <v>32</v>
      </c>
      <c r="AM2" s="454" t="s">
        <v>33</v>
      </c>
      <c r="AN2" s="454" t="s">
        <v>34</v>
      </c>
      <c r="AQ2" s="327" t="s">
        <v>181</v>
      </c>
      <c r="AT2" s="327" t="s">
        <v>181</v>
      </c>
    </row>
    <row r="3" spans="1:55" ht="14.95" customHeight="1" thickBot="1" x14ac:dyDescent="0.3">
      <c r="A3" s="619" t="s">
        <v>231</v>
      </c>
      <c r="B3" s="547" t="s">
        <v>222</v>
      </c>
      <c r="C3" s="548" t="s">
        <v>11</v>
      </c>
      <c r="D3" s="549" t="s">
        <v>299</v>
      </c>
      <c r="E3" s="549" t="s">
        <v>34</v>
      </c>
      <c r="F3" s="549">
        <v>29</v>
      </c>
      <c r="G3" s="549">
        <v>49</v>
      </c>
      <c r="H3" s="549">
        <v>1</v>
      </c>
      <c r="I3" s="549">
        <v>0</v>
      </c>
      <c r="J3" s="549">
        <v>4</v>
      </c>
      <c r="K3" s="549">
        <v>3</v>
      </c>
      <c r="L3" s="549">
        <v>0</v>
      </c>
      <c r="M3" s="549">
        <v>1</v>
      </c>
      <c r="N3" s="549">
        <v>0</v>
      </c>
      <c r="O3" s="549">
        <v>0</v>
      </c>
      <c r="P3" s="549">
        <v>1</v>
      </c>
      <c r="Q3" s="549">
        <v>0</v>
      </c>
      <c r="R3" s="549">
        <v>7</v>
      </c>
      <c r="S3" s="550">
        <v>11287</v>
      </c>
      <c r="T3" s="560" t="s">
        <v>310</v>
      </c>
      <c r="U3" s="551" t="s">
        <v>323</v>
      </c>
      <c r="V3" s="550" t="s">
        <v>202</v>
      </c>
      <c r="W3" s="550" t="s">
        <v>324</v>
      </c>
      <c r="X3" s="552" t="s">
        <v>325</v>
      </c>
      <c r="Y3" s="550">
        <v>1</v>
      </c>
      <c r="Z3" s="550">
        <v>0</v>
      </c>
      <c r="AA3" s="550">
        <v>0</v>
      </c>
      <c r="AB3" s="588">
        <v>1</v>
      </c>
      <c r="AC3" s="550">
        <v>1</v>
      </c>
      <c r="AD3" s="550">
        <v>0</v>
      </c>
      <c r="AE3" s="550">
        <v>0</v>
      </c>
      <c r="AF3" s="588">
        <v>1</v>
      </c>
      <c r="AG3" s="550">
        <v>0</v>
      </c>
      <c r="AH3" s="550">
        <v>0</v>
      </c>
      <c r="AI3" s="550">
        <v>0</v>
      </c>
      <c r="AJ3" s="552">
        <v>0</v>
      </c>
      <c r="AK3" s="550">
        <v>0</v>
      </c>
      <c r="AL3" s="550">
        <v>0</v>
      </c>
      <c r="AM3" s="550">
        <v>0</v>
      </c>
      <c r="AN3" s="552">
        <v>0</v>
      </c>
      <c r="AQ3" s="573" t="s">
        <v>171</v>
      </c>
      <c r="AT3" s="328" t="s">
        <v>177</v>
      </c>
    </row>
    <row r="4" spans="1:55" ht="14.95" customHeight="1" thickBot="1" x14ac:dyDescent="0.3">
      <c r="A4" s="553" t="s">
        <v>754</v>
      </c>
      <c r="B4" s="554" t="s">
        <v>222</v>
      </c>
      <c r="C4" s="555" t="s">
        <v>165</v>
      </c>
      <c r="D4" s="556" t="s">
        <v>36</v>
      </c>
      <c r="E4" s="556" t="s">
        <v>34</v>
      </c>
      <c r="F4" s="556">
        <v>17</v>
      </c>
      <c r="G4" s="556">
        <v>20</v>
      </c>
      <c r="H4" s="556">
        <v>0</v>
      </c>
      <c r="I4" s="556">
        <v>1</v>
      </c>
      <c r="J4" s="556">
        <v>3</v>
      </c>
      <c r="K4" s="556">
        <v>1</v>
      </c>
      <c r="L4" s="556">
        <v>0</v>
      </c>
      <c r="M4" s="556">
        <v>0</v>
      </c>
      <c r="N4" s="556">
        <v>0</v>
      </c>
      <c r="O4" s="556">
        <v>0</v>
      </c>
      <c r="P4" s="556">
        <v>0</v>
      </c>
      <c r="Q4" s="556">
        <v>0</v>
      </c>
      <c r="R4" s="556">
        <v>2</v>
      </c>
      <c r="S4" s="620">
        <v>7274</v>
      </c>
      <c r="T4" s="563" t="s">
        <v>363</v>
      </c>
      <c r="U4" s="622" t="s">
        <v>463</v>
      </c>
      <c r="V4" s="620" t="s">
        <v>202</v>
      </c>
      <c r="W4" s="623" t="s">
        <v>346</v>
      </c>
      <c r="X4" s="623" t="s">
        <v>316</v>
      </c>
      <c r="Y4" s="557">
        <v>1</v>
      </c>
      <c r="Z4" s="557">
        <v>0</v>
      </c>
      <c r="AA4" s="557">
        <v>0</v>
      </c>
      <c r="AB4" s="583">
        <v>1</v>
      </c>
      <c r="AC4" s="557">
        <v>0</v>
      </c>
      <c r="AD4" s="557">
        <v>0</v>
      </c>
      <c r="AE4" s="557">
        <v>0</v>
      </c>
      <c r="AF4" s="583">
        <v>0</v>
      </c>
      <c r="AG4" s="557">
        <v>1</v>
      </c>
      <c r="AH4" s="557">
        <v>1</v>
      </c>
      <c r="AI4" s="557">
        <v>0</v>
      </c>
      <c r="AJ4" s="558">
        <v>0</v>
      </c>
      <c r="AK4" s="557">
        <v>0</v>
      </c>
      <c r="AL4" s="557">
        <v>0</v>
      </c>
      <c r="AM4" s="557">
        <v>0</v>
      </c>
      <c r="AN4" s="558">
        <v>0</v>
      </c>
      <c r="AQ4" s="329" t="s">
        <v>167</v>
      </c>
      <c r="AR4" s="330">
        <f>GlosPremhistplayed</f>
        <v>516</v>
      </c>
      <c r="AT4" s="1051" t="s">
        <v>179</v>
      </c>
      <c r="AU4" s="1052"/>
      <c r="AV4" s="1062" t="s">
        <v>172</v>
      </c>
      <c r="AW4" s="1063"/>
      <c r="AX4" s="1068" t="s">
        <v>187</v>
      </c>
      <c r="AY4" s="1069"/>
      <c r="AZ4" s="1064" t="s">
        <v>173</v>
      </c>
      <c r="BA4" s="1065"/>
      <c r="BB4" s="1066" t="s">
        <v>174</v>
      </c>
      <c r="BC4" s="1067"/>
    </row>
    <row r="5" spans="1:55" ht="14.95" customHeight="1" thickBot="1" x14ac:dyDescent="0.3">
      <c r="A5" s="582" t="s">
        <v>233</v>
      </c>
      <c r="B5" s="554" t="s">
        <v>222</v>
      </c>
      <c r="C5" s="589" t="s">
        <v>9</v>
      </c>
      <c r="D5" s="562" t="s">
        <v>36</v>
      </c>
      <c r="E5" s="562" t="s">
        <v>34</v>
      </c>
      <c r="F5" s="562">
        <v>31</v>
      </c>
      <c r="G5" s="562">
        <v>40</v>
      </c>
      <c r="H5" s="562">
        <v>1</v>
      </c>
      <c r="I5" s="562">
        <v>0</v>
      </c>
      <c r="J5" s="562">
        <v>5</v>
      </c>
      <c r="K5" s="562">
        <v>3</v>
      </c>
      <c r="L5" s="562">
        <v>0</v>
      </c>
      <c r="M5" s="562">
        <v>0</v>
      </c>
      <c r="N5" s="562">
        <v>2</v>
      </c>
      <c r="O5" s="562">
        <v>0</v>
      </c>
      <c r="P5" s="562">
        <v>1</v>
      </c>
      <c r="Q5" s="562">
        <v>0</v>
      </c>
      <c r="R5" s="562">
        <v>6</v>
      </c>
      <c r="S5" s="557">
        <v>12496</v>
      </c>
      <c r="T5" s="569" t="s">
        <v>390</v>
      </c>
      <c r="U5" s="559" t="s">
        <v>400</v>
      </c>
      <c r="V5" s="557" t="s">
        <v>202</v>
      </c>
      <c r="W5" s="557" t="s">
        <v>401</v>
      </c>
      <c r="X5" s="557" t="s">
        <v>328</v>
      </c>
      <c r="Y5" s="557">
        <v>1</v>
      </c>
      <c r="Z5" s="557">
        <v>0</v>
      </c>
      <c r="AA5" s="557">
        <v>0</v>
      </c>
      <c r="AB5" s="557">
        <v>1</v>
      </c>
      <c r="AC5" s="557">
        <v>0</v>
      </c>
      <c r="AD5" s="557">
        <v>0</v>
      </c>
      <c r="AE5" s="557">
        <v>0</v>
      </c>
      <c r="AF5" s="557">
        <v>0</v>
      </c>
      <c r="AG5" s="557">
        <v>1</v>
      </c>
      <c r="AH5" s="557">
        <v>0</v>
      </c>
      <c r="AI5" s="557">
        <v>0</v>
      </c>
      <c r="AJ5" s="559">
        <v>1</v>
      </c>
      <c r="AK5" s="557">
        <v>0</v>
      </c>
      <c r="AL5" s="557">
        <v>0</v>
      </c>
      <c r="AM5" s="557">
        <v>0</v>
      </c>
      <c r="AN5" s="559">
        <v>0</v>
      </c>
      <c r="AQ5" s="331" t="s">
        <v>0</v>
      </c>
      <c r="AR5" s="332">
        <f>GlosPremhistwon</f>
        <v>264</v>
      </c>
      <c r="AT5" s="333" t="s">
        <v>167</v>
      </c>
      <c r="AU5" s="334">
        <f>Gloeuropeancuphistplayed</f>
        <v>76</v>
      </c>
      <c r="AV5" s="335" t="s">
        <v>167</v>
      </c>
      <c r="AW5" s="336">
        <f>Glochampscuphistplayed</f>
        <v>12</v>
      </c>
      <c r="AX5" s="337" t="s">
        <v>167</v>
      </c>
      <c r="AY5" s="338">
        <f>glochampscuppohistplayed</f>
        <v>2</v>
      </c>
      <c r="AZ5" s="339" t="s">
        <v>167</v>
      </c>
      <c r="BA5" s="340">
        <f>glochallcuphistplayed</f>
        <v>84</v>
      </c>
      <c r="BB5" s="341" t="s">
        <v>167</v>
      </c>
      <c r="BC5" s="342">
        <f t="shared" ref="BC5:BC12" si="0">SUM(AU5+AY5+BA5)</f>
        <v>162</v>
      </c>
    </row>
    <row r="6" spans="1:55" ht="14.95" customHeight="1" thickBot="1" x14ac:dyDescent="0.3">
      <c r="A6" s="546" t="s">
        <v>360</v>
      </c>
      <c r="B6" s="547" t="s">
        <v>222</v>
      </c>
      <c r="C6" s="590" t="s">
        <v>22</v>
      </c>
      <c r="D6" s="549" t="s">
        <v>299</v>
      </c>
      <c r="E6" s="549" t="s">
        <v>34</v>
      </c>
      <c r="F6" s="549">
        <v>24</v>
      </c>
      <c r="G6" s="549">
        <v>26</v>
      </c>
      <c r="H6" s="549">
        <v>1</v>
      </c>
      <c r="I6" s="549">
        <v>1</v>
      </c>
      <c r="J6" s="549">
        <v>4</v>
      </c>
      <c r="K6" s="549">
        <v>2</v>
      </c>
      <c r="L6" s="549">
        <v>0</v>
      </c>
      <c r="M6" s="549">
        <v>0</v>
      </c>
      <c r="N6" s="549">
        <v>0</v>
      </c>
      <c r="O6" s="549">
        <v>0</v>
      </c>
      <c r="P6" s="549">
        <v>1</v>
      </c>
      <c r="Q6" s="549">
        <v>0</v>
      </c>
      <c r="R6" s="549">
        <v>4</v>
      </c>
      <c r="S6" s="550">
        <v>13197</v>
      </c>
      <c r="T6" s="560" t="s">
        <v>414</v>
      </c>
      <c r="U6" s="551" t="s">
        <v>318</v>
      </c>
      <c r="V6" s="550" t="s">
        <v>348</v>
      </c>
      <c r="W6" s="550" t="s">
        <v>395</v>
      </c>
      <c r="X6" s="552" t="s">
        <v>306</v>
      </c>
      <c r="Y6" s="550">
        <v>1</v>
      </c>
      <c r="Z6" s="550">
        <v>0</v>
      </c>
      <c r="AA6" s="550">
        <v>0</v>
      </c>
      <c r="AB6" s="550">
        <v>1</v>
      </c>
      <c r="AC6" s="550">
        <v>1</v>
      </c>
      <c r="AD6" s="550">
        <v>0</v>
      </c>
      <c r="AE6" s="550">
        <v>0</v>
      </c>
      <c r="AF6" s="550">
        <v>1</v>
      </c>
      <c r="AG6" s="550">
        <v>0</v>
      </c>
      <c r="AH6" s="550">
        <v>0</v>
      </c>
      <c r="AI6" s="550">
        <v>0</v>
      </c>
      <c r="AJ6" s="551">
        <v>0</v>
      </c>
      <c r="AK6" s="550">
        <v>0</v>
      </c>
      <c r="AL6" s="550">
        <v>0</v>
      </c>
      <c r="AM6" s="550">
        <v>0</v>
      </c>
      <c r="AN6" s="551">
        <v>0</v>
      </c>
      <c r="AQ6" s="331" t="s">
        <v>168</v>
      </c>
      <c r="AR6" s="332">
        <f>GlosPremhistdrawn</f>
        <v>18</v>
      </c>
      <c r="AT6" s="333" t="s">
        <v>0</v>
      </c>
      <c r="AU6" s="334">
        <f>Gloeuropeancuphistwon</f>
        <v>42</v>
      </c>
      <c r="AV6" s="335" t="s">
        <v>0</v>
      </c>
      <c r="AW6" s="336">
        <f>glochampscuphistwon</f>
        <v>4</v>
      </c>
      <c r="AX6" s="337" t="s">
        <v>0</v>
      </c>
      <c r="AY6" s="338">
        <f>glochampscuppohistwon</f>
        <v>1</v>
      </c>
      <c r="AZ6" s="339" t="s">
        <v>0</v>
      </c>
      <c r="BA6" s="340">
        <f>glochallcuphistwon</f>
        <v>65</v>
      </c>
      <c r="BB6" s="341" t="s">
        <v>0</v>
      </c>
      <c r="BC6" s="342">
        <f t="shared" si="0"/>
        <v>108</v>
      </c>
    </row>
    <row r="7" spans="1:55" ht="14.95" customHeight="1" thickBot="1" x14ac:dyDescent="0.3">
      <c r="A7" s="479" t="s">
        <v>242</v>
      </c>
      <c r="B7" s="461" t="s">
        <v>199</v>
      </c>
      <c r="C7" s="462" t="s">
        <v>27</v>
      </c>
      <c r="D7" s="463" t="s">
        <v>36</v>
      </c>
      <c r="E7" s="463" t="s">
        <v>32</v>
      </c>
      <c r="F7" s="463">
        <v>18</v>
      </c>
      <c r="G7" s="463">
        <v>16</v>
      </c>
      <c r="H7" s="463">
        <v>0</v>
      </c>
      <c r="I7" s="463">
        <v>0</v>
      </c>
      <c r="J7" s="463">
        <v>2</v>
      </c>
      <c r="K7" s="463">
        <v>1</v>
      </c>
      <c r="L7" s="463">
        <v>0</v>
      </c>
      <c r="M7" s="463">
        <v>2</v>
      </c>
      <c r="N7" s="463">
        <v>1</v>
      </c>
      <c r="O7" s="463">
        <v>0</v>
      </c>
      <c r="P7" s="463">
        <v>0</v>
      </c>
      <c r="Q7" s="463">
        <v>1</v>
      </c>
      <c r="R7" s="463">
        <v>1</v>
      </c>
      <c r="S7" s="464">
        <v>6152</v>
      </c>
      <c r="T7" s="481" t="s">
        <v>470</v>
      </c>
      <c r="U7" s="466" t="s">
        <v>320</v>
      </c>
      <c r="V7" s="464" t="s">
        <v>329</v>
      </c>
      <c r="W7" s="464" t="s">
        <v>324</v>
      </c>
      <c r="X7" s="467" t="s">
        <v>328</v>
      </c>
      <c r="Y7" s="464">
        <v>1</v>
      </c>
      <c r="Z7" s="464">
        <v>1</v>
      </c>
      <c r="AA7" s="464">
        <v>0</v>
      </c>
      <c r="AB7" s="464">
        <v>0</v>
      </c>
      <c r="AC7" s="464">
        <v>0</v>
      </c>
      <c r="AD7" s="464">
        <v>0</v>
      </c>
      <c r="AE7" s="464">
        <v>0</v>
      </c>
      <c r="AF7" s="464">
        <v>0</v>
      </c>
      <c r="AG7" s="464">
        <v>1</v>
      </c>
      <c r="AH7" s="464">
        <v>1</v>
      </c>
      <c r="AI7" s="464">
        <v>0</v>
      </c>
      <c r="AJ7" s="466">
        <v>0</v>
      </c>
      <c r="AK7" s="464">
        <v>0</v>
      </c>
      <c r="AL7" s="464">
        <v>0</v>
      </c>
      <c r="AM7" s="464">
        <v>0</v>
      </c>
      <c r="AN7" s="466">
        <v>0</v>
      </c>
      <c r="AQ7" s="331" t="s">
        <v>1</v>
      </c>
      <c r="AR7" s="332">
        <f>GlosPremhistlost</f>
        <v>234</v>
      </c>
      <c r="AT7" s="333" t="s">
        <v>168</v>
      </c>
      <c r="AU7" s="334">
        <f>Gloeuropeancuphistdrawn</f>
        <v>1</v>
      </c>
      <c r="AV7" s="335" t="s">
        <v>168</v>
      </c>
      <c r="AW7" s="336">
        <f>glochampscuphistdrawn</f>
        <v>0</v>
      </c>
      <c r="AX7" s="337" t="s">
        <v>168</v>
      </c>
      <c r="AY7" s="338">
        <f>glochampscuppohistdrawn</f>
        <v>0</v>
      </c>
      <c r="AZ7" s="339" t="s">
        <v>168</v>
      </c>
      <c r="BA7" s="340">
        <f>glochallcuphistdrawn</f>
        <v>3</v>
      </c>
      <c r="BB7" s="341" t="s">
        <v>168</v>
      </c>
      <c r="BC7" s="342">
        <f t="shared" si="0"/>
        <v>4</v>
      </c>
    </row>
    <row r="8" spans="1:55" ht="14.95" customHeight="1" thickBot="1" x14ac:dyDescent="0.3">
      <c r="A8" s="468" t="s">
        <v>238</v>
      </c>
      <c r="B8" s="469" t="s">
        <v>199</v>
      </c>
      <c r="C8" s="470" t="s">
        <v>106</v>
      </c>
      <c r="D8" s="471" t="s">
        <v>299</v>
      </c>
      <c r="E8" s="471" t="s">
        <v>32</v>
      </c>
      <c r="F8" s="471">
        <v>25</v>
      </c>
      <c r="G8" s="471">
        <v>9</v>
      </c>
      <c r="H8" s="471">
        <v>1</v>
      </c>
      <c r="I8" s="471">
        <v>0</v>
      </c>
      <c r="J8" s="471">
        <v>4</v>
      </c>
      <c r="K8" s="471">
        <v>1</v>
      </c>
      <c r="L8" s="471">
        <v>0</v>
      </c>
      <c r="M8" s="471">
        <v>1</v>
      </c>
      <c r="N8" s="471">
        <v>0</v>
      </c>
      <c r="O8" s="471">
        <v>0</v>
      </c>
      <c r="P8" s="471">
        <v>0</v>
      </c>
      <c r="Q8" s="471">
        <v>0</v>
      </c>
      <c r="R8" s="471">
        <v>0</v>
      </c>
      <c r="S8" s="472">
        <v>12844</v>
      </c>
      <c r="T8" s="498" t="s">
        <v>510</v>
      </c>
      <c r="U8" s="478" t="s">
        <v>326</v>
      </c>
      <c r="V8" s="472" t="s">
        <v>330</v>
      </c>
      <c r="W8" s="472" t="s">
        <v>343</v>
      </c>
      <c r="X8" s="473" t="s">
        <v>394</v>
      </c>
      <c r="Y8" s="472">
        <v>1</v>
      </c>
      <c r="Z8" s="472">
        <v>1</v>
      </c>
      <c r="AA8" s="472">
        <v>0</v>
      </c>
      <c r="AB8" s="472">
        <v>0</v>
      </c>
      <c r="AC8" s="472">
        <v>1</v>
      </c>
      <c r="AD8" s="472">
        <v>1</v>
      </c>
      <c r="AE8" s="472">
        <v>0</v>
      </c>
      <c r="AF8" s="472">
        <v>0</v>
      </c>
      <c r="AG8" s="472">
        <v>0</v>
      </c>
      <c r="AH8" s="472">
        <v>0</v>
      </c>
      <c r="AI8" s="472">
        <v>0</v>
      </c>
      <c r="AJ8" s="478">
        <v>0</v>
      </c>
      <c r="AK8" s="472">
        <v>0</v>
      </c>
      <c r="AL8" s="472">
        <v>0</v>
      </c>
      <c r="AM8" s="472">
        <v>0</v>
      </c>
      <c r="AN8" s="478">
        <v>0</v>
      </c>
      <c r="AQ8" s="331" t="s">
        <v>169</v>
      </c>
      <c r="AR8" s="332">
        <f>GlosPremhistptsscored</f>
        <v>12013</v>
      </c>
      <c r="AT8" s="333" t="s">
        <v>1</v>
      </c>
      <c r="AU8" s="334">
        <f>Gloeuropeancuphistlost</f>
        <v>33</v>
      </c>
      <c r="AV8" s="335" t="s">
        <v>1</v>
      </c>
      <c r="AW8" s="336">
        <f>glochampscuphistlost</f>
        <v>8</v>
      </c>
      <c r="AX8" s="337" t="s">
        <v>1</v>
      </c>
      <c r="AY8" s="338">
        <v>0</v>
      </c>
      <c r="AZ8" s="339" t="s">
        <v>1</v>
      </c>
      <c r="BA8" s="340">
        <f>glochallcuphistlost</f>
        <v>18</v>
      </c>
      <c r="BB8" s="341" t="s">
        <v>1</v>
      </c>
      <c r="BC8" s="342">
        <f t="shared" si="0"/>
        <v>51</v>
      </c>
    </row>
    <row r="9" spans="1:55" ht="14.95" customHeight="1" thickBot="1" x14ac:dyDescent="0.3">
      <c r="A9" s="479" t="s">
        <v>239</v>
      </c>
      <c r="B9" s="461" t="s">
        <v>199</v>
      </c>
      <c r="C9" s="462" t="s">
        <v>26</v>
      </c>
      <c r="D9" s="463" t="s">
        <v>36</v>
      </c>
      <c r="E9" s="463" t="s">
        <v>34</v>
      </c>
      <c r="F9" s="463">
        <v>13</v>
      </c>
      <c r="G9" s="463">
        <v>16</v>
      </c>
      <c r="H9" s="463">
        <v>0</v>
      </c>
      <c r="I9" s="463">
        <v>1</v>
      </c>
      <c r="J9" s="463">
        <v>1</v>
      </c>
      <c r="K9" s="463">
        <v>1</v>
      </c>
      <c r="L9" s="463">
        <v>0</v>
      </c>
      <c r="M9" s="463">
        <v>2</v>
      </c>
      <c r="N9" s="463">
        <v>1</v>
      </c>
      <c r="O9" s="463">
        <v>0</v>
      </c>
      <c r="P9" s="463">
        <v>0</v>
      </c>
      <c r="Q9" s="463">
        <v>0</v>
      </c>
      <c r="R9" s="463">
        <v>1</v>
      </c>
      <c r="S9" s="464">
        <v>17559</v>
      </c>
      <c r="T9" s="481" t="s">
        <v>530</v>
      </c>
      <c r="U9" s="466" t="s">
        <v>318</v>
      </c>
      <c r="V9" s="464" t="s">
        <v>348</v>
      </c>
      <c r="W9" s="464" t="s">
        <v>395</v>
      </c>
      <c r="X9" s="467" t="s">
        <v>306</v>
      </c>
      <c r="Y9" s="464">
        <v>1</v>
      </c>
      <c r="Z9" s="464">
        <v>0</v>
      </c>
      <c r="AA9" s="464">
        <v>0</v>
      </c>
      <c r="AB9" s="464">
        <v>1</v>
      </c>
      <c r="AC9" s="464">
        <v>0</v>
      </c>
      <c r="AD9" s="464">
        <v>0</v>
      </c>
      <c r="AE9" s="464">
        <v>0</v>
      </c>
      <c r="AF9" s="464">
        <v>0</v>
      </c>
      <c r="AG9" s="464">
        <v>1</v>
      </c>
      <c r="AH9" s="464">
        <v>0</v>
      </c>
      <c r="AI9" s="464">
        <v>0</v>
      </c>
      <c r="AJ9" s="466">
        <v>1</v>
      </c>
      <c r="AK9" s="464">
        <v>0</v>
      </c>
      <c r="AL9" s="464">
        <v>0</v>
      </c>
      <c r="AM9" s="464">
        <v>0</v>
      </c>
      <c r="AN9" s="466">
        <v>0</v>
      </c>
      <c r="AQ9" s="331" t="s">
        <v>170</v>
      </c>
      <c r="AR9" s="332">
        <f>GlosPremhistptsagainst</f>
        <v>11351</v>
      </c>
      <c r="AT9" s="333" t="s">
        <v>169</v>
      </c>
      <c r="AU9" s="334">
        <f>Gloeuropeancuphistptsscored</f>
        <v>1907</v>
      </c>
      <c r="AV9" s="335" t="s">
        <v>169</v>
      </c>
      <c r="AW9" s="336">
        <f>glochampscuphistptsscored</f>
        <v>262</v>
      </c>
      <c r="AX9" s="337" t="s">
        <v>169</v>
      </c>
      <c r="AY9" s="338">
        <f>glochampscuppohistptsscored</f>
        <v>62</v>
      </c>
      <c r="AZ9" s="339" t="s">
        <v>169</v>
      </c>
      <c r="BA9" s="340">
        <f>glochallcuphistptsscored</f>
        <v>3034</v>
      </c>
      <c r="BB9" s="341" t="s">
        <v>169</v>
      </c>
      <c r="BC9" s="342">
        <f t="shared" si="0"/>
        <v>5003</v>
      </c>
    </row>
    <row r="10" spans="1:55" ht="14.95" customHeight="1" thickBot="1" x14ac:dyDescent="0.3">
      <c r="A10" s="468" t="s">
        <v>237</v>
      </c>
      <c r="B10" s="469" t="s">
        <v>199</v>
      </c>
      <c r="C10" s="470" t="s">
        <v>19</v>
      </c>
      <c r="D10" s="471" t="s">
        <v>299</v>
      </c>
      <c r="E10" s="471" t="s">
        <v>34</v>
      </c>
      <c r="F10" s="471">
        <v>12</v>
      </c>
      <c r="G10" s="471">
        <v>21</v>
      </c>
      <c r="H10" s="471">
        <v>0</v>
      </c>
      <c r="I10" s="471">
        <v>0</v>
      </c>
      <c r="J10" s="471">
        <v>2</v>
      </c>
      <c r="K10" s="471">
        <v>1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2</v>
      </c>
      <c r="S10" s="503">
        <v>13454</v>
      </c>
      <c r="T10" s="477" t="s">
        <v>548</v>
      </c>
      <c r="U10" s="478" t="s">
        <v>396</v>
      </c>
      <c r="V10" s="472" t="s">
        <v>403</v>
      </c>
      <c r="W10" s="472" t="s">
        <v>308</v>
      </c>
      <c r="X10" s="473" t="s">
        <v>475</v>
      </c>
      <c r="Y10" s="472">
        <v>1</v>
      </c>
      <c r="Z10" s="472">
        <v>0</v>
      </c>
      <c r="AA10" s="472">
        <v>0</v>
      </c>
      <c r="AB10" s="472">
        <v>1</v>
      </c>
      <c r="AC10" s="472">
        <v>1</v>
      </c>
      <c r="AD10" s="472">
        <v>0</v>
      </c>
      <c r="AE10" s="472">
        <v>0</v>
      </c>
      <c r="AF10" s="472">
        <v>1</v>
      </c>
      <c r="AG10" s="472">
        <v>0</v>
      </c>
      <c r="AH10" s="472">
        <v>0</v>
      </c>
      <c r="AI10" s="472">
        <v>0</v>
      </c>
      <c r="AJ10" s="478">
        <v>0</v>
      </c>
      <c r="AK10" s="472">
        <v>0</v>
      </c>
      <c r="AL10" s="472">
        <v>0</v>
      </c>
      <c r="AM10" s="472">
        <v>0</v>
      </c>
      <c r="AN10" s="478">
        <v>0</v>
      </c>
      <c r="AQ10" s="331" t="s">
        <v>73</v>
      </c>
      <c r="AR10" s="332">
        <f>GlosPremhisttriesscored</f>
        <v>1261</v>
      </c>
      <c r="AT10" s="333" t="s">
        <v>175</v>
      </c>
      <c r="AU10" s="334">
        <f>Gloeuropeancuphistptsagainst</f>
        <v>1632</v>
      </c>
      <c r="AV10" s="335" t="s">
        <v>175</v>
      </c>
      <c r="AW10" s="336">
        <f>glochampscuphistptsagainst</f>
        <v>303</v>
      </c>
      <c r="AX10" s="337" t="s">
        <v>175</v>
      </c>
      <c r="AY10" s="338">
        <f>glochampscuppohistptsagainst</f>
        <v>55</v>
      </c>
      <c r="AZ10" s="339" t="s">
        <v>175</v>
      </c>
      <c r="BA10" s="340">
        <f>glochallcuphistptsagainst</f>
        <v>1503</v>
      </c>
      <c r="BB10" s="341" t="s">
        <v>175</v>
      </c>
      <c r="BC10" s="342">
        <f t="shared" si="0"/>
        <v>3190</v>
      </c>
    </row>
    <row r="11" spans="1:55" ht="14.95" customHeight="1" thickBot="1" x14ac:dyDescent="0.3">
      <c r="A11" s="309" t="s">
        <v>450</v>
      </c>
      <c r="B11" s="310" t="s">
        <v>104</v>
      </c>
      <c r="C11" s="93" t="s">
        <v>451</v>
      </c>
      <c r="D11" s="94" t="s">
        <v>299</v>
      </c>
      <c r="E11" s="94" t="s">
        <v>34</v>
      </c>
      <c r="F11" s="94">
        <v>20</v>
      </c>
      <c r="G11" s="94">
        <v>25</v>
      </c>
      <c r="H11" s="94">
        <v>0</v>
      </c>
      <c r="I11" s="94">
        <v>1</v>
      </c>
      <c r="J11" s="94">
        <v>2</v>
      </c>
      <c r="K11" s="94">
        <v>2</v>
      </c>
      <c r="L11" s="94">
        <v>0</v>
      </c>
      <c r="M11" s="94">
        <v>2</v>
      </c>
      <c r="N11" s="94">
        <v>0</v>
      </c>
      <c r="O11" s="94">
        <v>0</v>
      </c>
      <c r="P11" s="94">
        <v>0</v>
      </c>
      <c r="Q11" s="94">
        <v>0</v>
      </c>
      <c r="R11" s="94">
        <v>1</v>
      </c>
      <c r="S11" s="311">
        <v>11659</v>
      </c>
      <c r="T11" s="696" t="s">
        <v>559</v>
      </c>
      <c r="U11" s="313" t="s">
        <v>560</v>
      </c>
      <c r="V11" s="311" t="s">
        <v>561</v>
      </c>
      <c r="W11" s="311" t="s">
        <v>562</v>
      </c>
      <c r="X11" s="88" t="s">
        <v>563</v>
      </c>
      <c r="Y11" s="311">
        <v>1</v>
      </c>
      <c r="Z11" s="311">
        <v>0</v>
      </c>
      <c r="AA11" s="311">
        <v>0</v>
      </c>
      <c r="AB11" s="311">
        <v>1</v>
      </c>
      <c r="AC11" s="311">
        <v>1</v>
      </c>
      <c r="AD11" s="311">
        <v>0</v>
      </c>
      <c r="AE11" s="311">
        <v>0</v>
      </c>
      <c r="AF11" s="311">
        <v>1</v>
      </c>
      <c r="AG11" s="311">
        <v>0</v>
      </c>
      <c r="AH11" s="311">
        <v>0</v>
      </c>
      <c r="AI11" s="311">
        <v>0</v>
      </c>
      <c r="AJ11" s="313">
        <v>0</v>
      </c>
      <c r="AK11" s="311">
        <v>0</v>
      </c>
      <c r="AL11" s="311">
        <v>0</v>
      </c>
      <c r="AM11" s="311">
        <v>0</v>
      </c>
      <c r="AN11" s="313">
        <v>0</v>
      </c>
      <c r="AQ11" s="331" t="s">
        <v>75</v>
      </c>
      <c r="AR11" s="332">
        <f>GlosPremhisttriesagainst</f>
        <v>1153</v>
      </c>
      <c r="AT11" s="333" t="s">
        <v>73</v>
      </c>
      <c r="AU11" s="334">
        <f>Gloeuropeancuphisttriesscored</f>
        <v>209</v>
      </c>
      <c r="AV11" s="335" t="s">
        <v>73</v>
      </c>
      <c r="AW11" s="336">
        <f>glochampscuphisttriesscored</f>
        <v>34</v>
      </c>
      <c r="AX11" s="337" t="s">
        <v>73</v>
      </c>
      <c r="AY11" s="338">
        <f>glochampscuppohisttriesscored</f>
        <v>6</v>
      </c>
      <c r="AZ11" s="339" t="s">
        <v>73</v>
      </c>
      <c r="BA11" s="340">
        <f>glochallcuphisttriesscored</f>
        <v>381</v>
      </c>
      <c r="BB11" s="341" t="s">
        <v>73</v>
      </c>
      <c r="BC11" s="342">
        <f t="shared" si="0"/>
        <v>596</v>
      </c>
    </row>
    <row r="12" spans="1:55" ht="14.95" customHeight="1" thickBot="1" x14ac:dyDescent="0.3">
      <c r="A12" s="145" t="s">
        <v>452</v>
      </c>
      <c r="B12" s="139" t="s">
        <v>104</v>
      </c>
      <c r="C12" s="140" t="s">
        <v>453</v>
      </c>
      <c r="D12" s="141" t="s">
        <v>36</v>
      </c>
      <c r="E12" s="141" t="s">
        <v>34</v>
      </c>
      <c r="F12" s="141">
        <v>27</v>
      </c>
      <c r="G12" s="141">
        <v>30</v>
      </c>
      <c r="H12" s="141">
        <v>0</v>
      </c>
      <c r="I12" s="141">
        <v>1</v>
      </c>
      <c r="J12" s="141">
        <v>3</v>
      </c>
      <c r="K12" s="141">
        <v>3</v>
      </c>
      <c r="L12" s="141">
        <v>0</v>
      </c>
      <c r="M12" s="141">
        <v>2</v>
      </c>
      <c r="N12" s="141">
        <v>0</v>
      </c>
      <c r="O12" s="141">
        <v>0</v>
      </c>
      <c r="P12" s="141">
        <v>0</v>
      </c>
      <c r="Q12" s="141">
        <v>0</v>
      </c>
      <c r="R12" s="141">
        <v>3</v>
      </c>
      <c r="S12" s="142">
        <v>10032</v>
      </c>
      <c r="T12" s="591" t="s">
        <v>610</v>
      </c>
      <c r="U12" s="592" t="s">
        <v>591</v>
      </c>
      <c r="V12" s="593" t="s">
        <v>607</v>
      </c>
      <c r="W12" s="142" t="s">
        <v>608</v>
      </c>
      <c r="X12" s="144" t="s">
        <v>609</v>
      </c>
      <c r="Y12" s="142">
        <v>1</v>
      </c>
      <c r="Z12" s="142">
        <v>0</v>
      </c>
      <c r="AA12" s="142">
        <v>0</v>
      </c>
      <c r="AB12" s="142">
        <v>1</v>
      </c>
      <c r="AC12" s="142">
        <v>0</v>
      </c>
      <c r="AD12" s="142">
        <v>0</v>
      </c>
      <c r="AE12" s="142">
        <v>0</v>
      </c>
      <c r="AF12" s="142">
        <v>0</v>
      </c>
      <c r="AG12" s="142">
        <v>1</v>
      </c>
      <c r="AH12" s="142">
        <v>0</v>
      </c>
      <c r="AI12" s="142">
        <v>0</v>
      </c>
      <c r="AJ12" s="143">
        <v>1</v>
      </c>
      <c r="AK12" s="142">
        <v>0</v>
      </c>
      <c r="AL12" s="142">
        <v>0</v>
      </c>
      <c r="AM12" s="142">
        <v>0</v>
      </c>
      <c r="AN12" s="143">
        <v>0</v>
      </c>
      <c r="AT12" s="333" t="s">
        <v>176</v>
      </c>
      <c r="AU12" s="334">
        <f>Gloeuropeancuphisttriesagainst</f>
        <v>169</v>
      </c>
      <c r="AV12" s="335" t="s">
        <v>176</v>
      </c>
      <c r="AW12" s="336">
        <f>glochampscuphisttriesagainst</f>
        <v>36</v>
      </c>
      <c r="AX12" s="337" t="s">
        <v>176</v>
      </c>
      <c r="AY12" s="338">
        <f>glochampscuppohisttriesagainst</f>
        <v>6</v>
      </c>
      <c r="AZ12" s="339" t="s">
        <v>176</v>
      </c>
      <c r="BA12" s="340">
        <f>glochallcuphisttriesagainst</f>
        <v>169</v>
      </c>
      <c r="BB12" s="341" t="s">
        <v>176</v>
      </c>
      <c r="BC12" s="342">
        <f t="shared" si="0"/>
        <v>344</v>
      </c>
    </row>
    <row r="13" spans="1:55" ht="14.95" customHeight="1" thickBot="1" x14ac:dyDescent="0.3">
      <c r="A13" s="479" t="s">
        <v>438</v>
      </c>
      <c r="B13" s="461" t="s">
        <v>199</v>
      </c>
      <c r="C13" s="462" t="s">
        <v>9</v>
      </c>
      <c r="D13" s="463" t="s">
        <v>36</v>
      </c>
      <c r="E13" s="463" t="s">
        <v>34</v>
      </c>
      <c r="F13" s="463">
        <v>19</v>
      </c>
      <c r="G13" s="463">
        <v>23</v>
      </c>
      <c r="H13" s="463">
        <v>0</v>
      </c>
      <c r="I13" s="463">
        <v>1</v>
      </c>
      <c r="J13" s="463">
        <v>3</v>
      </c>
      <c r="K13" s="463">
        <v>2</v>
      </c>
      <c r="L13" s="463">
        <v>0</v>
      </c>
      <c r="M13" s="463">
        <v>0</v>
      </c>
      <c r="N13" s="463">
        <v>0</v>
      </c>
      <c r="O13" s="463">
        <v>0</v>
      </c>
      <c r="P13" s="463">
        <v>0</v>
      </c>
      <c r="Q13" s="463">
        <v>0</v>
      </c>
      <c r="R13" s="463">
        <v>2</v>
      </c>
      <c r="S13" s="464">
        <v>13528</v>
      </c>
      <c r="T13" s="482" t="s">
        <v>641</v>
      </c>
      <c r="U13" s="466" t="s">
        <v>396</v>
      </c>
      <c r="V13" s="464" t="s">
        <v>329</v>
      </c>
      <c r="W13" s="464" t="s">
        <v>355</v>
      </c>
      <c r="X13" s="467" t="s">
        <v>346</v>
      </c>
      <c r="Y13" s="464">
        <v>1</v>
      </c>
      <c r="Z13" s="464">
        <v>0</v>
      </c>
      <c r="AA13" s="464">
        <v>0</v>
      </c>
      <c r="AB13" s="464">
        <v>1</v>
      </c>
      <c r="AC13" s="464">
        <v>0</v>
      </c>
      <c r="AD13" s="464">
        <v>0</v>
      </c>
      <c r="AE13" s="464">
        <v>0</v>
      </c>
      <c r="AF13" s="464">
        <v>0</v>
      </c>
      <c r="AG13" s="464">
        <v>1</v>
      </c>
      <c r="AH13" s="464">
        <v>0</v>
      </c>
      <c r="AI13" s="464">
        <v>0</v>
      </c>
      <c r="AJ13" s="466">
        <v>1</v>
      </c>
      <c r="AK13" s="464">
        <v>0</v>
      </c>
      <c r="AL13" s="464">
        <v>0</v>
      </c>
      <c r="AM13" s="464">
        <v>0</v>
      </c>
      <c r="AN13" s="466">
        <v>0</v>
      </c>
    </row>
    <row r="14" spans="1:55" ht="14.95" customHeight="1" thickBot="1" x14ac:dyDescent="0.3">
      <c r="A14" s="309" t="s">
        <v>445</v>
      </c>
      <c r="B14" s="310" t="s">
        <v>104</v>
      </c>
      <c r="C14" s="93" t="s">
        <v>454</v>
      </c>
      <c r="D14" s="94" t="s">
        <v>299</v>
      </c>
      <c r="E14" s="94" t="s">
        <v>32</v>
      </c>
      <c r="F14" s="94">
        <v>26</v>
      </c>
      <c r="G14" s="94">
        <v>17</v>
      </c>
      <c r="H14" s="94">
        <v>1</v>
      </c>
      <c r="I14" s="94">
        <v>0</v>
      </c>
      <c r="J14" s="94">
        <v>4</v>
      </c>
      <c r="K14" s="94">
        <v>3</v>
      </c>
      <c r="L14" s="94">
        <v>0</v>
      </c>
      <c r="M14" s="94">
        <v>0</v>
      </c>
      <c r="N14" s="94">
        <v>1</v>
      </c>
      <c r="O14" s="94">
        <v>0</v>
      </c>
      <c r="P14" s="94">
        <v>0</v>
      </c>
      <c r="Q14" s="94">
        <v>0</v>
      </c>
      <c r="R14" s="94">
        <v>2</v>
      </c>
      <c r="S14" s="311">
        <v>10875</v>
      </c>
      <c r="T14" s="596" t="s">
        <v>662</v>
      </c>
      <c r="U14" s="313" t="s">
        <v>611</v>
      </c>
      <c r="V14" s="311" t="s">
        <v>612</v>
      </c>
      <c r="W14" s="311" t="s">
        <v>661</v>
      </c>
      <c r="X14" s="88" t="s">
        <v>658</v>
      </c>
      <c r="Y14" s="311">
        <v>1</v>
      </c>
      <c r="Z14" s="311">
        <v>1</v>
      </c>
      <c r="AA14" s="311">
        <v>0</v>
      </c>
      <c r="AB14" s="311">
        <v>0</v>
      </c>
      <c r="AC14" s="311">
        <v>1</v>
      </c>
      <c r="AD14" s="311">
        <v>1</v>
      </c>
      <c r="AE14" s="311">
        <v>0</v>
      </c>
      <c r="AF14" s="311">
        <v>0</v>
      </c>
      <c r="AG14" s="311">
        <v>0</v>
      </c>
      <c r="AH14" s="311">
        <v>0</v>
      </c>
      <c r="AI14" s="311">
        <v>0</v>
      </c>
      <c r="AJ14" s="313">
        <v>0</v>
      </c>
      <c r="AK14" s="311">
        <v>0</v>
      </c>
      <c r="AL14" s="311">
        <v>0</v>
      </c>
      <c r="AM14" s="311">
        <v>0</v>
      </c>
      <c r="AN14" s="313">
        <v>0</v>
      </c>
    </row>
    <row r="15" spans="1:55" ht="14.95" customHeight="1" thickBot="1" x14ac:dyDescent="0.3">
      <c r="A15" s="145" t="s">
        <v>244</v>
      </c>
      <c r="B15" s="139" t="s">
        <v>104</v>
      </c>
      <c r="C15" s="140" t="s">
        <v>454</v>
      </c>
      <c r="D15" s="141" t="s">
        <v>36</v>
      </c>
      <c r="E15" s="141" t="s">
        <v>34</v>
      </c>
      <c r="F15" s="141">
        <v>24</v>
      </c>
      <c r="G15" s="141">
        <v>27</v>
      </c>
      <c r="H15" s="141">
        <v>1</v>
      </c>
      <c r="I15" s="141">
        <v>1</v>
      </c>
      <c r="J15" s="141">
        <v>4</v>
      </c>
      <c r="K15" s="141">
        <v>2</v>
      </c>
      <c r="L15" s="141">
        <v>0</v>
      </c>
      <c r="M15" s="141">
        <v>0</v>
      </c>
      <c r="N15" s="141">
        <v>2</v>
      </c>
      <c r="O15" s="141">
        <v>0</v>
      </c>
      <c r="P15" s="141">
        <v>0</v>
      </c>
      <c r="Q15" s="141">
        <v>0</v>
      </c>
      <c r="R15" s="141">
        <v>3</v>
      </c>
      <c r="S15" s="283">
        <v>6787</v>
      </c>
      <c r="T15" s="421" t="s">
        <v>662</v>
      </c>
      <c r="U15" s="143" t="s">
        <v>643</v>
      </c>
      <c r="V15" s="142" t="s">
        <v>644</v>
      </c>
      <c r="W15" s="142" t="s">
        <v>663</v>
      </c>
      <c r="X15" s="144" t="s">
        <v>571</v>
      </c>
      <c r="Y15" s="283">
        <v>1</v>
      </c>
      <c r="Z15" s="283">
        <v>0</v>
      </c>
      <c r="AA15" s="283">
        <v>0</v>
      </c>
      <c r="AB15" s="283">
        <v>1</v>
      </c>
      <c r="AC15" s="283">
        <v>0</v>
      </c>
      <c r="AD15" s="283">
        <v>0</v>
      </c>
      <c r="AE15" s="283">
        <v>0</v>
      </c>
      <c r="AF15" s="283">
        <v>0</v>
      </c>
      <c r="AG15" s="283">
        <v>1</v>
      </c>
      <c r="AH15" s="283">
        <v>0</v>
      </c>
      <c r="AI15" s="283">
        <v>0</v>
      </c>
      <c r="AJ15" s="594">
        <v>1</v>
      </c>
      <c r="AK15" s="283">
        <v>0</v>
      </c>
      <c r="AL15" s="283">
        <v>0</v>
      </c>
      <c r="AM15" s="283">
        <v>0</v>
      </c>
      <c r="AN15" s="594">
        <v>0</v>
      </c>
    </row>
    <row r="16" spans="1:55" s="343" customFormat="1" ht="14.95" customHeight="1" thickBot="1" x14ac:dyDescent="0.3">
      <c r="A16" s="468" t="s">
        <v>501</v>
      </c>
      <c r="B16" s="469" t="s">
        <v>199</v>
      </c>
      <c r="C16" s="470" t="s">
        <v>23</v>
      </c>
      <c r="D16" s="471" t="s">
        <v>299</v>
      </c>
      <c r="E16" s="471" t="s">
        <v>32</v>
      </c>
      <c r="F16" s="471">
        <v>36</v>
      </c>
      <c r="G16" s="471">
        <v>3</v>
      </c>
      <c r="H16" s="471">
        <v>1</v>
      </c>
      <c r="I16" s="471">
        <v>0</v>
      </c>
      <c r="J16" s="471">
        <v>5</v>
      </c>
      <c r="K16" s="471">
        <v>4</v>
      </c>
      <c r="L16" s="471">
        <v>0</v>
      </c>
      <c r="M16" s="471">
        <v>1</v>
      </c>
      <c r="N16" s="471">
        <v>0</v>
      </c>
      <c r="O16" s="471">
        <v>0</v>
      </c>
      <c r="P16" s="471">
        <v>0</v>
      </c>
      <c r="Q16" s="471">
        <v>0</v>
      </c>
      <c r="R16" s="471">
        <v>0</v>
      </c>
      <c r="S16" s="472">
        <v>13787</v>
      </c>
      <c r="T16" s="732" t="s">
        <v>691</v>
      </c>
      <c r="U16" s="478" t="s">
        <v>326</v>
      </c>
      <c r="V16" s="472" t="s">
        <v>692</v>
      </c>
      <c r="W16" s="472" t="s">
        <v>320</v>
      </c>
      <c r="X16" s="473" t="s">
        <v>356</v>
      </c>
      <c r="Y16" s="472">
        <v>1</v>
      </c>
      <c r="Z16" s="472">
        <v>1</v>
      </c>
      <c r="AA16" s="472">
        <v>0</v>
      </c>
      <c r="AB16" s="472">
        <v>0</v>
      </c>
      <c r="AC16" s="472">
        <v>1</v>
      </c>
      <c r="AD16" s="472">
        <v>1</v>
      </c>
      <c r="AE16" s="472">
        <v>0</v>
      </c>
      <c r="AF16" s="472">
        <v>0</v>
      </c>
      <c r="AG16" s="472">
        <v>0</v>
      </c>
      <c r="AH16" s="472">
        <v>0</v>
      </c>
      <c r="AI16" s="472">
        <v>0</v>
      </c>
      <c r="AJ16" s="478">
        <v>0</v>
      </c>
      <c r="AK16" s="472">
        <v>0</v>
      </c>
      <c r="AL16" s="472">
        <v>0</v>
      </c>
      <c r="AM16" s="472">
        <v>0</v>
      </c>
      <c r="AN16" s="478">
        <v>0</v>
      </c>
      <c r="AT16" s="1011" t="s">
        <v>252</v>
      </c>
      <c r="AU16" s="1012"/>
    </row>
    <row r="17" spans="1:47" ht="14.95" customHeight="1" thickBot="1" x14ac:dyDescent="0.3">
      <c r="A17" s="479" t="s">
        <v>257</v>
      </c>
      <c r="B17" s="461" t="s">
        <v>199</v>
      </c>
      <c r="C17" s="462" t="s">
        <v>25</v>
      </c>
      <c r="D17" s="463" t="s">
        <v>36</v>
      </c>
      <c r="E17" s="463" t="s">
        <v>34</v>
      </c>
      <c r="F17" s="463">
        <v>26</v>
      </c>
      <c r="G17" s="463">
        <v>33</v>
      </c>
      <c r="H17" s="463">
        <v>1</v>
      </c>
      <c r="I17" s="463">
        <v>1</v>
      </c>
      <c r="J17" s="463">
        <v>4</v>
      </c>
      <c r="K17" s="463">
        <v>3</v>
      </c>
      <c r="L17" s="463">
        <v>0</v>
      </c>
      <c r="M17" s="463">
        <v>0</v>
      </c>
      <c r="N17" s="463">
        <v>1</v>
      </c>
      <c r="O17" s="463">
        <v>0</v>
      </c>
      <c r="P17" s="463">
        <v>0</v>
      </c>
      <c r="Q17" s="463">
        <v>0</v>
      </c>
      <c r="R17" s="463">
        <v>3</v>
      </c>
      <c r="S17" s="639">
        <v>15200</v>
      </c>
      <c r="T17" s="465" t="s">
        <v>712</v>
      </c>
      <c r="U17" s="466" t="s">
        <v>554</v>
      </c>
      <c r="V17" s="464" t="s">
        <v>329</v>
      </c>
      <c r="W17" s="464" t="s">
        <v>346</v>
      </c>
      <c r="X17" s="467" t="s">
        <v>321</v>
      </c>
      <c r="Y17" s="464">
        <v>1</v>
      </c>
      <c r="Z17" s="464">
        <v>0</v>
      </c>
      <c r="AA17" s="464">
        <v>0</v>
      </c>
      <c r="AB17" s="464">
        <v>1</v>
      </c>
      <c r="AC17" s="464">
        <v>0</v>
      </c>
      <c r="AD17" s="464">
        <v>0</v>
      </c>
      <c r="AE17" s="464">
        <v>0</v>
      </c>
      <c r="AF17" s="464">
        <v>0</v>
      </c>
      <c r="AG17" s="464">
        <v>1</v>
      </c>
      <c r="AH17" s="464">
        <v>0</v>
      </c>
      <c r="AI17" s="464">
        <v>0</v>
      </c>
      <c r="AJ17" s="466">
        <v>1</v>
      </c>
      <c r="AK17" s="464">
        <v>0</v>
      </c>
      <c r="AL17" s="464">
        <v>0</v>
      </c>
      <c r="AM17" s="464">
        <v>0</v>
      </c>
      <c r="AN17" s="466">
        <v>0</v>
      </c>
      <c r="AT17" t="s">
        <v>171</v>
      </c>
      <c r="AU17"/>
    </row>
    <row r="18" spans="1:47" ht="14.95" customHeight="1" thickBot="1" x14ac:dyDescent="0.3">
      <c r="A18" s="468" t="s">
        <v>258</v>
      </c>
      <c r="B18" s="469" t="s">
        <v>199</v>
      </c>
      <c r="C18" s="470" t="s">
        <v>22</v>
      </c>
      <c r="D18" s="471" t="s">
        <v>299</v>
      </c>
      <c r="E18" s="471" t="s">
        <v>32</v>
      </c>
      <c r="F18" s="471">
        <v>29</v>
      </c>
      <c r="G18" s="471">
        <v>15</v>
      </c>
      <c r="H18" s="471">
        <v>1</v>
      </c>
      <c r="I18" s="471">
        <v>0</v>
      </c>
      <c r="J18" s="471">
        <v>4</v>
      </c>
      <c r="K18" s="471">
        <v>3</v>
      </c>
      <c r="L18" s="471">
        <v>0</v>
      </c>
      <c r="M18" s="471">
        <v>1</v>
      </c>
      <c r="N18" s="471">
        <v>0</v>
      </c>
      <c r="O18" s="471">
        <v>0</v>
      </c>
      <c r="P18" s="471">
        <v>0</v>
      </c>
      <c r="Q18" s="471">
        <v>0</v>
      </c>
      <c r="R18" s="471">
        <v>0</v>
      </c>
      <c r="S18" s="472">
        <v>16000</v>
      </c>
      <c r="T18" s="498" t="s">
        <v>730</v>
      </c>
      <c r="U18" s="478" t="s">
        <v>463</v>
      </c>
      <c r="V18" s="472" t="s">
        <v>330</v>
      </c>
      <c r="W18" s="472" t="s">
        <v>323</v>
      </c>
      <c r="X18" s="473" t="s">
        <v>316</v>
      </c>
      <c r="Y18" s="472">
        <v>1</v>
      </c>
      <c r="Z18" s="472">
        <v>1</v>
      </c>
      <c r="AA18" s="472">
        <v>0</v>
      </c>
      <c r="AB18" s="472">
        <v>0</v>
      </c>
      <c r="AC18" s="472">
        <v>1</v>
      </c>
      <c r="AD18" s="472">
        <v>1</v>
      </c>
      <c r="AE18" s="472">
        <v>0</v>
      </c>
      <c r="AF18" s="472">
        <v>0</v>
      </c>
      <c r="AG18" s="472">
        <v>0</v>
      </c>
      <c r="AH18" s="472">
        <v>0</v>
      </c>
      <c r="AI18" s="472">
        <v>0</v>
      </c>
      <c r="AJ18" s="478">
        <v>0</v>
      </c>
      <c r="AK18" s="472">
        <v>0</v>
      </c>
      <c r="AL18" s="472">
        <v>0</v>
      </c>
      <c r="AM18" s="472">
        <v>0</v>
      </c>
      <c r="AN18" s="478">
        <v>0</v>
      </c>
      <c r="AT18" t="s">
        <v>270</v>
      </c>
      <c r="AU18"/>
    </row>
    <row r="19" spans="1:47" ht="14.95" customHeight="1" thickBot="1" x14ac:dyDescent="0.3">
      <c r="A19" s="309" t="s">
        <v>245</v>
      </c>
      <c r="B19" s="310" t="s">
        <v>104</v>
      </c>
      <c r="C19" s="93" t="s">
        <v>453</v>
      </c>
      <c r="D19" s="94" t="s">
        <v>299</v>
      </c>
      <c r="E19" s="94" t="s">
        <v>32</v>
      </c>
      <c r="F19" s="94">
        <v>29</v>
      </c>
      <c r="G19" s="94">
        <v>6</v>
      </c>
      <c r="H19" s="94">
        <v>1</v>
      </c>
      <c r="I19" s="94">
        <v>0</v>
      </c>
      <c r="J19" s="94">
        <v>4</v>
      </c>
      <c r="K19" s="94">
        <v>3</v>
      </c>
      <c r="L19" s="94">
        <v>0</v>
      </c>
      <c r="M19" s="94">
        <v>1</v>
      </c>
      <c r="N19" s="94">
        <v>0</v>
      </c>
      <c r="O19" s="94">
        <v>0</v>
      </c>
      <c r="P19" s="94">
        <v>0</v>
      </c>
      <c r="Q19" s="94">
        <v>0</v>
      </c>
      <c r="R19" s="94">
        <v>0</v>
      </c>
      <c r="S19" s="631">
        <v>12837</v>
      </c>
      <c r="T19" s="312" t="s">
        <v>638</v>
      </c>
      <c r="U19" s="313" t="s">
        <v>589</v>
      </c>
      <c r="V19" s="311" t="s">
        <v>590</v>
      </c>
      <c r="W19" s="311" t="s">
        <v>597</v>
      </c>
      <c r="X19" s="88" t="s">
        <v>741</v>
      </c>
      <c r="Y19" s="311">
        <v>1</v>
      </c>
      <c r="Z19" s="311">
        <v>1</v>
      </c>
      <c r="AA19" s="311">
        <v>0</v>
      </c>
      <c r="AB19" s="311">
        <v>0</v>
      </c>
      <c r="AC19" s="311">
        <v>1</v>
      </c>
      <c r="AD19" s="311">
        <v>1</v>
      </c>
      <c r="AE19" s="311">
        <v>0</v>
      </c>
      <c r="AF19" s="311">
        <v>0</v>
      </c>
      <c r="AG19" s="311">
        <v>0</v>
      </c>
      <c r="AH19" s="311">
        <v>0</v>
      </c>
      <c r="AI19" s="311">
        <v>0</v>
      </c>
      <c r="AJ19" s="313">
        <v>0</v>
      </c>
      <c r="AK19" s="311">
        <v>0</v>
      </c>
      <c r="AL19" s="311">
        <v>0</v>
      </c>
      <c r="AM19" s="311">
        <v>0</v>
      </c>
      <c r="AN19" s="313">
        <v>0</v>
      </c>
      <c r="AT19" t="s">
        <v>288</v>
      </c>
      <c r="AU19"/>
    </row>
    <row r="20" spans="1:47" ht="14.95" customHeight="1" thickBot="1" x14ac:dyDescent="0.3">
      <c r="A20" s="145" t="s">
        <v>246</v>
      </c>
      <c r="B20" s="139" t="s">
        <v>104</v>
      </c>
      <c r="C20" s="140" t="s">
        <v>451</v>
      </c>
      <c r="D20" s="141" t="s">
        <v>36</v>
      </c>
      <c r="E20" s="141" t="s">
        <v>34</v>
      </c>
      <c r="F20" s="141">
        <v>14</v>
      </c>
      <c r="G20" s="141">
        <v>35</v>
      </c>
      <c r="H20" s="141">
        <v>0</v>
      </c>
      <c r="I20" s="141">
        <v>0</v>
      </c>
      <c r="J20" s="141">
        <v>2</v>
      </c>
      <c r="K20" s="141">
        <v>2</v>
      </c>
      <c r="L20" s="141">
        <v>0</v>
      </c>
      <c r="M20" s="141">
        <v>0</v>
      </c>
      <c r="N20" s="141">
        <v>3</v>
      </c>
      <c r="O20" s="141">
        <v>0</v>
      </c>
      <c r="P20" s="141">
        <v>1</v>
      </c>
      <c r="Q20" s="141">
        <v>0</v>
      </c>
      <c r="R20" s="141">
        <v>5</v>
      </c>
      <c r="S20" s="142">
        <v>18780</v>
      </c>
      <c r="T20" s="421" t="s">
        <v>759</v>
      </c>
      <c r="U20" s="143" t="s">
        <v>574</v>
      </c>
      <c r="V20" s="142" t="s">
        <v>575</v>
      </c>
      <c r="W20" s="142" t="s">
        <v>576</v>
      </c>
      <c r="X20" s="144" t="s">
        <v>577</v>
      </c>
      <c r="Y20" s="142">
        <v>1</v>
      </c>
      <c r="Z20" s="142">
        <v>0</v>
      </c>
      <c r="AA20" s="142">
        <v>0</v>
      </c>
      <c r="AB20" s="142">
        <v>1</v>
      </c>
      <c r="AC20" s="142">
        <v>0</v>
      </c>
      <c r="AD20" s="142">
        <v>0</v>
      </c>
      <c r="AE20" s="142">
        <v>0</v>
      </c>
      <c r="AF20" s="142">
        <v>0</v>
      </c>
      <c r="AG20" s="142">
        <v>1</v>
      </c>
      <c r="AH20" s="142">
        <v>0</v>
      </c>
      <c r="AI20" s="142">
        <v>0</v>
      </c>
      <c r="AJ20" s="143">
        <v>1</v>
      </c>
      <c r="AK20" s="142">
        <v>0</v>
      </c>
      <c r="AL20" s="142">
        <v>0</v>
      </c>
      <c r="AM20" s="142">
        <v>0</v>
      </c>
      <c r="AN20" s="143">
        <v>0</v>
      </c>
      <c r="AT20" t="s">
        <v>289</v>
      </c>
    </row>
    <row r="21" spans="1:47" ht="14.95" customHeight="1" thickBot="1" x14ac:dyDescent="0.3">
      <c r="A21" s="479" t="s">
        <v>293</v>
      </c>
      <c r="B21" s="461" t="s">
        <v>199</v>
      </c>
      <c r="C21" s="462" t="s">
        <v>165</v>
      </c>
      <c r="D21" s="463" t="s">
        <v>36</v>
      </c>
      <c r="E21" s="463" t="s">
        <v>34</v>
      </c>
      <c r="F21" s="463">
        <v>16</v>
      </c>
      <c r="G21" s="463">
        <v>34</v>
      </c>
      <c r="H21" s="463">
        <v>0</v>
      </c>
      <c r="I21" s="463">
        <v>0</v>
      </c>
      <c r="J21" s="463">
        <v>1</v>
      </c>
      <c r="K21" s="463">
        <v>1</v>
      </c>
      <c r="L21" s="463">
        <v>0</v>
      </c>
      <c r="M21" s="463">
        <v>3</v>
      </c>
      <c r="N21" s="463">
        <v>0</v>
      </c>
      <c r="O21" s="463">
        <v>0</v>
      </c>
      <c r="P21" s="463">
        <v>0</v>
      </c>
      <c r="Q21" s="463">
        <v>0</v>
      </c>
      <c r="R21" s="463">
        <v>3</v>
      </c>
      <c r="S21" s="483">
        <v>18779</v>
      </c>
      <c r="T21" s="465" t="s">
        <v>769</v>
      </c>
      <c r="U21" s="466" t="s">
        <v>554</v>
      </c>
      <c r="V21" s="464" t="s">
        <v>329</v>
      </c>
      <c r="W21" s="464" t="s">
        <v>395</v>
      </c>
      <c r="X21" s="467" t="s">
        <v>319</v>
      </c>
      <c r="Y21" s="464">
        <v>1</v>
      </c>
      <c r="Z21" s="464">
        <v>0</v>
      </c>
      <c r="AA21" s="464">
        <v>0</v>
      </c>
      <c r="AB21" s="464">
        <v>1</v>
      </c>
      <c r="AC21" s="464">
        <v>0</v>
      </c>
      <c r="AD21" s="464">
        <v>0</v>
      </c>
      <c r="AE21" s="464">
        <v>0</v>
      </c>
      <c r="AF21" s="464">
        <v>0</v>
      </c>
      <c r="AG21" s="464">
        <v>1</v>
      </c>
      <c r="AH21" s="464">
        <v>0</v>
      </c>
      <c r="AI21" s="464">
        <v>0</v>
      </c>
      <c r="AJ21" s="466">
        <v>1</v>
      </c>
      <c r="AK21" s="464">
        <v>0</v>
      </c>
      <c r="AL21" s="464">
        <v>0</v>
      </c>
      <c r="AM21" s="464">
        <v>0</v>
      </c>
      <c r="AN21" s="466">
        <v>0</v>
      </c>
    </row>
    <row r="22" spans="1:47" ht="14.95" customHeight="1" thickBot="1" x14ac:dyDescent="0.3">
      <c r="A22" s="468" t="s">
        <v>458</v>
      </c>
      <c r="B22" s="469" t="s">
        <v>199</v>
      </c>
      <c r="C22" s="470" t="s">
        <v>28</v>
      </c>
      <c r="D22" s="471" t="s">
        <v>299</v>
      </c>
      <c r="E22" s="471" t="s">
        <v>34</v>
      </c>
      <c r="F22" s="471">
        <v>15</v>
      </c>
      <c r="G22" s="471">
        <v>26</v>
      </c>
      <c r="H22" s="471">
        <v>0</v>
      </c>
      <c r="I22" s="471">
        <v>0</v>
      </c>
      <c r="J22" s="471">
        <v>2</v>
      </c>
      <c r="K22" s="471">
        <v>1</v>
      </c>
      <c r="L22" s="471">
        <v>0</v>
      </c>
      <c r="M22" s="471">
        <v>1</v>
      </c>
      <c r="N22" s="471">
        <v>0</v>
      </c>
      <c r="O22" s="471">
        <v>0</v>
      </c>
      <c r="P22" s="471">
        <v>0</v>
      </c>
      <c r="Q22" s="471">
        <v>0</v>
      </c>
      <c r="R22" s="471">
        <v>2</v>
      </c>
      <c r="S22" s="484">
        <v>13497</v>
      </c>
      <c r="T22" s="498" t="s">
        <v>636</v>
      </c>
      <c r="U22" s="478" t="s">
        <v>396</v>
      </c>
      <c r="V22" s="472" t="s">
        <v>403</v>
      </c>
      <c r="W22" s="472" t="s">
        <v>308</v>
      </c>
      <c r="X22" s="473" t="s">
        <v>475</v>
      </c>
      <c r="Y22" s="472">
        <v>1</v>
      </c>
      <c r="Z22" s="472">
        <v>0</v>
      </c>
      <c r="AA22" s="472">
        <v>0</v>
      </c>
      <c r="AB22" s="472">
        <v>1</v>
      </c>
      <c r="AC22" s="472">
        <v>1</v>
      </c>
      <c r="AD22" s="472">
        <v>0</v>
      </c>
      <c r="AE22" s="472">
        <v>0</v>
      </c>
      <c r="AF22" s="472">
        <v>1</v>
      </c>
      <c r="AG22" s="472">
        <v>0</v>
      </c>
      <c r="AH22" s="472">
        <v>0</v>
      </c>
      <c r="AI22" s="472">
        <v>0</v>
      </c>
      <c r="AJ22" s="478">
        <v>0</v>
      </c>
      <c r="AK22" s="472">
        <v>0</v>
      </c>
      <c r="AL22" s="472">
        <v>0</v>
      </c>
      <c r="AM22" s="472">
        <v>0</v>
      </c>
      <c r="AN22" s="478">
        <v>0</v>
      </c>
    </row>
    <row r="23" spans="1:47" ht="14.95" customHeight="1" thickBot="1" x14ac:dyDescent="0.3">
      <c r="A23" s="479" t="s">
        <v>260</v>
      </c>
      <c r="B23" s="461" t="s">
        <v>199</v>
      </c>
      <c r="C23" s="462" t="s">
        <v>11</v>
      </c>
      <c r="D23" s="463" t="s">
        <v>36</v>
      </c>
      <c r="E23" s="463" t="s">
        <v>34</v>
      </c>
      <c r="F23" s="463">
        <v>20</v>
      </c>
      <c r="G23" s="463">
        <v>24</v>
      </c>
      <c r="H23" s="463">
        <v>0</v>
      </c>
      <c r="I23" s="463">
        <v>1</v>
      </c>
      <c r="J23" s="463">
        <v>3</v>
      </c>
      <c r="K23" s="463">
        <v>1</v>
      </c>
      <c r="L23" s="463">
        <v>0</v>
      </c>
      <c r="M23" s="463">
        <v>1</v>
      </c>
      <c r="N23" s="463">
        <v>0</v>
      </c>
      <c r="O23" s="463">
        <v>0</v>
      </c>
      <c r="P23" s="463">
        <v>1</v>
      </c>
      <c r="Q23" s="463">
        <v>0</v>
      </c>
      <c r="R23" s="463">
        <v>4</v>
      </c>
      <c r="S23" s="464">
        <v>4932</v>
      </c>
      <c r="T23" s="465" t="s">
        <v>515</v>
      </c>
      <c r="U23" s="466" t="s">
        <v>633</v>
      </c>
      <c r="V23" s="464" t="s">
        <v>352</v>
      </c>
      <c r="W23" s="464" t="s">
        <v>323</v>
      </c>
      <c r="X23" s="467" t="s">
        <v>328</v>
      </c>
      <c r="Y23" s="464">
        <v>1</v>
      </c>
      <c r="Z23" s="464">
        <v>0</v>
      </c>
      <c r="AA23" s="464">
        <v>0</v>
      </c>
      <c r="AB23" s="464">
        <v>1</v>
      </c>
      <c r="AC23" s="464">
        <v>0</v>
      </c>
      <c r="AD23" s="464">
        <v>0</v>
      </c>
      <c r="AE23" s="464">
        <v>0</v>
      </c>
      <c r="AF23" s="464">
        <v>0</v>
      </c>
      <c r="AG23" s="464">
        <v>1</v>
      </c>
      <c r="AH23" s="464">
        <v>0</v>
      </c>
      <c r="AI23" s="464">
        <v>0</v>
      </c>
      <c r="AJ23" s="466">
        <v>1</v>
      </c>
      <c r="AK23" s="464">
        <v>0</v>
      </c>
      <c r="AL23" s="464">
        <v>0</v>
      </c>
      <c r="AM23" s="464">
        <v>0</v>
      </c>
      <c r="AN23" s="466">
        <v>0</v>
      </c>
    </row>
    <row r="24" spans="1:47" ht="14.95" customHeight="1" thickBot="1" x14ac:dyDescent="0.3">
      <c r="A24" s="468" t="s">
        <v>460</v>
      </c>
      <c r="B24" s="469" t="s">
        <v>199</v>
      </c>
      <c r="C24" s="470" t="s">
        <v>27</v>
      </c>
      <c r="D24" s="471" t="s">
        <v>299</v>
      </c>
      <c r="E24" s="471" t="s">
        <v>34</v>
      </c>
      <c r="F24" s="471">
        <v>17</v>
      </c>
      <c r="G24" s="471">
        <v>23</v>
      </c>
      <c r="H24" s="471">
        <v>0</v>
      </c>
      <c r="I24" s="471">
        <v>1</v>
      </c>
      <c r="J24" s="471">
        <v>2</v>
      </c>
      <c r="K24" s="471">
        <v>2</v>
      </c>
      <c r="L24" s="471">
        <v>0</v>
      </c>
      <c r="M24" s="471">
        <v>1</v>
      </c>
      <c r="N24" s="471">
        <v>0</v>
      </c>
      <c r="O24" s="471">
        <v>0</v>
      </c>
      <c r="P24" s="471">
        <v>0</v>
      </c>
      <c r="Q24" s="471">
        <v>0</v>
      </c>
      <c r="R24" s="471">
        <v>3</v>
      </c>
      <c r="S24" s="472">
        <v>10370</v>
      </c>
      <c r="T24" s="477" t="s">
        <v>470</v>
      </c>
      <c r="U24" s="478" t="s">
        <v>637</v>
      </c>
      <c r="V24" s="472" t="s">
        <v>632</v>
      </c>
      <c r="W24" s="472" t="s">
        <v>633</v>
      </c>
      <c r="X24" s="473" t="s">
        <v>305</v>
      </c>
      <c r="Y24" s="472">
        <v>1</v>
      </c>
      <c r="Z24" s="472">
        <v>0</v>
      </c>
      <c r="AA24" s="472">
        <v>0</v>
      </c>
      <c r="AB24" s="472">
        <v>1</v>
      </c>
      <c r="AC24" s="472">
        <v>1</v>
      </c>
      <c r="AD24" s="472">
        <v>0</v>
      </c>
      <c r="AE24" s="472">
        <v>0</v>
      </c>
      <c r="AF24" s="472">
        <v>1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</row>
    <row r="25" spans="1:47" ht="14.95" customHeight="1" thickBot="1" x14ac:dyDescent="0.3">
      <c r="A25" s="479" t="s">
        <v>295</v>
      </c>
      <c r="B25" s="461" t="s">
        <v>199</v>
      </c>
      <c r="C25" s="462" t="s">
        <v>106</v>
      </c>
      <c r="D25" s="463" t="s">
        <v>36</v>
      </c>
      <c r="E25" s="463" t="s">
        <v>34</v>
      </c>
      <c r="F25" s="463">
        <v>22</v>
      </c>
      <c r="G25" s="463">
        <v>39</v>
      </c>
      <c r="H25" s="463">
        <v>1</v>
      </c>
      <c r="I25" s="463">
        <v>0</v>
      </c>
      <c r="J25" s="463">
        <v>4</v>
      </c>
      <c r="K25" s="463">
        <v>1</v>
      </c>
      <c r="L25" s="463">
        <v>0</v>
      </c>
      <c r="M25" s="463">
        <v>0</v>
      </c>
      <c r="N25" s="463">
        <v>1</v>
      </c>
      <c r="O25" s="463">
        <v>0</v>
      </c>
      <c r="P25" s="463">
        <v>1</v>
      </c>
      <c r="Q25" s="463">
        <v>0</v>
      </c>
      <c r="R25" s="463">
        <v>5</v>
      </c>
      <c r="S25" s="464">
        <v>9503</v>
      </c>
      <c r="T25" s="465" t="s">
        <v>823</v>
      </c>
      <c r="U25" s="466" t="s">
        <v>630</v>
      </c>
      <c r="V25" s="464" t="s">
        <v>348</v>
      </c>
      <c r="W25" s="464" t="s">
        <v>326</v>
      </c>
      <c r="X25" s="467" t="s">
        <v>401</v>
      </c>
      <c r="Y25" s="464">
        <v>1</v>
      </c>
      <c r="Z25" s="464">
        <v>0</v>
      </c>
      <c r="AA25" s="464">
        <v>0</v>
      </c>
      <c r="AB25" s="464">
        <v>1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0</v>
      </c>
      <c r="AI25" s="464">
        <v>0</v>
      </c>
      <c r="AJ25" s="466">
        <v>1</v>
      </c>
      <c r="AK25" s="464">
        <v>0</v>
      </c>
      <c r="AL25" s="464">
        <v>0</v>
      </c>
      <c r="AM25" s="464">
        <v>0</v>
      </c>
      <c r="AN25" s="466">
        <v>0</v>
      </c>
    </row>
    <row r="26" spans="1:47" ht="14.95" customHeight="1" thickBot="1" x14ac:dyDescent="0.3">
      <c r="A26" s="479" t="s">
        <v>829</v>
      </c>
      <c r="B26" s="461" t="s">
        <v>199</v>
      </c>
      <c r="C26" s="462" t="s">
        <v>23</v>
      </c>
      <c r="D26" s="463" t="s">
        <v>36</v>
      </c>
      <c r="E26" s="463" t="s">
        <v>32</v>
      </c>
      <c r="F26" s="463">
        <v>44</v>
      </c>
      <c r="G26" s="463">
        <v>15</v>
      </c>
      <c r="H26" s="463">
        <v>1</v>
      </c>
      <c r="I26" s="463">
        <v>0</v>
      </c>
      <c r="J26" s="463">
        <v>6</v>
      </c>
      <c r="K26" s="463">
        <v>4</v>
      </c>
      <c r="L26" s="463">
        <v>0</v>
      </c>
      <c r="M26" s="463">
        <v>2</v>
      </c>
      <c r="N26" s="463">
        <v>0</v>
      </c>
      <c r="O26" s="463">
        <v>0</v>
      </c>
      <c r="P26" s="463">
        <v>0</v>
      </c>
      <c r="Q26" s="463">
        <v>0</v>
      </c>
      <c r="R26" s="463">
        <v>2</v>
      </c>
      <c r="S26" s="464">
        <v>0</v>
      </c>
      <c r="T26" s="481" t="s">
        <v>374</v>
      </c>
      <c r="U26" s="466" t="s">
        <v>326</v>
      </c>
      <c r="V26" s="464" t="s">
        <v>399</v>
      </c>
      <c r="W26" s="464" t="s">
        <v>320</v>
      </c>
      <c r="X26" s="467" t="s">
        <v>306</v>
      </c>
      <c r="Y26" s="464">
        <v>1</v>
      </c>
      <c r="Z26" s="464">
        <v>1</v>
      </c>
      <c r="AA26" s="464">
        <v>0</v>
      </c>
      <c r="AB26" s="464">
        <v>0</v>
      </c>
      <c r="AC26" s="464">
        <v>0</v>
      </c>
      <c r="AD26" s="464">
        <v>0</v>
      </c>
      <c r="AE26" s="464">
        <v>0</v>
      </c>
      <c r="AF26" s="464">
        <v>0</v>
      </c>
      <c r="AG26" s="464">
        <v>1</v>
      </c>
      <c r="AH26" s="464">
        <v>1</v>
      </c>
      <c r="AI26" s="464">
        <v>0</v>
      </c>
      <c r="AJ26" s="466">
        <v>0</v>
      </c>
      <c r="AK26" s="464">
        <v>0</v>
      </c>
      <c r="AL26" s="464">
        <v>0</v>
      </c>
      <c r="AM26" s="464">
        <v>0</v>
      </c>
      <c r="AN26" s="466">
        <v>0</v>
      </c>
    </row>
    <row r="27" spans="1:47" ht="15.8" thickBot="1" x14ac:dyDescent="0.3">
      <c r="A27" s="468" t="s">
        <v>831</v>
      </c>
      <c r="B27" s="469" t="s">
        <v>199</v>
      </c>
      <c r="C27" s="470" t="s">
        <v>165</v>
      </c>
      <c r="D27" s="471" t="s">
        <v>299</v>
      </c>
      <c r="E27" s="471" t="s">
        <v>34</v>
      </c>
      <c r="F27" s="471">
        <v>24</v>
      </c>
      <c r="G27" s="471">
        <v>33</v>
      </c>
      <c r="H27" s="471">
        <v>0</v>
      </c>
      <c r="I27" s="471">
        <v>0</v>
      </c>
      <c r="J27" s="471">
        <v>3</v>
      </c>
      <c r="K27" s="471">
        <v>3</v>
      </c>
      <c r="L27" s="471">
        <v>0</v>
      </c>
      <c r="M27" s="471">
        <v>1</v>
      </c>
      <c r="N27" s="471">
        <v>0</v>
      </c>
      <c r="O27" s="471">
        <v>0</v>
      </c>
      <c r="P27" s="471">
        <v>1</v>
      </c>
      <c r="Q27" s="471">
        <v>0</v>
      </c>
      <c r="R27" s="471">
        <v>5</v>
      </c>
      <c r="S27" s="504">
        <v>0</v>
      </c>
      <c r="T27" s="477" t="s">
        <v>886</v>
      </c>
      <c r="U27" s="478" t="s">
        <v>633</v>
      </c>
      <c r="V27" s="472" t="s">
        <v>403</v>
      </c>
      <c r="W27" s="472" t="s">
        <v>475</v>
      </c>
      <c r="X27" s="473" t="s">
        <v>355</v>
      </c>
      <c r="Y27" s="472">
        <v>1</v>
      </c>
      <c r="Z27" s="472">
        <v>0</v>
      </c>
      <c r="AA27" s="472">
        <v>0</v>
      </c>
      <c r="AB27" s="472">
        <v>1</v>
      </c>
      <c r="AC27" s="472">
        <v>1</v>
      </c>
      <c r="AD27" s="472">
        <v>0</v>
      </c>
      <c r="AE27" s="472">
        <v>0</v>
      </c>
      <c r="AF27" s="472">
        <v>1</v>
      </c>
      <c r="AG27" s="472">
        <v>0</v>
      </c>
      <c r="AH27" s="472">
        <v>0</v>
      </c>
      <c r="AI27" s="472">
        <v>0</v>
      </c>
      <c r="AJ27" s="478">
        <v>0</v>
      </c>
      <c r="AK27" s="472">
        <v>0</v>
      </c>
      <c r="AL27" s="472">
        <v>0</v>
      </c>
      <c r="AM27" s="472">
        <v>0</v>
      </c>
      <c r="AN27" s="478">
        <v>0</v>
      </c>
    </row>
    <row r="28" spans="1:47" ht="16.5" thickBot="1" x14ac:dyDescent="0.3">
      <c r="A28" s="479" t="s">
        <v>836</v>
      </c>
      <c r="B28" s="461" t="s">
        <v>199</v>
      </c>
      <c r="C28" s="462" t="s">
        <v>19</v>
      </c>
      <c r="D28" s="463" t="s">
        <v>36</v>
      </c>
      <c r="E28" s="463" t="s">
        <v>34</v>
      </c>
      <c r="F28" s="463">
        <v>20</v>
      </c>
      <c r="G28" s="463">
        <v>36</v>
      </c>
      <c r="H28" s="463">
        <v>0</v>
      </c>
      <c r="I28" s="463">
        <v>0</v>
      </c>
      <c r="J28" s="463">
        <v>3</v>
      </c>
      <c r="K28" s="463">
        <v>1</v>
      </c>
      <c r="L28" s="463">
        <v>0</v>
      </c>
      <c r="M28" s="463">
        <v>1</v>
      </c>
      <c r="N28" s="463">
        <v>0</v>
      </c>
      <c r="O28" s="463">
        <v>0</v>
      </c>
      <c r="P28" s="463">
        <v>1</v>
      </c>
      <c r="Q28" s="463">
        <v>0</v>
      </c>
      <c r="R28" s="463">
        <v>5</v>
      </c>
      <c r="S28" s="464">
        <v>0</v>
      </c>
      <c r="T28" s="481" t="s">
        <v>423</v>
      </c>
      <c r="U28" s="466" t="s">
        <v>318</v>
      </c>
      <c r="V28" s="464" t="s">
        <v>554</v>
      </c>
      <c r="W28" s="464" t="s">
        <v>308</v>
      </c>
      <c r="X28" s="467" t="s">
        <v>394</v>
      </c>
      <c r="Y28" s="464">
        <v>1</v>
      </c>
      <c r="Z28" s="464">
        <v>0</v>
      </c>
      <c r="AA28" s="464">
        <v>0</v>
      </c>
      <c r="AB28" s="464">
        <v>1</v>
      </c>
      <c r="AC28" s="464">
        <v>0</v>
      </c>
      <c r="AD28" s="464">
        <v>0</v>
      </c>
      <c r="AE28" s="464">
        <v>0</v>
      </c>
      <c r="AF28" s="464">
        <v>0</v>
      </c>
      <c r="AG28" s="464">
        <v>1</v>
      </c>
      <c r="AH28" s="464">
        <v>0</v>
      </c>
      <c r="AI28" s="464">
        <v>0</v>
      </c>
      <c r="AJ28" s="466">
        <v>1</v>
      </c>
      <c r="AK28" s="464">
        <v>0</v>
      </c>
      <c r="AL28" s="464">
        <v>0</v>
      </c>
      <c r="AM28" s="464">
        <v>0</v>
      </c>
      <c r="AN28" s="466">
        <v>0</v>
      </c>
    </row>
    <row r="29" spans="1:47" ht="16.5" thickBot="1" x14ac:dyDescent="0.3">
      <c r="A29" s="468" t="s">
        <v>840</v>
      </c>
      <c r="B29" s="469" t="s">
        <v>199</v>
      </c>
      <c r="C29" s="470" t="s">
        <v>26</v>
      </c>
      <c r="D29" s="471" t="s">
        <v>299</v>
      </c>
      <c r="E29" s="471" t="s">
        <v>32</v>
      </c>
      <c r="F29" s="471">
        <v>46</v>
      </c>
      <c r="G29" s="471">
        <v>30</v>
      </c>
      <c r="H29" s="471">
        <v>1</v>
      </c>
      <c r="I29" s="471">
        <v>0</v>
      </c>
      <c r="J29" s="471">
        <v>7</v>
      </c>
      <c r="K29" s="471">
        <v>4</v>
      </c>
      <c r="L29" s="471">
        <v>0</v>
      </c>
      <c r="M29" s="471">
        <v>1</v>
      </c>
      <c r="N29" s="471">
        <v>0</v>
      </c>
      <c r="O29" s="471">
        <v>0</v>
      </c>
      <c r="P29" s="471">
        <v>0</v>
      </c>
      <c r="Q29" s="471">
        <v>0</v>
      </c>
      <c r="R29" s="471">
        <v>3</v>
      </c>
      <c r="S29" s="472">
        <v>0</v>
      </c>
      <c r="T29" s="480" t="s">
        <v>905</v>
      </c>
      <c r="U29" s="478" t="s">
        <v>550</v>
      </c>
      <c r="V29" s="472" t="s">
        <v>403</v>
      </c>
      <c r="W29" s="472" t="s">
        <v>304</v>
      </c>
      <c r="X29" s="473" t="s">
        <v>316</v>
      </c>
      <c r="Y29" s="472">
        <v>1</v>
      </c>
      <c r="Z29" s="472">
        <v>1</v>
      </c>
      <c r="AA29" s="472">
        <v>0</v>
      </c>
      <c r="AB29" s="472">
        <v>0</v>
      </c>
      <c r="AC29" s="472">
        <v>1</v>
      </c>
      <c r="AD29" s="472">
        <v>1</v>
      </c>
      <c r="AE29" s="472">
        <v>0</v>
      </c>
      <c r="AF29" s="472">
        <v>0</v>
      </c>
      <c r="AG29" s="472">
        <v>0</v>
      </c>
      <c r="AH29" s="472">
        <v>0</v>
      </c>
      <c r="AI29" s="472">
        <v>0</v>
      </c>
      <c r="AJ29" s="478">
        <v>0</v>
      </c>
      <c r="AK29" s="472">
        <v>0</v>
      </c>
      <c r="AL29" s="472">
        <v>0</v>
      </c>
      <c r="AM29" s="472">
        <v>0</v>
      </c>
      <c r="AN29" s="478">
        <v>0</v>
      </c>
    </row>
    <row r="30" spans="1:47" ht="15.8" customHeight="1" thickBot="1" x14ac:dyDescent="0.3">
      <c r="A30" s="468" t="s">
        <v>856</v>
      </c>
      <c r="B30" s="469" t="s">
        <v>199</v>
      </c>
      <c r="C30" s="470" t="s">
        <v>11</v>
      </c>
      <c r="D30" s="471" t="s">
        <v>299</v>
      </c>
      <c r="E30" s="471" t="s">
        <v>32</v>
      </c>
      <c r="F30" s="471">
        <v>36</v>
      </c>
      <c r="G30" s="471">
        <v>23</v>
      </c>
      <c r="H30" s="471">
        <v>1</v>
      </c>
      <c r="I30" s="471">
        <v>0</v>
      </c>
      <c r="J30" s="471">
        <v>5</v>
      </c>
      <c r="K30" s="471">
        <v>4</v>
      </c>
      <c r="L30" s="471">
        <v>0</v>
      </c>
      <c r="M30" s="471">
        <v>1</v>
      </c>
      <c r="N30" s="471">
        <v>0</v>
      </c>
      <c r="O30" s="471">
        <v>0</v>
      </c>
      <c r="P30" s="471">
        <v>0</v>
      </c>
      <c r="Q30" s="471">
        <v>0</v>
      </c>
      <c r="R30" s="471">
        <v>2</v>
      </c>
      <c r="S30" s="484">
        <v>0</v>
      </c>
      <c r="T30" s="480" t="s">
        <v>462</v>
      </c>
      <c r="U30" s="478" t="s">
        <v>395</v>
      </c>
      <c r="V30" s="472" t="s">
        <v>330</v>
      </c>
      <c r="W30" s="472" t="s">
        <v>343</v>
      </c>
      <c r="X30" s="473" t="s">
        <v>475</v>
      </c>
      <c r="Y30" s="472">
        <v>1</v>
      </c>
      <c r="Z30" s="472">
        <v>1</v>
      </c>
      <c r="AA30" s="472">
        <v>0</v>
      </c>
      <c r="AB30" s="472">
        <v>0</v>
      </c>
      <c r="AC30" s="472">
        <v>1</v>
      </c>
      <c r="AD30" s="472">
        <v>1</v>
      </c>
      <c r="AE30" s="472">
        <v>0</v>
      </c>
      <c r="AF30" s="472">
        <v>0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7" ht="15.65" customHeight="1" thickBot="1" x14ac:dyDescent="0.3">
      <c r="A31" s="474" t="s">
        <v>861</v>
      </c>
      <c r="B31" s="474" t="s">
        <v>199</v>
      </c>
      <c r="C31" s="487" t="s">
        <v>28</v>
      </c>
      <c r="D31" s="488" t="s">
        <v>36</v>
      </c>
      <c r="E31" s="488" t="s">
        <v>34</v>
      </c>
      <c r="F31" s="463">
        <v>22</v>
      </c>
      <c r="G31" s="488">
        <v>35</v>
      </c>
      <c r="H31" s="463">
        <v>0</v>
      </c>
      <c r="I31" s="463">
        <v>0</v>
      </c>
      <c r="J31" s="463">
        <v>3</v>
      </c>
      <c r="K31" s="463">
        <v>2</v>
      </c>
      <c r="L31" s="463">
        <v>0</v>
      </c>
      <c r="M31" s="463">
        <v>1</v>
      </c>
      <c r="N31" s="463">
        <v>1</v>
      </c>
      <c r="O31" s="463">
        <v>0</v>
      </c>
      <c r="P31" s="463">
        <v>1</v>
      </c>
      <c r="Q31" s="463">
        <v>0</v>
      </c>
      <c r="R31" s="463">
        <v>5</v>
      </c>
      <c r="S31" s="464">
        <v>0</v>
      </c>
      <c r="T31" s="485" t="s">
        <v>925</v>
      </c>
      <c r="U31" s="464" t="s">
        <v>326</v>
      </c>
      <c r="V31" s="464" t="s">
        <v>468</v>
      </c>
      <c r="W31" s="464" t="s">
        <v>345</v>
      </c>
      <c r="X31" s="464" t="s">
        <v>316</v>
      </c>
      <c r="Y31" s="464">
        <v>1</v>
      </c>
      <c r="Z31" s="464">
        <v>0</v>
      </c>
      <c r="AA31" s="464">
        <v>0</v>
      </c>
      <c r="AB31" s="464">
        <v>1</v>
      </c>
      <c r="AC31" s="464">
        <v>0</v>
      </c>
      <c r="AD31" s="464">
        <v>0</v>
      </c>
      <c r="AE31" s="464">
        <v>0</v>
      </c>
      <c r="AF31" s="464">
        <v>0</v>
      </c>
      <c r="AG31" s="464">
        <v>1</v>
      </c>
      <c r="AH31" s="464">
        <v>0</v>
      </c>
      <c r="AI31" s="464">
        <v>0</v>
      </c>
      <c r="AJ31" s="466">
        <v>1</v>
      </c>
      <c r="AK31" s="464">
        <v>0</v>
      </c>
      <c r="AL31" s="464">
        <v>0</v>
      </c>
      <c r="AM31" s="464">
        <v>0</v>
      </c>
      <c r="AN31" s="466">
        <v>0</v>
      </c>
    </row>
    <row r="32" spans="1:47" ht="15.65" customHeight="1" thickBot="1" x14ac:dyDescent="0.3">
      <c r="A32" s="496" t="s">
        <v>865</v>
      </c>
      <c r="B32" s="496" t="s">
        <v>199</v>
      </c>
      <c r="C32" s="476" t="s">
        <v>9</v>
      </c>
      <c r="D32" s="501" t="s">
        <v>299</v>
      </c>
      <c r="E32" s="471" t="s">
        <v>34</v>
      </c>
      <c r="F32" s="471">
        <v>15</v>
      </c>
      <c r="G32" s="471">
        <v>28</v>
      </c>
      <c r="H32" s="471">
        <v>0</v>
      </c>
      <c r="I32" s="471">
        <v>0</v>
      </c>
      <c r="J32" s="471">
        <v>2</v>
      </c>
      <c r="K32" s="471">
        <v>1</v>
      </c>
      <c r="L32" s="471">
        <v>0</v>
      </c>
      <c r="M32" s="471">
        <v>1</v>
      </c>
      <c r="N32" s="471">
        <v>0</v>
      </c>
      <c r="O32" s="471">
        <v>0</v>
      </c>
      <c r="P32" s="471">
        <v>0</v>
      </c>
      <c r="Q32" s="471">
        <v>0</v>
      </c>
      <c r="R32" s="471">
        <v>3</v>
      </c>
      <c r="S32" s="472">
        <v>1000</v>
      </c>
      <c r="T32" s="477" t="s">
        <v>923</v>
      </c>
      <c r="U32" s="472" t="s">
        <v>554</v>
      </c>
      <c r="V32" s="472" t="s">
        <v>348</v>
      </c>
      <c r="W32" s="472" t="s">
        <v>326</v>
      </c>
      <c r="X32" s="472" t="s">
        <v>346</v>
      </c>
      <c r="Y32" s="472">
        <v>1</v>
      </c>
      <c r="Z32" s="472">
        <v>0</v>
      </c>
      <c r="AA32" s="472">
        <v>0</v>
      </c>
      <c r="AB32" s="472">
        <v>1</v>
      </c>
      <c r="AC32" s="472">
        <v>1</v>
      </c>
      <c r="AD32" s="472">
        <v>0</v>
      </c>
      <c r="AE32" s="472">
        <v>0</v>
      </c>
      <c r="AF32" s="472">
        <v>1</v>
      </c>
      <c r="AG32" s="472">
        <v>0</v>
      </c>
      <c r="AH32" s="472">
        <v>0</v>
      </c>
      <c r="AI32" s="472">
        <v>0</v>
      </c>
      <c r="AJ32" s="478">
        <v>0</v>
      </c>
      <c r="AK32" s="472">
        <v>0</v>
      </c>
      <c r="AL32" s="472">
        <v>0</v>
      </c>
      <c r="AM32" s="472">
        <v>0</v>
      </c>
      <c r="AN32" s="478">
        <v>0</v>
      </c>
    </row>
    <row r="33" spans="1:40" ht="15.65" customHeight="1" thickBot="1" x14ac:dyDescent="0.3">
      <c r="A33" s="474" t="s">
        <v>868</v>
      </c>
      <c r="B33" s="474" t="s">
        <v>199</v>
      </c>
      <c r="C33" s="487" t="s">
        <v>22</v>
      </c>
      <c r="D33" s="488" t="s">
        <v>36</v>
      </c>
      <c r="E33" s="475" t="s">
        <v>34</v>
      </c>
      <c r="F33" s="463">
        <v>20</v>
      </c>
      <c r="G33" s="463">
        <v>31</v>
      </c>
      <c r="H33" s="463">
        <v>0</v>
      </c>
      <c r="I33" s="463">
        <v>0</v>
      </c>
      <c r="J33" s="463">
        <v>2</v>
      </c>
      <c r="K33" s="463">
        <v>2</v>
      </c>
      <c r="L33" s="463">
        <v>0</v>
      </c>
      <c r="M33" s="463">
        <v>2</v>
      </c>
      <c r="N33" s="463">
        <v>0</v>
      </c>
      <c r="O33" s="463">
        <v>0</v>
      </c>
      <c r="P33" s="463">
        <v>1</v>
      </c>
      <c r="Q33" s="463">
        <v>0</v>
      </c>
      <c r="R33" s="463">
        <v>4</v>
      </c>
      <c r="S33" s="464">
        <v>0</v>
      </c>
      <c r="T33" s="482" t="s">
        <v>510</v>
      </c>
      <c r="U33" s="464" t="s">
        <v>396</v>
      </c>
      <c r="V33" s="464" t="s">
        <v>326</v>
      </c>
      <c r="W33" s="464" t="s">
        <v>308</v>
      </c>
      <c r="X33" s="464" t="s">
        <v>554</v>
      </c>
      <c r="Y33" s="464">
        <v>1</v>
      </c>
      <c r="Z33" s="464">
        <v>0</v>
      </c>
      <c r="AA33" s="464">
        <v>0</v>
      </c>
      <c r="AB33" s="464">
        <v>1</v>
      </c>
      <c r="AC33" s="464">
        <v>0</v>
      </c>
      <c r="AD33" s="464">
        <v>0</v>
      </c>
      <c r="AE33" s="464">
        <v>0</v>
      </c>
      <c r="AF33" s="464">
        <v>0</v>
      </c>
      <c r="AG33" s="464">
        <v>1</v>
      </c>
      <c r="AH33" s="464">
        <v>0</v>
      </c>
      <c r="AI33" s="464">
        <v>0</v>
      </c>
      <c r="AJ33" s="466">
        <v>1</v>
      </c>
      <c r="AK33" s="464">
        <v>0</v>
      </c>
      <c r="AL33" s="464">
        <v>0</v>
      </c>
      <c r="AM33" s="464">
        <v>0</v>
      </c>
      <c r="AN33" s="466">
        <v>0</v>
      </c>
    </row>
    <row r="34" spans="1:40" ht="15.65" customHeight="1" thickBot="1" x14ac:dyDescent="0.35">
      <c r="A34" s="496" t="s">
        <v>357</v>
      </c>
      <c r="B34" s="496" t="s">
        <v>199</v>
      </c>
      <c r="C34" s="476" t="s">
        <v>25</v>
      </c>
      <c r="D34" s="501" t="s">
        <v>299</v>
      </c>
      <c r="E34" s="497" t="s">
        <v>995</v>
      </c>
      <c r="F34" s="471">
        <v>20</v>
      </c>
      <c r="G34" s="471">
        <v>0</v>
      </c>
      <c r="H34" s="471">
        <v>1</v>
      </c>
      <c r="I34" s="471">
        <v>0</v>
      </c>
      <c r="J34" s="471">
        <v>4</v>
      </c>
      <c r="K34" s="471">
        <v>0</v>
      </c>
      <c r="L34" s="471">
        <v>0</v>
      </c>
      <c r="M34" s="471">
        <v>0</v>
      </c>
      <c r="N34" s="471">
        <v>0</v>
      </c>
      <c r="O34" s="471">
        <v>0</v>
      </c>
      <c r="P34" s="471">
        <v>0</v>
      </c>
      <c r="Q34" s="471">
        <v>0</v>
      </c>
      <c r="R34" s="471">
        <v>0</v>
      </c>
      <c r="S34" s="472">
        <v>0</v>
      </c>
      <c r="T34" s="638" t="s">
        <v>202</v>
      </c>
      <c r="U34" s="472" t="s">
        <v>202</v>
      </c>
      <c r="V34" s="472" t="s">
        <v>202</v>
      </c>
      <c r="W34" s="472" t="s">
        <v>202</v>
      </c>
      <c r="X34" s="472" t="s">
        <v>202</v>
      </c>
      <c r="Y34" s="472">
        <v>1</v>
      </c>
      <c r="Z34" s="472">
        <v>1</v>
      </c>
      <c r="AA34" s="472">
        <v>0</v>
      </c>
      <c r="AB34" s="472">
        <v>0</v>
      </c>
      <c r="AC34" s="472">
        <v>1</v>
      </c>
      <c r="AD34" s="472">
        <v>1</v>
      </c>
      <c r="AE34" s="472">
        <v>0</v>
      </c>
      <c r="AF34" s="472">
        <v>0</v>
      </c>
      <c r="AG34" s="472">
        <v>0</v>
      </c>
      <c r="AH34" s="472">
        <v>0</v>
      </c>
      <c r="AI34" s="472">
        <v>0</v>
      </c>
      <c r="AJ34" s="478">
        <v>0</v>
      </c>
      <c r="AK34" s="472">
        <v>0</v>
      </c>
      <c r="AL34" s="472">
        <v>0</v>
      </c>
      <c r="AM34" s="472">
        <v>0</v>
      </c>
      <c r="AN34" s="478">
        <v>0</v>
      </c>
    </row>
    <row r="35" spans="1:40" ht="15.65" customHeight="1" thickBot="1" x14ac:dyDescent="0.3">
      <c r="A35" s="505"/>
      <c r="B35" s="506"/>
      <c r="C35" s="1000" t="s">
        <v>105</v>
      </c>
      <c r="D35" s="1001"/>
      <c r="E35" s="1002"/>
      <c r="F35" s="491">
        <f t="shared" ref="F35:R35" si="1">SUM(F7+F8+F9+F10+F13+F16+F17+F18+F21+F22+F23+F24+F25+F26+F27+F28+F29+F30+F31+F32+F33+F34)</f>
        <v>515</v>
      </c>
      <c r="G35" s="491">
        <f t="shared" si="1"/>
        <v>513</v>
      </c>
      <c r="H35" s="491">
        <f t="shared" si="1"/>
        <v>9</v>
      </c>
      <c r="I35" s="491">
        <f t="shared" si="1"/>
        <v>5</v>
      </c>
      <c r="J35" s="491">
        <f t="shared" si="1"/>
        <v>72</v>
      </c>
      <c r="K35" s="491">
        <f t="shared" si="1"/>
        <v>43</v>
      </c>
      <c r="L35" s="491">
        <f t="shared" si="1"/>
        <v>0</v>
      </c>
      <c r="M35" s="491">
        <f t="shared" si="1"/>
        <v>23</v>
      </c>
      <c r="N35" s="491">
        <f t="shared" si="1"/>
        <v>5</v>
      </c>
      <c r="O35" s="491">
        <f t="shared" si="1"/>
        <v>0</v>
      </c>
      <c r="P35" s="491">
        <f t="shared" si="1"/>
        <v>6</v>
      </c>
      <c r="Q35" s="491">
        <f t="shared" si="1"/>
        <v>1</v>
      </c>
      <c r="R35" s="491">
        <f t="shared" si="1"/>
        <v>55</v>
      </c>
      <c r="S35" s="502"/>
      <c r="T35" s="502"/>
      <c r="U35" s="502"/>
      <c r="V35" s="500"/>
      <c r="W35" s="500"/>
      <c r="X35" s="883" t="s">
        <v>105</v>
      </c>
      <c r="Y35" s="491">
        <f t="shared" ref="Y35:AN35" si="2">SUM(Y7+Y8+Y9+Y10+Y13+Y16+Y17+Y18+Y21+Y22+Y23+Y24+Y25+Y26+Y27+Y28+Y29+Y30+Y31+Y32+Y33+Y34)</f>
        <v>22</v>
      </c>
      <c r="Z35" s="491">
        <f t="shared" si="2"/>
        <v>8</v>
      </c>
      <c r="AA35" s="491">
        <f t="shared" si="2"/>
        <v>0</v>
      </c>
      <c r="AB35" s="491">
        <f t="shared" si="2"/>
        <v>14</v>
      </c>
      <c r="AC35" s="501">
        <f>SUM(AC8+AC10+AC16+AC18+AC22+AC24+AC27+AC29+AC30+AC32+AC34)</f>
        <v>11</v>
      </c>
      <c r="AD35" s="501">
        <f t="shared" ref="AD35:AF35" si="3">SUM(AD8+AD10+AD16+AD18+AD22+AD24+AD27+AD29+AD30+AD32+AD34)</f>
        <v>6</v>
      </c>
      <c r="AE35" s="501">
        <f t="shared" si="3"/>
        <v>0</v>
      </c>
      <c r="AF35" s="501">
        <f t="shared" si="3"/>
        <v>5</v>
      </c>
      <c r="AG35" s="488">
        <f>SUM(AG7+AG9+AG13+AG17+AG21+AG23+AG25+AG26+AG28+AG31+AG33)</f>
        <v>11</v>
      </c>
      <c r="AH35" s="488">
        <f t="shared" si="2"/>
        <v>2</v>
      </c>
      <c r="AI35" s="488">
        <f t="shared" si="2"/>
        <v>0</v>
      </c>
      <c r="AJ35" s="488">
        <f t="shared" si="2"/>
        <v>9</v>
      </c>
      <c r="AK35" s="491">
        <f t="shared" si="2"/>
        <v>0</v>
      </c>
      <c r="AL35" s="491">
        <f t="shared" si="2"/>
        <v>0</v>
      </c>
      <c r="AM35" s="491">
        <f t="shared" si="2"/>
        <v>0</v>
      </c>
      <c r="AN35" s="491">
        <f t="shared" si="2"/>
        <v>0</v>
      </c>
    </row>
    <row r="36" spans="1:40" ht="15.65" customHeight="1" thickBot="1" x14ac:dyDescent="0.3">
      <c r="A36" s="499"/>
      <c r="B36" s="499"/>
      <c r="C36" s="1000" t="s">
        <v>197</v>
      </c>
      <c r="D36" s="1001"/>
      <c r="E36" s="1002"/>
      <c r="F36" s="491">
        <v>0</v>
      </c>
      <c r="G36" s="491">
        <v>0</v>
      </c>
      <c r="H36" s="492">
        <v>0</v>
      </c>
      <c r="I36" s="492">
        <v>0</v>
      </c>
      <c r="J36" s="491">
        <v>0</v>
      </c>
      <c r="K36" s="491">
        <v>0</v>
      </c>
      <c r="L36" s="491">
        <v>0</v>
      </c>
      <c r="M36" s="491">
        <v>0</v>
      </c>
      <c r="N36" s="491">
        <v>0</v>
      </c>
      <c r="O36" s="491">
        <v>0</v>
      </c>
      <c r="P36" s="492">
        <v>0</v>
      </c>
      <c r="Q36" s="492">
        <v>0</v>
      </c>
      <c r="R36" s="491">
        <v>0</v>
      </c>
      <c r="S36" s="502"/>
      <c r="T36" s="502"/>
      <c r="U36" s="502"/>
      <c r="V36" s="502"/>
      <c r="W36" s="500"/>
      <c r="X36" s="883" t="s">
        <v>197</v>
      </c>
      <c r="Y36" s="491">
        <v>0</v>
      </c>
      <c r="Z36" s="491">
        <v>0</v>
      </c>
      <c r="AA36" s="491">
        <v>0</v>
      </c>
      <c r="AB36" s="491">
        <v>0</v>
      </c>
      <c r="AC36" s="501">
        <v>0</v>
      </c>
      <c r="AD36" s="501">
        <v>0</v>
      </c>
      <c r="AE36" s="501">
        <v>0</v>
      </c>
      <c r="AF36" s="501">
        <v>0</v>
      </c>
      <c r="AG36" s="475">
        <v>0</v>
      </c>
      <c r="AH36" s="475">
        <v>0</v>
      </c>
      <c r="AI36" s="475">
        <v>0</v>
      </c>
      <c r="AJ36" s="475">
        <v>0</v>
      </c>
      <c r="AK36" s="491">
        <v>0</v>
      </c>
      <c r="AL36" s="491">
        <v>0</v>
      </c>
      <c r="AM36" s="491">
        <v>0</v>
      </c>
      <c r="AN36" s="491">
        <v>0</v>
      </c>
    </row>
    <row r="37" spans="1:40" ht="15.65" customHeight="1" thickBot="1" x14ac:dyDescent="0.3">
      <c r="A37" s="499"/>
      <c r="B37" s="499"/>
      <c r="C37" s="1000" t="s">
        <v>219</v>
      </c>
      <c r="D37" s="1001"/>
      <c r="E37" s="1002"/>
      <c r="F37" s="491">
        <f>SUM(F35+F36)</f>
        <v>515</v>
      </c>
      <c r="G37" s="491">
        <f t="shared" ref="G37:R37" si="4">SUM(G35+G36)</f>
        <v>513</v>
      </c>
      <c r="H37" s="491">
        <f t="shared" si="4"/>
        <v>9</v>
      </c>
      <c r="I37" s="491">
        <f t="shared" si="4"/>
        <v>5</v>
      </c>
      <c r="J37" s="491">
        <f t="shared" si="4"/>
        <v>72</v>
      </c>
      <c r="K37" s="491">
        <f t="shared" si="4"/>
        <v>43</v>
      </c>
      <c r="L37" s="491">
        <f t="shared" si="4"/>
        <v>0</v>
      </c>
      <c r="M37" s="491">
        <f t="shared" si="4"/>
        <v>23</v>
      </c>
      <c r="N37" s="491">
        <f t="shared" si="4"/>
        <v>5</v>
      </c>
      <c r="O37" s="491">
        <f t="shared" si="4"/>
        <v>0</v>
      </c>
      <c r="P37" s="491">
        <f t="shared" si="4"/>
        <v>6</v>
      </c>
      <c r="Q37" s="491">
        <f t="shared" si="4"/>
        <v>1</v>
      </c>
      <c r="R37" s="491">
        <f t="shared" si="4"/>
        <v>55</v>
      </c>
      <c r="S37" s="502"/>
      <c r="T37" s="502"/>
      <c r="U37" s="502"/>
      <c r="V37" s="502"/>
      <c r="W37" s="500"/>
      <c r="X37" s="883" t="s">
        <v>219</v>
      </c>
      <c r="Y37" s="491">
        <f t="shared" ref="Y37:AN37" si="5">SUM(Y35+Y36)</f>
        <v>22</v>
      </c>
      <c r="Z37" s="491">
        <f t="shared" si="5"/>
        <v>8</v>
      </c>
      <c r="AA37" s="491">
        <f t="shared" si="5"/>
        <v>0</v>
      </c>
      <c r="AB37" s="491">
        <f t="shared" si="5"/>
        <v>14</v>
      </c>
      <c r="AC37" s="501">
        <f t="shared" si="5"/>
        <v>11</v>
      </c>
      <c r="AD37" s="501">
        <f t="shared" si="5"/>
        <v>6</v>
      </c>
      <c r="AE37" s="501">
        <f t="shared" si="5"/>
        <v>0</v>
      </c>
      <c r="AF37" s="501">
        <f t="shared" si="5"/>
        <v>5</v>
      </c>
      <c r="AG37" s="488">
        <f t="shared" si="5"/>
        <v>11</v>
      </c>
      <c r="AH37" s="488">
        <f t="shared" si="5"/>
        <v>2</v>
      </c>
      <c r="AI37" s="488">
        <f t="shared" si="5"/>
        <v>0</v>
      </c>
      <c r="AJ37" s="488">
        <f t="shared" si="5"/>
        <v>9</v>
      </c>
      <c r="AK37" s="491">
        <f t="shared" si="5"/>
        <v>0</v>
      </c>
      <c r="AL37" s="491">
        <f t="shared" si="5"/>
        <v>0</v>
      </c>
      <c r="AM37" s="491">
        <f t="shared" si="5"/>
        <v>0</v>
      </c>
      <c r="AN37" s="491">
        <f t="shared" si="5"/>
        <v>0</v>
      </c>
    </row>
    <row r="38" spans="1:40" ht="15.65" customHeight="1" thickBot="1" x14ac:dyDescent="0.3">
      <c r="A38" s="100"/>
      <c r="B38"/>
      <c r="C38" s="1004" t="s">
        <v>144</v>
      </c>
      <c r="D38" s="1005"/>
      <c r="E38" s="1006"/>
      <c r="F38" s="410">
        <f t="shared" ref="F38:R38" si="6">SUM(F11+F12+F14+F15+F19+F20)</f>
        <v>140</v>
      </c>
      <c r="G38" s="410">
        <f t="shared" si="6"/>
        <v>140</v>
      </c>
      <c r="H38" s="410">
        <f t="shared" si="6"/>
        <v>3</v>
      </c>
      <c r="I38" s="410">
        <f t="shared" si="6"/>
        <v>3</v>
      </c>
      <c r="J38" s="410">
        <f t="shared" si="6"/>
        <v>19</v>
      </c>
      <c r="K38" s="410">
        <f t="shared" si="6"/>
        <v>15</v>
      </c>
      <c r="L38" s="410">
        <f t="shared" si="6"/>
        <v>0</v>
      </c>
      <c r="M38" s="410">
        <f t="shared" si="6"/>
        <v>5</v>
      </c>
      <c r="N38" s="410">
        <f t="shared" si="6"/>
        <v>6</v>
      </c>
      <c r="O38" s="410">
        <f t="shared" si="6"/>
        <v>0</v>
      </c>
      <c r="P38" s="410">
        <f t="shared" si="6"/>
        <v>1</v>
      </c>
      <c r="Q38" s="410">
        <f t="shared" si="6"/>
        <v>0</v>
      </c>
      <c r="R38" s="410">
        <f t="shared" si="6"/>
        <v>14</v>
      </c>
      <c r="S38" s="171"/>
      <c r="T38" s="171"/>
      <c r="U38" s="171"/>
      <c r="V38" s="171"/>
      <c r="W38" s="403"/>
      <c r="X38" s="399" t="s">
        <v>144</v>
      </c>
      <c r="Y38" s="410">
        <f t="shared" ref="Y38:AN38" si="7">SUM(Y11+Y12+Y14+Y15+Y19+Y20)</f>
        <v>6</v>
      </c>
      <c r="Z38" s="406">
        <f t="shared" si="7"/>
        <v>2</v>
      </c>
      <c r="AA38" s="406">
        <f t="shared" si="7"/>
        <v>0</v>
      </c>
      <c r="AB38" s="406">
        <f t="shared" si="7"/>
        <v>4</v>
      </c>
      <c r="AC38" s="404">
        <f t="shared" si="7"/>
        <v>3</v>
      </c>
      <c r="AD38" s="404">
        <f t="shared" si="7"/>
        <v>2</v>
      </c>
      <c r="AE38" s="404">
        <f t="shared" si="7"/>
        <v>0</v>
      </c>
      <c r="AF38" s="404">
        <f t="shared" si="7"/>
        <v>1</v>
      </c>
      <c r="AG38" s="405">
        <f t="shared" si="7"/>
        <v>3</v>
      </c>
      <c r="AH38" s="405">
        <f t="shared" si="7"/>
        <v>0</v>
      </c>
      <c r="AI38" s="405">
        <f t="shared" si="7"/>
        <v>0</v>
      </c>
      <c r="AJ38" s="405">
        <f t="shared" si="7"/>
        <v>3</v>
      </c>
      <c r="AK38" s="406">
        <f t="shared" si="7"/>
        <v>0</v>
      </c>
      <c r="AL38" s="406">
        <f t="shared" si="7"/>
        <v>0</v>
      </c>
      <c r="AM38" s="406">
        <f t="shared" si="7"/>
        <v>0</v>
      </c>
      <c r="AN38" s="406">
        <f t="shared" si="7"/>
        <v>0</v>
      </c>
    </row>
    <row r="39" spans="1:40" ht="15.65" customHeight="1" thickBot="1" x14ac:dyDescent="0.3">
      <c r="A39" s="100"/>
      <c r="B39"/>
      <c r="C39" s="1004" t="s">
        <v>195</v>
      </c>
      <c r="D39" s="1007"/>
      <c r="E39" s="1008"/>
      <c r="F39" s="410">
        <v>0</v>
      </c>
      <c r="G39" s="410">
        <v>0</v>
      </c>
      <c r="H39" s="406" t="s">
        <v>77</v>
      </c>
      <c r="I39" s="406" t="s">
        <v>77</v>
      </c>
      <c r="J39" s="410">
        <v>0</v>
      </c>
      <c r="K39" s="410">
        <v>0</v>
      </c>
      <c r="L39" s="410">
        <v>0</v>
      </c>
      <c r="M39" s="410">
        <v>0</v>
      </c>
      <c r="N39" s="410">
        <v>0</v>
      </c>
      <c r="O39" s="410">
        <v>0</v>
      </c>
      <c r="P39" s="406" t="s">
        <v>77</v>
      </c>
      <c r="Q39" s="406" t="s">
        <v>77</v>
      </c>
      <c r="R39" s="410">
        <v>0</v>
      </c>
      <c r="S39" s="171"/>
      <c r="T39" s="171"/>
      <c r="U39" s="171"/>
      <c r="V39" s="171"/>
      <c r="W39" s="403"/>
      <c r="X39" s="399" t="s">
        <v>195</v>
      </c>
      <c r="Y39" s="410">
        <v>0</v>
      </c>
      <c r="Z39" s="410">
        <v>0</v>
      </c>
      <c r="AA39" s="410">
        <v>0</v>
      </c>
      <c r="AB39" s="410">
        <v>0</v>
      </c>
      <c r="AC39" s="408">
        <v>0</v>
      </c>
      <c r="AD39" s="408">
        <v>0</v>
      </c>
      <c r="AE39" s="408">
        <v>0</v>
      </c>
      <c r="AF39" s="408">
        <v>0</v>
      </c>
      <c r="AG39" s="409">
        <v>0</v>
      </c>
      <c r="AH39" s="409">
        <v>0</v>
      </c>
      <c r="AI39" s="409">
        <v>0</v>
      </c>
      <c r="AJ39" s="409">
        <v>0</v>
      </c>
      <c r="AK39" s="410">
        <v>0</v>
      </c>
      <c r="AL39" s="410">
        <v>0</v>
      </c>
      <c r="AM39" s="410">
        <v>0</v>
      </c>
      <c r="AN39" s="410">
        <v>0</v>
      </c>
    </row>
    <row r="40" spans="1:40" ht="15.65" customHeight="1" thickBot="1" x14ac:dyDescent="0.3">
      <c r="A40" s="100"/>
      <c r="B40"/>
      <c r="C40" s="1009" t="s">
        <v>230</v>
      </c>
      <c r="D40" s="1007"/>
      <c r="E40" s="1008"/>
      <c r="F40" s="384">
        <f>SUM(F38+F39)</f>
        <v>140</v>
      </c>
      <c r="G40" s="384">
        <f t="shared" ref="G40:R40" si="8">SUM(G38+G39)</f>
        <v>140</v>
      </c>
      <c r="H40" s="384">
        <f>SUM(H38)</f>
        <v>3</v>
      </c>
      <c r="I40" s="384">
        <f>SUM(I38)</f>
        <v>3</v>
      </c>
      <c r="J40" s="384">
        <f t="shared" si="8"/>
        <v>19</v>
      </c>
      <c r="K40" s="384">
        <f t="shared" si="8"/>
        <v>15</v>
      </c>
      <c r="L40" s="384">
        <f t="shared" si="8"/>
        <v>0</v>
      </c>
      <c r="M40" s="384">
        <f t="shared" si="8"/>
        <v>5</v>
      </c>
      <c r="N40" s="384">
        <f t="shared" si="8"/>
        <v>6</v>
      </c>
      <c r="O40" s="384">
        <f t="shared" si="8"/>
        <v>0</v>
      </c>
      <c r="P40" s="384">
        <f t="shared" ref="P40:Q40" si="9">SUM(P38)</f>
        <v>1</v>
      </c>
      <c r="Q40" s="384">
        <f t="shared" si="9"/>
        <v>0</v>
      </c>
      <c r="R40" s="384">
        <f t="shared" si="8"/>
        <v>14</v>
      </c>
      <c r="S40" s="171"/>
      <c r="T40" s="171"/>
      <c r="U40" s="171"/>
      <c r="V40" s="171"/>
      <c r="W40" s="172"/>
      <c r="X40" s="887" t="s">
        <v>230</v>
      </c>
      <c r="Y40" s="384">
        <f t="shared" ref="Y40:AN40" si="10">SUM(Y38+Y39)</f>
        <v>6</v>
      </c>
      <c r="Z40" s="384">
        <f t="shared" si="10"/>
        <v>2</v>
      </c>
      <c r="AA40" s="384">
        <f t="shared" si="10"/>
        <v>0</v>
      </c>
      <c r="AB40" s="384">
        <f t="shared" si="10"/>
        <v>4</v>
      </c>
      <c r="AC40" s="92">
        <f t="shared" si="10"/>
        <v>3</v>
      </c>
      <c r="AD40" s="92">
        <f t="shared" si="10"/>
        <v>2</v>
      </c>
      <c r="AE40" s="92">
        <f t="shared" si="10"/>
        <v>0</v>
      </c>
      <c r="AF40" s="92">
        <f t="shared" si="10"/>
        <v>1</v>
      </c>
      <c r="AG40" s="383">
        <f t="shared" si="10"/>
        <v>3</v>
      </c>
      <c r="AH40" s="383">
        <f t="shared" si="10"/>
        <v>0</v>
      </c>
      <c r="AI40" s="383">
        <f t="shared" si="10"/>
        <v>0</v>
      </c>
      <c r="AJ40" s="383">
        <f t="shared" si="10"/>
        <v>3</v>
      </c>
      <c r="AK40" s="384">
        <f t="shared" si="10"/>
        <v>0</v>
      </c>
      <c r="AL40" s="384">
        <f t="shared" si="10"/>
        <v>0</v>
      </c>
      <c r="AM40" s="384">
        <f t="shared" si="10"/>
        <v>0</v>
      </c>
      <c r="AN40" s="384">
        <f t="shared" si="10"/>
        <v>0</v>
      </c>
    </row>
    <row r="41" spans="1:40" ht="15.65" customHeight="1" thickBot="1" x14ac:dyDescent="0.3">
      <c r="A41" s="100"/>
      <c r="B41"/>
      <c r="C41" s="977" t="s">
        <v>227</v>
      </c>
      <c r="D41" s="978"/>
      <c r="E41" s="979"/>
      <c r="F41" s="541">
        <f t="shared" ref="F41:R41" si="11">SUM(F3+F4+F5+F6)</f>
        <v>101</v>
      </c>
      <c r="G41" s="541">
        <f t="shared" si="11"/>
        <v>135</v>
      </c>
      <c r="H41" s="541">
        <f t="shared" si="11"/>
        <v>3</v>
      </c>
      <c r="I41" s="541">
        <f t="shared" si="11"/>
        <v>2</v>
      </c>
      <c r="J41" s="541">
        <f t="shared" si="11"/>
        <v>16</v>
      </c>
      <c r="K41" s="541">
        <f t="shared" si="11"/>
        <v>9</v>
      </c>
      <c r="L41" s="541">
        <f t="shared" si="11"/>
        <v>0</v>
      </c>
      <c r="M41" s="541">
        <f t="shared" si="11"/>
        <v>1</v>
      </c>
      <c r="N41" s="541">
        <f t="shared" si="11"/>
        <v>2</v>
      </c>
      <c r="O41" s="541">
        <f t="shared" si="11"/>
        <v>0</v>
      </c>
      <c r="P41" s="541">
        <f t="shared" si="11"/>
        <v>3</v>
      </c>
      <c r="Q41" s="541">
        <f t="shared" si="11"/>
        <v>0</v>
      </c>
      <c r="R41" s="541">
        <f t="shared" si="11"/>
        <v>19</v>
      </c>
      <c r="S41" s="534"/>
      <c r="T41" s="534"/>
      <c r="U41" s="534"/>
      <c r="V41" s="535"/>
      <c r="W41" s="535"/>
      <c r="X41" s="888" t="s">
        <v>227</v>
      </c>
      <c r="Y41" s="541">
        <f t="shared" ref="Y41:AN41" si="12">SUM(Y3+Y4+Y5+Y6)</f>
        <v>4</v>
      </c>
      <c r="Z41" s="541">
        <f t="shared" si="12"/>
        <v>0</v>
      </c>
      <c r="AA41" s="541">
        <f t="shared" si="12"/>
        <v>0</v>
      </c>
      <c r="AB41" s="541">
        <f t="shared" si="12"/>
        <v>4</v>
      </c>
      <c r="AC41" s="536">
        <f t="shared" si="12"/>
        <v>2</v>
      </c>
      <c r="AD41" s="536">
        <f t="shared" si="12"/>
        <v>0</v>
      </c>
      <c r="AE41" s="536">
        <f t="shared" si="12"/>
        <v>0</v>
      </c>
      <c r="AF41" s="536">
        <f t="shared" si="12"/>
        <v>2</v>
      </c>
      <c r="AG41" s="537">
        <f t="shared" si="12"/>
        <v>2</v>
      </c>
      <c r="AH41" s="537">
        <f t="shared" si="12"/>
        <v>1</v>
      </c>
      <c r="AI41" s="537">
        <f t="shared" si="12"/>
        <v>0</v>
      </c>
      <c r="AJ41" s="537">
        <f t="shared" si="12"/>
        <v>1</v>
      </c>
      <c r="AK41" s="538">
        <f t="shared" si="12"/>
        <v>0</v>
      </c>
      <c r="AL41" s="538">
        <f t="shared" si="12"/>
        <v>0</v>
      </c>
      <c r="AM41" s="538">
        <f t="shared" si="12"/>
        <v>0</v>
      </c>
      <c r="AN41" s="538">
        <f t="shared" si="12"/>
        <v>0</v>
      </c>
    </row>
    <row r="42" spans="1:40" ht="14.95" thickBot="1" x14ac:dyDescent="0.3">
      <c r="A42"/>
      <c r="B42"/>
      <c r="C42" s="977" t="s">
        <v>228</v>
      </c>
      <c r="D42" s="978"/>
      <c r="E42" s="979"/>
      <c r="F42" s="541">
        <v>0</v>
      </c>
      <c r="G42" s="541">
        <v>0</v>
      </c>
      <c r="H42" s="538" t="s">
        <v>77</v>
      </c>
      <c r="I42" s="538" t="s">
        <v>77</v>
      </c>
      <c r="J42" s="541">
        <v>0</v>
      </c>
      <c r="K42" s="541">
        <v>0</v>
      </c>
      <c r="L42" s="541">
        <v>0</v>
      </c>
      <c r="M42" s="541">
        <v>0</v>
      </c>
      <c r="N42" s="541">
        <v>0</v>
      </c>
      <c r="O42" s="541">
        <v>0</v>
      </c>
      <c r="P42" s="538" t="s">
        <v>77</v>
      </c>
      <c r="Q42" s="538" t="s">
        <v>77</v>
      </c>
      <c r="R42" s="541">
        <v>0</v>
      </c>
      <c r="S42" s="534"/>
      <c r="T42" s="534"/>
      <c r="U42" s="534"/>
      <c r="V42" s="534"/>
      <c r="W42" s="535"/>
      <c r="X42" s="888" t="s">
        <v>228</v>
      </c>
      <c r="Y42" s="541">
        <v>0</v>
      </c>
      <c r="Z42" s="541">
        <v>0</v>
      </c>
      <c r="AA42" s="541">
        <v>0</v>
      </c>
      <c r="AB42" s="541">
        <v>0</v>
      </c>
      <c r="AC42" s="539">
        <v>0</v>
      </c>
      <c r="AD42" s="539">
        <v>0</v>
      </c>
      <c r="AE42" s="539">
        <v>0</v>
      </c>
      <c r="AF42" s="539">
        <v>0</v>
      </c>
      <c r="AG42" s="540">
        <v>0</v>
      </c>
      <c r="AH42" s="540">
        <v>0</v>
      </c>
      <c r="AI42" s="540">
        <v>0</v>
      </c>
      <c r="AJ42" s="540">
        <v>0</v>
      </c>
      <c r="AK42" s="541">
        <v>0</v>
      </c>
      <c r="AL42" s="541">
        <v>0</v>
      </c>
      <c r="AM42" s="541">
        <v>0</v>
      </c>
      <c r="AN42" s="541">
        <v>0</v>
      </c>
    </row>
    <row r="43" spans="1:40" ht="15.8" customHeight="1" thickBot="1" x14ac:dyDescent="0.3">
      <c r="A43"/>
      <c r="B43"/>
      <c r="C43" s="1010" t="s">
        <v>229</v>
      </c>
      <c r="D43" s="978"/>
      <c r="E43" s="979"/>
      <c r="F43" s="545">
        <f>SUM(F41+F42)</f>
        <v>101</v>
      </c>
      <c r="G43" s="545">
        <f t="shared" ref="G43:R43" si="13">SUM(G41+G42)</f>
        <v>135</v>
      </c>
      <c r="H43" s="545">
        <f>H41</f>
        <v>3</v>
      </c>
      <c r="I43" s="545">
        <f>I41</f>
        <v>2</v>
      </c>
      <c r="J43" s="545">
        <f t="shared" si="13"/>
        <v>16</v>
      </c>
      <c r="K43" s="545">
        <f t="shared" si="13"/>
        <v>9</v>
      </c>
      <c r="L43" s="545">
        <f t="shared" si="13"/>
        <v>0</v>
      </c>
      <c r="M43" s="545">
        <f t="shared" si="13"/>
        <v>1</v>
      </c>
      <c r="N43" s="545">
        <f t="shared" si="13"/>
        <v>2</v>
      </c>
      <c r="O43" s="545">
        <f t="shared" si="13"/>
        <v>0</v>
      </c>
      <c r="P43" s="545">
        <f t="shared" ref="P43:Q43" si="14">P41</f>
        <v>3</v>
      </c>
      <c r="Q43" s="545">
        <f t="shared" si="14"/>
        <v>0</v>
      </c>
      <c r="R43" s="545">
        <f t="shared" si="13"/>
        <v>19</v>
      </c>
      <c r="S43" s="534"/>
      <c r="T43" s="534"/>
      <c r="U43" s="534"/>
      <c r="V43" s="534"/>
      <c r="W43" s="542"/>
      <c r="X43" s="885" t="s">
        <v>229</v>
      </c>
      <c r="Y43" s="545">
        <f t="shared" ref="Y43:AN43" si="15">SUM(Y41+Y42)</f>
        <v>4</v>
      </c>
      <c r="Z43" s="545">
        <f t="shared" si="15"/>
        <v>0</v>
      </c>
      <c r="AA43" s="545">
        <f t="shared" si="15"/>
        <v>0</v>
      </c>
      <c r="AB43" s="545">
        <f t="shared" si="15"/>
        <v>4</v>
      </c>
      <c r="AC43" s="543">
        <f t="shared" si="15"/>
        <v>2</v>
      </c>
      <c r="AD43" s="543">
        <f t="shared" si="15"/>
        <v>0</v>
      </c>
      <c r="AE43" s="543">
        <f t="shared" si="15"/>
        <v>0</v>
      </c>
      <c r="AF43" s="543">
        <f t="shared" si="15"/>
        <v>2</v>
      </c>
      <c r="AG43" s="544">
        <f t="shared" si="15"/>
        <v>2</v>
      </c>
      <c r="AH43" s="544">
        <f t="shared" si="15"/>
        <v>1</v>
      </c>
      <c r="AI43" s="544">
        <f t="shared" si="15"/>
        <v>0</v>
      </c>
      <c r="AJ43" s="544">
        <f t="shared" si="15"/>
        <v>1</v>
      </c>
      <c r="AK43" s="545">
        <f t="shared" si="15"/>
        <v>0</v>
      </c>
      <c r="AL43" s="545">
        <f t="shared" si="15"/>
        <v>0</v>
      </c>
      <c r="AM43" s="545">
        <f t="shared" si="15"/>
        <v>0</v>
      </c>
      <c r="AN43" s="545">
        <f t="shared" si="15"/>
        <v>0</v>
      </c>
    </row>
    <row r="44" spans="1:40" ht="14.95" thickBot="1" x14ac:dyDescent="0.3">
      <c r="A44" s="100"/>
      <c r="B44"/>
      <c r="C44" s="980" t="s">
        <v>63</v>
      </c>
      <c r="D44" s="981"/>
      <c r="E44" s="982"/>
      <c r="F44" s="378">
        <f t="shared" ref="F44:R44" si="16">SUM(F3:F34)</f>
        <v>756</v>
      </c>
      <c r="G44" s="378">
        <f t="shared" si="16"/>
        <v>788</v>
      </c>
      <c r="H44" s="378">
        <f t="shared" si="16"/>
        <v>15</v>
      </c>
      <c r="I44" s="378">
        <f t="shared" si="16"/>
        <v>10</v>
      </c>
      <c r="J44" s="378">
        <f t="shared" si="16"/>
        <v>107</v>
      </c>
      <c r="K44" s="378">
        <f t="shared" si="16"/>
        <v>67</v>
      </c>
      <c r="L44" s="378">
        <f t="shared" si="16"/>
        <v>0</v>
      </c>
      <c r="M44" s="378">
        <f t="shared" si="16"/>
        <v>29</v>
      </c>
      <c r="N44" s="378">
        <f t="shared" si="16"/>
        <v>13</v>
      </c>
      <c r="O44" s="378">
        <f t="shared" si="16"/>
        <v>0</v>
      </c>
      <c r="P44" s="378">
        <f t="shared" si="16"/>
        <v>10</v>
      </c>
      <c r="Q44" s="378">
        <f t="shared" si="16"/>
        <v>1</v>
      </c>
      <c r="R44" s="378">
        <f t="shared" si="16"/>
        <v>88</v>
      </c>
      <c r="S44" s="168"/>
      <c r="T44" s="168"/>
      <c r="U44" s="168"/>
      <c r="V44" s="169"/>
      <c r="W44" s="169"/>
      <c r="X44" s="886" t="s">
        <v>63</v>
      </c>
      <c r="Y44" s="378">
        <f t="shared" ref="Y44:AN44" si="17">SUM(Y3:Y34)</f>
        <v>32</v>
      </c>
      <c r="Z44" s="378">
        <f t="shared" si="17"/>
        <v>10</v>
      </c>
      <c r="AA44" s="378">
        <f t="shared" si="17"/>
        <v>0</v>
      </c>
      <c r="AB44" s="378">
        <f t="shared" si="17"/>
        <v>22</v>
      </c>
      <c r="AC44" s="66">
        <f t="shared" si="17"/>
        <v>16</v>
      </c>
      <c r="AD44" s="66">
        <f t="shared" si="17"/>
        <v>8</v>
      </c>
      <c r="AE44" s="66">
        <f t="shared" si="17"/>
        <v>0</v>
      </c>
      <c r="AF44" s="66">
        <f t="shared" si="17"/>
        <v>8</v>
      </c>
      <c r="AG44" s="377">
        <f t="shared" si="17"/>
        <v>16</v>
      </c>
      <c r="AH44" s="377">
        <f t="shared" si="17"/>
        <v>3</v>
      </c>
      <c r="AI44" s="377">
        <f t="shared" si="17"/>
        <v>0</v>
      </c>
      <c r="AJ44" s="377">
        <f t="shared" si="17"/>
        <v>13</v>
      </c>
      <c r="AK44" s="378">
        <f t="shared" si="17"/>
        <v>0</v>
      </c>
      <c r="AL44" s="378">
        <f t="shared" si="17"/>
        <v>0</v>
      </c>
      <c r="AM44" s="378">
        <f t="shared" si="17"/>
        <v>0</v>
      </c>
      <c r="AN44" s="378">
        <f t="shared" si="17"/>
        <v>0</v>
      </c>
    </row>
    <row r="45" spans="1:40" x14ac:dyDescent="0.25">
      <c r="A45" s="745" t="s">
        <v>994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x14ac:dyDescent="0.25">
      <c r="A46" s="100" t="s">
        <v>296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 x14ac:dyDescent="0.25">
      <c r="A47" s="100" t="s">
        <v>107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</sheetData>
  <mergeCells count="26">
    <mergeCell ref="AV4:AW4"/>
    <mergeCell ref="AZ4:BA4"/>
    <mergeCell ref="BB4:BC4"/>
    <mergeCell ref="AX4:AY4"/>
    <mergeCell ref="P1:R1"/>
    <mergeCell ref="Y1:AB1"/>
    <mergeCell ref="AC1:AF1"/>
    <mergeCell ref="AG1:AJ1"/>
    <mergeCell ref="AK1:AN1"/>
    <mergeCell ref="A1:D1"/>
    <mergeCell ref="E1:G1"/>
    <mergeCell ref="H1:I1"/>
    <mergeCell ref="J1:M1"/>
    <mergeCell ref="N1:O1"/>
    <mergeCell ref="C44:E44"/>
    <mergeCell ref="C36:E36"/>
    <mergeCell ref="C41:E41"/>
    <mergeCell ref="C42:E42"/>
    <mergeCell ref="C40:E40"/>
    <mergeCell ref="C37:E37"/>
    <mergeCell ref="C43:E43"/>
    <mergeCell ref="AT16:AU16"/>
    <mergeCell ref="AT4:AU4"/>
    <mergeCell ref="C35:E35"/>
    <mergeCell ref="C38:E38"/>
    <mergeCell ref="C39:E39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C50"/>
  <sheetViews>
    <sheetView workbookViewId="0">
      <pane ySplit="2" topLeftCell="A3" activePane="bottomLeft" state="frozen"/>
      <selection pane="bottomLeft" activeCell="X29" sqref="X29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18" width="3.75" customWidth="1"/>
    <col min="19" max="19" width="6.25" customWidth="1"/>
    <col min="20" max="20" width="5.75" customWidth="1"/>
    <col min="21" max="21" width="21.375" bestFit="1" customWidth="1"/>
    <col min="22" max="22" width="23.375" bestFit="1" customWidth="1"/>
    <col min="23" max="23" width="26.25" customWidth="1"/>
    <col min="24" max="24" width="26.25" bestFit="1" customWidth="1"/>
    <col min="25" max="40" width="3.75" customWidth="1"/>
    <col min="42" max="42" width="13.375" bestFit="1" customWidth="1"/>
    <col min="43" max="43" width="15.75" customWidth="1"/>
    <col min="44" max="44" width="13.375" bestFit="1" customWidth="1"/>
    <col min="46" max="46" width="10.875" bestFit="1" customWidth="1"/>
    <col min="47" max="47" width="6.75" customWidth="1"/>
    <col min="48" max="48" width="10.875" bestFit="1" customWidth="1"/>
    <col min="49" max="49" width="6.75" customWidth="1"/>
    <col min="50" max="50" width="10.875" bestFit="1" customWidth="1"/>
    <col min="51" max="51" width="6.75" customWidth="1"/>
    <col min="52" max="52" width="10.875" bestFit="1" customWidth="1"/>
    <col min="53" max="53" width="6.75" customWidth="1"/>
    <col min="54" max="54" width="10.875" bestFit="1" customWidth="1"/>
    <col min="55" max="55" width="6.75" customWidth="1"/>
  </cols>
  <sheetData>
    <row r="1" spans="1:55" ht="14.95" customHeight="1" thickBot="1" x14ac:dyDescent="0.3">
      <c r="A1" s="1075" t="s">
        <v>279</v>
      </c>
      <c r="B1" s="1076"/>
      <c r="C1" s="1076"/>
      <c r="D1" s="1077"/>
      <c r="E1" s="1078" t="s">
        <v>70</v>
      </c>
      <c r="F1" s="1079"/>
      <c r="G1" s="1080"/>
      <c r="H1" s="1078" t="s">
        <v>69</v>
      </c>
      <c r="I1" s="1080"/>
      <c r="J1" s="1072" t="s">
        <v>40</v>
      </c>
      <c r="K1" s="1073"/>
      <c r="L1" s="1073"/>
      <c r="M1" s="1074"/>
      <c r="N1" s="1072" t="s">
        <v>41</v>
      </c>
      <c r="O1" s="1074"/>
      <c r="P1" s="1072" t="s">
        <v>72</v>
      </c>
      <c r="Q1" s="1073"/>
      <c r="R1" s="1074"/>
      <c r="S1" s="910" t="s">
        <v>42</v>
      </c>
      <c r="T1" s="910" t="s">
        <v>43</v>
      </c>
      <c r="U1" s="911" t="s">
        <v>44</v>
      </c>
      <c r="V1" s="912" t="s">
        <v>45</v>
      </c>
      <c r="W1" s="913" t="s">
        <v>101</v>
      </c>
      <c r="X1" s="914" t="s">
        <v>102</v>
      </c>
      <c r="Y1" s="1081" t="s">
        <v>64</v>
      </c>
      <c r="Z1" s="1082"/>
      <c r="AA1" s="1082"/>
      <c r="AB1" s="1083"/>
      <c r="AC1" s="1084" t="s">
        <v>65</v>
      </c>
      <c r="AD1" s="1085"/>
      <c r="AE1" s="1085"/>
      <c r="AF1" s="1086"/>
      <c r="AG1" s="1084" t="s">
        <v>66</v>
      </c>
      <c r="AH1" s="1085"/>
      <c r="AI1" s="1085"/>
      <c r="AJ1" s="1086"/>
      <c r="AK1" s="1084" t="s">
        <v>137</v>
      </c>
      <c r="AL1" s="1085"/>
      <c r="AM1" s="1085"/>
      <c r="AN1" s="1086"/>
    </row>
    <row r="2" spans="1:55" ht="14.95" customHeight="1" thickBot="1" x14ac:dyDescent="0.3">
      <c r="A2" s="915" t="s">
        <v>62</v>
      </c>
      <c r="B2" s="916" t="s">
        <v>61</v>
      </c>
      <c r="C2" s="917" t="s">
        <v>60</v>
      </c>
      <c r="D2" s="917" t="s">
        <v>71</v>
      </c>
      <c r="E2" s="918" t="s">
        <v>50</v>
      </c>
      <c r="F2" s="918" t="s">
        <v>35</v>
      </c>
      <c r="G2" s="918" t="s">
        <v>36</v>
      </c>
      <c r="H2" s="919" t="s">
        <v>67</v>
      </c>
      <c r="I2" s="919" t="s">
        <v>68</v>
      </c>
      <c r="J2" s="919" t="s">
        <v>46</v>
      </c>
      <c r="K2" s="919" t="s">
        <v>47</v>
      </c>
      <c r="L2" s="919" t="s">
        <v>33</v>
      </c>
      <c r="M2" s="919" t="s">
        <v>48</v>
      </c>
      <c r="N2" s="919" t="s">
        <v>49</v>
      </c>
      <c r="O2" s="919" t="s">
        <v>50</v>
      </c>
      <c r="P2" s="919" t="s">
        <v>67</v>
      </c>
      <c r="Q2" s="919" t="s">
        <v>68</v>
      </c>
      <c r="R2" s="919" t="s">
        <v>46</v>
      </c>
      <c r="S2" s="920"/>
      <c r="T2" s="921"/>
      <c r="U2" s="922"/>
      <c r="V2" s="920"/>
      <c r="W2" s="923"/>
      <c r="X2" s="914"/>
      <c r="Y2" s="924" t="s">
        <v>31</v>
      </c>
      <c r="Z2" s="924" t="s">
        <v>32</v>
      </c>
      <c r="AA2" s="924" t="s">
        <v>33</v>
      </c>
      <c r="AB2" s="924" t="s">
        <v>34</v>
      </c>
      <c r="AC2" s="924" t="s">
        <v>31</v>
      </c>
      <c r="AD2" s="924" t="s">
        <v>32</v>
      </c>
      <c r="AE2" s="924" t="s">
        <v>33</v>
      </c>
      <c r="AF2" s="924" t="s">
        <v>34</v>
      </c>
      <c r="AG2" s="924" t="s">
        <v>31</v>
      </c>
      <c r="AH2" s="924" t="s">
        <v>32</v>
      </c>
      <c r="AI2" s="924" t="s">
        <v>33</v>
      </c>
      <c r="AJ2" s="924" t="s">
        <v>34</v>
      </c>
      <c r="AK2" s="924" t="s">
        <v>31</v>
      </c>
      <c r="AL2" s="924" t="s">
        <v>32</v>
      </c>
      <c r="AM2" s="924" t="s">
        <v>33</v>
      </c>
      <c r="AN2" s="924" t="s">
        <v>34</v>
      </c>
      <c r="AQ2" s="925" t="s">
        <v>184</v>
      </c>
      <c r="AR2" s="190"/>
      <c r="AS2" s="190"/>
      <c r="AT2" s="925" t="s">
        <v>184</v>
      </c>
      <c r="AU2" s="926"/>
    </row>
    <row r="3" spans="1:55" ht="14.95" customHeight="1" thickBot="1" x14ac:dyDescent="0.3">
      <c r="A3" s="619" t="s">
        <v>298</v>
      </c>
      <c r="B3" s="547" t="s">
        <v>222</v>
      </c>
      <c r="C3" s="548" t="s">
        <v>165</v>
      </c>
      <c r="D3" s="549" t="s">
        <v>299</v>
      </c>
      <c r="E3" s="549" t="s">
        <v>32</v>
      </c>
      <c r="F3" s="549">
        <v>24</v>
      </c>
      <c r="G3" s="549">
        <v>12</v>
      </c>
      <c r="H3" s="549">
        <v>0</v>
      </c>
      <c r="I3" s="549">
        <v>0</v>
      </c>
      <c r="J3" s="549">
        <v>3</v>
      </c>
      <c r="K3" s="549">
        <v>3</v>
      </c>
      <c r="L3" s="549">
        <v>0</v>
      </c>
      <c r="M3" s="549">
        <v>1</v>
      </c>
      <c r="N3" s="549">
        <v>0</v>
      </c>
      <c r="O3" s="549">
        <v>0</v>
      </c>
      <c r="P3" s="549">
        <v>0</v>
      </c>
      <c r="Q3" s="549">
        <v>0</v>
      </c>
      <c r="R3" s="549">
        <v>2</v>
      </c>
      <c r="S3" s="550">
        <v>9051</v>
      </c>
      <c r="T3" s="560" t="s">
        <v>300</v>
      </c>
      <c r="U3" s="551" t="s">
        <v>318</v>
      </c>
      <c r="V3" s="550" t="s">
        <v>329</v>
      </c>
      <c r="W3" s="550" t="s">
        <v>316</v>
      </c>
      <c r="X3" s="552" t="s">
        <v>319</v>
      </c>
      <c r="Y3" s="550">
        <v>1</v>
      </c>
      <c r="Z3" s="550">
        <v>1</v>
      </c>
      <c r="AA3" s="550">
        <v>0</v>
      </c>
      <c r="AB3" s="588">
        <v>0</v>
      </c>
      <c r="AC3" s="550">
        <v>1</v>
      </c>
      <c r="AD3" s="550">
        <v>1</v>
      </c>
      <c r="AE3" s="550">
        <v>0</v>
      </c>
      <c r="AF3" s="588">
        <v>0</v>
      </c>
      <c r="AG3" s="550">
        <v>0</v>
      </c>
      <c r="AH3" s="550">
        <v>0</v>
      </c>
      <c r="AI3" s="550">
        <v>0</v>
      </c>
      <c r="AJ3" s="552">
        <v>0</v>
      </c>
      <c r="AK3" s="550">
        <v>0</v>
      </c>
      <c r="AL3" s="550">
        <v>0</v>
      </c>
      <c r="AM3" s="550">
        <v>0</v>
      </c>
      <c r="AN3" s="552">
        <v>0</v>
      </c>
      <c r="AQ3" s="507" t="s">
        <v>171</v>
      </c>
      <c r="AT3" s="4" t="s">
        <v>177</v>
      </c>
    </row>
    <row r="4" spans="1:55" ht="14.95" customHeight="1" thickBot="1" x14ac:dyDescent="0.3">
      <c r="A4" s="553" t="s">
        <v>232</v>
      </c>
      <c r="B4" s="554" t="s">
        <v>222</v>
      </c>
      <c r="C4" s="555" t="s">
        <v>11</v>
      </c>
      <c r="D4" s="556" t="s">
        <v>36</v>
      </c>
      <c r="E4" s="556" t="s">
        <v>32</v>
      </c>
      <c r="F4" s="556">
        <v>21</v>
      </c>
      <c r="G4" s="556">
        <v>8</v>
      </c>
      <c r="H4" s="556">
        <v>0</v>
      </c>
      <c r="I4" s="556">
        <v>0</v>
      </c>
      <c r="J4" s="556">
        <v>3</v>
      </c>
      <c r="K4" s="556">
        <v>0</v>
      </c>
      <c r="L4" s="556">
        <v>0</v>
      </c>
      <c r="M4" s="556">
        <v>2</v>
      </c>
      <c r="N4" s="556">
        <v>2</v>
      </c>
      <c r="O4" s="556">
        <v>0</v>
      </c>
      <c r="P4" s="556">
        <v>0</v>
      </c>
      <c r="Q4" s="556">
        <v>1</v>
      </c>
      <c r="R4" s="556">
        <v>2</v>
      </c>
      <c r="S4" s="620">
        <v>3249</v>
      </c>
      <c r="T4" s="621" t="s">
        <v>375</v>
      </c>
      <c r="U4" s="622" t="s">
        <v>356</v>
      </c>
      <c r="V4" s="620" t="s">
        <v>331</v>
      </c>
      <c r="W4" s="623" t="s">
        <v>354</v>
      </c>
      <c r="X4" s="623" t="s">
        <v>355</v>
      </c>
      <c r="Y4" s="557">
        <v>1</v>
      </c>
      <c r="Z4" s="557">
        <v>1</v>
      </c>
      <c r="AA4" s="557">
        <v>0</v>
      </c>
      <c r="AB4" s="583">
        <v>0</v>
      </c>
      <c r="AC4" s="557">
        <v>0</v>
      </c>
      <c r="AD4" s="557">
        <v>0</v>
      </c>
      <c r="AE4" s="557">
        <v>0</v>
      </c>
      <c r="AF4" s="583">
        <v>0</v>
      </c>
      <c r="AG4" s="557">
        <v>1</v>
      </c>
      <c r="AH4" s="557">
        <v>1</v>
      </c>
      <c r="AI4" s="557">
        <v>0</v>
      </c>
      <c r="AJ4" s="558">
        <v>0</v>
      </c>
      <c r="AK4" s="557">
        <v>0</v>
      </c>
      <c r="AL4" s="557">
        <v>0</v>
      </c>
      <c r="AM4" s="557">
        <v>0</v>
      </c>
      <c r="AN4" s="558">
        <v>0</v>
      </c>
      <c r="AQ4" s="173" t="s">
        <v>167</v>
      </c>
      <c r="AR4" s="174">
        <f>Hqpremhistplayed</f>
        <v>493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989" t="s">
        <v>174</v>
      </c>
      <c r="BC4" s="990"/>
    </row>
    <row r="5" spans="1:55" ht="14.95" customHeight="1" thickBot="1" x14ac:dyDescent="0.3">
      <c r="A5" s="626" t="s">
        <v>233</v>
      </c>
      <c r="B5" s="547" t="s">
        <v>222</v>
      </c>
      <c r="C5" s="627" t="s">
        <v>347</v>
      </c>
      <c r="D5" s="628" t="s">
        <v>299</v>
      </c>
      <c r="E5" s="628" t="s">
        <v>32</v>
      </c>
      <c r="F5" s="628">
        <v>40</v>
      </c>
      <c r="G5" s="628">
        <v>31</v>
      </c>
      <c r="H5" s="628">
        <v>1</v>
      </c>
      <c r="I5" s="628">
        <v>0</v>
      </c>
      <c r="J5" s="628">
        <v>6</v>
      </c>
      <c r="K5" s="628">
        <v>5</v>
      </c>
      <c r="L5" s="628">
        <v>0</v>
      </c>
      <c r="M5" s="628">
        <v>0</v>
      </c>
      <c r="N5" s="628">
        <v>2</v>
      </c>
      <c r="O5" s="628">
        <v>0</v>
      </c>
      <c r="P5" s="628">
        <v>1</v>
      </c>
      <c r="Q5" s="628">
        <v>0</v>
      </c>
      <c r="R5" s="628">
        <v>5</v>
      </c>
      <c r="S5" s="550">
        <v>12496</v>
      </c>
      <c r="T5" s="629" t="s">
        <v>389</v>
      </c>
      <c r="U5" s="551" t="s">
        <v>400</v>
      </c>
      <c r="V5" s="550" t="s">
        <v>331</v>
      </c>
      <c r="W5" s="550" t="s">
        <v>401</v>
      </c>
      <c r="X5" s="550" t="s">
        <v>328</v>
      </c>
      <c r="Y5" s="550">
        <v>1</v>
      </c>
      <c r="Z5" s="550">
        <v>1</v>
      </c>
      <c r="AA5" s="550">
        <v>0</v>
      </c>
      <c r="AB5" s="550">
        <v>0</v>
      </c>
      <c r="AC5" s="550">
        <v>1</v>
      </c>
      <c r="AD5" s="550">
        <v>1</v>
      </c>
      <c r="AE5" s="550">
        <v>0</v>
      </c>
      <c r="AF5" s="550">
        <v>0</v>
      </c>
      <c r="AG5" s="550">
        <v>0</v>
      </c>
      <c r="AH5" s="550">
        <v>0</v>
      </c>
      <c r="AI5" s="550">
        <v>0</v>
      </c>
      <c r="AJ5" s="551">
        <v>0</v>
      </c>
      <c r="AK5" s="550">
        <v>0</v>
      </c>
      <c r="AL5" s="550">
        <v>0</v>
      </c>
      <c r="AM5" s="550">
        <v>0</v>
      </c>
      <c r="AN5" s="551">
        <v>0</v>
      </c>
      <c r="AQ5" s="175" t="s">
        <v>0</v>
      </c>
      <c r="AR5" s="176">
        <f>Hqpremhistwon</f>
        <v>229</v>
      </c>
      <c r="AT5" s="177" t="s">
        <v>167</v>
      </c>
      <c r="AU5" s="189">
        <f>hareuropeancuphistplayed</f>
        <v>86</v>
      </c>
      <c r="AV5" s="179" t="s">
        <v>167</v>
      </c>
      <c r="AW5" s="180">
        <f>harchampscuphistplayed</f>
        <v>18</v>
      </c>
      <c r="AX5" s="187" t="s">
        <v>167</v>
      </c>
      <c r="AY5" s="188">
        <f>harchampscuppohistplayed</f>
        <v>0</v>
      </c>
      <c r="AZ5" s="181" t="s">
        <v>167</v>
      </c>
      <c r="BA5" s="178">
        <f>harpremhistplayed</f>
        <v>63</v>
      </c>
      <c r="BB5" s="182" t="s">
        <v>167</v>
      </c>
      <c r="BC5" s="183">
        <f t="shared" ref="BC5:BC12" si="0">SUM(AU5+AY5+BA5)</f>
        <v>149</v>
      </c>
    </row>
    <row r="6" spans="1:55" ht="14.95" customHeight="1" thickBot="1" x14ac:dyDescent="0.3">
      <c r="A6" s="553" t="s">
        <v>241</v>
      </c>
      <c r="B6" s="554" t="s">
        <v>222</v>
      </c>
      <c r="C6" s="625" t="s">
        <v>19</v>
      </c>
      <c r="D6" s="556" t="s">
        <v>36</v>
      </c>
      <c r="E6" s="556" t="s">
        <v>34</v>
      </c>
      <c r="F6" s="556">
        <v>21</v>
      </c>
      <c r="G6" s="556">
        <v>28</v>
      </c>
      <c r="H6" s="556">
        <v>0</v>
      </c>
      <c r="I6" s="556">
        <v>1</v>
      </c>
      <c r="J6" s="556">
        <v>2</v>
      </c>
      <c r="K6" s="556">
        <v>1</v>
      </c>
      <c r="L6" s="556">
        <v>0</v>
      </c>
      <c r="M6" s="556">
        <v>3</v>
      </c>
      <c r="N6" s="556">
        <v>0</v>
      </c>
      <c r="O6" s="556">
        <v>0</v>
      </c>
      <c r="P6" s="556">
        <v>0</v>
      </c>
      <c r="Q6" s="556">
        <v>0</v>
      </c>
      <c r="R6" s="556">
        <v>3</v>
      </c>
      <c r="S6" s="557">
        <v>5761</v>
      </c>
      <c r="T6" s="563" t="s">
        <v>425</v>
      </c>
      <c r="U6" s="559" t="s">
        <v>323</v>
      </c>
      <c r="V6" s="557" t="s">
        <v>331</v>
      </c>
      <c r="W6" s="557" t="s">
        <v>324</v>
      </c>
      <c r="X6" s="558" t="s">
        <v>316</v>
      </c>
      <c r="Y6" s="557">
        <v>1</v>
      </c>
      <c r="Z6" s="557">
        <v>0</v>
      </c>
      <c r="AA6" s="557">
        <v>0</v>
      </c>
      <c r="AB6" s="557">
        <v>1</v>
      </c>
      <c r="AC6" s="557">
        <v>0</v>
      </c>
      <c r="AD6" s="557">
        <v>0</v>
      </c>
      <c r="AE6" s="557">
        <v>0</v>
      </c>
      <c r="AF6" s="557">
        <v>0</v>
      </c>
      <c r="AG6" s="557">
        <v>1</v>
      </c>
      <c r="AH6" s="557">
        <v>0</v>
      </c>
      <c r="AI6" s="557">
        <v>0</v>
      </c>
      <c r="AJ6" s="559">
        <v>1</v>
      </c>
      <c r="AK6" s="557">
        <v>0</v>
      </c>
      <c r="AL6" s="557">
        <v>0</v>
      </c>
      <c r="AM6" s="557">
        <v>0</v>
      </c>
      <c r="AN6" s="559">
        <v>0</v>
      </c>
      <c r="AQ6" s="175" t="s">
        <v>168</v>
      </c>
      <c r="AR6" s="176">
        <f>Hqpremhistdrawn</f>
        <v>15</v>
      </c>
      <c r="AT6" s="177" t="s">
        <v>0</v>
      </c>
      <c r="AU6" s="189">
        <f>hareuropeancuphistwon</f>
        <v>35</v>
      </c>
      <c r="AV6" s="179" t="s">
        <v>0</v>
      </c>
      <c r="AW6" s="180">
        <f>harchampscuphistwon</f>
        <v>7</v>
      </c>
      <c r="AX6" s="187" t="s">
        <v>0</v>
      </c>
      <c r="AY6" s="188">
        <f>harchampscuppohistwon</f>
        <v>0</v>
      </c>
      <c r="AZ6" s="181" t="s">
        <v>0</v>
      </c>
      <c r="BA6" s="178">
        <f>harpremhistwon</f>
        <v>45</v>
      </c>
      <c r="BB6" s="182" t="s">
        <v>0</v>
      </c>
      <c r="BC6" s="183">
        <f t="shared" si="0"/>
        <v>80</v>
      </c>
    </row>
    <row r="7" spans="1:55" ht="14.95" customHeight="1" thickBot="1" x14ac:dyDescent="0.3">
      <c r="A7" s="479" t="s">
        <v>242</v>
      </c>
      <c r="B7" s="461" t="s">
        <v>199</v>
      </c>
      <c r="C7" s="462" t="s">
        <v>28</v>
      </c>
      <c r="D7" s="463" t="s">
        <v>36</v>
      </c>
      <c r="E7" s="463" t="s">
        <v>34</v>
      </c>
      <c r="F7" s="463">
        <v>19</v>
      </c>
      <c r="G7" s="463">
        <v>22</v>
      </c>
      <c r="H7" s="463">
        <v>0</v>
      </c>
      <c r="I7" s="463">
        <v>1</v>
      </c>
      <c r="J7" s="463">
        <v>2</v>
      </c>
      <c r="K7" s="463">
        <v>0</v>
      </c>
      <c r="L7" s="463">
        <v>0</v>
      </c>
      <c r="M7" s="463">
        <v>3</v>
      </c>
      <c r="N7" s="463">
        <v>0</v>
      </c>
      <c r="O7" s="463">
        <v>0</v>
      </c>
      <c r="P7" s="463">
        <v>0</v>
      </c>
      <c r="Q7" s="463">
        <v>0</v>
      </c>
      <c r="R7" s="463">
        <v>1</v>
      </c>
      <c r="S7" s="464">
        <v>11896</v>
      </c>
      <c r="T7" s="481" t="s">
        <v>469</v>
      </c>
      <c r="U7" s="466" t="s">
        <v>326</v>
      </c>
      <c r="V7" s="464" t="s">
        <v>468</v>
      </c>
      <c r="W7" s="464" t="s">
        <v>343</v>
      </c>
      <c r="X7" s="467" t="s">
        <v>316</v>
      </c>
      <c r="Y7" s="464">
        <v>1</v>
      </c>
      <c r="Z7" s="464">
        <v>0</v>
      </c>
      <c r="AA7" s="464">
        <v>0</v>
      </c>
      <c r="AB7" s="464">
        <v>1</v>
      </c>
      <c r="AC7" s="464">
        <v>0</v>
      </c>
      <c r="AD7" s="464">
        <v>0</v>
      </c>
      <c r="AE7" s="464">
        <v>0</v>
      </c>
      <c r="AF7" s="464">
        <v>0</v>
      </c>
      <c r="AG7" s="464">
        <v>1</v>
      </c>
      <c r="AH7" s="464">
        <v>0</v>
      </c>
      <c r="AI7" s="464">
        <v>0</v>
      </c>
      <c r="AJ7" s="466">
        <v>1</v>
      </c>
      <c r="AK7" s="464">
        <v>0</v>
      </c>
      <c r="AL7" s="464">
        <v>0</v>
      </c>
      <c r="AM7" s="464">
        <v>0</v>
      </c>
      <c r="AN7" s="466">
        <v>0</v>
      </c>
      <c r="AQ7" s="175" t="s">
        <v>1</v>
      </c>
      <c r="AR7" s="176">
        <f>Hqpremhistlost</f>
        <v>249</v>
      </c>
      <c r="AT7" s="177" t="s">
        <v>168</v>
      </c>
      <c r="AU7" s="189">
        <f>hareuropeancuphistdrawn</f>
        <v>3</v>
      </c>
      <c r="AV7" s="179" t="s">
        <v>168</v>
      </c>
      <c r="AW7" s="180">
        <f>harchampscuphistdrawn</f>
        <v>0</v>
      </c>
      <c r="AX7" s="187" t="s">
        <v>168</v>
      </c>
      <c r="AY7" s="188">
        <f>harchampscuppohistdrawn</f>
        <v>0</v>
      </c>
      <c r="AZ7" s="181" t="s">
        <v>168</v>
      </c>
      <c r="BA7" s="178">
        <f>harpremhistdrawn</f>
        <v>0</v>
      </c>
      <c r="BB7" s="182" t="s">
        <v>168</v>
      </c>
      <c r="BC7" s="183">
        <f t="shared" si="0"/>
        <v>3</v>
      </c>
    </row>
    <row r="8" spans="1:55" ht="14.95" customHeight="1" thickBot="1" x14ac:dyDescent="0.3">
      <c r="A8" s="468" t="s">
        <v>238</v>
      </c>
      <c r="B8" s="469" t="s">
        <v>199</v>
      </c>
      <c r="C8" s="470" t="s">
        <v>165</v>
      </c>
      <c r="D8" s="471" t="s">
        <v>299</v>
      </c>
      <c r="E8" s="471" t="s">
        <v>32</v>
      </c>
      <c r="F8" s="471">
        <v>22</v>
      </c>
      <c r="G8" s="471">
        <v>17</v>
      </c>
      <c r="H8" s="471">
        <v>0</v>
      </c>
      <c r="I8" s="471">
        <v>0</v>
      </c>
      <c r="J8" s="471">
        <v>1</v>
      </c>
      <c r="K8" s="471">
        <v>1</v>
      </c>
      <c r="L8" s="471">
        <v>0</v>
      </c>
      <c r="M8" s="471">
        <v>5</v>
      </c>
      <c r="N8" s="471">
        <v>0</v>
      </c>
      <c r="O8" s="471">
        <v>0</v>
      </c>
      <c r="P8" s="471">
        <v>0</v>
      </c>
      <c r="Q8" s="471">
        <v>1</v>
      </c>
      <c r="R8" s="471">
        <v>1</v>
      </c>
      <c r="S8" s="472">
        <v>13006</v>
      </c>
      <c r="T8" s="498" t="s">
        <v>512</v>
      </c>
      <c r="U8" s="478" t="s">
        <v>318</v>
      </c>
      <c r="V8" s="472" t="s">
        <v>348</v>
      </c>
      <c r="W8" s="472" t="s">
        <v>395</v>
      </c>
      <c r="X8" s="473" t="s">
        <v>306</v>
      </c>
      <c r="Y8" s="472">
        <v>1</v>
      </c>
      <c r="Z8" s="472">
        <v>1</v>
      </c>
      <c r="AA8" s="472">
        <v>0</v>
      </c>
      <c r="AB8" s="472">
        <v>0</v>
      </c>
      <c r="AC8" s="472">
        <v>1</v>
      </c>
      <c r="AD8" s="472">
        <v>1</v>
      </c>
      <c r="AE8" s="472">
        <v>0</v>
      </c>
      <c r="AF8" s="472">
        <v>0</v>
      </c>
      <c r="AG8" s="472">
        <v>0</v>
      </c>
      <c r="AH8" s="472">
        <v>0</v>
      </c>
      <c r="AI8" s="472">
        <v>0</v>
      </c>
      <c r="AJ8" s="478">
        <v>0</v>
      </c>
      <c r="AK8" s="472">
        <v>0</v>
      </c>
      <c r="AL8" s="472">
        <v>0</v>
      </c>
      <c r="AM8" s="472">
        <v>0</v>
      </c>
      <c r="AN8" s="478">
        <v>0</v>
      </c>
      <c r="AQ8" s="175" t="s">
        <v>169</v>
      </c>
      <c r="AR8" s="176">
        <f>Hqpremhistptsscored</f>
        <v>10978</v>
      </c>
      <c r="AT8" s="177" t="s">
        <v>1</v>
      </c>
      <c r="AU8" s="189">
        <f>hareuropeancuphistlost</f>
        <v>48</v>
      </c>
      <c r="AV8" s="179" t="s">
        <v>1</v>
      </c>
      <c r="AW8" s="180">
        <f>harchampscuphistlost</f>
        <v>11</v>
      </c>
      <c r="AX8" s="187" t="s">
        <v>1</v>
      </c>
      <c r="AY8" s="188">
        <f>harchampscuppohistlost</f>
        <v>0</v>
      </c>
      <c r="AZ8" s="181" t="s">
        <v>1</v>
      </c>
      <c r="BA8" s="178">
        <f>harpremhistlost</f>
        <v>18</v>
      </c>
      <c r="BB8" s="182" t="s">
        <v>1</v>
      </c>
      <c r="BC8" s="183">
        <f t="shared" si="0"/>
        <v>66</v>
      </c>
    </row>
    <row r="9" spans="1:55" ht="14.95" customHeight="1" thickBot="1" x14ac:dyDescent="0.3">
      <c r="A9" s="479" t="s">
        <v>435</v>
      </c>
      <c r="B9" s="461" t="s">
        <v>199</v>
      </c>
      <c r="C9" s="462" t="s">
        <v>25</v>
      </c>
      <c r="D9" s="463" t="s">
        <v>36</v>
      </c>
      <c r="E9" s="463" t="s">
        <v>34</v>
      </c>
      <c r="F9" s="463">
        <v>22</v>
      </c>
      <c r="G9" s="463">
        <v>40</v>
      </c>
      <c r="H9" s="463">
        <v>0</v>
      </c>
      <c r="I9" s="463">
        <v>0</v>
      </c>
      <c r="J9" s="463">
        <v>3</v>
      </c>
      <c r="K9" s="463">
        <v>2</v>
      </c>
      <c r="L9" s="463">
        <v>0</v>
      </c>
      <c r="M9" s="463">
        <v>1</v>
      </c>
      <c r="N9" s="463">
        <v>0</v>
      </c>
      <c r="O9" s="463">
        <v>0</v>
      </c>
      <c r="P9" s="463">
        <v>1</v>
      </c>
      <c r="Q9" s="463">
        <v>0</v>
      </c>
      <c r="R9" s="463">
        <v>5</v>
      </c>
      <c r="S9" s="464">
        <v>12791</v>
      </c>
      <c r="T9" s="481" t="s">
        <v>529</v>
      </c>
      <c r="U9" s="466" t="s">
        <v>324</v>
      </c>
      <c r="V9" s="464" t="s">
        <v>329</v>
      </c>
      <c r="W9" s="464" t="s">
        <v>304</v>
      </c>
      <c r="X9" s="467" t="s">
        <v>316</v>
      </c>
      <c r="Y9" s="464">
        <v>1</v>
      </c>
      <c r="Z9" s="464">
        <v>0</v>
      </c>
      <c r="AA9" s="464">
        <v>0</v>
      </c>
      <c r="AB9" s="464">
        <v>1</v>
      </c>
      <c r="AC9" s="464">
        <v>0</v>
      </c>
      <c r="AD9" s="464">
        <v>0</v>
      </c>
      <c r="AE9" s="464">
        <v>0</v>
      </c>
      <c r="AF9" s="464">
        <v>0</v>
      </c>
      <c r="AG9" s="464">
        <v>1</v>
      </c>
      <c r="AH9" s="464">
        <v>0</v>
      </c>
      <c r="AI9" s="464">
        <v>0</v>
      </c>
      <c r="AJ9" s="466">
        <v>1</v>
      </c>
      <c r="AK9" s="464">
        <v>0</v>
      </c>
      <c r="AL9" s="464">
        <v>0</v>
      </c>
      <c r="AM9" s="464">
        <v>0</v>
      </c>
      <c r="AN9" s="466">
        <v>0</v>
      </c>
      <c r="AQ9" s="175" t="s">
        <v>170</v>
      </c>
      <c r="AR9" s="176">
        <f>Hqpremhistptsagainst</f>
        <v>11316</v>
      </c>
      <c r="AT9" s="177" t="s">
        <v>169</v>
      </c>
      <c r="AU9" s="189">
        <f>hareuropeancuphistptsscored</f>
        <v>1843</v>
      </c>
      <c r="AV9" s="179" t="s">
        <v>169</v>
      </c>
      <c r="AW9" s="180">
        <f>harchampscuphistptsscored</f>
        <v>355</v>
      </c>
      <c r="AX9" s="187" t="s">
        <v>169</v>
      </c>
      <c r="AY9" s="188">
        <f>harchampscuppohistptsscored</f>
        <v>0</v>
      </c>
      <c r="AZ9" s="181" t="s">
        <v>169</v>
      </c>
      <c r="BA9" s="178">
        <f>harpremhistptsscored</f>
        <v>1942</v>
      </c>
      <c r="BB9" s="182" t="s">
        <v>169</v>
      </c>
      <c r="BC9" s="183">
        <f t="shared" si="0"/>
        <v>3785</v>
      </c>
    </row>
    <row r="10" spans="1:55" ht="14.95" customHeight="1" thickBot="1" x14ac:dyDescent="0.3">
      <c r="A10" s="468" t="s">
        <v>237</v>
      </c>
      <c r="B10" s="469" t="s">
        <v>199</v>
      </c>
      <c r="C10" s="470" t="s">
        <v>23</v>
      </c>
      <c r="D10" s="471" t="s">
        <v>299</v>
      </c>
      <c r="E10" s="471" t="s">
        <v>34</v>
      </c>
      <c r="F10" s="471">
        <v>14</v>
      </c>
      <c r="G10" s="471">
        <v>19</v>
      </c>
      <c r="H10" s="471">
        <v>0</v>
      </c>
      <c r="I10" s="471">
        <v>1</v>
      </c>
      <c r="J10" s="471">
        <v>2</v>
      </c>
      <c r="K10" s="471">
        <v>2</v>
      </c>
      <c r="L10" s="471">
        <v>0</v>
      </c>
      <c r="M10" s="471">
        <v>0</v>
      </c>
      <c r="N10" s="471">
        <v>0</v>
      </c>
      <c r="O10" s="471">
        <v>0</v>
      </c>
      <c r="P10" s="471">
        <v>0</v>
      </c>
      <c r="Q10" s="471">
        <v>0</v>
      </c>
      <c r="R10" s="471">
        <v>1</v>
      </c>
      <c r="S10" s="503">
        <v>13461</v>
      </c>
      <c r="T10" s="638" t="s">
        <v>532</v>
      </c>
      <c r="U10" s="478" t="s">
        <v>550</v>
      </c>
      <c r="V10" s="472" t="s">
        <v>330</v>
      </c>
      <c r="W10" s="472" t="s">
        <v>305</v>
      </c>
      <c r="X10" s="473" t="s">
        <v>401</v>
      </c>
      <c r="Y10" s="472">
        <v>1</v>
      </c>
      <c r="Z10" s="472">
        <v>0</v>
      </c>
      <c r="AA10" s="472">
        <v>0</v>
      </c>
      <c r="AB10" s="472">
        <v>1</v>
      </c>
      <c r="AC10" s="472">
        <v>1</v>
      </c>
      <c r="AD10" s="472">
        <v>0</v>
      </c>
      <c r="AE10" s="472">
        <v>0</v>
      </c>
      <c r="AF10" s="472">
        <v>1</v>
      </c>
      <c r="AG10" s="472">
        <v>0</v>
      </c>
      <c r="AH10" s="472">
        <v>0</v>
      </c>
      <c r="AI10" s="472">
        <v>0</v>
      </c>
      <c r="AJ10" s="478">
        <v>0</v>
      </c>
      <c r="AK10" s="472">
        <v>0</v>
      </c>
      <c r="AL10" s="472">
        <v>0</v>
      </c>
      <c r="AM10" s="472">
        <v>0</v>
      </c>
      <c r="AN10" s="478">
        <v>0</v>
      </c>
      <c r="AQ10" s="175" t="s">
        <v>73</v>
      </c>
      <c r="AR10" s="176">
        <f>Hqpremhisttriesscored</f>
        <v>1133</v>
      </c>
      <c r="AT10" s="177" t="s">
        <v>175</v>
      </c>
      <c r="AU10" s="189">
        <f>hareuropeancuphistptsagainst</f>
        <v>2002</v>
      </c>
      <c r="AV10" s="179" t="s">
        <v>175</v>
      </c>
      <c r="AW10" s="180">
        <f>harchampscuphistptsagainst</f>
        <v>453</v>
      </c>
      <c r="AX10" s="187" t="s">
        <v>175</v>
      </c>
      <c r="AY10" s="188">
        <f>harchampscuppohistptsagainst</f>
        <v>0</v>
      </c>
      <c r="AZ10" s="181" t="s">
        <v>175</v>
      </c>
      <c r="BA10" s="178">
        <f>harpremhistptsagainst</f>
        <v>1171</v>
      </c>
      <c r="BB10" s="182" t="s">
        <v>175</v>
      </c>
      <c r="BC10" s="183">
        <f t="shared" si="0"/>
        <v>3173</v>
      </c>
    </row>
    <row r="11" spans="1:55" ht="14.95" customHeight="1" thickBot="1" x14ac:dyDescent="0.3">
      <c r="A11" s="145" t="s">
        <v>234</v>
      </c>
      <c r="B11" s="139" t="s">
        <v>104</v>
      </c>
      <c r="C11" s="140" t="s">
        <v>432</v>
      </c>
      <c r="D11" s="141" t="s">
        <v>36</v>
      </c>
      <c r="E11" s="141" t="s">
        <v>34</v>
      </c>
      <c r="F11" s="141">
        <v>21</v>
      </c>
      <c r="G11" s="141">
        <v>53</v>
      </c>
      <c r="H11" s="141">
        <v>0</v>
      </c>
      <c r="I11" s="141">
        <v>0</v>
      </c>
      <c r="J11" s="141">
        <v>3</v>
      </c>
      <c r="K11" s="141">
        <v>3</v>
      </c>
      <c r="L11" s="141">
        <v>0</v>
      </c>
      <c r="M11" s="141">
        <v>0</v>
      </c>
      <c r="N11" s="141">
        <v>0</v>
      </c>
      <c r="O11" s="141">
        <v>0</v>
      </c>
      <c r="P11" s="141">
        <v>1</v>
      </c>
      <c r="Q11" s="141">
        <v>0</v>
      </c>
      <c r="R11" s="141">
        <v>7</v>
      </c>
      <c r="S11" s="142">
        <v>17701</v>
      </c>
      <c r="T11" s="421" t="s">
        <v>583</v>
      </c>
      <c r="U11" s="143" t="s">
        <v>579</v>
      </c>
      <c r="V11" s="142" t="s">
        <v>580</v>
      </c>
      <c r="W11" s="142" t="s">
        <v>581</v>
      </c>
      <c r="X11" s="144" t="s">
        <v>582</v>
      </c>
      <c r="Y11" s="142">
        <v>1</v>
      </c>
      <c r="Z11" s="142">
        <v>0</v>
      </c>
      <c r="AA11" s="142">
        <v>0</v>
      </c>
      <c r="AB11" s="142">
        <v>1</v>
      </c>
      <c r="AC11" s="142">
        <v>0</v>
      </c>
      <c r="AD11" s="142">
        <v>0</v>
      </c>
      <c r="AE11" s="142">
        <v>0</v>
      </c>
      <c r="AF11" s="142">
        <v>0</v>
      </c>
      <c r="AG11" s="142">
        <v>1</v>
      </c>
      <c r="AH11" s="142">
        <v>0</v>
      </c>
      <c r="AI11" s="142">
        <v>0</v>
      </c>
      <c r="AJ11" s="143">
        <v>1</v>
      </c>
      <c r="AK11" s="142">
        <v>0</v>
      </c>
      <c r="AL11" s="142">
        <v>0</v>
      </c>
      <c r="AM11" s="142">
        <v>0</v>
      </c>
      <c r="AN11" s="143">
        <v>0</v>
      </c>
      <c r="AQ11" s="175" t="s">
        <v>75</v>
      </c>
      <c r="AR11" s="176">
        <f>Hqpremhisttriesagainst</f>
        <v>1167</v>
      </c>
      <c r="AT11" s="177" t="s">
        <v>73</v>
      </c>
      <c r="AU11" s="189">
        <f>hareuropeancuphisttriesscored</f>
        <v>189</v>
      </c>
      <c r="AV11" s="179" t="s">
        <v>73</v>
      </c>
      <c r="AW11" s="180">
        <f>harchampscuphisttriesscored</f>
        <v>28</v>
      </c>
      <c r="AX11" s="187" t="s">
        <v>73</v>
      </c>
      <c r="AY11" s="188">
        <f>harchampscuppohisttriesscopred</f>
        <v>0</v>
      </c>
      <c r="AZ11" s="181" t="s">
        <v>73</v>
      </c>
      <c r="BA11" s="178">
        <f>harpremhisttriesscored</f>
        <v>182</v>
      </c>
      <c r="BB11" s="182" t="s">
        <v>73</v>
      </c>
      <c r="BC11" s="183">
        <f t="shared" si="0"/>
        <v>371</v>
      </c>
    </row>
    <row r="12" spans="1:55" ht="14.95" customHeight="1" thickBot="1" x14ac:dyDescent="0.3">
      <c r="A12" s="309" t="s">
        <v>235</v>
      </c>
      <c r="B12" s="310" t="s">
        <v>104</v>
      </c>
      <c r="C12" s="93" t="s">
        <v>22</v>
      </c>
      <c r="D12" s="94" t="s">
        <v>299</v>
      </c>
      <c r="E12" s="94" t="s">
        <v>32</v>
      </c>
      <c r="F12" s="94">
        <v>15</v>
      </c>
      <c r="G12" s="94">
        <v>9</v>
      </c>
      <c r="H12" s="94">
        <v>0</v>
      </c>
      <c r="I12" s="94">
        <v>0</v>
      </c>
      <c r="J12" s="94">
        <v>0</v>
      </c>
      <c r="K12" s="94">
        <v>0</v>
      </c>
      <c r="L12" s="94">
        <v>0</v>
      </c>
      <c r="M12" s="94">
        <v>5</v>
      </c>
      <c r="N12" s="94">
        <v>1</v>
      </c>
      <c r="O12" s="94">
        <v>0</v>
      </c>
      <c r="P12" s="94">
        <v>0</v>
      </c>
      <c r="Q12" s="94">
        <v>1</v>
      </c>
      <c r="R12" s="94">
        <v>0</v>
      </c>
      <c r="S12" s="311">
        <v>13205</v>
      </c>
      <c r="T12" s="698" t="s">
        <v>527</v>
      </c>
      <c r="U12" s="636" t="s">
        <v>589</v>
      </c>
      <c r="V12" s="637" t="s">
        <v>590</v>
      </c>
      <c r="W12" s="311" t="s">
        <v>596</v>
      </c>
      <c r="X12" s="88" t="s">
        <v>615</v>
      </c>
      <c r="Y12" s="311">
        <v>1</v>
      </c>
      <c r="Z12" s="311">
        <v>1</v>
      </c>
      <c r="AA12" s="311">
        <v>0</v>
      </c>
      <c r="AB12" s="311">
        <v>0</v>
      </c>
      <c r="AC12" s="311">
        <v>1</v>
      </c>
      <c r="AD12" s="311">
        <v>1</v>
      </c>
      <c r="AE12" s="311">
        <v>0</v>
      </c>
      <c r="AF12" s="311">
        <v>0</v>
      </c>
      <c r="AG12" s="311">
        <v>0</v>
      </c>
      <c r="AH12" s="311">
        <v>0</v>
      </c>
      <c r="AI12" s="311">
        <v>0</v>
      </c>
      <c r="AJ12" s="313">
        <v>0</v>
      </c>
      <c r="AK12" s="311">
        <v>0</v>
      </c>
      <c r="AL12" s="311">
        <v>0</v>
      </c>
      <c r="AM12" s="311">
        <v>0</v>
      </c>
      <c r="AN12" s="313">
        <v>0</v>
      </c>
      <c r="AT12" s="177" t="s">
        <v>176</v>
      </c>
      <c r="AU12" s="189">
        <f>hareuropeancuphisttriesagainst</f>
        <v>202</v>
      </c>
      <c r="AV12" s="179" t="s">
        <v>176</v>
      </c>
      <c r="AW12" s="180">
        <f>harchampscuphisttriesagainst</f>
        <v>49</v>
      </c>
      <c r="AX12" s="187" t="s">
        <v>176</v>
      </c>
      <c r="AY12" s="188">
        <f>harchampscuppohisttriesagainst</f>
        <v>0</v>
      </c>
      <c r="AZ12" s="181" t="s">
        <v>176</v>
      </c>
      <c r="BA12" s="178">
        <f>harpremhisttriesagainst</f>
        <v>118</v>
      </c>
      <c r="BB12" s="182" t="s">
        <v>176</v>
      </c>
      <c r="BC12" s="183">
        <f t="shared" si="0"/>
        <v>320</v>
      </c>
    </row>
    <row r="13" spans="1:55" ht="14.95" customHeight="1" thickBot="1" x14ac:dyDescent="0.3">
      <c r="A13" s="468" t="s">
        <v>438</v>
      </c>
      <c r="B13" s="469" t="s">
        <v>199</v>
      </c>
      <c r="C13" s="470" t="s">
        <v>347</v>
      </c>
      <c r="D13" s="471" t="s">
        <v>299</v>
      </c>
      <c r="E13" s="471" t="s">
        <v>32</v>
      </c>
      <c r="F13" s="471">
        <v>23</v>
      </c>
      <c r="G13" s="471">
        <v>19</v>
      </c>
      <c r="H13" s="471">
        <v>0</v>
      </c>
      <c r="I13" s="471">
        <v>0</v>
      </c>
      <c r="J13" s="471">
        <v>2</v>
      </c>
      <c r="K13" s="471">
        <v>2</v>
      </c>
      <c r="L13" s="471">
        <v>0</v>
      </c>
      <c r="M13" s="471">
        <v>3</v>
      </c>
      <c r="N13" s="471">
        <v>0</v>
      </c>
      <c r="O13" s="471">
        <v>0</v>
      </c>
      <c r="P13" s="471">
        <v>0</v>
      </c>
      <c r="Q13" s="471">
        <v>1</v>
      </c>
      <c r="R13" s="471">
        <v>3</v>
      </c>
      <c r="S13" s="472">
        <v>13528</v>
      </c>
      <c r="T13" s="498" t="s">
        <v>640</v>
      </c>
      <c r="U13" s="478" t="s">
        <v>396</v>
      </c>
      <c r="V13" s="472" t="s">
        <v>329</v>
      </c>
      <c r="W13" s="472" t="s">
        <v>355</v>
      </c>
      <c r="X13" s="473" t="s">
        <v>346</v>
      </c>
      <c r="Y13" s="472">
        <v>1</v>
      </c>
      <c r="Z13" s="472">
        <v>1</v>
      </c>
      <c r="AA13" s="472">
        <v>0</v>
      </c>
      <c r="AB13" s="472">
        <v>0</v>
      </c>
      <c r="AC13" s="472">
        <v>1</v>
      </c>
      <c r="AD13" s="472">
        <v>1</v>
      </c>
      <c r="AE13" s="472">
        <v>0</v>
      </c>
      <c r="AF13" s="472">
        <v>0</v>
      </c>
      <c r="AG13" s="472">
        <v>0</v>
      </c>
      <c r="AH13" s="472">
        <v>0</v>
      </c>
      <c r="AI13" s="472">
        <v>0</v>
      </c>
      <c r="AJ13" s="478">
        <v>0</v>
      </c>
      <c r="AK13" s="472">
        <v>0</v>
      </c>
      <c r="AL13" s="472">
        <v>0</v>
      </c>
      <c r="AM13" s="472">
        <v>0</v>
      </c>
      <c r="AN13" s="478">
        <v>0</v>
      </c>
    </row>
    <row r="14" spans="1:55" ht="14.95" customHeight="1" thickBot="1" x14ac:dyDescent="0.3">
      <c r="A14" s="145" t="s">
        <v>243</v>
      </c>
      <c r="B14" s="139" t="s">
        <v>104</v>
      </c>
      <c r="C14" s="140" t="s">
        <v>431</v>
      </c>
      <c r="D14" s="141" t="s">
        <v>36</v>
      </c>
      <c r="E14" s="141" t="s">
        <v>34</v>
      </c>
      <c r="F14" s="141">
        <v>24</v>
      </c>
      <c r="G14" s="141">
        <v>25</v>
      </c>
      <c r="H14" s="141">
        <v>0</v>
      </c>
      <c r="I14" s="141">
        <v>1</v>
      </c>
      <c r="J14" s="141">
        <v>3</v>
      </c>
      <c r="K14" s="141">
        <v>3</v>
      </c>
      <c r="L14" s="141">
        <v>0</v>
      </c>
      <c r="M14" s="141">
        <v>1</v>
      </c>
      <c r="N14" s="141">
        <v>0</v>
      </c>
      <c r="O14" s="141">
        <v>0</v>
      </c>
      <c r="P14" s="141">
        <v>0</v>
      </c>
      <c r="Q14" s="141">
        <v>0</v>
      </c>
      <c r="R14" s="141">
        <v>3</v>
      </c>
      <c r="S14" s="142">
        <v>17923</v>
      </c>
      <c r="T14" s="727" t="s">
        <v>506</v>
      </c>
      <c r="U14" s="143" t="s">
        <v>574</v>
      </c>
      <c r="V14" s="142" t="s">
        <v>575</v>
      </c>
      <c r="W14" s="142" t="s">
        <v>659</v>
      </c>
      <c r="X14" s="144" t="s">
        <v>577</v>
      </c>
      <c r="Y14" s="142">
        <v>1</v>
      </c>
      <c r="Z14" s="142">
        <v>0</v>
      </c>
      <c r="AA14" s="142">
        <v>0</v>
      </c>
      <c r="AB14" s="142">
        <v>1</v>
      </c>
      <c r="AC14" s="142">
        <v>0</v>
      </c>
      <c r="AD14" s="142">
        <v>0</v>
      </c>
      <c r="AE14" s="142">
        <v>0</v>
      </c>
      <c r="AF14" s="142">
        <v>0</v>
      </c>
      <c r="AG14" s="142">
        <v>1</v>
      </c>
      <c r="AH14" s="142">
        <v>0</v>
      </c>
      <c r="AI14" s="142">
        <v>0</v>
      </c>
      <c r="AJ14" s="143">
        <v>1</v>
      </c>
      <c r="AK14" s="142">
        <v>0</v>
      </c>
      <c r="AL14" s="142">
        <v>0</v>
      </c>
      <c r="AM14" s="142">
        <v>0</v>
      </c>
      <c r="AN14" s="143">
        <v>0</v>
      </c>
    </row>
    <row r="15" spans="1:55" ht="14.95" customHeight="1" thickBot="1" x14ac:dyDescent="0.3">
      <c r="A15" s="309" t="s">
        <v>455</v>
      </c>
      <c r="B15" s="310" t="s">
        <v>104</v>
      </c>
      <c r="C15" s="93" t="s">
        <v>431</v>
      </c>
      <c r="D15" s="94" t="s">
        <v>299</v>
      </c>
      <c r="E15" s="94" t="s">
        <v>34</v>
      </c>
      <c r="F15" s="94">
        <v>10</v>
      </c>
      <c r="G15" s="94">
        <v>34</v>
      </c>
      <c r="H15" s="94">
        <v>0</v>
      </c>
      <c r="I15" s="94">
        <v>0</v>
      </c>
      <c r="J15" s="94">
        <v>1</v>
      </c>
      <c r="K15" s="94">
        <v>1</v>
      </c>
      <c r="L15" s="94">
        <v>0</v>
      </c>
      <c r="M15" s="94">
        <v>1</v>
      </c>
      <c r="N15" s="94">
        <v>0</v>
      </c>
      <c r="O15" s="94">
        <v>0</v>
      </c>
      <c r="P15" s="94">
        <v>1</v>
      </c>
      <c r="Q15" s="94">
        <v>0</v>
      </c>
      <c r="R15" s="94">
        <v>5</v>
      </c>
      <c r="S15" s="311">
        <v>13808</v>
      </c>
      <c r="T15" s="632" t="s">
        <v>515</v>
      </c>
      <c r="U15" s="313" t="s">
        <v>569</v>
      </c>
      <c r="V15" s="311" t="s">
        <v>570</v>
      </c>
      <c r="W15" s="311" t="s">
        <v>572</v>
      </c>
      <c r="X15" s="88" t="s">
        <v>708</v>
      </c>
      <c r="Y15" s="311">
        <v>1</v>
      </c>
      <c r="Z15" s="311">
        <v>0</v>
      </c>
      <c r="AA15" s="311">
        <v>0</v>
      </c>
      <c r="AB15" s="311">
        <v>1</v>
      </c>
      <c r="AC15" s="311">
        <v>1</v>
      </c>
      <c r="AD15" s="311">
        <v>0</v>
      </c>
      <c r="AE15" s="311">
        <v>0</v>
      </c>
      <c r="AF15" s="311">
        <v>1</v>
      </c>
      <c r="AG15" s="311">
        <v>0</v>
      </c>
      <c r="AH15" s="311">
        <v>0</v>
      </c>
      <c r="AI15" s="311">
        <v>0</v>
      </c>
      <c r="AJ15" s="313">
        <v>0</v>
      </c>
      <c r="AK15" s="311">
        <v>0</v>
      </c>
      <c r="AL15" s="311">
        <v>0</v>
      </c>
      <c r="AM15" s="311">
        <v>0</v>
      </c>
      <c r="AN15" s="313">
        <v>0</v>
      </c>
      <c r="AO15" s="138"/>
      <c r="AP15" s="138"/>
      <c r="AQ15" s="138"/>
      <c r="AR15" s="138"/>
      <c r="AS15" s="138"/>
    </row>
    <row r="16" spans="1:55" ht="14.95" customHeight="1" thickBot="1" x14ac:dyDescent="0.3">
      <c r="A16" s="479" t="s">
        <v>256</v>
      </c>
      <c r="B16" s="461" t="s">
        <v>199</v>
      </c>
      <c r="C16" s="462" t="s">
        <v>106</v>
      </c>
      <c r="D16" s="463" t="s">
        <v>36</v>
      </c>
      <c r="E16" s="463" t="s">
        <v>32</v>
      </c>
      <c r="F16" s="463">
        <v>28</v>
      </c>
      <c r="G16" s="463">
        <v>22</v>
      </c>
      <c r="H16" s="463">
        <v>1</v>
      </c>
      <c r="I16" s="463">
        <v>0</v>
      </c>
      <c r="J16" s="463">
        <v>4</v>
      </c>
      <c r="K16" s="463">
        <v>4</v>
      </c>
      <c r="L16" s="463">
        <v>0</v>
      </c>
      <c r="M16" s="463">
        <v>0</v>
      </c>
      <c r="N16" s="463">
        <v>1</v>
      </c>
      <c r="O16" s="463">
        <v>0</v>
      </c>
      <c r="P16" s="463">
        <v>0</v>
      </c>
      <c r="Q16" s="463">
        <v>1</v>
      </c>
      <c r="R16" s="463">
        <v>3</v>
      </c>
      <c r="S16" s="464">
        <v>24842</v>
      </c>
      <c r="T16" s="485" t="s">
        <v>699</v>
      </c>
      <c r="U16" s="466" t="s">
        <v>637</v>
      </c>
      <c r="V16" s="464" t="s">
        <v>468</v>
      </c>
      <c r="W16" s="464" t="s">
        <v>326</v>
      </c>
      <c r="X16" s="467" t="s">
        <v>316</v>
      </c>
      <c r="Y16" s="464">
        <v>1</v>
      </c>
      <c r="Z16" s="464">
        <v>1</v>
      </c>
      <c r="AA16" s="464">
        <v>0</v>
      </c>
      <c r="AB16" s="464">
        <v>0</v>
      </c>
      <c r="AC16" s="464">
        <v>0</v>
      </c>
      <c r="AD16" s="464">
        <v>0</v>
      </c>
      <c r="AE16" s="464">
        <v>0</v>
      </c>
      <c r="AF16" s="464">
        <v>0</v>
      </c>
      <c r="AG16" s="464">
        <v>1</v>
      </c>
      <c r="AH16" s="464">
        <v>0</v>
      </c>
      <c r="AI16" s="464">
        <v>0</v>
      </c>
      <c r="AJ16" s="466">
        <v>1</v>
      </c>
      <c r="AK16" s="464">
        <v>0</v>
      </c>
      <c r="AL16" s="464">
        <v>0</v>
      </c>
      <c r="AM16" s="464">
        <v>0</v>
      </c>
      <c r="AN16" s="466">
        <v>0</v>
      </c>
      <c r="AO16" s="109"/>
      <c r="AP16" s="5"/>
      <c r="AQ16" s="109"/>
      <c r="AR16" s="5"/>
      <c r="AS16" s="109"/>
    </row>
    <row r="17" spans="1:40" ht="14.95" customHeight="1" thickBot="1" x14ac:dyDescent="0.3">
      <c r="A17" s="468" t="s">
        <v>257</v>
      </c>
      <c r="B17" s="469" t="s">
        <v>199</v>
      </c>
      <c r="C17" s="470" t="s">
        <v>26</v>
      </c>
      <c r="D17" s="471" t="s">
        <v>660</v>
      </c>
      <c r="E17" s="471" t="s">
        <v>33</v>
      </c>
      <c r="F17" s="471">
        <v>30</v>
      </c>
      <c r="G17" s="471">
        <v>30</v>
      </c>
      <c r="H17" s="471">
        <v>0</v>
      </c>
      <c r="I17" s="471">
        <v>0</v>
      </c>
      <c r="J17" s="471">
        <v>3</v>
      </c>
      <c r="K17" s="471">
        <v>3</v>
      </c>
      <c r="L17" s="471">
        <v>0</v>
      </c>
      <c r="M17" s="471">
        <v>3</v>
      </c>
      <c r="N17" s="471">
        <v>1</v>
      </c>
      <c r="O17" s="471">
        <v>0</v>
      </c>
      <c r="P17" s="471">
        <v>0</v>
      </c>
      <c r="Q17" s="471">
        <v>0</v>
      </c>
      <c r="R17" s="471">
        <v>3</v>
      </c>
      <c r="S17" s="595">
        <v>75500</v>
      </c>
      <c r="T17" s="638" t="s">
        <v>717</v>
      </c>
      <c r="U17" s="478" t="s">
        <v>550</v>
      </c>
      <c r="V17" s="472" t="s">
        <v>632</v>
      </c>
      <c r="W17" s="472" t="s">
        <v>320</v>
      </c>
      <c r="X17" s="473" t="s">
        <v>394</v>
      </c>
      <c r="Y17" s="472">
        <v>1</v>
      </c>
      <c r="Z17" s="472">
        <v>0</v>
      </c>
      <c r="AA17" s="472">
        <v>1</v>
      </c>
      <c r="AB17" s="472">
        <v>0</v>
      </c>
      <c r="AC17" s="472">
        <v>1</v>
      </c>
      <c r="AD17" s="472">
        <v>0</v>
      </c>
      <c r="AE17" s="472">
        <v>1</v>
      </c>
      <c r="AF17" s="472">
        <v>0</v>
      </c>
      <c r="AG17" s="472">
        <v>0</v>
      </c>
      <c r="AH17" s="472">
        <v>0</v>
      </c>
      <c r="AI17" s="472">
        <v>0</v>
      </c>
      <c r="AJ17" s="478">
        <v>0</v>
      </c>
      <c r="AK17" s="472">
        <v>0</v>
      </c>
      <c r="AL17" s="472">
        <v>0</v>
      </c>
      <c r="AM17" s="472">
        <v>0</v>
      </c>
      <c r="AN17" s="478">
        <v>0</v>
      </c>
    </row>
    <row r="18" spans="1:40" ht="14.95" customHeight="1" thickBot="1" x14ac:dyDescent="0.3">
      <c r="A18" s="479" t="s">
        <v>456</v>
      </c>
      <c r="B18" s="461" t="s">
        <v>199</v>
      </c>
      <c r="C18" s="462" t="s">
        <v>27</v>
      </c>
      <c r="D18" s="463" t="s">
        <v>36</v>
      </c>
      <c r="E18" s="463" t="s">
        <v>34</v>
      </c>
      <c r="F18" s="463">
        <v>10</v>
      </c>
      <c r="G18" s="463">
        <v>48</v>
      </c>
      <c r="H18" s="463">
        <v>0</v>
      </c>
      <c r="I18" s="463">
        <v>0</v>
      </c>
      <c r="J18" s="463">
        <v>1</v>
      </c>
      <c r="K18" s="463">
        <v>1</v>
      </c>
      <c r="L18" s="463">
        <v>0</v>
      </c>
      <c r="M18" s="463">
        <v>1</v>
      </c>
      <c r="N18" s="463">
        <v>2</v>
      </c>
      <c r="O18" s="463">
        <v>0</v>
      </c>
      <c r="P18" s="463">
        <v>1</v>
      </c>
      <c r="Q18" s="463">
        <v>0</v>
      </c>
      <c r="R18" s="463">
        <v>6</v>
      </c>
      <c r="S18" s="464">
        <v>8579</v>
      </c>
      <c r="T18" s="465" t="s">
        <v>610</v>
      </c>
      <c r="U18" s="466" t="s">
        <v>318</v>
      </c>
      <c r="V18" s="464" t="s">
        <v>348</v>
      </c>
      <c r="W18" s="464" t="s">
        <v>320</v>
      </c>
      <c r="X18" s="467" t="s">
        <v>322</v>
      </c>
      <c r="Y18" s="464">
        <v>1</v>
      </c>
      <c r="Z18" s="464">
        <v>0</v>
      </c>
      <c r="AA18" s="464">
        <v>0</v>
      </c>
      <c r="AB18" s="464">
        <v>1</v>
      </c>
      <c r="AC18" s="464">
        <v>0</v>
      </c>
      <c r="AD18" s="464">
        <v>0</v>
      </c>
      <c r="AE18" s="464">
        <v>0</v>
      </c>
      <c r="AF18" s="464">
        <v>0</v>
      </c>
      <c r="AG18" s="464">
        <v>1</v>
      </c>
      <c r="AH18" s="464">
        <v>0</v>
      </c>
      <c r="AI18" s="464">
        <v>0</v>
      </c>
      <c r="AJ18" s="466">
        <v>1</v>
      </c>
      <c r="AK18" s="464">
        <v>0</v>
      </c>
      <c r="AL18" s="464">
        <v>0</v>
      </c>
      <c r="AM18" s="464">
        <v>0</v>
      </c>
      <c r="AN18" s="466">
        <v>0</v>
      </c>
    </row>
    <row r="19" spans="1:40" ht="14.95" customHeight="1" thickBot="1" x14ac:dyDescent="0.3">
      <c r="A19" s="145" t="s">
        <v>430</v>
      </c>
      <c r="B19" s="139" t="s">
        <v>104</v>
      </c>
      <c r="C19" s="140" t="s">
        <v>22</v>
      </c>
      <c r="D19" s="141" t="s">
        <v>36</v>
      </c>
      <c r="E19" s="141" t="s">
        <v>32</v>
      </c>
      <c r="F19" s="141">
        <v>25</v>
      </c>
      <c r="G19" s="141">
        <v>19</v>
      </c>
      <c r="H19" s="141">
        <v>0</v>
      </c>
      <c r="I19" s="141">
        <v>0</v>
      </c>
      <c r="J19" s="141">
        <v>3</v>
      </c>
      <c r="K19" s="141">
        <v>2</v>
      </c>
      <c r="L19" s="141">
        <v>0</v>
      </c>
      <c r="M19" s="141">
        <v>2</v>
      </c>
      <c r="N19" s="141">
        <v>0</v>
      </c>
      <c r="O19" s="141">
        <v>0</v>
      </c>
      <c r="P19" s="141">
        <v>0</v>
      </c>
      <c r="Q19" s="141">
        <v>1</v>
      </c>
      <c r="R19" s="141">
        <v>3</v>
      </c>
      <c r="S19" s="363">
        <v>12059</v>
      </c>
      <c r="T19" s="630" t="s">
        <v>747</v>
      </c>
      <c r="U19" s="143" t="s">
        <v>611</v>
      </c>
      <c r="V19" s="142" t="s">
        <v>612</v>
      </c>
      <c r="W19" s="142" t="s">
        <v>661</v>
      </c>
      <c r="X19" s="144" t="s">
        <v>647</v>
      </c>
      <c r="Y19" s="142">
        <v>1</v>
      </c>
      <c r="Z19" s="142">
        <v>1</v>
      </c>
      <c r="AA19" s="142">
        <v>0</v>
      </c>
      <c r="AB19" s="142">
        <v>0</v>
      </c>
      <c r="AC19" s="142">
        <v>0</v>
      </c>
      <c r="AD19" s="142">
        <v>0</v>
      </c>
      <c r="AE19" s="142">
        <v>0</v>
      </c>
      <c r="AF19" s="142">
        <v>0</v>
      </c>
      <c r="AG19" s="142">
        <v>1</v>
      </c>
      <c r="AH19" s="142">
        <v>1</v>
      </c>
      <c r="AI19" s="142">
        <v>0</v>
      </c>
      <c r="AJ19" s="143">
        <v>0</v>
      </c>
      <c r="AK19" s="142">
        <v>0</v>
      </c>
      <c r="AL19" s="142">
        <v>0</v>
      </c>
      <c r="AM19" s="142">
        <v>0</v>
      </c>
      <c r="AN19" s="143">
        <v>0</v>
      </c>
    </row>
    <row r="20" spans="1:40" ht="14.95" customHeight="1" thickBot="1" x14ac:dyDescent="0.3">
      <c r="A20" s="309" t="s">
        <v>246</v>
      </c>
      <c r="B20" s="310" t="s">
        <v>104</v>
      </c>
      <c r="C20" s="93" t="s">
        <v>432</v>
      </c>
      <c r="D20" s="94" t="s">
        <v>299</v>
      </c>
      <c r="E20" s="94" t="s">
        <v>34</v>
      </c>
      <c r="F20" s="94">
        <v>19</v>
      </c>
      <c r="G20" s="94">
        <v>26</v>
      </c>
      <c r="H20" s="94">
        <v>0</v>
      </c>
      <c r="I20" s="94">
        <v>1</v>
      </c>
      <c r="J20" s="94">
        <v>3</v>
      </c>
      <c r="K20" s="94">
        <v>2</v>
      </c>
      <c r="L20" s="94">
        <v>0</v>
      </c>
      <c r="M20" s="94">
        <v>0</v>
      </c>
      <c r="N20" s="94">
        <v>0</v>
      </c>
      <c r="O20" s="94">
        <v>0</v>
      </c>
      <c r="P20" s="94">
        <v>0</v>
      </c>
      <c r="Q20" s="94">
        <v>0</v>
      </c>
      <c r="R20" s="94">
        <v>2</v>
      </c>
      <c r="S20" s="311">
        <v>13600</v>
      </c>
      <c r="T20" s="632" t="s">
        <v>760</v>
      </c>
      <c r="U20" s="313" t="s">
        <v>591</v>
      </c>
      <c r="V20" s="311" t="s">
        <v>607</v>
      </c>
      <c r="W20" s="311" t="s">
        <v>608</v>
      </c>
      <c r="X20" s="88" t="s">
        <v>744</v>
      </c>
      <c r="Y20" s="311">
        <v>1</v>
      </c>
      <c r="Z20" s="311">
        <v>0</v>
      </c>
      <c r="AA20" s="311">
        <v>0</v>
      </c>
      <c r="AB20" s="311">
        <v>1</v>
      </c>
      <c r="AC20" s="311">
        <v>1</v>
      </c>
      <c r="AD20" s="311">
        <v>0</v>
      </c>
      <c r="AE20" s="311">
        <v>0</v>
      </c>
      <c r="AF20" s="311">
        <v>1</v>
      </c>
      <c r="AG20" s="311">
        <v>0</v>
      </c>
      <c r="AH20" s="311">
        <v>0</v>
      </c>
      <c r="AI20" s="311">
        <v>0</v>
      </c>
      <c r="AJ20" s="313">
        <v>0</v>
      </c>
      <c r="AK20" s="311">
        <v>0</v>
      </c>
      <c r="AL20" s="311">
        <v>0</v>
      </c>
      <c r="AM20" s="311">
        <v>0</v>
      </c>
      <c r="AN20" s="313">
        <v>0</v>
      </c>
    </row>
    <row r="21" spans="1:40" ht="14.95" customHeight="1" thickBot="1" x14ac:dyDescent="0.3">
      <c r="A21" s="468" t="s">
        <v>709</v>
      </c>
      <c r="B21" s="469" t="s">
        <v>199</v>
      </c>
      <c r="C21" s="470" t="s">
        <v>457</v>
      </c>
      <c r="D21" s="471" t="s">
        <v>299</v>
      </c>
      <c r="E21" s="471" t="s">
        <v>32</v>
      </c>
      <c r="F21" s="471">
        <v>41</v>
      </c>
      <c r="G21" s="471">
        <v>14</v>
      </c>
      <c r="H21" s="471">
        <v>1</v>
      </c>
      <c r="I21" s="471">
        <v>0</v>
      </c>
      <c r="J21" s="471">
        <v>6</v>
      </c>
      <c r="K21" s="471">
        <v>4</v>
      </c>
      <c r="L21" s="471">
        <v>0</v>
      </c>
      <c r="M21" s="471">
        <v>1</v>
      </c>
      <c r="N21" s="471">
        <v>0</v>
      </c>
      <c r="O21" s="471">
        <v>0</v>
      </c>
      <c r="P21" s="471">
        <v>0</v>
      </c>
      <c r="Q21" s="471">
        <v>0</v>
      </c>
      <c r="R21" s="471">
        <v>2</v>
      </c>
      <c r="S21" s="504">
        <v>14258</v>
      </c>
      <c r="T21" s="480" t="s">
        <v>773</v>
      </c>
      <c r="U21" s="478" t="s">
        <v>633</v>
      </c>
      <c r="V21" s="472" t="s">
        <v>634</v>
      </c>
      <c r="W21" s="472" t="s">
        <v>550</v>
      </c>
      <c r="X21" s="473" t="s">
        <v>394</v>
      </c>
      <c r="Y21" s="472">
        <v>1</v>
      </c>
      <c r="Z21" s="472">
        <v>1</v>
      </c>
      <c r="AA21" s="472">
        <v>0</v>
      </c>
      <c r="AB21" s="472">
        <v>0</v>
      </c>
      <c r="AC21" s="472">
        <v>1</v>
      </c>
      <c r="AD21" s="472">
        <v>1</v>
      </c>
      <c r="AE21" s="472">
        <v>0</v>
      </c>
      <c r="AF21" s="472">
        <v>0</v>
      </c>
      <c r="AG21" s="472">
        <v>0</v>
      </c>
      <c r="AH21" s="472">
        <v>0</v>
      </c>
      <c r="AI21" s="472">
        <v>0</v>
      </c>
      <c r="AJ21" s="478">
        <v>0</v>
      </c>
      <c r="AK21" s="472">
        <v>0</v>
      </c>
      <c r="AL21" s="472">
        <v>0</v>
      </c>
      <c r="AM21" s="472">
        <v>0</v>
      </c>
      <c r="AN21" s="478">
        <v>0</v>
      </c>
    </row>
    <row r="22" spans="1:40" ht="14.95" customHeight="1" thickBot="1" x14ac:dyDescent="0.3">
      <c r="A22" s="553" t="s">
        <v>540</v>
      </c>
      <c r="B22" s="554" t="s">
        <v>223</v>
      </c>
      <c r="C22" s="555" t="s">
        <v>28</v>
      </c>
      <c r="D22" s="556" t="s">
        <v>36</v>
      </c>
      <c r="E22" s="556" t="s">
        <v>32</v>
      </c>
      <c r="F22" s="556">
        <v>49</v>
      </c>
      <c r="G22" s="556">
        <v>22</v>
      </c>
      <c r="H22" s="556" t="s">
        <v>77</v>
      </c>
      <c r="I22" s="556" t="s">
        <v>77</v>
      </c>
      <c r="J22" s="556">
        <v>7</v>
      </c>
      <c r="K22" s="556">
        <v>4</v>
      </c>
      <c r="L22" s="556">
        <v>0</v>
      </c>
      <c r="M22" s="556">
        <v>2</v>
      </c>
      <c r="N22" s="556">
        <v>0</v>
      </c>
      <c r="O22" s="556">
        <v>0</v>
      </c>
      <c r="P22" s="556" t="s">
        <v>77</v>
      </c>
      <c r="Q22" s="556" t="s">
        <v>77</v>
      </c>
      <c r="R22" s="556">
        <v>4</v>
      </c>
      <c r="S22" s="557">
        <v>9418</v>
      </c>
      <c r="T22" s="563" t="s">
        <v>792</v>
      </c>
      <c r="U22" s="559" t="s">
        <v>323</v>
      </c>
      <c r="V22" s="557" t="s">
        <v>399</v>
      </c>
      <c r="W22" s="557" t="s">
        <v>308</v>
      </c>
      <c r="X22" s="558" t="s">
        <v>356</v>
      </c>
      <c r="Y22" s="557">
        <v>1</v>
      </c>
      <c r="Z22" s="557">
        <v>1</v>
      </c>
      <c r="AA22" s="557">
        <v>0</v>
      </c>
      <c r="AB22" s="557">
        <v>0</v>
      </c>
      <c r="AC22" s="557">
        <v>0</v>
      </c>
      <c r="AD22" s="557">
        <v>0</v>
      </c>
      <c r="AE22" s="557">
        <v>0</v>
      </c>
      <c r="AF22" s="557">
        <v>0</v>
      </c>
      <c r="AG22" s="557">
        <v>1</v>
      </c>
      <c r="AH22" s="557">
        <v>1</v>
      </c>
      <c r="AI22" s="557">
        <v>0</v>
      </c>
      <c r="AJ22" s="559">
        <v>0</v>
      </c>
      <c r="AK22" s="557">
        <v>0</v>
      </c>
      <c r="AL22" s="557">
        <v>0</v>
      </c>
      <c r="AM22" s="557">
        <v>0</v>
      </c>
      <c r="AN22" s="559">
        <v>0</v>
      </c>
    </row>
    <row r="23" spans="1:40" ht="14.95" customHeight="1" thickBot="1" x14ac:dyDescent="0.3">
      <c r="A23" s="468" t="s">
        <v>259</v>
      </c>
      <c r="B23" s="469" t="s">
        <v>199</v>
      </c>
      <c r="C23" s="470" t="s">
        <v>11</v>
      </c>
      <c r="D23" s="471" t="s">
        <v>299</v>
      </c>
      <c r="E23" s="471" t="s">
        <v>34</v>
      </c>
      <c r="F23" s="471">
        <v>15</v>
      </c>
      <c r="G23" s="471">
        <v>29</v>
      </c>
      <c r="H23" s="471">
        <v>0</v>
      </c>
      <c r="I23" s="471">
        <v>0</v>
      </c>
      <c r="J23" s="471">
        <v>2</v>
      </c>
      <c r="K23" s="471">
        <v>1</v>
      </c>
      <c r="L23" s="471">
        <v>0</v>
      </c>
      <c r="M23" s="471">
        <v>1</v>
      </c>
      <c r="N23" s="471">
        <v>0</v>
      </c>
      <c r="O23" s="471">
        <v>0</v>
      </c>
      <c r="P23" s="471">
        <v>1</v>
      </c>
      <c r="Q23" s="471">
        <v>0</v>
      </c>
      <c r="R23" s="471">
        <v>4</v>
      </c>
      <c r="S23" s="484">
        <v>14332</v>
      </c>
      <c r="T23" s="477" t="s">
        <v>791</v>
      </c>
      <c r="U23" s="478" t="s">
        <v>324</v>
      </c>
      <c r="V23" s="472" t="s">
        <v>329</v>
      </c>
      <c r="W23" s="472" t="s">
        <v>350</v>
      </c>
      <c r="X23" s="473" t="s">
        <v>356</v>
      </c>
      <c r="Y23" s="472">
        <v>1</v>
      </c>
      <c r="Z23" s="472">
        <v>0</v>
      </c>
      <c r="AA23" s="472">
        <v>0</v>
      </c>
      <c r="AB23" s="472">
        <v>1</v>
      </c>
      <c r="AC23" s="472">
        <v>1</v>
      </c>
      <c r="AD23" s="472">
        <v>0</v>
      </c>
      <c r="AE23" s="472">
        <v>0</v>
      </c>
      <c r="AF23" s="472">
        <v>1</v>
      </c>
      <c r="AG23" s="472">
        <v>0</v>
      </c>
      <c r="AH23" s="472">
        <v>0</v>
      </c>
      <c r="AI23" s="472">
        <v>0</v>
      </c>
      <c r="AJ23" s="478">
        <v>0</v>
      </c>
      <c r="AK23" s="472">
        <v>0</v>
      </c>
      <c r="AL23" s="472">
        <v>0</v>
      </c>
      <c r="AM23" s="472">
        <v>0</v>
      </c>
      <c r="AN23" s="478">
        <v>0</v>
      </c>
    </row>
    <row r="24" spans="1:40" ht="14.95" customHeight="1" thickBot="1" x14ac:dyDescent="0.3">
      <c r="A24" s="479" t="s">
        <v>260</v>
      </c>
      <c r="B24" s="461" t="s">
        <v>199</v>
      </c>
      <c r="C24" s="462" t="s">
        <v>22</v>
      </c>
      <c r="D24" s="463" t="s">
        <v>36</v>
      </c>
      <c r="E24" s="463" t="s">
        <v>34</v>
      </c>
      <c r="F24" s="463">
        <v>12</v>
      </c>
      <c r="G24" s="463">
        <v>19</v>
      </c>
      <c r="H24" s="463">
        <v>0</v>
      </c>
      <c r="I24" s="463">
        <v>1</v>
      </c>
      <c r="J24" s="463">
        <v>2</v>
      </c>
      <c r="K24" s="463">
        <v>1</v>
      </c>
      <c r="L24" s="463">
        <v>0</v>
      </c>
      <c r="M24" s="463">
        <v>0</v>
      </c>
      <c r="N24" s="463">
        <v>1</v>
      </c>
      <c r="O24" s="463">
        <v>0</v>
      </c>
      <c r="P24" s="463">
        <v>0</v>
      </c>
      <c r="Q24" s="463">
        <v>0</v>
      </c>
      <c r="R24" s="463">
        <v>2</v>
      </c>
      <c r="S24" s="464">
        <v>14368</v>
      </c>
      <c r="T24" s="485" t="s">
        <v>806</v>
      </c>
      <c r="U24" s="466" t="s">
        <v>463</v>
      </c>
      <c r="V24" s="464" t="s">
        <v>330</v>
      </c>
      <c r="W24" s="464" t="s">
        <v>356</v>
      </c>
      <c r="X24" s="467" t="s">
        <v>316</v>
      </c>
      <c r="Y24" s="464">
        <v>1</v>
      </c>
      <c r="Z24" s="464">
        <v>0</v>
      </c>
      <c r="AA24" s="464">
        <v>0</v>
      </c>
      <c r="AB24" s="464">
        <v>1</v>
      </c>
      <c r="AC24" s="464">
        <v>0</v>
      </c>
      <c r="AD24" s="464">
        <v>0</v>
      </c>
      <c r="AE24" s="464">
        <v>0</v>
      </c>
      <c r="AF24" s="464">
        <v>0</v>
      </c>
      <c r="AG24" s="464">
        <v>1</v>
      </c>
      <c r="AH24" s="464">
        <v>0</v>
      </c>
      <c r="AI24" s="464">
        <v>0</v>
      </c>
      <c r="AJ24" s="466">
        <v>1</v>
      </c>
      <c r="AK24" s="464">
        <v>0</v>
      </c>
      <c r="AL24" s="464">
        <v>0</v>
      </c>
      <c r="AM24" s="464">
        <v>0</v>
      </c>
      <c r="AN24" s="466">
        <v>0</v>
      </c>
    </row>
    <row r="25" spans="1:40" ht="14.95" customHeight="1" thickBot="1" x14ac:dyDescent="0.3">
      <c r="A25" s="468" t="s">
        <v>294</v>
      </c>
      <c r="B25" s="469" t="s">
        <v>199</v>
      </c>
      <c r="C25" s="470" t="s">
        <v>28</v>
      </c>
      <c r="D25" s="471" t="s">
        <v>299</v>
      </c>
      <c r="E25" s="471" t="s">
        <v>32</v>
      </c>
      <c r="F25" s="471">
        <v>34</v>
      </c>
      <c r="G25" s="471">
        <v>30</v>
      </c>
      <c r="H25" s="471">
        <v>1</v>
      </c>
      <c r="I25" s="471">
        <v>0</v>
      </c>
      <c r="J25" s="471">
        <v>4</v>
      </c>
      <c r="K25" s="471">
        <v>3</v>
      </c>
      <c r="L25" s="471">
        <v>0</v>
      </c>
      <c r="M25" s="471">
        <v>2</v>
      </c>
      <c r="N25" s="471">
        <v>1</v>
      </c>
      <c r="O25" s="471">
        <v>0</v>
      </c>
      <c r="P25" s="471">
        <v>0</v>
      </c>
      <c r="Q25" s="471">
        <v>1</v>
      </c>
      <c r="R25" s="471">
        <v>3</v>
      </c>
      <c r="S25" s="472">
        <v>14172</v>
      </c>
      <c r="T25" s="732" t="s">
        <v>618</v>
      </c>
      <c r="U25" s="478" t="s">
        <v>326</v>
      </c>
      <c r="V25" s="472" t="s">
        <v>509</v>
      </c>
      <c r="W25" s="472" t="s">
        <v>304</v>
      </c>
      <c r="X25" s="473" t="s">
        <v>475</v>
      </c>
      <c r="Y25" s="472">
        <v>1</v>
      </c>
      <c r="Z25" s="472">
        <v>1</v>
      </c>
      <c r="AA25" s="472">
        <v>0</v>
      </c>
      <c r="AB25" s="472">
        <v>0</v>
      </c>
      <c r="AC25" s="472">
        <v>1</v>
      </c>
      <c r="AD25" s="472">
        <v>1</v>
      </c>
      <c r="AE25" s="472">
        <v>0</v>
      </c>
      <c r="AF25" s="472">
        <v>0</v>
      </c>
      <c r="AG25" s="472">
        <v>0</v>
      </c>
      <c r="AH25" s="472">
        <v>0</v>
      </c>
      <c r="AI25" s="472">
        <v>0</v>
      </c>
      <c r="AJ25" s="478">
        <v>0</v>
      </c>
      <c r="AK25" s="472">
        <v>0</v>
      </c>
      <c r="AL25" s="472">
        <v>0</v>
      </c>
      <c r="AM25" s="472">
        <v>0</v>
      </c>
      <c r="AN25" s="478">
        <v>0</v>
      </c>
    </row>
    <row r="26" spans="1:40" ht="14.95" customHeight="1" thickBot="1" x14ac:dyDescent="0.3">
      <c r="A26" s="479" t="s">
        <v>443</v>
      </c>
      <c r="B26" s="461" t="s">
        <v>199</v>
      </c>
      <c r="C26" s="462" t="s">
        <v>359</v>
      </c>
      <c r="D26" s="463" t="s">
        <v>36</v>
      </c>
      <c r="E26" s="463" t="s">
        <v>34</v>
      </c>
      <c r="F26" s="463">
        <v>15</v>
      </c>
      <c r="G26" s="463">
        <v>28</v>
      </c>
      <c r="H26" s="463">
        <v>0</v>
      </c>
      <c r="I26" s="463">
        <v>0</v>
      </c>
      <c r="J26" s="463">
        <v>2</v>
      </c>
      <c r="K26" s="463">
        <v>1</v>
      </c>
      <c r="L26" s="463">
        <v>0</v>
      </c>
      <c r="M26" s="463">
        <v>1</v>
      </c>
      <c r="N26" s="463">
        <v>0</v>
      </c>
      <c r="O26" s="463">
        <v>0</v>
      </c>
      <c r="P26" s="463">
        <v>0</v>
      </c>
      <c r="Q26" s="463">
        <v>0</v>
      </c>
      <c r="R26" s="463">
        <v>3</v>
      </c>
      <c r="S26" s="464">
        <v>14618</v>
      </c>
      <c r="T26" s="465" t="s">
        <v>826</v>
      </c>
      <c r="U26" s="466" t="s">
        <v>396</v>
      </c>
      <c r="V26" s="464" t="s">
        <v>464</v>
      </c>
      <c r="W26" s="464" t="s">
        <v>320</v>
      </c>
      <c r="X26" s="467" t="s">
        <v>325</v>
      </c>
      <c r="Y26" s="464">
        <v>1</v>
      </c>
      <c r="Z26" s="464">
        <v>0</v>
      </c>
      <c r="AA26" s="464">
        <v>0</v>
      </c>
      <c r="AB26" s="464">
        <v>1</v>
      </c>
      <c r="AC26" s="464">
        <v>0</v>
      </c>
      <c r="AD26" s="464">
        <v>0</v>
      </c>
      <c r="AE26" s="464">
        <v>0</v>
      </c>
      <c r="AF26" s="464">
        <v>0</v>
      </c>
      <c r="AG26" s="464">
        <v>1</v>
      </c>
      <c r="AH26" s="464">
        <v>0</v>
      </c>
      <c r="AI26" s="464">
        <v>0</v>
      </c>
      <c r="AJ26" s="466">
        <v>1</v>
      </c>
      <c r="AK26" s="464">
        <v>0</v>
      </c>
      <c r="AL26" s="464">
        <v>0</v>
      </c>
      <c r="AM26" s="464">
        <v>0</v>
      </c>
      <c r="AN26" s="466">
        <v>0</v>
      </c>
    </row>
    <row r="27" spans="1:40" ht="14.95" customHeight="1" thickBot="1" x14ac:dyDescent="0.3">
      <c r="A27" s="468" t="s">
        <v>828</v>
      </c>
      <c r="B27" s="469" t="s">
        <v>199</v>
      </c>
      <c r="C27" s="470" t="s">
        <v>27</v>
      </c>
      <c r="D27" s="471" t="s">
        <v>299</v>
      </c>
      <c r="E27" s="471" t="s">
        <v>32</v>
      </c>
      <c r="F27" s="471">
        <v>16</v>
      </c>
      <c r="G27" s="471">
        <v>10</v>
      </c>
      <c r="H27" s="471">
        <v>0</v>
      </c>
      <c r="I27" s="471">
        <v>0</v>
      </c>
      <c r="J27" s="471">
        <v>1</v>
      </c>
      <c r="K27" s="471">
        <v>1</v>
      </c>
      <c r="L27" s="471">
        <v>0</v>
      </c>
      <c r="M27" s="471">
        <v>3</v>
      </c>
      <c r="N27" s="471">
        <v>0</v>
      </c>
      <c r="O27" s="471">
        <v>0</v>
      </c>
      <c r="P27" s="471">
        <v>0</v>
      </c>
      <c r="Q27" s="471">
        <v>1</v>
      </c>
      <c r="R27" s="471">
        <v>1</v>
      </c>
      <c r="S27" s="472">
        <v>0</v>
      </c>
      <c r="T27" s="480" t="s">
        <v>527</v>
      </c>
      <c r="U27" s="478" t="s">
        <v>873</v>
      </c>
      <c r="V27" s="472" t="s">
        <v>632</v>
      </c>
      <c r="W27" s="472" t="s">
        <v>554</v>
      </c>
      <c r="X27" s="473" t="s">
        <v>316</v>
      </c>
      <c r="Y27" s="472">
        <v>1</v>
      </c>
      <c r="Z27" s="472">
        <v>1</v>
      </c>
      <c r="AA27" s="472">
        <v>0</v>
      </c>
      <c r="AB27" s="472">
        <v>0</v>
      </c>
      <c r="AC27" s="472">
        <v>1</v>
      </c>
      <c r="AD27" s="472">
        <v>1</v>
      </c>
      <c r="AE27" s="472">
        <v>0</v>
      </c>
      <c r="AF27" s="472">
        <v>0</v>
      </c>
      <c r="AG27" s="472">
        <v>0</v>
      </c>
      <c r="AH27" s="472">
        <v>0</v>
      </c>
      <c r="AI27" s="472">
        <v>0</v>
      </c>
      <c r="AJ27" s="478">
        <v>0</v>
      </c>
      <c r="AK27" s="472">
        <v>0</v>
      </c>
      <c r="AL27" s="472">
        <v>0</v>
      </c>
      <c r="AM27" s="472">
        <v>0</v>
      </c>
      <c r="AN27" s="478">
        <v>0</v>
      </c>
    </row>
    <row r="28" spans="1:40" ht="15.8" thickBot="1" x14ac:dyDescent="0.3">
      <c r="A28" s="479" t="s">
        <v>832</v>
      </c>
      <c r="B28" s="461" t="s">
        <v>199</v>
      </c>
      <c r="C28" s="462" t="s">
        <v>19</v>
      </c>
      <c r="D28" s="463" t="s">
        <v>36</v>
      </c>
      <c r="E28" s="463" t="s">
        <v>34</v>
      </c>
      <c r="F28" s="463">
        <v>24</v>
      </c>
      <c r="G28" s="463">
        <v>38</v>
      </c>
      <c r="H28" s="463">
        <v>0</v>
      </c>
      <c r="I28" s="463">
        <v>0</v>
      </c>
      <c r="J28" s="463">
        <v>3</v>
      </c>
      <c r="K28" s="463">
        <v>3</v>
      </c>
      <c r="L28" s="463">
        <v>1</v>
      </c>
      <c r="M28" s="463">
        <v>0</v>
      </c>
      <c r="N28" s="463">
        <v>0</v>
      </c>
      <c r="O28" s="463">
        <v>0</v>
      </c>
      <c r="P28" s="463">
        <v>1</v>
      </c>
      <c r="Q28" s="463">
        <v>0</v>
      </c>
      <c r="R28" s="463">
        <v>4</v>
      </c>
      <c r="S28" s="483">
        <v>0</v>
      </c>
      <c r="T28" s="465" t="s">
        <v>889</v>
      </c>
      <c r="U28" s="466" t="s">
        <v>326</v>
      </c>
      <c r="V28" s="464" t="s">
        <v>468</v>
      </c>
      <c r="W28" s="464" t="s">
        <v>715</v>
      </c>
      <c r="X28" s="467" t="s">
        <v>316</v>
      </c>
      <c r="Y28" s="464">
        <v>1</v>
      </c>
      <c r="Z28" s="464">
        <v>0</v>
      </c>
      <c r="AA28" s="464">
        <v>0</v>
      </c>
      <c r="AB28" s="464">
        <v>1</v>
      </c>
      <c r="AC28" s="464">
        <v>0</v>
      </c>
      <c r="AD28" s="464">
        <v>0</v>
      </c>
      <c r="AE28" s="464">
        <v>0</v>
      </c>
      <c r="AF28" s="464">
        <v>0</v>
      </c>
      <c r="AG28" s="464">
        <v>1</v>
      </c>
      <c r="AH28" s="464">
        <v>0</v>
      </c>
      <c r="AI28" s="464">
        <v>0</v>
      </c>
      <c r="AJ28" s="466">
        <v>1</v>
      </c>
      <c r="AK28" s="464">
        <v>0</v>
      </c>
      <c r="AL28" s="464">
        <v>0</v>
      </c>
      <c r="AM28" s="464">
        <v>0</v>
      </c>
      <c r="AN28" s="466">
        <v>0</v>
      </c>
    </row>
    <row r="29" spans="1:40" ht="15.8" thickBot="1" x14ac:dyDescent="0.3">
      <c r="A29" s="479" t="s">
        <v>836</v>
      </c>
      <c r="B29" s="461" t="s">
        <v>199</v>
      </c>
      <c r="C29" s="462" t="s">
        <v>23</v>
      </c>
      <c r="D29" s="463" t="s">
        <v>36</v>
      </c>
      <c r="E29" s="463" t="s">
        <v>34</v>
      </c>
      <c r="F29" s="463">
        <v>14</v>
      </c>
      <c r="G29" s="463">
        <v>29</v>
      </c>
      <c r="H29" s="463">
        <v>0</v>
      </c>
      <c r="I29" s="463">
        <v>0</v>
      </c>
      <c r="J29" s="463">
        <v>2</v>
      </c>
      <c r="K29" s="463">
        <v>2</v>
      </c>
      <c r="L29" s="463">
        <v>0</v>
      </c>
      <c r="M29" s="463">
        <v>0</v>
      </c>
      <c r="N29" s="463">
        <v>0</v>
      </c>
      <c r="O29" s="463">
        <v>0</v>
      </c>
      <c r="P29" s="463">
        <v>1</v>
      </c>
      <c r="Q29" s="463">
        <v>0</v>
      </c>
      <c r="R29" s="463">
        <v>4</v>
      </c>
      <c r="S29" s="464">
        <v>0</v>
      </c>
      <c r="T29" s="465" t="s">
        <v>898</v>
      </c>
      <c r="U29" s="466" t="s">
        <v>304</v>
      </c>
      <c r="V29" s="464" t="s">
        <v>463</v>
      </c>
      <c r="W29" s="464" t="s">
        <v>325</v>
      </c>
      <c r="X29" s="467" t="s">
        <v>475</v>
      </c>
      <c r="Y29" s="464">
        <v>1</v>
      </c>
      <c r="Z29" s="464">
        <v>0</v>
      </c>
      <c r="AA29" s="464">
        <v>0</v>
      </c>
      <c r="AB29" s="464">
        <v>1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0</v>
      </c>
      <c r="AI29" s="464">
        <v>0</v>
      </c>
      <c r="AJ29" s="466">
        <v>1</v>
      </c>
      <c r="AK29" s="464">
        <v>0</v>
      </c>
      <c r="AL29" s="464">
        <v>0</v>
      </c>
      <c r="AM29" s="464">
        <v>0</v>
      </c>
      <c r="AN29" s="466">
        <v>0</v>
      </c>
    </row>
    <row r="30" spans="1:40" ht="15.8" customHeight="1" thickBot="1" x14ac:dyDescent="0.3">
      <c r="A30" s="468" t="s">
        <v>840</v>
      </c>
      <c r="B30" s="469" t="s">
        <v>199</v>
      </c>
      <c r="C30" s="470" t="s">
        <v>25</v>
      </c>
      <c r="D30" s="471" t="s">
        <v>299</v>
      </c>
      <c r="E30" s="471" t="s">
        <v>32</v>
      </c>
      <c r="F30" s="471">
        <v>30</v>
      </c>
      <c r="G30" s="471">
        <v>17</v>
      </c>
      <c r="H30" s="471">
        <v>1</v>
      </c>
      <c r="I30" s="471">
        <v>0</v>
      </c>
      <c r="J30" s="471">
        <v>4</v>
      </c>
      <c r="K30" s="471">
        <v>2</v>
      </c>
      <c r="L30" s="471">
        <v>0</v>
      </c>
      <c r="M30" s="471">
        <v>2</v>
      </c>
      <c r="N30" s="471">
        <v>0</v>
      </c>
      <c r="O30" s="471">
        <v>0</v>
      </c>
      <c r="P30" s="471">
        <v>0</v>
      </c>
      <c r="Q30" s="471">
        <v>0</v>
      </c>
      <c r="R30" s="471">
        <v>2</v>
      </c>
      <c r="S30" s="472">
        <v>0</v>
      </c>
      <c r="T30" s="480" t="s">
        <v>902</v>
      </c>
      <c r="U30" s="478" t="s">
        <v>396</v>
      </c>
      <c r="V30" s="472" t="s">
        <v>352</v>
      </c>
      <c r="W30" s="472" t="s">
        <v>343</v>
      </c>
      <c r="X30" s="473" t="s">
        <v>355</v>
      </c>
      <c r="Y30" s="472">
        <v>1</v>
      </c>
      <c r="Z30" s="472">
        <v>1</v>
      </c>
      <c r="AA30" s="472">
        <v>0</v>
      </c>
      <c r="AB30" s="472">
        <v>0</v>
      </c>
      <c r="AC30" s="472">
        <v>1</v>
      </c>
      <c r="AD30" s="472">
        <v>1</v>
      </c>
      <c r="AE30" s="472">
        <v>0</v>
      </c>
      <c r="AF30" s="472">
        <v>0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0" ht="15.8" customHeight="1" thickBot="1" x14ac:dyDescent="0.3">
      <c r="A31" s="468" t="s">
        <v>856</v>
      </c>
      <c r="B31" s="469" t="s">
        <v>199</v>
      </c>
      <c r="C31" s="470" t="s">
        <v>274</v>
      </c>
      <c r="D31" s="471" t="s">
        <v>299</v>
      </c>
      <c r="E31" s="471" t="s">
        <v>34</v>
      </c>
      <c r="F31" s="471">
        <v>27</v>
      </c>
      <c r="G31" s="471">
        <v>41</v>
      </c>
      <c r="H31" s="471">
        <v>0</v>
      </c>
      <c r="I31" s="471">
        <v>0</v>
      </c>
      <c r="J31" s="471">
        <v>3</v>
      </c>
      <c r="K31" s="471">
        <v>3</v>
      </c>
      <c r="L31" s="471">
        <v>0</v>
      </c>
      <c r="M31" s="471">
        <v>2</v>
      </c>
      <c r="N31" s="471">
        <v>0</v>
      </c>
      <c r="O31" s="471">
        <v>0</v>
      </c>
      <c r="P31" s="471">
        <v>1</v>
      </c>
      <c r="Q31" s="471">
        <v>0</v>
      </c>
      <c r="R31" s="471">
        <v>4</v>
      </c>
      <c r="S31" s="484">
        <v>2700</v>
      </c>
      <c r="T31" s="477" t="s">
        <v>915</v>
      </c>
      <c r="U31" s="478" t="s">
        <v>463</v>
      </c>
      <c r="V31" s="472" t="s">
        <v>329</v>
      </c>
      <c r="W31" s="472" t="s">
        <v>550</v>
      </c>
      <c r="X31" s="472" t="s">
        <v>346</v>
      </c>
      <c r="Y31" s="472">
        <v>1</v>
      </c>
      <c r="Z31" s="472">
        <v>0</v>
      </c>
      <c r="AA31" s="472">
        <v>0</v>
      </c>
      <c r="AB31" s="472">
        <v>1</v>
      </c>
      <c r="AC31" s="472">
        <v>1</v>
      </c>
      <c r="AD31" s="472">
        <v>0</v>
      </c>
      <c r="AE31" s="472">
        <v>0</v>
      </c>
      <c r="AF31" s="472">
        <v>1</v>
      </c>
      <c r="AG31" s="472">
        <v>0</v>
      </c>
      <c r="AH31" s="472">
        <v>0</v>
      </c>
      <c r="AI31" s="472">
        <v>0</v>
      </c>
      <c r="AJ31" s="478">
        <v>0</v>
      </c>
      <c r="AK31" s="472">
        <v>0</v>
      </c>
      <c r="AL31" s="472">
        <v>0</v>
      </c>
      <c r="AM31" s="472">
        <v>0</v>
      </c>
      <c r="AN31" s="478">
        <v>0</v>
      </c>
    </row>
    <row r="32" spans="1:40" ht="15.8" customHeight="1" thickBot="1" x14ac:dyDescent="0.3">
      <c r="A32" s="474" t="s">
        <v>861</v>
      </c>
      <c r="B32" s="474" t="s">
        <v>199</v>
      </c>
      <c r="C32" s="487" t="s">
        <v>11</v>
      </c>
      <c r="D32" s="488" t="s">
        <v>725</v>
      </c>
      <c r="E32" s="488" t="s">
        <v>32</v>
      </c>
      <c r="F32" s="463">
        <v>38</v>
      </c>
      <c r="G32" s="488">
        <v>15</v>
      </c>
      <c r="H32" s="463">
        <v>1</v>
      </c>
      <c r="I32" s="463">
        <v>0</v>
      </c>
      <c r="J32" s="463">
        <v>6</v>
      </c>
      <c r="K32" s="463">
        <v>3</v>
      </c>
      <c r="L32" s="463">
        <v>0</v>
      </c>
      <c r="M32" s="463">
        <v>0</v>
      </c>
      <c r="N32" s="463">
        <v>1</v>
      </c>
      <c r="O32" s="463">
        <v>0</v>
      </c>
      <c r="P32" s="463">
        <v>0</v>
      </c>
      <c r="Q32" s="463">
        <v>0</v>
      </c>
      <c r="R32" s="463">
        <v>2</v>
      </c>
      <c r="S32" s="464">
        <v>0</v>
      </c>
      <c r="T32" s="485" t="s">
        <v>416</v>
      </c>
      <c r="U32" s="464" t="s">
        <v>550</v>
      </c>
      <c r="V32" s="464" t="s">
        <v>464</v>
      </c>
      <c r="W32" s="464" t="s">
        <v>633</v>
      </c>
      <c r="X32" s="464" t="s">
        <v>463</v>
      </c>
      <c r="Y32" s="464">
        <v>1</v>
      </c>
      <c r="Z32" s="464">
        <v>1</v>
      </c>
      <c r="AA32" s="464">
        <v>0</v>
      </c>
      <c r="AB32" s="464">
        <v>0</v>
      </c>
      <c r="AC32" s="464">
        <v>0</v>
      </c>
      <c r="AD32" s="464">
        <v>0</v>
      </c>
      <c r="AE32" s="464">
        <v>0</v>
      </c>
      <c r="AF32" s="464">
        <v>0</v>
      </c>
      <c r="AG32" s="464">
        <v>1</v>
      </c>
      <c r="AH32" s="464">
        <v>1</v>
      </c>
      <c r="AI32" s="464">
        <v>0</v>
      </c>
      <c r="AJ32" s="466">
        <v>0</v>
      </c>
      <c r="AK32" s="464">
        <v>0</v>
      </c>
      <c r="AL32" s="464">
        <v>0</v>
      </c>
      <c r="AM32" s="464">
        <v>0</v>
      </c>
      <c r="AN32" s="466">
        <v>0</v>
      </c>
    </row>
    <row r="33" spans="1:40" ht="16.5" thickBot="1" x14ac:dyDescent="0.3">
      <c r="A33" s="474" t="s">
        <v>865</v>
      </c>
      <c r="B33" s="474" t="s">
        <v>199</v>
      </c>
      <c r="C33" s="487" t="s">
        <v>347</v>
      </c>
      <c r="D33" s="488" t="s">
        <v>36</v>
      </c>
      <c r="E33" s="463" t="s">
        <v>32</v>
      </c>
      <c r="F33" s="463">
        <v>28</v>
      </c>
      <c r="G33" s="463">
        <v>15</v>
      </c>
      <c r="H33" s="463">
        <v>0</v>
      </c>
      <c r="I33" s="463">
        <v>0</v>
      </c>
      <c r="J33" s="463">
        <v>3</v>
      </c>
      <c r="K33" s="463">
        <v>2</v>
      </c>
      <c r="L33" s="463">
        <v>0</v>
      </c>
      <c r="M33" s="463">
        <v>3</v>
      </c>
      <c r="N33" s="463">
        <v>1</v>
      </c>
      <c r="O33" s="463">
        <v>0</v>
      </c>
      <c r="P33" s="463">
        <v>0</v>
      </c>
      <c r="Q33" s="463">
        <v>0</v>
      </c>
      <c r="R33" s="463">
        <v>2</v>
      </c>
      <c r="S33" s="464">
        <v>1000</v>
      </c>
      <c r="T33" s="481" t="s">
        <v>922</v>
      </c>
      <c r="U33" s="464" t="s">
        <v>554</v>
      </c>
      <c r="V33" s="464" t="s">
        <v>348</v>
      </c>
      <c r="W33" s="464" t="s">
        <v>326</v>
      </c>
      <c r="X33" s="464" t="s">
        <v>346</v>
      </c>
      <c r="Y33" s="464">
        <v>1</v>
      </c>
      <c r="Z33" s="464">
        <v>1</v>
      </c>
      <c r="AA33" s="464">
        <v>0</v>
      </c>
      <c r="AB33" s="464">
        <v>0</v>
      </c>
      <c r="AC33" s="464">
        <v>0</v>
      </c>
      <c r="AD33" s="464">
        <v>0</v>
      </c>
      <c r="AE33" s="464">
        <v>0</v>
      </c>
      <c r="AF33" s="464">
        <v>0</v>
      </c>
      <c r="AG33" s="464">
        <v>1</v>
      </c>
      <c r="AH33" s="464">
        <v>1</v>
      </c>
      <c r="AI33" s="464">
        <v>0</v>
      </c>
      <c r="AJ33" s="466">
        <v>0</v>
      </c>
      <c r="AK33" s="464">
        <v>0</v>
      </c>
      <c r="AL33" s="464">
        <v>0</v>
      </c>
      <c r="AM33" s="464">
        <v>0</v>
      </c>
      <c r="AN33" s="466">
        <v>0</v>
      </c>
    </row>
    <row r="34" spans="1:40" ht="17" thickBot="1" x14ac:dyDescent="0.35">
      <c r="A34" s="553" t="s">
        <v>231</v>
      </c>
      <c r="B34" s="554" t="s">
        <v>224</v>
      </c>
      <c r="C34" s="555" t="s">
        <v>27</v>
      </c>
      <c r="D34" s="556" t="s">
        <v>36</v>
      </c>
      <c r="E34" s="556" t="s">
        <v>34</v>
      </c>
      <c r="F34" s="556">
        <v>19</v>
      </c>
      <c r="G34" s="556">
        <v>27</v>
      </c>
      <c r="H34" s="556" t="s">
        <v>77</v>
      </c>
      <c r="I34" s="556" t="s">
        <v>77</v>
      </c>
      <c r="J34" s="556">
        <v>1</v>
      </c>
      <c r="K34" s="556">
        <v>1</v>
      </c>
      <c r="L34" s="556">
        <v>0</v>
      </c>
      <c r="M34" s="556">
        <v>4</v>
      </c>
      <c r="N34" s="556">
        <v>1</v>
      </c>
      <c r="O34" s="556">
        <v>0</v>
      </c>
      <c r="P34" s="556" t="s">
        <v>77</v>
      </c>
      <c r="Q34" s="556" t="s">
        <v>77</v>
      </c>
      <c r="R34" s="556">
        <v>3</v>
      </c>
      <c r="S34" s="557">
        <v>0</v>
      </c>
      <c r="T34" s="874" t="s">
        <v>958</v>
      </c>
      <c r="U34" s="557" t="s">
        <v>463</v>
      </c>
      <c r="V34" s="557" t="s">
        <v>403</v>
      </c>
      <c r="W34" s="557" t="s">
        <v>633</v>
      </c>
      <c r="X34" s="557" t="s">
        <v>318</v>
      </c>
      <c r="Y34" s="557">
        <v>1</v>
      </c>
      <c r="Z34" s="557">
        <v>1</v>
      </c>
      <c r="AA34" s="557">
        <v>0</v>
      </c>
      <c r="AB34" s="557">
        <v>0</v>
      </c>
      <c r="AC34" s="557">
        <v>1</v>
      </c>
      <c r="AD34" s="557">
        <v>1</v>
      </c>
      <c r="AE34" s="557">
        <v>0</v>
      </c>
      <c r="AF34" s="557">
        <v>0</v>
      </c>
      <c r="AG34" s="557">
        <v>0</v>
      </c>
      <c r="AH34" s="557">
        <v>0</v>
      </c>
      <c r="AI34" s="557">
        <v>0</v>
      </c>
      <c r="AJ34" s="559">
        <v>0</v>
      </c>
      <c r="AK34" s="557">
        <v>0</v>
      </c>
      <c r="AL34" s="557">
        <v>0</v>
      </c>
      <c r="AM34" s="557">
        <v>0</v>
      </c>
      <c r="AN34" s="559">
        <v>0</v>
      </c>
    </row>
    <row r="35" spans="1:40" ht="17" thickBot="1" x14ac:dyDescent="0.35">
      <c r="A35" s="496" t="s">
        <v>232</v>
      </c>
      <c r="B35" s="496" t="s">
        <v>199</v>
      </c>
      <c r="C35" s="476" t="s">
        <v>106</v>
      </c>
      <c r="D35" s="501" t="s">
        <v>299</v>
      </c>
      <c r="E35" s="497" t="s">
        <v>34</v>
      </c>
      <c r="F35" s="471">
        <v>23</v>
      </c>
      <c r="G35" s="471">
        <v>32</v>
      </c>
      <c r="H35" s="471">
        <v>0</v>
      </c>
      <c r="I35" s="471">
        <v>0</v>
      </c>
      <c r="J35" s="471">
        <v>3</v>
      </c>
      <c r="K35" s="471">
        <v>1</v>
      </c>
      <c r="L35" s="471">
        <v>0</v>
      </c>
      <c r="M35" s="471">
        <v>2</v>
      </c>
      <c r="N35" s="471">
        <v>0</v>
      </c>
      <c r="O35" s="471">
        <v>1</v>
      </c>
      <c r="P35" s="471">
        <v>1</v>
      </c>
      <c r="Q35" s="471">
        <v>0</v>
      </c>
      <c r="R35" s="471">
        <v>4</v>
      </c>
      <c r="S35" s="472">
        <v>0</v>
      </c>
      <c r="T35" s="638" t="s">
        <v>374</v>
      </c>
      <c r="U35" s="472" t="s">
        <v>633</v>
      </c>
      <c r="V35" s="472" t="s">
        <v>550</v>
      </c>
      <c r="W35" s="472" t="s">
        <v>343</v>
      </c>
      <c r="X35" s="472" t="s">
        <v>328</v>
      </c>
      <c r="Y35" s="472">
        <v>1</v>
      </c>
      <c r="Z35" s="472">
        <v>0</v>
      </c>
      <c r="AA35" s="472">
        <v>0</v>
      </c>
      <c r="AB35" s="472">
        <v>1</v>
      </c>
      <c r="AC35" s="472">
        <v>1</v>
      </c>
      <c r="AD35" s="472">
        <v>0</v>
      </c>
      <c r="AE35" s="472">
        <v>0</v>
      </c>
      <c r="AF35" s="472">
        <v>1</v>
      </c>
      <c r="AG35" s="472">
        <v>0</v>
      </c>
      <c r="AH35" s="472">
        <v>0</v>
      </c>
      <c r="AI35" s="472">
        <v>0</v>
      </c>
      <c r="AJ35" s="478">
        <v>0</v>
      </c>
      <c r="AK35" s="472">
        <v>0</v>
      </c>
      <c r="AL35" s="472">
        <v>0</v>
      </c>
      <c r="AM35" s="472">
        <v>0</v>
      </c>
      <c r="AN35" s="478">
        <v>0</v>
      </c>
    </row>
    <row r="36" spans="1:40" ht="17" thickBot="1" x14ac:dyDescent="0.35">
      <c r="A36" s="474" t="s">
        <v>357</v>
      </c>
      <c r="B36" s="474" t="s">
        <v>199</v>
      </c>
      <c r="C36" s="487" t="s">
        <v>26</v>
      </c>
      <c r="D36" s="488" t="s">
        <v>36</v>
      </c>
      <c r="E36" s="475" t="s">
        <v>32</v>
      </c>
      <c r="F36" s="463">
        <v>32</v>
      </c>
      <c r="G36" s="463">
        <v>26</v>
      </c>
      <c r="H36" s="463">
        <v>1</v>
      </c>
      <c r="I36" s="463">
        <v>0</v>
      </c>
      <c r="J36" s="463">
        <v>4</v>
      </c>
      <c r="K36" s="463">
        <v>3</v>
      </c>
      <c r="L36" s="463">
        <v>0</v>
      </c>
      <c r="M36" s="463">
        <v>2</v>
      </c>
      <c r="N36" s="463">
        <v>1</v>
      </c>
      <c r="O36" s="463">
        <v>0</v>
      </c>
      <c r="P36" s="463">
        <v>0</v>
      </c>
      <c r="Q36" s="463">
        <v>1</v>
      </c>
      <c r="R36" s="463">
        <v>3</v>
      </c>
      <c r="S36" s="464">
        <v>0</v>
      </c>
      <c r="T36" s="481" t="s">
        <v>997</v>
      </c>
      <c r="U36" s="464" t="s">
        <v>550</v>
      </c>
      <c r="V36" s="464" t="s">
        <v>352</v>
      </c>
      <c r="W36" s="464" t="s">
        <v>350</v>
      </c>
      <c r="X36" s="464" t="s">
        <v>401</v>
      </c>
      <c r="Y36" s="464">
        <v>1</v>
      </c>
      <c r="Z36" s="464">
        <v>1</v>
      </c>
      <c r="AA36" s="464">
        <v>0</v>
      </c>
      <c r="AB36" s="464">
        <v>0</v>
      </c>
      <c r="AC36" s="464">
        <v>0</v>
      </c>
      <c r="AD36" s="464">
        <v>0</v>
      </c>
      <c r="AE36" s="464">
        <v>0</v>
      </c>
      <c r="AF36" s="464">
        <v>0</v>
      </c>
      <c r="AG36" s="464">
        <v>1</v>
      </c>
      <c r="AH36" s="464">
        <v>1</v>
      </c>
      <c r="AI36" s="464">
        <v>0</v>
      </c>
      <c r="AJ36" s="466">
        <v>0</v>
      </c>
      <c r="AK36" s="464">
        <v>0</v>
      </c>
      <c r="AL36" s="464">
        <v>0</v>
      </c>
      <c r="AM36" s="464">
        <v>0</v>
      </c>
      <c r="AN36" s="466">
        <v>0</v>
      </c>
    </row>
    <row r="37" spans="1:40" ht="15.65" customHeight="1" thickBot="1" x14ac:dyDescent="0.3">
      <c r="A37" s="505"/>
      <c r="B37" s="506"/>
      <c r="C37" s="1000" t="s">
        <v>105</v>
      </c>
      <c r="D37" s="1001"/>
      <c r="E37" s="1002"/>
      <c r="F37" s="491">
        <f t="shared" ref="F37:R37" si="1">SUM(F7+F8+F9+F10+F13+F16+F17+F18+F21+F23+F24+F25+F26+F27+F28+F29+F30+F31+F32+F33+F35+F36)</f>
        <v>517</v>
      </c>
      <c r="G37" s="491">
        <f t="shared" si="1"/>
        <v>560</v>
      </c>
      <c r="H37" s="491">
        <f t="shared" si="1"/>
        <v>6</v>
      </c>
      <c r="I37" s="491">
        <f t="shared" si="1"/>
        <v>3</v>
      </c>
      <c r="J37" s="491">
        <f t="shared" si="1"/>
        <v>63</v>
      </c>
      <c r="K37" s="491">
        <f t="shared" si="1"/>
        <v>45</v>
      </c>
      <c r="L37" s="491">
        <f t="shared" si="1"/>
        <v>1</v>
      </c>
      <c r="M37" s="491">
        <f t="shared" si="1"/>
        <v>35</v>
      </c>
      <c r="N37" s="491">
        <f t="shared" si="1"/>
        <v>9</v>
      </c>
      <c r="O37" s="491">
        <f t="shared" si="1"/>
        <v>1</v>
      </c>
      <c r="P37" s="491">
        <f t="shared" si="1"/>
        <v>7</v>
      </c>
      <c r="Q37" s="491">
        <f t="shared" si="1"/>
        <v>6</v>
      </c>
      <c r="R37" s="491">
        <f t="shared" si="1"/>
        <v>63</v>
      </c>
      <c r="S37" s="502"/>
      <c r="T37" s="502"/>
      <c r="U37" s="502"/>
      <c r="V37" s="500"/>
      <c r="W37" s="500"/>
      <c r="X37" s="883" t="s">
        <v>105</v>
      </c>
      <c r="Y37" s="491">
        <f t="shared" ref="Y37:AN37" si="2">SUM(Y7+Y8+Y9+Y10+Y13+Y16+Y17+Y18+Y21+Y23+Y24+Y25+Y26+Y27+Y28+Y29+Y30+Y31+Y32+Y33+Y35+Y36)</f>
        <v>22</v>
      </c>
      <c r="Z37" s="491">
        <f t="shared" si="2"/>
        <v>10</v>
      </c>
      <c r="AA37" s="491">
        <f t="shared" si="2"/>
        <v>1</v>
      </c>
      <c r="AB37" s="491">
        <f t="shared" si="2"/>
        <v>11</v>
      </c>
      <c r="AC37" s="501">
        <f t="shared" si="2"/>
        <v>11</v>
      </c>
      <c r="AD37" s="501">
        <f t="shared" si="2"/>
        <v>6</v>
      </c>
      <c r="AE37" s="501">
        <f t="shared" si="2"/>
        <v>1</v>
      </c>
      <c r="AF37" s="501">
        <f t="shared" si="2"/>
        <v>4</v>
      </c>
      <c r="AG37" s="488">
        <f t="shared" si="2"/>
        <v>11</v>
      </c>
      <c r="AH37" s="488">
        <f t="shared" si="2"/>
        <v>3</v>
      </c>
      <c r="AI37" s="488">
        <f t="shared" si="2"/>
        <v>0</v>
      </c>
      <c r="AJ37" s="488">
        <f t="shared" si="2"/>
        <v>8</v>
      </c>
      <c r="AK37" s="491">
        <f t="shared" si="2"/>
        <v>0</v>
      </c>
      <c r="AL37" s="491">
        <f t="shared" si="2"/>
        <v>0</v>
      </c>
      <c r="AM37" s="491">
        <f t="shared" si="2"/>
        <v>0</v>
      </c>
      <c r="AN37" s="491">
        <f t="shared" si="2"/>
        <v>0</v>
      </c>
    </row>
    <row r="38" spans="1:40" ht="15.65" customHeight="1" thickBot="1" x14ac:dyDescent="0.3">
      <c r="A38" s="499"/>
      <c r="B38" s="499"/>
      <c r="C38" s="1000" t="s">
        <v>197</v>
      </c>
      <c r="D38" s="1001"/>
      <c r="E38" s="1002"/>
      <c r="F38" s="491">
        <v>0</v>
      </c>
      <c r="G38" s="491">
        <v>0</v>
      </c>
      <c r="H38" s="492">
        <v>0</v>
      </c>
      <c r="I38" s="492">
        <v>0</v>
      </c>
      <c r="J38" s="491">
        <v>0</v>
      </c>
      <c r="K38" s="491">
        <v>0</v>
      </c>
      <c r="L38" s="491">
        <v>0</v>
      </c>
      <c r="M38" s="491">
        <v>0</v>
      </c>
      <c r="N38" s="491">
        <v>0</v>
      </c>
      <c r="O38" s="491">
        <v>0</v>
      </c>
      <c r="P38" s="492">
        <v>0</v>
      </c>
      <c r="Q38" s="492">
        <v>0</v>
      </c>
      <c r="R38" s="491">
        <v>0</v>
      </c>
      <c r="S38" s="502"/>
      <c r="T38" s="502"/>
      <c r="U38" s="502"/>
      <c r="V38" s="502"/>
      <c r="W38" s="500"/>
      <c r="X38" s="883" t="s">
        <v>197</v>
      </c>
      <c r="Y38" s="491">
        <v>0</v>
      </c>
      <c r="Z38" s="491">
        <v>0</v>
      </c>
      <c r="AA38" s="491">
        <v>0</v>
      </c>
      <c r="AB38" s="491">
        <v>0</v>
      </c>
      <c r="AC38" s="501">
        <v>0</v>
      </c>
      <c r="AD38" s="501">
        <v>0</v>
      </c>
      <c r="AE38" s="501">
        <v>0</v>
      </c>
      <c r="AF38" s="501">
        <v>0</v>
      </c>
      <c r="AG38" s="475">
        <v>0</v>
      </c>
      <c r="AH38" s="475">
        <v>0</v>
      </c>
      <c r="AI38" s="475">
        <v>0</v>
      </c>
      <c r="AJ38" s="475">
        <v>0</v>
      </c>
      <c r="AK38" s="491">
        <v>0</v>
      </c>
      <c r="AL38" s="491">
        <v>0</v>
      </c>
      <c r="AM38" s="491">
        <v>0</v>
      </c>
      <c r="AN38" s="491">
        <v>0</v>
      </c>
    </row>
    <row r="39" spans="1:40" ht="15.8" customHeight="1" thickBot="1" x14ac:dyDescent="0.3">
      <c r="A39" s="499"/>
      <c r="B39" s="499"/>
      <c r="C39" s="1000" t="s">
        <v>219</v>
      </c>
      <c r="D39" s="1001"/>
      <c r="E39" s="1002"/>
      <c r="F39" s="491">
        <f>SUM(F37+F38)</f>
        <v>517</v>
      </c>
      <c r="G39" s="491">
        <f t="shared" ref="G39:R39" si="3">SUM(G37+G38)</f>
        <v>560</v>
      </c>
      <c r="H39" s="491">
        <f t="shared" si="3"/>
        <v>6</v>
      </c>
      <c r="I39" s="491">
        <f t="shared" si="3"/>
        <v>3</v>
      </c>
      <c r="J39" s="491">
        <f t="shared" si="3"/>
        <v>63</v>
      </c>
      <c r="K39" s="491">
        <f t="shared" si="3"/>
        <v>45</v>
      </c>
      <c r="L39" s="491">
        <f t="shared" si="3"/>
        <v>1</v>
      </c>
      <c r="M39" s="491">
        <f t="shared" si="3"/>
        <v>35</v>
      </c>
      <c r="N39" s="491">
        <f t="shared" si="3"/>
        <v>9</v>
      </c>
      <c r="O39" s="491">
        <f t="shared" si="3"/>
        <v>1</v>
      </c>
      <c r="P39" s="491">
        <f t="shared" si="3"/>
        <v>7</v>
      </c>
      <c r="Q39" s="491">
        <f t="shared" si="3"/>
        <v>6</v>
      </c>
      <c r="R39" s="491">
        <f t="shared" si="3"/>
        <v>63</v>
      </c>
      <c r="S39" s="502"/>
      <c r="T39" s="502"/>
      <c r="U39" s="502"/>
      <c r="V39" s="502"/>
      <c r="W39" s="500"/>
      <c r="X39" s="883" t="s">
        <v>219</v>
      </c>
      <c r="Y39" s="491">
        <f t="shared" ref="Y39:AN39" si="4">SUM(Y37+Y38)</f>
        <v>22</v>
      </c>
      <c r="Z39" s="491">
        <f t="shared" si="4"/>
        <v>10</v>
      </c>
      <c r="AA39" s="491">
        <f t="shared" si="4"/>
        <v>1</v>
      </c>
      <c r="AB39" s="491">
        <f t="shared" si="4"/>
        <v>11</v>
      </c>
      <c r="AC39" s="501">
        <f t="shared" si="4"/>
        <v>11</v>
      </c>
      <c r="AD39" s="501">
        <f t="shared" si="4"/>
        <v>6</v>
      </c>
      <c r="AE39" s="501">
        <f t="shared" si="4"/>
        <v>1</v>
      </c>
      <c r="AF39" s="501">
        <f t="shared" si="4"/>
        <v>4</v>
      </c>
      <c r="AG39" s="488">
        <f t="shared" si="4"/>
        <v>11</v>
      </c>
      <c r="AH39" s="488">
        <f t="shared" si="4"/>
        <v>3</v>
      </c>
      <c r="AI39" s="488">
        <f t="shared" si="4"/>
        <v>0</v>
      </c>
      <c r="AJ39" s="488">
        <f t="shared" si="4"/>
        <v>8</v>
      </c>
      <c r="AK39" s="491">
        <f t="shared" si="4"/>
        <v>0</v>
      </c>
      <c r="AL39" s="491">
        <f t="shared" si="4"/>
        <v>0</v>
      </c>
      <c r="AM39" s="491">
        <f t="shared" si="4"/>
        <v>0</v>
      </c>
      <c r="AN39" s="491">
        <f t="shared" si="4"/>
        <v>0</v>
      </c>
    </row>
    <row r="40" spans="1:40" ht="15.65" customHeight="1" thickBot="1" x14ac:dyDescent="0.3">
      <c r="A40" s="100"/>
      <c r="C40" s="1004" t="s">
        <v>144</v>
      </c>
      <c r="D40" s="1005"/>
      <c r="E40" s="1006"/>
      <c r="F40" s="410">
        <f t="shared" ref="F40:R40" si="5">SUM(F11+F12+F14+F15+F19+F20)</f>
        <v>114</v>
      </c>
      <c r="G40" s="410">
        <f t="shared" si="5"/>
        <v>166</v>
      </c>
      <c r="H40" s="410">
        <f t="shared" si="5"/>
        <v>0</v>
      </c>
      <c r="I40" s="410">
        <f t="shared" si="5"/>
        <v>2</v>
      </c>
      <c r="J40" s="410">
        <f t="shared" si="5"/>
        <v>13</v>
      </c>
      <c r="K40" s="410">
        <f t="shared" si="5"/>
        <v>11</v>
      </c>
      <c r="L40" s="410">
        <f t="shared" si="5"/>
        <v>0</v>
      </c>
      <c r="M40" s="410">
        <f t="shared" si="5"/>
        <v>9</v>
      </c>
      <c r="N40" s="410">
        <f t="shared" si="5"/>
        <v>1</v>
      </c>
      <c r="O40" s="410">
        <f t="shared" si="5"/>
        <v>0</v>
      </c>
      <c r="P40" s="410">
        <f t="shared" si="5"/>
        <v>2</v>
      </c>
      <c r="Q40" s="410">
        <f t="shared" si="5"/>
        <v>2</v>
      </c>
      <c r="R40" s="410">
        <f t="shared" si="5"/>
        <v>20</v>
      </c>
      <c r="S40" s="171"/>
      <c r="T40" s="171"/>
      <c r="U40" s="171"/>
      <c r="V40" s="171"/>
      <c r="W40" s="403"/>
      <c r="X40" s="399" t="s">
        <v>144</v>
      </c>
      <c r="Y40" s="410">
        <f t="shared" ref="Y40:AN40" si="6">SUM(Y11+Y12+Y14+Y15+Y19+Y20)</f>
        <v>6</v>
      </c>
      <c r="Z40" s="406">
        <f t="shared" si="6"/>
        <v>2</v>
      </c>
      <c r="AA40" s="406">
        <f t="shared" si="6"/>
        <v>0</v>
      </c>
      <c r="AB40" s="406">
        <f t="shared" si="6"/>
        <v>4</v>
      </c>
      <c r="AC40" s="404">
        <f t="shared" si="6"/>
        <v>3</v>
      </c>
      <c r="AD40" s="404">
        <f t="shared" si="6"/>
        <v>1</v>
      </c>
      <c r="AE40" s="404">
        <f t="shared" si="6"/>
        <v>0</v>
      </c>
      <c r="AF40" s="404">
        <f t="shared" si="6"/>
        <v>2</v>
      </c>
      <c r="AG40" s="405">
        <f t="shared" si="6"/>
        <v>3</v>
      </c>
      <c r="AH40" s="405">
        <f t="shared" si="6"/>
        <v>1</v>
      </c>
      <c r="AI40" s="405">
        <f t="shared" si="6"/>
        <v>0</v>
      </c>
      <c r="AJ40" s="405">
        <f t="shared" si="6"/>
        <v>2</v>
      </c>
      <c r="AK40" s="406">
        <f t="shared" si="6"/>
        <v>0</v>
      </c>
      <c r="AL40" s="406">
        <f t="shared" si="6"/>
        <v>0</v>
      </c>
      <c r="AM40" s="406">
        <f t="shared" si="6"/>
        <v>0</v>
      </c>
      <c r="AN40" s="406">
        <f t="shared" si="6"/>
        <v>0</v>
      </c>
    </row>
    <row r="41" spans="1:40" ht="15.65" customHeight="1" thickBot="1" x14ac:dyDescent="0.3">
      <c r="A41" s="100"/>
      <c r="C41" s="1004" t="s">
        <v>195</v>
      </c>
      <c r="D41" s="1007"/>
      <c r="E41" s="1008"/>
      <c r="F41" s="410">
        <v>0</v>
      </c>
      <c r="G41" s="410">
        <v>0</v>
      </c>
      <c r="H41" s="406" t="s">
        <v>77</v>
      </c>
      <c r="I41" s="406" t="s">
        <v>77</v>
      </c>
      <c r="J41" s="410">
        <v>0</v>
      </c>
      <c r="K41" s="410">
        <v>0</v>
      </c>
      <c r="L41" s="410">
        <v>0</v>
      </c>
      <c r="M41" s="410">
        <v>0</v>
      </c>
      <c r="N41" s="410">
        <v>0</v>
      </c>
      <c r="O41" s="410">
        <v>0</v>
      </c>
      <c r="P41" s="406" t="s">
        <v>77</v>
      </c>
      <c r="Q41" s="406" t="s">
        <v>77</v>
      </c>
      <c r="R41" s="410">
        <v>0</v>
      </c>
      <c r="S41" s="171"/>
      <c r="T41" s="171"/>
      <c r="U41" s="171"/>
      <c r="V41" s="171"/>
      <c r="W41" s="403"/>
      <c r="X41" s="399" t="s">
        <v>195</v>
      </c>
      <c r="Y41" s="410">
        <v>0</v>
      </c>
      <c r="Z41" s="410">
        <v>0</v>
      </c>
      <c r="AA41" s="410">
        <v>0</v>
      </c>
      <c r="AB41" s="410">
        <v>0</v>
      </c>
      <c r="AC41" s="408">
        <v>0</v>
      </c>
      <c r="AD41" s="408">
        <v>0</v>
      </c>
      <c r="AE41" s="408">
        <v>0</v>
      </c>
      <c r="AF41" s="408">
        <v>0</v>
      </c>
      <c r="AG41" s="409">
        <v>0</v>
      </c>
      <c r="AH41" s="409">
        <v>0</v>
      </c>
      <c r="AI41" s="409">
        <v>0</v>
      </c>
      <c r="AJ41" s="409">
        <v>0</v>
      </c>
      <c r="AK41" s="410">
        <v>0</v>
      </c>
      <c r="AL41" s="410">
        <v>0</v>
      </c>
      <c r="AM41" s="410">
        <v>0</v>
      </c>
      <c r="AN41" s="410">
        <v>0</v>
      </c>
    </row>
    <row r="42" spans="1:40" ht="15.65" customHeight="1" thickBot="1" x14ac:dyDescent="0.3">
      <c r="A42" s="100"/>
      <c r="C42" s="1009" t="s">
        <v>230</v>
      </c>
      <c r="D42" s="1007"/>
      <c r="E42" s="1008"/>
      <c r="F42" s="384">
        <f>SUM(F40+F41)</f>
        <v>114</v>
      </c>
      <c r="G42" s="384">
        <f t="shared" ref="G42:R42" si="7">SUM(G40+G41)</f>
        <v>166</v>
      </c>
      <c r="H42" s="384">
        <f>SUM(H40)</f>
        <v>0</v>
      </c>
      <c r="I42" s="384">
        <f>SUM(I40)</f>
        <v>2</v>
      </c>
      <c r="J42" s="384">
        <f t="shared" si="7"/>
        <v>13</v>
      </c>
      <c r="K42" s="384">
        <f t="shared" si="7"/>
        <v>11</v>
      </c>
      <c r="L42" s="384">
        <f t="shared" si="7"/>
        <v>0</v>
      </c>
      <c r="M42" s="384">
        <f t="shared" si="7"/>
        <v>9</v>
      </c>
      <c r="N42" s="384">
        <f t="shared" si="7"/>
        <v>1</v>
      </c>
      <c r="O42" s="384">
        <f t="shared" si="7"/>
        <v>0</v>
      </c>
      <c r="P42" s="384">
        <f t="shared" ref="P42:Q42" si="8">SUM(P40)</f>
        <v>2</v>
      </c>
      <c r="Q42" s="384">
        <f t="shared" si="8"/>
        <v>2</v>
      </c>
      <c r="R42" s="384">
        <f t="shared" si="7"/>
        <v>20</v>
      </c>
      <c r="S42" s="171"/>
      <c r="T42" s="171"/>
      <c r="U42" s="171"/>
      <c r="V42" s="171"/>
      <c r="W42" s="172"/>
      <c r="X42" s="887" t="s">
        <v>230</v>
      </c>
      <c r="Y42" s="384">
        <f t="shared" ref="Y42:AN42" si="9">SUM(Y40+Y41)</f>
        <v>6</v>
      </c>
      <c r="Z42" s="384">
        <f t="shared" si="9"/>
        <v>2</v>
      </c>
      <c r="AA42" s="384">
        <f t="shared" si="9"/>
        <v>0</v>
      </c>
      <c r="AB42" s="384">
        <f t="shared" si="9"/>
        <v>4</v>
      </c>
      <c r="AC42" s="92">
        <f t="shared" si="9"/>
        <v>3</v>
      </c>
      <c r="AD42" s="92">
        <f t="shared" si="9"/>
        <v>1</v>
      </c>
      <c r="AE42" s="92">
        <f t="shared" si="9"/>
        <v>0</v>
      </c>
      <c r="AF42" s="92">
        <f t="shared" si="9"/>
        <v>2</v>
      </c>
      <c r="AG42" s="383">
        <f t="shared" si="9"/>
        <v>3</v>
      </c>
      <c r="AH42" s="383">
        <f t="shared" si="9"/>
        <v>1</v>
      </c>
      <c r="AI42" s="383">
        <f t="shared" si="9"/>
        <v>0</v>
      </c>
      <c r="AJ42" s="383">
        <f t="shared" si="9"/>
        <v>2</v>
      </c>
      <c r="AK42" s="384">
        <f t="shared" si="9"/>
        <v>0</v>
      </c>
      <c r="AL42" s="384">
        <f t="shared" si="9"/>
        <v>0</v>
      </c>
      <c r="AM42" s="384">
        <f t="shared" si="9"/>
        <v>0</v>
      </c>
      <c r="AN42" s="384">
        <f t="shared" si="9"/>
        <v>0</v>
      </c>
    </row>
    <row r="43" spans="1:40" ht="15.8" customHeight="1" thickBot="1" x14ac:dyDescent="0.3">
      <c r="A43" s="100"/>
      <c r="C43" s="977" t="s">
        <v>227</v>
      </c>
      <c r="D43" s="978"/>
      <c r="E43" s="979"/>
      <c r="F43" s="541">
        <f t="shared" ref="F43:R43" si="10">SUM(F3+F4+F5+F6)</f>
        <v>106</v>
      </c>
      <c r="G43" s="541">
        <f t="shared" si="10"/>
        <v>79</v>
      </c>
      <c r="H43" s="541">
        <f t="shared" si="10"/>
        <v>1</v>
      </c>
      <c r="I43" s="541">
        <f t="shared" si="10"/>
        <v>1</v>
      </c>
      <c r="J43" s="541">
        <f t="shared" si="10"/>
        <v>14</v>
      </c>
      <c r="K43" s="541">
        <f t="shared" si="10"/>
        <v>9</v>
      </c>
      <c r="L43" s="541">
        <f t="shared" si="10"/>
        <v>0</v>
      </c>
      <c r="M43" s="541">
        <f t="shared" si="10"/>
        <v>6</v>
      </c>
      <c r="N43" s="541">
        <f t="shared" si="10"/>
        <v>4</v>
      </c>
      <c r="O43" s="541">
        <f t="shared" si="10"/>
        <v>0</v>
      </c>
      <c r="P43" s="541">
        <f t="shared" si="10"/>
        <v>1</v>
      </c>
      <c r="Q43" s="541">
        <f t="shared" si="10"/>
        <v>1</v>
      </c>
      <c r="R43" s="541">
        <f t="shared" si="10"/>
        <v>12</v>
      </c>
      <c r="S43" s="534"/>
      <c r="T43" s="534"/>
      <c r="U43" s="534"/>
      <c r="V43" s="535"/>
      <c r="W43" s="535"/>
      <c r="X43" s="888" t="s">
        <v>227</v>
      </c>
      <c r="Y43" s="541">
        <f t="shared" ref="Y43:AN43" si="11">SUM(Y3+Y4+Y5+Y6)</f>
        <v>4</v>
      </c>
      <c r="Z43" s="541">
        <f t="shared" si="11"/>
        <v>3</v>
      </c>
      <c r="AA43" s="541">
        <f t="shared" si="11"/>
        <v>0</v>
      </c>
      <c r="AB43" s="541">
        <f t="shared" si="11"/>
        <v>1</v>
      </c>
      <c r="AC43" s="536">
        <f t="shared" si="11"/>
        <v>2</v>
      </c>
      <c r="AD43" s="536">
        <f t="shared" si="11"/>
        <v>2</v>
      </c>
      <c r="AE43" s="536">
        <f t="shared" si="11"/>
        <v>0</v>
      </c>
      <c r="AF43" s="536">
        <f t="shared" si="11"/>
        <v>0</v>
      </c>
      <c r="AG43" s="537">
        <f t="shared" si="11"/>
        <v>2</v>
      </c>
      <c r="AH43" s="537">
        <f t="shared" si="11"/>
        <v>1</v>
      </c>
      <c r="AI43" s="537">
        <f t="shared" si="11"/>
        <v>0</v>
      </c>
      <c r="AJ43" s="537">
        <f t="shared" si="11"/>
        <v>1</v>
      </c>
      <c r="AK43" s="538">
        <f t="shared" si="11"/>
        <v>0</v>
      </c>
      <c r="AL43" s="538">
        <f t="shared" si="11"/>
        <v>0</v>
      </c>
      <c r="AM43" s="538">
        <f t="shared" si="11"/>
        <v>0</v>
      </c>
      <c r="AN43" s="538">
        <f t="shared" si="11"/>
        <v>0</v>
      </c>
    </row>
    <row r="44" spans="1:40" ht="14.95" thickBot="1" x14ac:dyDescent="0.3">
      <c r="C44" s="977" t="s">
        <v>228</v>
      </c>
      <c r="D44" s="978"/>
      <c r="E44" s="979"/>
      <c r="F44" s="541">
        <f>SUM(F22+F34)</f>
        <v>68</v>
      </c>
      <c r="G44" s="541">
        <f>SUM(G22+G34)</f>
        <v>49</v>
      </c>
      <c r="H44" s="538" t="s">
        <v>77</v>
      </c>
      <c r="I44" s="538" t="s">
        <v>77</v>
      </c>
      <c r="J44" s="541">
        <f t="shared" ref="J44:O44" si="12">SUM(J22+J34)</f>
        <v>8</v>
      </c>
      <c r="K44" s="541">
        <f t="shared" si="12"/>
        <v>5</v>
      </c>
      <c r="L44" s="541">
        <f t="shared" si="12"/>
        <v>0</v>
      </c>
      <c r="M44" s="541">
        <f t="shared" si="12"/>
        <v>6</v>
      </c>
      <c r="N44" s="541">
        <f t="shared" si="12"/>
        <v>1</v>
      </c>
      <c r="O44" s="541">
        <f t="shared" si="12"/>
        <v>0</v>
      </c>
      <c r="P44" s="538" t="s">
        <v>77</v>
      </c>
      <c r="Q44" s="538" t="s">
        <v>77</v>
      </c>
      <c r="R44" s="541">
        <f>SUM(R22+R34)</f>
        <v>7</v>
      </c>
      <c r="S44" s="534"/>
      <c r="T44" s="534"/>
      <c r="U44" s="534"/>
      <c r="V44" s="534"/>
      <c r="W44" s="535"/>
      <c r="X44" s="888" t="s">
        <v>228</v>
      </c>
      <c r="Y44" s="541">
        <f t="shared" ref="Y44:AN44" si="13">SUM(Y22+Y34)</f>
        <v>2</v>
      </c>
      <c r="Z44" s="541">
        <f t="shared" si="13"/>
        <v>2</v>
      </c>
      <c r="AA44" s="541">
        <f t="shared" si="13"/>
        <v>0</v>
      </c>
      <c r="AB44" s="541">
        <f t="shared" si="13"/>
        <v>0</v>
      </c>
      <c r="AC44" s="539">
        <f t="shared" si="13"/>
        <v>1</v>
      </c>
      <c r="AD44" s="539">
        <f t="shared" si="13"/>
        <v>1</v>
      </c>
      <c r="AE44" s="539">
        <f t="shared" si="13"/>
        <v>0</v>
      </c>
      <c r="AF44" s="539">
        <f t="shared" si="13"/>
        <v>0</v>
      </c>
      <c r="AG44" s="540">
        <f t="shared" si="13"/>
        <v>1</v>
      </c>
      <c r="AH44" s="540">
        <f t="shared" si="13"/>
        <v>1</v>
      </c>
      <c r="AI44" s="540">
        <f t="shared" si="13"/>
        <v>0</v>
      </c>
      <c r="AJ44" s="540">
        <f t="shared" si="13"/>
        <v>0</v>
      </c>
      <c r="AK44" s="541">
        <f t="shared" si="13"/>
        <v>0</v>
      </c>
      <c r="AL44" s="541">
        <f t="shared" si="13"/>
        <v>0</v>
      </c>
      <c r="AM44" s="541">
        <f t="shared" si="13"/>
        <v>0</v>
      </c>
      <c r="AN44" s="541">
        <f t="shared" si="13"/>
        <v>0</v>
      </c>
    </row>
    <row r="45" spans="1:40" ht="15.8" customHeight="1" thickBot="1" x14ac:dyDescent="0.3">
      <c r="C45" s="1010" t="s">
        <v>229</v>
      </c>
      <c r="D45" s="978"/>
      <c r="E45" s="979"/>
      <c r="F45" s="545">
        <f>SUM(F43+F44)</f>
        <v>174</v>
      </c>
      <c r="G45" s="545">
        <f t="shared" ref="G45:R45" si="14">SUM(G43+G44)</f>
        <v>128</v>
      </c>
      <c r="H45" s="545">
        <f>H43</f>
        <v>1</v>
      </c>
      <c r="I45" s="545">
        <f>I43</f>
        <v>1</v>
      </c>
      <c r="J45" s="545">
        <f t="shared" si="14"/>
        <v>22</v>
      </c>
      <c r="K45" s="545">
        <f t="shared" si="14"/>
        <v>14</v>
      </c>
      <c r="L45" s="545">
        <f t="shared" si="14"/>
        <v>0</v>
      </c>
      <c r="M45" s="545">
        <f t="shared" si="14"/>
        <v>12</v>
      </c>
      <c r="N45" s="545">
        <f t="shared" si="14"/>
        <v>5</v>
      </c>
      <c r="O45" s="545">
        <f t="shared" si="14"/>
        <v>0</v>
      </c>
      <c r="P45" s="545">
        <f t="shared" ref="P45:Q45" si="15">P43</f>
        <v>1</v>
      </c>
      <c r="Q45" s="545">
        <f t="shared" si="15"/>
        <v>1</v>
      </c>
      <c r="R45" s="545">
        <f t="shared" si="14"/>
        <v>19</v>
      </c>
      <c r="S45" s="534"/>
      <c r="T45" s="534"/>
      <c r="U45" s="534"/>
      <c r="V45" s="534"/>
      <c r="W45" s="542"/>
      <c r="X45" s="885" t="s">
        <v>229</v>
      </c>
      <c r="Y45" s="545">
        <f t="shared" ref="Y45:AN45" si="16">SUM(Y43+Y44)</f>
        <v>6</v>
      </c>
      <c r="Z45" s="545">
        <f t="shared" si="16"/>
        <v>5</v>
      </c>
      <c r="AA45" s="545">
        <f t="shared" si="16"/>
        <v>0</v>
      </c>
      <c r="AB45" s="545">
        <f t="shared" si="16"/>
        <v>1</v>
      </c>
      <c r="AC45" s="543">
        <f t="shared" si="16"/>
        <v>3</v>
      </c>
      <c r="AD45" s="543">
        <f t="shared" si="16"/>
        <v>3</v>
      </c>
      <c r="AE45" s="543">
        <f t="shared" si="16"/>
        <v>0</v>
      </c>
      <c r="AF45" s="543">
        <f t="shared" si="16"/>
        <v>0</v>
      </c>
      <c r="AG45" s="544">
        <f t="shared" si="16"/>
        <v>3</v>
      </c>
      <c r="AH45" s="544">
        <f t="shared" si="16"/>
        <v>2</v>
      </c>
      <c r="AI45" s="544">
        <f t="shared" si="16"/>
        <v>0</v>
      </c>
      <c r="AJ45" s="544">
        <f t="shared" si="16"/>
        <v>1</v>
      </c>
      <c r="AK45" s="545">
        <f t="shared" si="16"/>
        <v>0</v>
      </c>
      <c r="AL45" s="545">
        <f t="shared" si="16"/>
        <v>0</v>
      </c>
      <c r="AM45" s="545">
        <f t="shared" si="16"/>
        <v>0</v>
      </c>
      <c r="AN45" s="545">
        <f t="shared" si="16"/>
        <v>0</v>
      </c>
    </row>
    <row r="46" spans="1:40" ht="14.95" thickBot="1" x14ac:dyDescent="0.3">
      <c r="A46" s="100"/>
      <c r="C46" s="980" t="s">
        <v>63</v>
      </c>
      <c r="D46" s="981"/>
      <c r="E46" s="982"/>
      <c r="F46" s="378">
        <f t="shared" ref="F46:R46" si="17">SUM(F3:F36)</f>
        <v>805</v>
      </c>
      <c r="G46" s="378">
        <f t="shared" si="17"/>
        <v>854</v>
      </c>
      <c r="H46" s="378">
        <f t="shared" si="17"/>
        <v>7</v>
      </c>
      <c r="I46" s="378">
        <f t="shared" si="17"/>
        <v>6</v>
      </c>
      <c r="J46" s="378">
        <f t="shared" si="17"/>
        <v>98</v>
      </c>
      <c r="K46" s="378">
        <f t="shared" si="17"/>
        <v>70</v>
      </c>
      <c r="L46" s="378">
        <f t="shared" si="17"/>
        <v>1</v>
      </c>
      <c r="M46" s="378">
        <f t="shared" si="17"/>
        <v>56</v>
      </c>
      <c r="N46" s="378">
        <f t="shared" si="17"/>
        <v>15</v>
      </c>
      <c r="O46" s="378">
        <f t="shared" si="17"/>
        <v>1</v>
      </c>
      <c r="P46" s="378">
        <f t="shared" si="17"/>
        <v>10</v>
      </c>
      <c r="Q46" s="378">
        <f t="shared" si="17"/>
        <v>9</v>
      </c>
      <c r="R46" s="378">
        <f t="shared" si="17"/>
        <v>102</v>
      </c>
      <c r="S46" s="168"/>
      <c r="T46" s="168"/>
      <c r="U46" s="168"/>
      <c r="V46" s="169"/>
      <c r="W46" s="169"/>
      <c r="X46" s="886" t="s">
        <v>63</v>
      </c>
      <c r="Y46" s="378">
        <f t="shared" ref="Y46:AN46" si="18">SUM(Y3:Y36)</f>
        <v>34</v>
      </c>
      <c r="Z46" s="378">
        <f t="shared" si="18"/>
        <v>17</v>
      </c>
      <c r="AA46" s="378">
        <f t="shared" si="18"/>
        <v>1</v>
      </c>
      <c r="AB46" s="378">
        <f t="shared" si="18"/>
        <v>16</v>
      </c>
      <c r="AC46" s="66">
        <f t="shared" si="18"/>
        <v>17</v>
      </c>
      <c r="AD46" s="66">
        <f t="shared" si="18"/>
        <v>10</v>
      </c>
      <c r="AE46" s="66">
        <f t="shared" si="18"/>
        <v>1</v>
      </c>
      <c r="AF46" s="66">
        <f t="shared" si="18"/>
        <v>6</v>
      </c>
      <c r="AG46" s="377">
        <f t="shared" si="18"/>
        <v>17</v>
      </c>
      <c r="AH46" s="377">
        <f t="shared" si="18"/>
        <v>6</v>
      </c>
      <c r="AI46" s="377">
        <f t="shared" si="18"/>
        <v>0</v>
      </c>
      <c r="AJ46" s="377">
        <f t="shared" si="18"/>
        <v>11</v>
      </c>
      <c r="AK46" s="378">
        <f t="shared" si="18"/>
        <v>0</v>
      </c>
      <c r="AL46" s="378">
        <f t="shared" si="18"/>
        <v>0</v>
      </c>
      <c r="AM46" s="378">
        <f t="shared" si="18"/>
        <v>0</v>
      </c>
      <c r="AN46" s="378">
        <f t="shared" si="18"/>
        <v>0</v>
      </c>
    </row>
    <row r="47" spans="1:40" x14ac:dyDescent="0.25">
      <c r="A47" s="100" t="s">
        <v>844</v>
      </c>
    </row>
    <row r="48" spans="1:40" x14ac:dyDescent="0.25">
      <c r="A48" s="100" t="s">
        <v>931</v>
      </c>
    </row>
    <row r="49" spans="1:1" x14ac:dyDescent="0.25">
      <c r="A49" s="100" t="s">
        <v>107</v>
      </c>
    </row>
    <row r="50" spans="1:1" x14ac:dyDescent="0.25">
      <c r="A50" s="100" t="s">
        <v>87</v>
      </c>
    </row>
  </sheetData>
  <mergeCells count="25">
    <mergeCell ref="BB4:BC4"/>
    <mergeCell ref="P1:R1"/>
    <mergeCell ref="AT4:AU4"/>
    <mergeCell ref="C37:E37"/>
    <mergeCell ref="AV4:AW4"/>
    <mergeCell ref="AX4:AY4"/>
    <mergeCell ref="AZ4:BA4"/>
    <mergeCell ref="Y1:AB1"/>
    <mergeCell ref="AC1:AF1"/>
    <mergeCell ref="AG1:AJ1"/>
    <mergeCell ref="AK1:AN1"/>
    <mergeCell ref="C46:E46"/>
    <mergeCell ref="C45:E45"/>
    <mergeCell ref="J1:M1"/>
    <mergeCell ref="N1:O1"/>
    <mergeCell ref="A1:D1"/>
    <mergeCell ref="E1:G1"/>
    <mergeCell ref="H1:I1"/>
    <mergeCell ref="C43:E43"/>
    <mergeCell ref="C38:E38"/>
    <mergeCell ref="C40:E40"/>
    <mergeCell ref="C41:E41"/>
    <mergeCell ref="C42:E42"/>
    <mergeCell ref="C39:E39"/>
    <mergeCell ref="C44:E4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A50"/>
  <sheetViews>
    <sheetView workbookViewId="0">
      <pane ySplit="2" topLeftCell="A3" activePane="bottomLeft" state="frozen"/>
      <selection pane="bottomLeft" activeCell="X38" sqref="X38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5" width="3.75" customWidth="1"/>
    <col min="6" max="6" width="4.125" customWidth="1"/>
    <col min="7" max="18" width="3.75" customWidth="1"/>
    <col min="19" max="19" width="6.25" customWidth="1"/>
    <col min="20" max="20" width="5.75" customWidth="1"/>
    <col min="21" max="21" width="21.375" bestFit="1" customWidth="1"/>
    <col min="22" max="22" width="22.375" bestFit="1" customWidth="1"/>
    <col min="23" max="23" width="25.125" bestFit="1" customWidth="1"/>
    <col min="24" max="24" width="23.875" customWidth="1"/>
    <col min="25" max="40" width="3.75" customWidth="1"/>
    <col min="43" max="43" width="15.75" customWidth="1"/>
    <col min="46" max="46" width="10.875" bestFit="1" customWidth="1"/>
    <col min="47" max="47" width="6.75" customWidth="1"/>
    <col min="48" max="48" width="10.875" bestFit="1" customWidth="1"/>
    <col min="49" max="49" width="6.75" customWidth="1"/>
    <col min="50" max="50" width="10.875" bestFit="1" customWidth="1"/>
    <col min="51" max="51" width="6.75" customWidth="1"/>
    <col min="52" max="52" width="10.875" bestFit="1" customWidth="1"/>
    <col min="53" max="53" width="6.75" customWidth="1"/>
  </cols>
  <sheetData>
    <row r="1" spans="1:53" ht="14.95" customHeight="1" thickBot="1" x14ac:dyDescent="0.3">
      <c r="A1" s="1090" t="s">
        <v>280</v>
      </c>
      <c r="B1" s="1091"/>
      <c r="C1" s="1091"/>
      <c r="D1" s="1092"/>
      <c r="E1" s="1093" t="s">
        <v>70</v>
      </c>
      <c r="F1" s="1094"/>
      <c r="G1" s="1095"/>
      <c r="H1" s="1093" t="s">
        <v>69</v>
      </c>
      <c r="I1" s="1095"/>
      <c r="J1" s="1087" t="s">
        <v>40</v>
      </c>
      <c r="K1" s="1088"/>
      <c r="L1" s="1088"/>
      <c r="M1" s="1089"/>
      <c r="N1" s="1087" t="s">
        <v>41</v>
      </c>
      <c r="O1" s="1089"/>
      <c r="P1" s="1087" t="s">
        <v>72</v>
      </c>
      <c r="Q1" s="1088"/>
      <c r="R1" s="1089"/>
      <c r="S1" s="794" t="s">
        <v>42</v>
      </c>
      <c r="T1" s="794" t="s">
        <v>43</v>
      </c>
      <c r="U1" s="795" t="s">
        <v>44</v>
      </c>
      <c r="V1" s="796" t="s">
        <v>45</v>
      </c>
      <c r="W1" s="797" t="s">
        <v>101</v>
      </c>
      <c r="X1" s="796" t="s">
        <v>102</v>
      </c>
      <c r="Y1" s="1096" t="s">
        <v>64</v>
      </c>
      <c r="Z1" s="1097"/>
      <c r="AA1" s="1097"/>
      <c r="AB1" s="1098"/>
      <c r="AC1" s="1099" t="s">
        <v>65</v>
      </c>
      <c r="AD1" s="1100"/>
      <c r="AE1" s="1100"/>
      <c r="AF1" s="1101"/>
      <c r="AG1" s="1099" t="s">
        <v>66</v>
      </c>
      <c r="AH1" s="1100"/>
      <c r="AI1" s="1100"/>
      <c r="AJ1" s="1101"/>
      <c r="AK1" s="1099" t="s">
        <v>137</v>
      </c>
      <c r="AL1" s="1100"/>
      <c r="AM1" s="1100"/>
      <c r="AN1" s="1100"/>
    </row>
    <row r="2" spans="1:53" ht="14.95" customHeight="1" thickBot="1" x14ac:dyDescent="0.3">
      <c r="A2" s="798" t="s">
        <v>62</v>
      </c>
      <c r="B2" s="799" t="s">
        <v>61</v>
      </c>
      <c r="C2" s="800" t="s">
        <v>60</v>
      </c>
      <c r="D2" s="800" t="s">
        <v>71</v>
      </c>
      <c r="E2" s="801" t="s">
        <v>50</v>
      </c>
      <c r="F2" s="801" t="s">
        <v>35</v>
      </c>
      <c r="G2" s="801" t="s">
        <v>36</v>
      </c>
      <c r="H2" s="802" t="s">
        <v>67</v>
      </c>
      <c r="I2" s="803" t="s">
        <v>68</v>
      </c>
      <c r="J2" s="803" t="s">
        <v>46</v>
      </c>
      <c r="K2" s="803" t="s">
        <v>47</v>
      </c>
      <c r="L2" s="803" t="s">
        <v>33</v>
      </c>
      <c r="M2" s="803" t="s">
        <v>48</v>
      </c>
      <c r="N2" s="803" t="s">
        <v>49</v>
      </c>
      <c r="O2" s="803" t="s">
        <v>50</v>
      </c>
      <c r="P2" s="803" t="s">
        <v>67</v>
      </c>
      <c r="Q2" s="803" t="s">
        <v>68</v>
      </c>
      <c r="R2" s="803" t="s">
        <v>46</v>
      </c>
      <c r="S2" s="804"/>
      <c r="T2" s="805"/>
      <c r="U2" s="806"/>
      <c r="V2" s="804"/>
      <c r="W2" s="796"/>
      <c r="X2" s="807"/>
      <c r="Y2" s="808" t="s">
        <v>31</v>
      </c>
      <c r="Z2" s="808" t="s">
        <v>32</v>
      </c>
      <c r="AA2" s="808" t="s">
        <v>33</v>
      </c>
      <c r="AB2" s="808" t="s">
        <v>34</v>
      </c>
      <c r="AC2" s="808" t="s">
        <v>31</v>
      </c>
      <c r="AD2" s="808" t="s">
        <v>32</v>
      </c>
      <c r="AE2" s="808" t="s">
        <v>33</v>
      </c>
      <c r="AF2" s="808" t="s">
        <v>34</v>
      </c>
      <c r="AG2" s="808" t="s">
        <v>31</v>
      </c>
      <c r="AH2" s="808" t="s">
        <v>32</v>
      </c>
      <c r="AI2" s="808" t="s">
        <v>33</v>
      </c>
      <c r="AJ2" s="808" t="s">
        <v>34</v>
      </c>
      <c r="AK2" s="808" t="s">
        <v>31</v>
      </c>
      <c r="AL2" s="808" t="s">
        <v>32</v>
      </c>
      <c r="AM2" s="808" t="s">
        <v>33</v>
      </c>
      <c r="AN2" s="808" t="s">
        <v>34</v>
      </c>
      <c r="AQ2" s="809" t="s">
        <v>186</v>
      </c>
      <c r="AR2" s="190"/>
      <c r="AS2" s="190"/>
      <c r="AT2" s="809" t="s">
        <v>186</v>
      </c>
      <c r="AU2" s="99"/>
    </row>
    <row r="3" spans="1:53" ht="14.95" customHeight="1" thickBot="1" x14ac:dyDescent="0.3">
      <c r="A3" s="581" t="s">
        <v>231</v>
      </c>
      <c r="B3" s="554" t="s">
        <v>222</v>
      </c>
      <c r="C3" s="555" t="s">
        <v>23</v>
      </c>
      <c r="D3" s="556" t="s">
        <v>36</v>
      </c>
      <c r="E3" s="556" t="s">
        <v>34</v>
      </c>
      <c r="F3" s="556">
        <v>23</v>
      </c>
      <c r="G3" s="556">
        <v>57</v>
      </c>
      <c r="H3" s="556">
        <v>0</v>
      </c>
      <c r="I3" s="556">
        <v>0</v>
      </c>
      <c r="J3" s="556">
        <v>2</v>
      </c>
      <c r="K3" s="556">
        <v>2</v>
      </c>
      <c r="L3" s="556">
        <v>0</v>
      </c>
      <c r="M3" s="556">
        <v>3</v>
      </c>
      <c r="N3" s="556">
        <v>0</v>
      </c>
      <c r="O3" s="556">
        <v>0</v>
      </c>
      <c r="P3" s="556">
        <v>1</v>
      </c>
      <c r="Q3" s="556">
        <v>0</v>
      </c>
      <c r="R3" s="556">
        <v>8</v>
      </c>
      <c r="S3" s="557">
        <v>6037</v>
      </c>
      <c r="T3" s="563" t="s">
        <v>315</v>
      </c>
      <c r="U3" s="559" t="s">
        <v>326</v>
      </c>
      <c r="V3" s="557" t="s">
        <v>202</v>
      </c>
      <c r="W3" s="557" t="s">
        <v>327</v>
      </c>
      <c r="X3" s="558" t="s">
        <v>328</v>
      </c>
      <c r="Y3" s="557">
        <v>1</v>
      </c>
      <c r="Z3" s="557">
        <v>0</v>
      </c>
      <c r="AA3" s="557">
        <v>0</v>
      </c>
      <c r="AB3" s="583">
        <v>1</v>
      </c>
      <c r="AC3" s="557">
        <v>0</v>
      </c>
      <c r="AD3" s="557">
        <v>0</v>
      </c>
      <c r="AE3" s="557">
        <v>0</v>
      </c>
      <c r="AF3" s="583">
        <v>0</v>
      </c>
      <c r="AG3" s="557">
        <v>1</v>
      </c>
      <c r="AH3" s="557">
        <v>0</v>
      </c>
      <c r="AI3" s="557">
        <v>0</v>
      </c>
      <c r="AJ3" s="558">
        <v>1</v>
      </c>
      <c r="AK3" s="557">
        <v>0</v>
      </c>
      <c r="AL3" s="557">
        <v>0</v>
      </c>
      <c r="AM3" s="557">
        <v>0</v>
      </c>
      <c r="AN3" s="558">
        <v>0</v>
      </c>
      <c r="AQ3" s="507" t="s">
        <v>171</v>
      </c>
      <c r="AT3" s="4" t="s">
        <v>177</v>
      </c>
    </row>
    <row r="4" spans="1:53" ht="14.95" customHeight="1" thickBot="1" x14ac:dyDescent="0.3">
      <c r="A4" s="546" t="s">
        <v>232</v>
      </c>
      <c r="B4" s="547" t="s">
        <v>222</v>
      </c>
      <c r="C4" s="548" t="s">
        <v>28</v>
      </c>
      <c r="D4" s="549" t="s">
        <v>299</v>
      </c>
      <c r="E4" s="549" t="s">
        <v>32</v>
      </c>
      <c r="F4" s="549">
        <v>27</v>
      </c>
      <c r="G4" s="549">
        <v>7</v>
      </c>
      <c r="H4" s="549">
        <v>1</v>
      </c>
      <c r="I4" s="549">
        <v>0</v>
      </c>
      <c r="J4" s="549">
        <v>4</v>
      </c>
      <c r="K4" s="549">
        <v>2</v>
      </c>
      <c r="L4" s="549">
        <v>0</v>
      </c>
      <c r="M4" s="549">
        <v>1</v>
      </c>
      <c r="N4" s="549">
        <v>1</v>
      </c>
      <c r="O4" s="549">
        <v>0</v>
      </c>
      <c r="P4" s="549">
        <v>0</v>
      </c>
      <c r="Q4" s="549">
        <v>0</v>
      </c>
      <c r="R4" s="549">
        <v>4</v>
      </c>
      <c r="S4" s="584">
        <v>13633</v>
      </c>
      <c r="T4" s="560" t="s">
        <v>366</v>
      </c>
      <c r="U4" s="586" t="s">
        <v>304</v>
      </c>
      <c r="V4" s="584" t="s">
        <v>348</v>
      </c>
      <c r="W4" s="587" t="s">
        <v>308</v>
      </c>
      <c r="X4" s="587" t="s">
        <v>305</v>
      </c>
      <c r="Y4" s="550">
        <v>1</v>
      </c>
      <c r="Z4" s="550">
        <v>1</v>
      </c>
      <c r="AA4" s="550">
        <v>0</v>
      </c>
      <c r="AB4" s="588">
        <v>0</v>
      </c>
      <c r="AC4" s="550">
        <v>1</v>
      </c>
      <c r="AD4" s="550">
        <v>1</v>
      </c>
      <c r="AE4" s="550">
        <v>0</v>
      </c>
      <c r="AF4" s="588">
        <v>0</v>
      </c>
      <c r="AG4" s="550">
        <v>0</v>
      </c>
      <c r="AH4" s="550">
        <v>0</v>
      </c>
      <c r="AI4" s="550">
        <v>0</v>
      </c>
      <c r="AJ4" s="552">
        <v>0</v>
      </c>
      <c r="AK4" s="550">
        <v>0</v>
      </c>
      <c r="AL4" s="550">
        <v>0</v>
      </c>
      <c r="AM4" s="550">
        <v>0</v>
      </c>
      <c r="AN4" s="552">
        <v>0</v>
      </c>
      <c r="AQ4" s="173" t="s">
        <v>167</v>
      </c>
      <c r="AR4" s="174">
        <f>leipremhistplayed</f>
        <v>531</v>
      </c>
      <c r="AT4" s="983" t="s">
        <v>179</v>
      </c>
      <c r="AU4" s="984"/>
      <c r="AV4" s="985" t="s">
        <v>172</v>
      </c>
      <c r="AW4" s="986"/>
      <c r="AX4" s="987" t="s">
        <v>173</v>
      </c>
      <c r="AY4" s="988"/>
      <c r="AZ4" s="989" t="s">
        <v>174</v>
      </c>
      <c r="BA4" s="990"/>
    </row>
    <row r="5" spans="1:53" ht="14.95" customHeight="1" thickBot="1" x14ac:dyDescent="0.3">
      <c r="A5" s="582" t="s">
        <v>233</v>
      </c>
      <c r="B5" s="554" t="s">
        <v>222</v>
      </c>
      <c r="C5" s="589" t="s">
        <v>22</v>
      </c>
      <c r="D5" s="562" t="s">
        <v>36</v>
      </c>
      <c r="E5" s="562" t="s">
        <v>32</v>
      </c>
      <c r="F5" s="562">
        <v>18</v>
      </c>
      <c r="G5" s="562">
        <v>7</v>
      </c>
      <c r="H5" s="562">
        <v>0</v>
      </c>
      <c r="I5" s="562">
        <v>0</v>
      </c>
      <c r="J5" s="562">
        <v>2</v>
      </c>
      <c r="K5" s="562">
        <v>1</v>
      </c>
      <c r="L5" s="562">
        <v>1</v>
      </c>
      <c r="M5" s="562">
        <v>1</v>
      </c>
      <c r="N5" s="562">
        <v>0</v>
      </c>
      <c r="O5" s="562">
        <v>1</v>
      </c>
      <c r="P5" s="562">
        <v>0</v>
      </c>
      <c r="Q5" s="562">
        <v>0</v>
      </c>
      <c r="R5" s="562">
        <v>1</v>
      </c>
      <c r="S5" s="557">
        <v>13190</v>
      </c>
      <c r="T5" s="569" t="s">
        <v>406</v>
      </c>
      <c r="U5" s="559" t="s">
        <v>320</v>
      </c>
      <c r="V5" s="557" t="s">
        <v>202</v>
      </c>
      <c r="W5" s="557" t="s">
        <v>393</v>
      </c>
      <c r="X5" s="557" t="s">
        <v>394</v>
      </c>
      <c r="Y5" s="557">
        <v>1</v>
      </c>
      <c r="Z5" s="557">
        <v>1</v>
      </c>
      <c r="AA5" s="557">
        <v>0</v>
      </c>
      <c r="AB5" s="557">
        <v>0</v>
      </c>
      <c r="AC5" s="557">
        <v>0</v>
      </c>
      <c r="AD5" s="557">
        <v>0</v>
      </c>
      <c r="AE5" s="557">
        <v>0</v>
      </c>
      <c r="AF5" s="557">
        <v>0</v>
      </c>
      <c r="AG5" s="557">
        <v>1</v>
      </c>
      <c r="AH5" s="557">
        <v>1</v>
      </c>
      <c r="AI5" s="557">
        <v>0</v>
      </c>
      <c r="AJ5" s="559">
        <v>0</v>
      </c>
      <c r="AK5" s="557">
        <v>0</v>
      </c>
      <c r="AL5" s="557">
        <v>0</v>
      </c>
      <c r="AM5" s="557">
        <v>0</v>
      </c>
      <c r="AN5" s="559">
        <v>0</v>
      </c>
      <c r="AQ5" s="175" t="s">
        <v>0</v>
      </c>
      <c r="AR5" s="176">
        <f>leipremhistwon</f>
        <v>339</v>
      </c>
      <c r="AT5" s="177" t="s">
        <v>167</v>
      </c>
      <c r="AU5" s="189">
        <f>Leieuropeancuphistplayed</f>
        <v>156</v>
      </c>
      <c r="AV5" s="179" t="s">
        <v>167</v>
      </c>
      <c r="AW5" s="180">
        <f>Leichampscuphistplayed</f>
        <v>32</v>
      </c>
      <c r="AX5" s="181" t="s">
        <v>167</v>
      </c>
      <c r="AY5" s="178">
        <f>Leichallcuphistplayed</f>
        <v>7</v>
      </c>
      <c r="AZ5" s="182" t="s">
        <v>167</v>
      </c>
      <c r="BA5" s="183">
        <f t="shared" ref="BA5:BA12" si="0">SUM(AU5+AY5)</f>
        <v>163</v>
      </c>
    </row>
    <row r="6" spans="1:53" ht="14.95" customHeight="1" thickBot="1" x14ac:dyDescent="0.3">
      <c r="A6" s="546" t="s">
        <v>241</v>
      </c>
      <c r="B6" s="547" t="s">
        <v>222</v>
      </c>
      <c r="C6" s="590" t="s">
        <v>25</v>
      </c>
      <c r="D6" s="549" t="s">
        <v>299</v>
      </c>
      <c r="E6" s="549" t="s">
        <v>34</v>
      </c>
      <c r="F6" s="549">
        <v>22</v>
      </c>
      <c r="G6" s="549">
        <v>31</v>
      </c>
      <c r="H6" s="549">
        <v>1</v>
      </c>
      <c r="I6" s="549">
        <v>0</v>
      </c>
      <c r="J6" s="549">
        <v>4</v>
      </c>
      <c r="K6" s="549">
        <v>1</v>
      </c>
      <c r="L6" s="549">
        <v>0</v>
      </c>
      <c r="M6" s="549">
        <v>0</v>
      </c>
      <c r="N6" s="549">
        <v>0</v>
      </c>
      <c r="O6" s="549">
        <v>0</v>
      </c>
      <c r="P6" s="549">
        <v>1</v>
      </c>
      <c r="Q6" s="549">
        <v>0</v>
      </c>
      <c r="R6" s="549">
        <v>4</v>
      </c>
      <c r="S6" s="550">
        <v>16160</v>
      </c>
      <c r="T6" s="560" t="s">
        <v>422</v>
      </c>
      <c r="U6" s="551" t="s">
        <v>326</v>
      </c>
      <c r="V6" s="550" t="s">
        <v>202</v>
      </c>
      <c r="W6" s="550" t="s">
        <v>320</v>
      </c>
      <c r="X6" s="552" t="s">
        <v>325</v>
      </c>
      <c r="Y6" s="550">
        <v>1</v>
      </c>
      <c r="Z6" s="550">
        <v>0</v>
      </c>
      <c r="AA6" s="550">
        <v>0</v>
      </c>
      <c r="AB6" s="550">
        <v>1</v>
      </c>
      <c r="AC6" s="550">
        <v>1</v>
      </c>
      <c r="AD6" s="550">
        <v>0</v>
      </c>
      <c r="AE6" s="550">
        <v>0</v>
      </c>
      <c r="AF6" s="550">
        <v>1</v>
      </c>
      <c r="AG6" s="550">
        <v>0</v>
      </c>
      <c r="AH6" s="550">
        <v>0</v>
      </c>
      <c r="AI6" s="550">
        <v>0</v>
      </c>
      <c r="AJ6" s="551">
        <v>0</v>
      </c>
      <c r="AK6" s="550">
        <v>0</v>
      </c>
      <c r="AL6" s="550">
        <v>0</v>
      </c>
      <c r="AM6" s="550">
        <v>0</v>
      </c>
      <c r="AN6" s="551">
        <v>0</v>
      </c>
      <c r="AQ6" s="175" t="s">
        <v>168</v>
      </c>
      <c r="AR6" s="176">
        <f>leipremhistdrawn</f>
        <v>23</v>
      </c>
      <c r="AT6" s="177" t="s">
        <v>0</v>
      </c>
      <c r="AU6" s="189">
        <f>Leieuropeancuphistwon</f>
        <v>94</v>
      </c>
      <c r="AV6" s="179" t="s">
        <v>0</v>
      </c>
      <c r="AW6" s="180">
        <f>Leichampscuphistwon</f>
        <v>13</v>
      </c>
      <c r="AX6" s="181" t="s">
        <v>0</v>
      </c>
      <c r="AY6" s="178">
        <f>Leichallcuphistwon</f>
        <v>5</v>
      </c>
      <c r="AZ6" s="182" t="s">
        <v>0</v>
      </c>
      <c r="BA6" s="183">
        <f t="shared" si="0"/>
        <v>99</v>
      </c>
    </row>
    <row r="7" spans="1:53" ht="14.95" customHeight="1" thickBot="1" x14ac:dyDescent="0.3">
      <c r="A7" s="479" t="s">
        <v>242</v>
      </c>
      <c r="B7" s="461" t="s">
        <v>199</v>
      </c>
      <c r="C7" s="462" t="s">
        <v>23</v>
      </c>
      <c r="D7" s="463" t="s">
        <v>36</v>
      </c>
      <c r="E7" s="463" t="s">
        <v>34</v>
      </c>
      <c r="F7" s="463">
        <v>16</v>
      </c>
      <c r="G7" s="463">
        <v>24</v>
      </c>
      <c r="H7" s="463">
        <v>0</v>
      </c>
      <c r="I7" s="463">
        <v>0</v>
      </c>
      <c r="J7" s="463">
        <v>1</v>
      </c>
      <c r="K7" s="463">
        <v>1</v>
      </c>
      <c r="L7" s="463">
        <v>0</v>
      </c>
      <c r="M7" s="463">
        <v>3</v>
      </c>
      <c r="N7" s="463">
        <v>0</v>
      </c>
      <c r="O7" s="463">
        <v>0</v>
      </c>
      <c r="P7" s="463">
        <v>0</v>
      </c>
      <c r="Q7" s="463">
        <v>0</v>
      </c>
      <c r="R7" s="463">
        <v>2</v>
      </c>
      <c r="S7" s="464">
        <v>7740</v>
      </c>
      <c r="T7" s="481" t="s">
        <v>476</v>
      </c>
      <c r="U7" s="466" t="s">
        <v>396</v>
      </c>
      <c r="V7" s="464" t="s">
        <v>352</v>
      </c>
      <c r="W7" s="464" t="s">
        <v>308</v>
      </c>
      <c r="X7" s="467" t="s">
        <v>475</v>
      </c>
      <c r="Y7" s="464">
        <v>1</v>
      </c>
      <c r="Z7" s="464">
        <v>0</v>
      </c>
      <c r="AA7" s="464">
        <v>0</v>
      </c>
      <c r="AB7" s="464">
        <v>1</v>
      </c>
      <c r="AC7" s="464">
        <v>0</v>
      </c>
      <c r="AD7" s="464">
        <v>0</v>
      </c>
      <c r="AE7" s="464">
        <v>0</v>
      </c>
      <c r="AF7" s="464">
        <v>0</v>
      </c>
      <c r="AG7" s="464">
        <v>1</v>
      </c>
      <c r="AH7" s="464">
        <v>0</v>
      </c>
      <c r="AI7" s="464">
        <v>0</v>
      </c>
      <c r="AJ7" s="466">
        <v>1</v>
      </c>
      <c r="AK7" s="464">
        <v>0</v>
      </c>
      <c r="AL7" s="464">
        <v>0</v>
      </c>
      <c r="AM7" s="464">
        <v>0</v>
      </c>
      <c r="AN7" s="466">
        <v>0</v>
      </c>
      <c r="AQ7" s="175" t="s">
        <v>1</v>
      </c>
      <c r="AR7" s="176">
        <f>leipremhistlost</f>
        <v>169</v>
      </c>
      <c r="AT7" s="177" t="s">
        <v>168</v>
      </c>
      <c r="AU7" s="189">
        <f>Leieuropeancuphistdrawn</f>
        <v>5</v>
      </c>
      <c r="AV7" s="179" t="s">
        <v>168</v>
      </c>
      <c r="AW7" s="180">
        <f>Leichampscuphistdrawn</f>
        <v>0</v>
      </c>
      <c r="AX7" s="181" t="s">
        <v>168</v>
      </c>
      <c r="AY7" s="178">
        <f>Leichallcuphistdrawn</f>
        <v>0</v>
      </c>
      <c r="AZ7" s="182" t="s">
        <v>168</v>
      </c>
      <c r="BA7" s="183">
        <f t="shared" si="0"/>
        <v>5</v>
      </c>
    </row>
    <row r="8" spans="1:53" ht="14.95" customHeight="1" thickBot="1" x14ac:dyDescent="0.3">
      <c r="A8" s="468" t="s">
        <v>484</v>
      </c>
      <c r="B8" s="469" t="s">
        <v>199</v>
      </c>
      <c r="C8" s="470" t="s">
        <v>19</v>
      </c>
      <c r="D8" s="471" t="s">
        <v>299</v>
      </c>
      <c r="E8" s="471" t="s">
        <v>34</v>
      </c>
      <c r="F8" s="471">
        <v>10</v>
      </c>
      <c r="G8" s="471">
        <v>24</v>
      </c>
      <c r="H8" s="471">
        <v>0</v>
      </c>
      <c r="I8" s="471">
        <v>0</v>
      </c>
      <c r="J8" s="471">
        <v>1</v>
      </c>
      <c r="K8" s="471">
        <v>1</v>
      </c>
      <c r="L8" s="471">
        <v>0</v>
      </c>
      <c r="M8" s="471">
        <v>1</v>
      </c>
      <c r="N8" s="471">
        <v>0</v>
      </c>
      <c r="O8" s="471">
        <v>0</v>
      </c>
      <c r="P8" s="471">
        <v>0</v>
      </c>
      <c r="Q8" s="471">
        <v>0</v>
      </c>
      <c r="R8" s="471">
        <v>3</v>
      </c>
      <c r="S8" s="472">
        <v>18533</v>
      </c>
      <c r="T8" s="498" t="s">
        <v>515</v>
      </c>
      <c r="U8" s="478" t="s">
        <v>463</v>
      </c>
      <c r="V8" s="472" t="s">
        <v>464</v>
      </c>
      <c r="W8" s="472" t="s">
        <v>393</v>
      </c>
      <c r="X8" s="473" t="s">
        <v>305</v>
      </c>
      <c r="Y8" s="472">
        <v>1</v>
      </c>
      <c r="Z8" s="472">
        <v>0</v>
      </c>
      <c r="AA8" s="472">
        <v>0</v>
      </c>
      <c r="AB8" s="472">
        <v>1</v>
      </c>
      <c r="AC8" s="472">
        <v>1</v>
      </c>
      <c r="AD8" s="472">
        <v>0</v>
      </c>
      <c r="AE8" s="472">
        <v>0</v>
      </c>
      <c r="AF8" s="472">
        <v>1</v>
      </c>
      <c r="AG8" s="472">
        <v>0</v>
      </c>
      <c r="AH8" s="472">
        <v>0</v>
      </c>
      <c r="AI8" s="472">
        <v>0</v>
      </c>
      <c r="AJ8" s="478">
        <v>0</v>
      </c>
      <c r="AK8" s="472">
        <v>0</v>
      </c>
      <c r="AL8" s="472">
        <v>0</v>
      </c>
      <c r="AM8" s="472">
        <v>0</v>
      </c>
      <c r="AN8" s="478">
        <v>0</v>
      </c>
      <c r="AQ8" s="175" t="s">
        <v>169</v>
      </c>
      <c r="AR8" s="176">
        <f>leipremhistptsscored</f>
        <v>13375</v>
      </c>
      <c r="AT8" s="177" t="s">
        <v>1</v>
      </c>
      <c r="AU8" s="189">
        <f>Leieuropeancuphistlost</f>
        <v>57</v>
      </c>
      <c r="AV8" s="179" t="s">
        <v>1</v>
      </c>
      <c r="AW8" s="180">
        <f>Leichampscuphistlost</f>
        <v>19</v>
      </c>
      <c r="AX8" s="181" t="s">
        <v>1</v>
      </c>
      <c r="AY8" s="178">
        <f>Leichallcuphistlost</f>
        <v>2</v>
      </c>
      <c r="AZ8" s="182" t="s">
        <v>1</v>
      </c>
      <c r="BA8" s="183">
        <f t="shared" si="0"/>
        <v>59</v>
      </c>
    </row>
    <row r="9" spans="1:53" ht="14.95" customHeight="1" thickBot="1" x14ac:dyDescent="0.3">
      <c r="A9" s="468" t="s">
        <v>239</v>
      </c>
      <c r="B9" s="469" t="s">
        <v>199</v>
      </c>
      <c r="C9" s="470" t="s">
        <v>347</v>
      </c>
      <c r="D9" s="471" t="s">
        <v>299</v>
      </c>
      <c r="E9" s="471" t="s">
        <v>32</v>
      </c>
      <c r="F9" s="471">
        <v>16</v>
      </c>
      <c r="G9" s="471">
        <v>13</v>
      </c>
      <c r="H9" s="471">
        <v>0</v>
      </c>
      <c r="I9" s="471">
        <v>0</v>
      </c>
      <c r="J9" s="471">
        <v>1</v>
      </c>
      <c r="K9" s="471">
        <v>1</v>
      </c>
      <c r="L9" s="471">
        <v>0</v>
      </c>
      <c r="M9" s="471">
        <v>3</v>
      </c>
      <c r="N9" s="471">
        <v>0</v>
      </c>
      <c r="O9" s="471">
        <v>0</v>
      </c>
      <c r="P9" s="471">
        <v>0</v>
      </c>
      <c r="Q9" s="471">
        <v>0</v>
      </c>
      <c r="R9" s="471">
        <v>1</v>
      </c>
      <c r="S9" s="472">
        <v>17559</v>
      </c>
      <c r="T9" s="480" t="s">
        <v>530</v>
      </c>
      <c r="U9" s="478" t="s">
        <v>318</v>
      </c>
      <c r="V9" s="472" t="s">
        <v>348</v>
      </c>
      <c r="W9" s="472" t="s">
        <v>395</v>
      </c>
      <c r="X9" s="473" t="s">
        <v>306</v>
      </c>
      <c r="Y9" s="472">
        <v>1</v>
      </c>
      <c r="Z9" s="472">
        <v>1</v>
      </c>
      <c r="AA9" s="472">
        <v>0</v>
      </c>
      <c r="AB9" s="472">
        <v>0</v>
      </c>
      <c r="AC9" s="472">
        <v>1</v>
      </c>
      <c r="AD9" s="472">
        <v>1</v>
      </c>
      <c r="AE9" s="472">
        <v>0</v>
      </c>
      <c r="AF9" s="472">
        <v>0</v>
      </c>
      <c r="AG9" s="472">
        <v>0</v>
      </c>
      <c r="AH9" s="472">
        <v>0</v>
      </c>
      <c r="AI9" s="472">
        <v>0</v>
      </c>
      <c r="AJ9" s="478">
        <v>0</v>
      </c>
      <c r="AK9" s="472">
        <v>0</v>
      </c>
      <c r="AL9" s="472">
        <v>0</v>
      </c>
      <c r="AM9" s="472">
        <v>0</v>
      </c>
      <c r="AN9" s="478">
        <v>0</v>
      </c>
      <c r="AQ9" s="175" t="s">
        <v>170</v>
      </c>
      <c r="AR9" s="176">
        <f>leipremhistptsagainst</f>
        <v>10334</v>
      </c>
      <c r="AT9" s="177" t="s">
        <v>169</v>
      </c>
      <c r="AU9" s="189">
        <f>Leieuropeancuphistptsscored</f>
        <v>3982</v>
      </c>
      <c r="AV9" s="179" t="s">
        <v>169</v>
      </c>
      <c r="AW9" s="180">
        <f>Leichampscuphistptsscored</f>
        <v>644</v>
      </c>
      <c r="AX9" s="181" t="s">
        <v>169</v>
      </c>
      <c r="AY9" s="178">
        <f>Leichallcuphistptsscored</f>
        <v>200</v>
      </c>
      <c r="AZ9" s="182" t="s">
        <v>169</v>
      </c>
      <c r="BA9" s="183">
        <f t="shared" si="0"/>
        <v>4182</v>
      </c>
    </row>
    <row r="10" spans="1:53" ht="14.95" customHeight="1" thickBot="1" x14ac:dyDescent="0.3">
      <c r="A10" s="479" t="s">
        <v>436</v>
      </c>
      <c r="B10" s="461" t="s">
        <v>199</v>
      </c>
      <c r="C10" s="462" t="s">
        <v>11</v>
      </c>
      <c r="D10" s="463" t="s">
        <v>36</v>
      </c>
      <c r="E10" s="463" t="s">
        <v>34</v>
      </c>
      <c r="F10" s="463">
        <v>11</v>
      </c>
      <c r="G10" s="463">
        <v>36</v>
      </c>
      <c r="H10" s="463">
        <v>0</v>
      </c>
      <c r="I10" s="463">
        <v>0</v>
      </c>
      <c r="J10" s="463">
        <v>1</v>
      </c>
      <c r="K10" s="463">
        <v>0</v>
      </c>
      <c r="L10" s="463">
        <v>0</v>
      </c>
      <c r="M10" s="463">
        <v>2</v>
      </c>
      <c r="N10" s="463">
        <v>0</v>
      </c>
      <c r="O10" s="463">
        <v>0</v>
      </c>
      <c r="P10" s="463">
        <v>1</v>
      </c>
      <c r="Q10" s="463">
        <v>0</v>
      </c>
      <c r="R10" s="463">
        <v>5</v>
      </c>
      <c r="S10" s="635">
        <v>5324</v>
      </c>
      <c r="T10" s="465" t="s">
        <v>552</v>
      </c>
      <c r="U10" s="466" t="s">
        <v>324</v>
      </c>
      <c r="V10" s="464" t="s">
        <v>329</v>
      </c>
      <c r="W10" s="464" t="s">
        <v>320</v>
      </c>
      <c r="X10" s="467" t="s">
        <v>316</v>
      </c>
      <c r="Y10" s="464">
        <v>1</v>
      </c>
      <c r="Z10" s="464">
        <v>0</v>
      </c>
      <c r="AA10" s="464">
        <v>0</v>
      </c>
      <c r="AB10" s="464">
        <v>1</v>
      </c>
      <c r="AC10" s="464">
        <v>0</v>
      </c>
      <c r="AD10" s="464">
        <v>0</v>
      </c>
      <c r="AE10" s="464">
        <v>0</v>
      </c>
      <c r="AF10" s="464">
        <v>0</v>
      </c>
      <c r="AG10" s="464">
        <v>1</v>
      </c>
      <c r="AH10" s="464">
        <v>0</v>
      </c>
      <c r="AI10" s="464">
        <v>0</v>
      </c>
      <c r="AJ10" s="466">
        <v>1</v>
      </c>
      <c r="AK10" s="464">
        <v>0</v>
      </c>
      <c r="AL10" s="464">
        <v>0</v>
      </c>
      <c r="AM10" s="464">
        <v>0</v>
      </c>
      <c r="AN10" s="466">
        <v>0</v>
      </c>
      <c r="AQ10" s="175" t="s">
        <v>73</v>
      </c>
      <c r="AR10" s="176">
        <f>leipremhisttriesscored</f>
        <v>1396</v>
      </c>
      <c r="AT10" s="177" t="s">
        <v>175</v>
      </c>
      <c r="AU10" s="189">
        <f>Leieuropeancuphistptssgainst</f>
        <v>2975</v>
      </c>
      <c r="AV10" s="179" t="s">
        <v>175</v>
      </c>
      <c r="AW10" s="180">
        <f>Leichampscuphistptsagainst</f>
        <v>775</v>
      </c>
      <c r="AX10" s="181" t="s">
        <v>175</v>
      </c>
      <c r="AY10" s="178">
        <f>Leichallcuphistptsagainst</f>
        <v>129</v>
      </c>
      <c r="AZ10" s="182" t="s">
        <v>175</v>
      </c>
      <c r="BA10" s="183">
        <f t="shared" si="0"/>
        <v>3104</v>
      </c>
    </row>
    <row r="11" spans="1:53" ht="14.95" customHeight="1" thickBot="1" x14ac:dyDescent="0.3">
      <c r="A11" s="597" t="s">
        <v>234</v>
      </c>
      <c r="B11" s="598" t="s">
        <v>142</v>
      </c>
      <c r="C11" s="599" t="s">
        <v>485</v>
      </c>
      <c r="D11" s="600" t="s">
        <v>299</v>
      </c>
      <c r="E11" s="600" t="s">
        <v>32</v>
      </c>
      <c r="F11" s="600">
        <v>41</v>
      </c>
      <c r="G11" s="600">
        <v>20</v>
      </c>
      <c r="H11" s="600">
        <v>1</v>
      </c>
      <c r="I11" s="600">
        <v>0</v>
      </c>
      <c r="J11" s="600">
        <v>5</v>
      </c>
      <c r="K11" s="600">
        <v>5</v>
      </c>
      <c r="L11" s="600">
        <v>0</v>
      </c>
      <c r="M11" s="600">
        <v>2</v>
      </c>
      <c r="N11" s="600">
        <v>1</v>
      </c>
      <c r="O11" s="600">
        <v>0</v>
      </c>
      <c r="P11" s="600">
        <v>0</v>
      </c>
      <c r="Q11" s="600">
        <v>0</v>
      </c>
      <c r="R11" s="600">
        <v>2</v>
      </c>
      <c r="S11" s="601">
        <v>15250</v>
      </c>
      <c r="T11" s="602" t="s">
        <v>585</v>
      </c>
      <c r="U11" s="603" t="s">
        <v>586</v>
      </c>
      <c r="V11" s="601" t="s">
        <v>202</v>
      </c>
      <c r="W11" s="601" t="s">
        <v>587</v>
      </c>
      <c r="X11" s="604" t="s">
        <v>588</v>
      </c>
      <c r="Y11" s="601">
        <v>1</v>
      </c>
      <c r="Z11" s="601">
        <v>1</v>
      </c>
      <c r="AA11" s="601">
        <v>0</v>
      </c>
      <c r="AB11" s="601">
        <v>0</v>
      </c>
      <c r="AC11" s="601">
        <v>1</v>
      </c>
      <c r="AD11" s="601">
        <v>1</v>
      </c>
      <c r="AE11" s="601">
        <v>0</v>
      </c>
      <c r="AF11" s="601">
        <v>0</v>
      </c>
      <c r="AG11" s="601">
        <v>0</v>
      </c>
      <c r="AH11" s="601">
        <v>0</v>
      </c>
      <c r="AI11" s="601">
        <v>0</v>
      </c>
      <c r="AJ11" s="603">
        <v>0</v>
      </c>
      <c r="AK11" s="601">
        <v>0</v>
      </c>
      <c r="AL11" s="601">
        <v>0</v>
      </c>
      <c r="AM11" s="601">
        <v>0</v>
      </c>
      <c r="AN11" s="603">
        <v>0</v>
      </c>
      <c r="AQ11" s="175" t="s">
        <v>75</v>
      </c>
      <c r="AR11" s="176">
        <f>leipremhisttriesagainst</f>
        <v>957</v>
      </c>
      <c r="AT11" s="177" t="s">
        <v>73</v>
      </c>
      <c r="AU11" s="189">
        <f>Leieuropeancuphisttriesscored</f>
        <v>436</v>
      </c>
      <c r="AV11" s="179" t="s">
        <v>73</v>
      </c>
      <c r="AW11" s="180">
        <f>Leichampscuphisttriesscored</f>
        <v>72</v>
      </c>
      <c r="AX11" s="181" t="s">
        <v>73</v>
      </c>
      <c r="AY11" s="178">
        <f>Leichallcuphisttriesscored</f>
        <v>25</v>
      </c>
      <c r="AZ11" s="182" t="s">
        <v>73</v>
      </c>
      <c r="BA11" s="183">
        <f t="shared" si="0"/>
        <v>461</v>
      </c>
    </row>
    <row r="12" spans="1:53" ht="14.95" customHeight="1" thickBot="1" x14ac:dyDescent="0.3">
      <c r="A12" s="784" t="s">
        <v>235</v>
      </c>
      <c r="B12" s="785" t="s">
        <v>142</v>
      </c>
      <c r="C12" s="786" t="s">
        <v>584</v>
      </c>
      <c r="D12" s="787" t="s">
        <v>36</v>
      </c>
      <c r="E12" s="787" t="s">
        <v>32</v>
      </c>
      <c r="F12" s="787">
        <v>14</v>
      </c>
      <c r="G12" s="787">
        <v>11</v>
      </c>
      <c r="H12" s="787">
        <v>0</v>
      </c>
      <c r="I12" s="787">
        <v>0</v>
      </c>
      <c r="J12" s="787">
        <v>1</v>
      </c>
      <c r="K12" s="787">
        <v>0</v>
      </c>
      <c r="L12" s="787">
        <v>0</v>
      </c>
      <c r="M12" s="787">
        <v>3</v>
      </c>
      <c r="N12" s="787">
        <v>0</v>
      </c>
      <c r="O12" s="787">
        <v>0</v>
      </c>
      <c r="P12" s="787">
        <v>0</v>
      </c>
      <c r="Q12" s="787">
        <v>1</v>
      </c>
      <c r="R12" s="787">
        <v>1</v>
      </c>
      <c r="S12" s="813" t="s">
        <v>673</v>
      </c>
      <c r="T12" s="814" t="s">
        <v>677</v>
      </c>
      <c r="U12" s="815" t="s">
        <v>645</v>
      </c>
      <c r="V12" s="816" t="s">
        <v>674</v>
      </c>
      <c r="W12" s="788" t="s">
        <v>675</v>
      </c>
      <c r="X12" s="791" t="s">
        <v>676</v>
      </c>
      <c r="Y12" s="788">
        <v>1</v>
      </c>
      <c r="Z12" s="788">
        <v>1</v>
      </c>
      <c r="AA12" s="788">
        <v>0</v>
      </c>
      <c r="AB12" s="788">
        <v>0</v>
      </c>
      <c r="AC12" s="788">
        <v>0</v>
      </c>
      <c r="AD12" s="788">
        <v>0</v>
      </c>
      <c r="AE12" s="788">
        <v>0</v>
      </c>
      <c r="AF12" s="788">
        <v>0</v>
      </c>
      <c r="AG12" s="788">
        <v>1</v>
      </c>
      <c r="AH12" s="788">
        <v>1</v>
      </c>
      <c r="AI12" s="788">
        <v>0</v>
      </c>
      <c r="AJ12" s="790">
        <v>0</v>
      </c>
      <c r="AK12" s="788">
        <v>0</v>
      </c>
      <c r="AL12" s="788">
        <v>0</v>
      </c>
      <c r="AM12" s="788">
        <v>0</v>
      </c>
      <c r="AN12" s="790">
        <v>0</v>
      </c>
      <c r="AT12" s="177" t="s">
        <v>176</v>
      </c>
      <c r="AU12" s="189">
        <f>Leieuropeancuphisttriesagainst</f>
        <v>265</v>
      </c>
      <c r="AV12" s="179" t="s">
        <v>176</v>
      </c>
      <c r="AW12" s="180">
        <f>Leichampscuphisttriesagainst</f>
        <v>92</v>
      </c>
      <c r="AX12" s="181" t="s">
        <v>176</v>
      </c>
      <c r="AY12" s="178">
        <f>Leichallcuphisttriesagainst</f>
        <v>14</v>
      </c>
      <c r="AZ12" s="182" t="s">
        <v>176</v>
      </c>
      <c r="BA12" s="183">
        <f t="shared" si="0"/>
        <v>279</v>
      </c>
    </row>
    <row r="13" spans="1:53" ht="14.95" customHeight="1" thickBot="1" x14ac:dyDescent="0.3">
      <c r="A13" s="479" t="s">
        <v>236</v>
      </c>
      <c r="B13" s="461" t="s">
        <v>199</v>
      </c>
      <c r="C13" s="462" t="s">
        <v>25</v>
      </c>
      <c r="D13" s="463" t="s">
        <v>36</v>
      </c>
      <c r="E13" s="463" t="s">
        <v>34</v>
      </c>
      <c r="F13" s="463">
        <v>13</v>
      </c>
      <c r="G13" s="463">
        <v>36</v>
      </c>
      <c r="H13" s="463">
        <v>0</v>
      </c>
      <c r="I13" s="463">
        <v>0</v>
      </c>
      <c r="J13" s="463">
        <v>1</v>
      </c>
      <c r="K13" s="463">
        <v>1</v>
      </c>
      <c r="L13" s="463">
        <v>0</v>
      </c>
      <c r="M13" s="463">
        <v>2</v>
      </c>
      <c r="N13" s="463">
        <v>0</v>
      </c>
      <c r="O13" s="463">
        <v>0</v>
      </c>
      <c r="P13" s="463">
        <v>1</v>
      </c>
      <c r="Q13" s="463">
        <v>0</v>
      </c>
      <c r="R13" s="463">
        <v>5</v>
      </c>
      <c r="S13" s="464">
        <v>15200</v>
      </c>
      <c r="T13" s="485" t="s">
        <v>610</v>
      </c>
      <c r="U13" s="466" t="s">
        <v>550</v>
      </c>
      <c r="V13" s="464" t="s">
        <v>632</v>
      </c>
      <c r="W13" s="464" t="s">
        <v>320</v>
      </c>
      <c r="X13" s="467" t="s">
        <v>306</v>
      </c>
      <c r="Y13" s="464">
        <v>1</v>
      </c>
      <c r="Z13" s="464">
        <v>0</v>
      </c>
      <c r="AA13" s="464">
        <v>0</v>
      </c>
      <c r="AB13" s="464">
        <v>1</v>
      </c>
      <c r="AC13" s="464">
        <v>0</v>
      </c>
      <c r="AD13" s="464">
        <v>0</v>
      </c>
      <c r="AE13" s="464">
        <v>0</v>
      </c>
      <c r="AF13" s="464">
        <v>0</v>
      </c>
      <c r="AG13" s="464">
        <v>1</v>
      </c>
      <c r="AH13" s="464">
        <v>0</v>
      </c>
      <c r="AI13" s="464">
        <v>0</v>
      </c>
      <c r="AJ13" s="466">
        <v>1</v>
      </c>
      <c r="AK13" s="464">
        <v>0</v>
      </c>
      <c r="AL13" s="464">
        <v>0</v>
      </c>
      <c r="AM13" s="464">
        <v>0</v>
      </c>
      <c r="AN13" s="466">
        <v>0</v>
      </c>
    </row>
    <row r="14" spans="1:53" ht="14.95" customHeight="1" thickBot="1" x14ac:dyDescent="0.3">
      <c r="A14" s="597" t="s">
        <v>243</v>
      </c>
      <c r="B14" s="598" t="s">
        <v>142</v>
      </c>
      <c r="C14" s="599" t="s">
        <v>486</v>
      </c>
      <c r="D14" s="600" t="s">
        <v>299</v>
      </c>
      <c r="E14" s="600" t="s">
        <v>32</v>
      </c>
      <c r="F14" s="600">
        <v>59</v>
      </c>
      <c r="G14" s="600">
        <v>7</v>
      </c>
      <c r="H14" s="600">
        <v>1</v>
      </c>
      <c r="I14" s="600">
        <v>0</v>
      </c>
      <c r="J14" s="600">
        <v>9</v>
      </c>
      <c r="K14" s="600">
        <v>7</v>
      </c>
      <c r="L14" s="600">
        <v>0</v>
      </c>
      <c r="M14" s="600">
        <v>0</v>
      </c>
      <c r="N14" s="600">
        <v>0</v>
      </c>
      <c r="O14" s="600">
        <v>0</v>
      </c>
      <c r="P14" s="600">
        <v>0</v>
      </c>
      <c r="Q14" s="600">
        <v>0</v>
      </c>
      <c r="R14" s="600">
        <v>1</v>
      </c>
      <c r="S14" s="601">
        <v>15073</v>
      </c>
      <c r="T14" s="602" t="s">
        <v>678</v>
      </c>
      <c r="U14" s="603" t="s">
        <v>654</v>
      </c>
      <c r="V14" s="601" t="s">
        <v>202</v>
      </c>
      <c r="W14" s="601" t="s">
        <v>679</v>
      </c>
      <c r="X14" s="604" t="s">
        <v>680</v>
      </c>
      <c r="Y14" s="601">
        <v>1</v>
      </c>
      <c r="Z14" s="601">
        <v>1</v>
      </c>
      <c r="AA14" s="601">
        <v>0</v>
      </c>
      <c r="AB14" s="601">
        <v>0</v>
      </c>
      <c r="AC14" s="601">
        <v>1</v>
      </c>
      <c r="AD14" s="601">
        <v>1</v>
      </c>
      <c r="AE14" s="601">
        <v>0</v>
      </c>
      <c r="AF14" s="601">
        <v>0</v>
      </c>
      <c r="AG14" s="601">
        <v>0</v>
      </c>
      <c r="AH14" s="601">
        <v>0</v>
      </c>
      <c r="AI14" s="601">
        <v>0</v>
      </c>
      <c r="AJ14" s="603">
        <v>0</v>
      </c>
      <c r="AK14" s="601">
        <v>0</v>
      </c>
      <c r="AL14" s="601">
        <v>0</v>
      </c>
      <c r="AM14" s="601">
        <v>0</v>
      </c>
      <c r="AN14" s="603">
        <v>0</v>
      </c>
    </row>
    <row r="15" spans="1:53" ht="14.95" customHeight="1" thickBot="1" x14ac:dyDescent="0.3">
      <c r="A15" s="784" t="s">
        <v>244</v>
      </c>
      <c r="B15" s="785" t="s">
        <v>142</v>
      </c>
      <c r="C15" s="786" t="s">
        <v>486</v>
      </c>
      <c r="D15" s="787" t="s">
        <v>36</v>
      </c>
      <c r="E15" s="787" t="s">
        <v>32</v>
      </c>
      <c r="F15" s="787">
        <v>20</v>
      </c>
      <c r="G15" s="787">
        <v>13</v>
      </c>
      <c r="H15" s="787">
        <v>0</v>
      </c>
      <c r="I15" s="787">
        <v>0</v>
      </c>
      <c r="J15" s="787">
        <v>3</v>
      </c>
      <c r="K15" s="787">
        <v>1</v>
      </c>
      <c r="L15" s="787">
        <v>0</v>
      </c>
      <c r="M15" s="787">
        <v>1</v>
      </c>
      <c r="N15" s="787">
        <v>2</v>
      </c>
      <c r="O15" s="787">
        <v>0</v>
      </c>
      <c r="P15" s="787">
        <v>0</v>
      </c>
      <c r="Q15" s="787">
        <v>1</v>
      </c>
      <c r="R15" s="787">
        <v>1</v>
      </c>
      <c r="S15" s="810">
        <v>2500</v>
      </c>
      <c r="T15" s="793" t="s">
        <v>418</v>
      </c>
      <c r="U15" s="811" t="s">
        <v>602</v>
      </c>
      <c r="V15" s="810" t="s">
        <v>202</v>
      </c>
      <c r="W15" s="810" t="s">
        <v>681</v>
      </c>
      <c r="X15" s="812" t="s">
        <v>682</v>
      </c>
      <c r="Y15" s="810">
        <v>1</v>
      </c>
      <c r="Z15" s="810">
        <v>1</v>
      </c>
      <c r="AA15" s="810">
        <v>0</v>
      </c>
      <c r="AB15" s="810">
        <v>0</v>
      </c>
      <c r="AC15" s="810">
        <v>0</v>
      </c>
      <c r="AD15" s="810">
        <v>0</v>
      </c>
      <c r="AE15" s="810">
        <v>0</v>
      </c>
      <c r="AF15" s="810">
        <v>0</v>
      </c>
      <c r="AG15" s="810">
        <v>1</v>
      </c>
      <c r="AH15" s="810">
        <v>1</v>
      </c>
      <c r="AI15" s="810">
        <v>0</v>
      </c>
      <c r="AJ15" s="811">
        <v>0</v>
      </c>
      <c r="AK15" s="810">
        <v>0</v>
      </c>
      <c r="AL15" s="810">
        <v>0</v>
      </c>
      <c r="AM15" s="810">
        <v>0</v>
      </c>
      <c r="AN15" s="811">
        <v>0</v>
      </c>
    </row>
    <row r="16" spans="1:53" ht="14.95" customHeight="1" thickBot="1" x14ac:dyDescent="0.3">
      <c r="A16" s="468" t="s">
        <v>256</v>
      </c>
      <c r="B16" s="469" t="s">
        <v>199</v>
      </c>
      <c r="C16" s="470" t="s">
        <v>28</v>
      </c>
      <c r="D16" s="471" t="s">
        <v>299</v>
      </c>
      <c r="E16" s="471" t="s">
        <v>34</v>
      </c>
      <c r="F16" s="471">
        <v>22</v>
      </c>
      <c r="G16" s="471">
        <v>31</v>
      </c>
      <c r="H16" s="471">
        <v>0</v>
      </c>
      <c r="I16" s="471">
        <v>0</v>
      </c>
      <c r="J16" s="471">
        <v>3</v>
      </c>
      <c r="K16" s="471">
        <v>2</v>
      </c>
      <c r="L16" s="471">
        <v>0</v>
      </c>
      <c r="M16" s="471">
        <v>1</v>
      </c>
      <c r="N16" s="471">
        <v>0</v>
      </c>
      <c r="O16" s="471">
        <v>0</v>
      </c>
      <c r="P16" s="471">
        <v>1</v>
      </c>
      <c r="Q16" s="471">
        <v>0</v>
      </c>
      <c r="R16" s="471">
        <v>4</v>
      </c>
      <c r="S16" s="472">
        <v>21219</v>
      </c>
      <c r="T16" s="638" t="s">
        <v>694</v>
      </c>
      <c r="U16" s="478" t="s">
        <v>633</v>
      </c>
      <c r="V16" s="472" t="s">
        <v>632</v>
      </c>
      <c r="W16" s="472" t="s">
        <v>304</v>
      </c>
      <c r="X16" s="473" t="s">
        <v>305</v>
      </c>
      <c r="Y16" s="472">
        <v>1</v>
      </c>
      <c r="Z16" s="472">
        <v>0</v>
      </c>
      <c r="AA16" s="472">
        <v>0</v>
      </c>
      <c r="AB16" s="472">
        <v>1</v>
      </c>
      <c r="AC16" s="472">
        <v>1</v>
      </c>
      <c r="AD16" s="472">
        <v>0</v>
      </c>
      <c r="AE16" s="472">
        <v>0</v>
      </c>
      <c r="AF16" s="472">
        <v>1</v>
      </c>
      <c r="AG16" s="472">
        <v>0</v>
      </c>
      <c r="AH16" s="472">
        <v>0</v>
      </c>
      <c r="AI16" s="472">
        <v>0</v>
      </c>
      <c r="AJ16" s="478">
        <v>0</v>
      </c>
      <c r="AK16" s="472">
        <v>0</v>
      </c>
      <c r="AL16" s="472">
        <v>0</v>
      </c>
      <c r="AM16" s="472">
        <v>0</v>
      </c>
      <c r="AN16" s="478">
        <v>0</v>
      </c>
    </row>
    <row r="17" spans="1:40" ht="14.95" customHeight="1" thickBot="1" x14ac:dyDescent="0.3">
      <c r="A17" s="479" t="s">
        <v>257</v>
      </c>
      <c r="B17" s="461" t="s">
        <v>199</v>
      </c>
      <c r="C17" s="462" t="s">
        <v>9</v>
      </c>
      <c r="D17" s="463" t="s">
        <v>664</v>
      </c>
      <c r="E17" s="463" t="s">
        <v>33</v>
      </c>
      <c r="F17" s="463">
        <v>30</v>
      </c>
      <c r="G17" s="463">
        <v>30</v>
      </c>
      <c r="H17" s="463">
        <v>0</v>
      </c>
      <c r="I17" s="463">
        <v>0</v>
      </c>
      <c r="J17" s="463">
        <v>3</v>
      </c>
      <c r="K17" s="463">
        <v>3</v>
      </c>
      <c r="L17" s="463">
        <v>0</v>
      </c>
      <c r="M17" s="463">
        <v>3</v>
      </c>
      <c r="N17" s="463">
        <v>0</v>
      </c>
      <c r="O17" s="463">
        <v>0</v>
      </c>
      <c r="P17" s="463">
        <v>0</v>
      </c>
      <c r="Q17" s="463">
        <v>0</v>
      </c>
      <c r="R17" s="463">
        <v>3</v>
      </c>
      <c r="S17" s="639">
        <v>75500</v>
      </c>
      <c r="T17" s="465" t="s">
        <v>718</v>
      </c>
      <c r="U17" s="466" t="s">
        <v>550</v>
      </c>
      <c r="V17" s="464" t="s">
        <v>632</v>
      </c>
      <c r="W17" s="464" t="s">
        <v>320</v>
      </c>
      <c r="X17" s="467" t="s">
        <v>394</v>
      </c>
      <c r="Y17" s="464">
        <v>1</v>
      </c>
      <c r="Z17" s="464">
        <v>0</v>
      </c>
      <c r="AA17" s="464">
        <v>1</v>
      </c>
      <c r="AB17" s="464">
        <v>0</v>
      </c>
      <c r="AC17" s="464">
        <v>0</v>
      </c>
      <c r="AD17" s="464">
        <v>0</v>
      </c>
      <c r="AE17" s="464">
        <v>0</v>
      </c>
      <c r="AF17" s="464">
        <v>0</v>
      </c>
      <c r="AG17" s="464">
        <v>1</v>
      </c>
      <c r="AH17" s="464">
        <v>0</v>
      </c>
      <c r="AI17" s="464">
        <v>1</v>
      </c>
      <c r="AJ17" s="466">
        <v>0</v>
      </c>
      <c r="AK17" s="464">
        <v>0</v>
      </c>
      <c r="AL17" s="464">
        <v>0</v>
      </c>
      <c r="AM17" s="464">
        <v>0</v>
      </c>
      <c r="AN17" s="466">
        <v>0</v>
      </c>
    </row>
    <row r="18" spans="1:40" ht="14.95" customHeight="1" thickBot="1" x14ac:dyDescent="0.3">
      <c r="A18" s="468" t="s">
        <v>258</v>
      </c>
      <c r="B18" s="469" t="s">
        <v>199</v>
      </c>
      <c r="C18" s="470" t="s">
        <v>165</v>
      </c>
      <c r="D18" s="471" t="s">
        <v>299</v>
      </c>
      <c r="E18" s="471" t="s">
        <v>32</v>
      </c>
      <c r="F18" s="471">
        <v>31</v>
      </c>
      <c r="G18" s="471">
        <v>18</v>
      </c>
      <c r="H18" s="471">
        <v>1</v>
      </c>
      <c r="I18" s="471">
        <v>0</v>
      </c>
      <c r="J18" s="471">
        <v>4</v>
      </c>
      <c r="K18" s="471">
        <v>4</v>
      </c>
      <c r="L18" s="471">
        <v>0</v>
      </c>
      <c r="M18" s="471">
        <v>1</v>
      </c>
      <c r="N18" s="471">
        <v>0</v>
      </c>
      <c r="O18" s="471">
        <v>0</v>
      </c>
      <c r="P18" s="471">
        <v>0</v>
      </c>
      <c r="Q18" s="471">
        <v>0</v>
      </c>
      <c r="R18" s="471">
        <v>2</v>
      </c>
      <c r="S18" s="472">
        <v>19807</v>
      </c>
      <c r="T18" s="480" t="s">
        <v>728</v>
      </c>
      <c r="U18" s="478" t="s">
        <v>324</v>
      </c>
      <c r="V18" s="472" t="s">
        <v>509</v>
      </c>
      <c r="W18" s="472" t="s">
        <v>350</v>
      </c>
      <c r="X18" s="473" t="s">
        <v>346</v>
      </c>
      <c r="Y18" s="472">
        <v>1</v>
      </c>
      <c r="Z18" s="472">
        <v>1</v>
      </c>
      <c r="AA18" s="472">
        <v>0</v>
      </c>
      <c r="AB18" s="472">
        <v>0</v>
      </c>
      <c r="AC18" s="472">
        <v>1</v>
      </c>
      <c r="AD18" s="472">
        <v>1</v>
      </c>
      <c r="AE18" s="472">
        <v>0</v>
      </c>
      <c r="AF18" s="472">
        <v>0</v>
      </c>
      <c r="AG18" s="472">
        <v>0</v>
      </c>
      <c r="AH18" s="472">
        <v>0</v>
      </c>
      <c r="AI18" s="472">
        <v>0</v>
      </c>
      <c r="AJ18" s="478">
        <v>0</v>
      </c>
      <c r="AK18" s="472">
        <v>0</v>
      </c>
      <c r="AL18" s="472">
        <v>0</v>
      </c>
      <c r="AM18" s="472">
        <v>0</v>
      </c>
      <c r="AN18" s="478">
        <v>0</v>
      </c>
    </row>
    <row r="19" spans="1:40" ht="14.95" customHeight="1" thickBot="1" x14ac:dyDescent="0.3">
      <c r="A19" s="597" t="s">
        <v>487</v>
      </c>
      <c r="B19" s="598" t="s">
        <v>142</v>
      </c>
      <c r="C19" s="599" t="s">
        <v>584</v>
      </c>
      <c r="D19" s="600" t="s">
        <v>299</v>
      </c>
      <c r="E19" s="600" t="s">
        <v>32</v>
      </c>
      <c r="F19" s="600">
        <v>30</v>
      </c>
      <c r="G19" s="600">
        <v>20</v>
      </c>
      <c r="H19" s="600">
        <v>0</v>
      </c>
      <c r="I19" s="600">
        <v>0</v>
      </c>
      <c r="J19" s="600">
        <v>3</v>
      </c>
      <c r="K19" s="600">
        <v>3</v>
      </c>
      <c r="L19" s="600">
        <v>2</v>
      </c>
      <c r="M19" s="600">
        <v>1</v>
      </c>
      <c r="N19" s="600">
        <v>0</v>
      </c>
      <c r="O19" s="600">
        <v>0</v>
      </c>
      <c r="P19" s="600">
        <v>0</v>
      </c>
      <c r="Q19" s="600">
        <v>0</v>
      </c>
      <c r="R19" s="600">
        <v>2</v>
      </c>
      <c r="S19" s="633">
        <v>16538</v>
      </c>
      <c r="T19" s="605" t="s">
        <v>422</v>
      </c>
      <c r="U19" s="603" t="s">
        <v>591</v>
      </c>
      <c r="V19" s="601" t="s">
        <v>202</v>
      </c>
      <c r="W19" s="601" t="s">
        <v>743</v>
      </c>
      <c r="X19" s="604" t="s">
        <v>744</v>
      </c>
      <c r="Y19" s="601">
        <v>1</v>
      </c>
      <c r="Z19" s="601">
        <v>1</v>
      </c>
      <c r="AA19" s="601">
        <v>0</v>
      </c>
      <c r="AB19" s="601">
        <v>0</v>
      </c>
      <c r="AC19" s="601">
        <v>1</v>
      </c>
      <c r="AD19" s="601">
        <v>1</v>
      </c>
      <c r="AE19" s="601">
        <v>0</v>
      </c>
      <c r="AF19" s="601">
        <v>0</v>
      </c>
      <c r="AG19" s="601">
        <v>0</v>
      </c>
      <c r="AH19" s="601">
        <v>0</v>
      </c>
      <c r="AI19" s="601">
        <v>0</v>
      </c>
      <c r="AJ19" s="603">
        <v>0</v>
      </c>
      <c r="AK19" s="601">
        <v>0</v>
      </c>
      <c r="AL19" s="601">
        <v>0</v>
      </c>
      <c r="AM19" s="601">
        <v>0</v>
      </c>
      <c r="AN19" s="603">
        <v>0</v>
      </c>
    </row>
    <row r="20" spans="1:40" ht="14.95" customHeight="1" thickBot="1" x14ac:dyDescent="0.3">
      <c r="A20" s="784" t="s">
        <v>246</v>
      </c>
      <c r="B20" s="785" t="s">
        <v>142</v>
      </c>
      <c r="C20" s="786" t="s">
        <v>485</v>
      </c>
      <c r="D20" s="787" t="s">
        <v>36</v>
      </c>
      <c r="E20" s="787" t="s">
        <v>34</v>
      </c>
      <c r="F20" s="787">
        <v>17</v>
      </c>
      <c r="G20" s="787">
        <v>24</v>
      </c>
      <c r="H20" s="787">
        <v>0</v>
      </c>
      <c r="I20" s="787">
        <v>1</v>
      </c>
      <c r="J20" s="787">
        <v>2</v>
      </c>
      <c r="K20" s="787">
        <v>2</v>
      </c>
      <c r="L20" s="787">
        <v>0</v>
      </c>
      <c r="M20" s="787">
        <v>1</v>
      </c>
      <c r="N20" s="787">
        <v>1</v>
      </c>
      <c r="O20" s="787">
        <v>0</v>
      </c>
      <c r="P20" s="787">
        <v>0</v>
      </c>
      <c r="Q20" s="787">
        <v>0</v>
      </c>
      <c r="R20" s="787">
        <v>3</v>
      </c>
      <c r="S20" s="788">
        <v>6124</v>
      </c>
      <c r="T20" s="789" t="s">
        <v>369</v>
      </c>
      <c r="U20" s="790" t="s">
        <v>560</v>
      </c>
      <c r="V20" s="788" t="s">
        <v>595</v>
      </c>
      <c r="W20" s="788" t="s">
        <v>779</v>
      </c>
      <c r="X20" s="791" t="s">
        <v>780</v>
      </c>
      <c r="Y20" s="788">
        <v>1</v>
      </c>
      <c r="Z20" s="788">
        <v>0</v>
      </c>
      <c r="AA20" s="788">
        <v>0</v>
      </c>
      <c r="AB20" s="788">
        <v>1</v>
      </c>
      <c r="AC20" s="788">
        <v>0</v>
      </c>
      <c r="AD20" s="788">
        <v>0</v>
      </c>
      <c r="AE20" s="788">
        <v>0</v>
      </c>
      <c r="AF20" s="788">
        <v>0</v>
      </c>
      <c r="AG20" s="788">
        <v>1</v>
      </c>
      <c r="AH20" s="788">
        <v>0</v>
      </c>
      <c r="AI20" s="788">
        <v>0</v>
      </c>
      <c r="AJ20" s="790">
        <v>1</v>
      </c>
      <c r="AK20" s="788">
        <v>0</v>
      </c>
      <c r="AL20" s="788">
        <v>0</v>
      </c>
      <c r="AM20" s="788">
        <v>0</v>
      </c>
      <c r="AN20" s="790">
        <v>0</v>
      </c>
    </row>
    <row r="21" spans="1:40" ht="14.95" customHeight="1" thickBot="1" x14ac:dyDescent="0.3">
      <c r="A21" s="479" t="s">
        <v>293</v>
      </c>
      <c r="B21" s="461" t="s">
        <v>199</v>
      </c>
      <c r="C21" s="462" t="s">
        <v>22</v>
      </c>
      <c r="D21" s="463" t="s">
        <v>36</v>
      </c>
      <c r="E21" s="463" t="s">
        <v>34</v>
      </c>
      <c r="F21" s="463">
        <v>10</v>
      </c>
      <c r="G21" s="463">
        <v>13</v>
      </c>
      <c r="H21" s="463">
        <v>0</v>
      </c>
      <c r="I21" s="463">
        <v>1</v>
      </c>
      <c r="J21" s="463">
        <v>1</v>
      </c>
      <c r="K21" s="463">
        <v>1</v>
      </c>
      <c r="L21" s="463">
        <v>0</v>
      </c>
      <c r="M21" s="463">
        <v>1</v>
      </c>
      <c r="N21" s="463">
        <v>0</v>
      </c>
      <c r="O21" s="463">
        <v>0</v>
      </c>
      <c r="P21" s="463">
        <v>0</v>
      </c>
      <c r="Q21" s="463">
        <v>0</v>
      </c>
      <c r="R21" s="463">
        <v>2</v>
      </c>
      <c r="S21" s="483">
        <v>14029</v>
      </c>
      <c r="T21" s="465" t="s">
        <v>767</v>
      </c>
      <c r="U21" s="466" t="s">
        <v>637</v>
      </c>
      <c r="V21" s="464" t="s">
        <v>766</v>
      </c>
      <c r="W21" s="464" t="s">
        <v>326</v>
      </c>
      <c r="X21" s="467" t="s">
        <v>316</v>
      </c>
      <c r="Y21" s="464">
        <v>1</v>
      </c>
      <c r="Z21" s="464">
        <v>0</v>
      </c>
      <c r="AA21" s="464">
        <v>0</v>
      </c>
      <c r="AB21" s="464">
        <v>1</v>
      </c>
      <c r="AC21" s="464">
        <v>0</v>
      </c>
      <c r="AD21" s="464">
        <v>0</v>
      </c>
      <c r="AE21" s="464">
        <v>0</v>
      </c>
      <c r="AF21" s="464">
        <v>0</v>
      </c>
      <c r="AG21" s="464">
        <v>1</v>
      </c>
      <c r="AH21" s="464">
        <v>0</v>
      </c>
      <c r="AI21" s="464">
        <v>0</v>
      </c>
      <c r="AJ21" s="466">
        <v>1</v>
      </c>
      <c r="AK21" s="464">
        <v>0</v>
      </c>
      <c r="AL21" s="464">
        <v>0</v>
      </c>
      <c r="AM21" s="464">
        <v>0</v>
      </c>
      <c r="AN21" s="466">
        <v>0</v>
      </c>
    </row>
    <row r="22" spans="1:40" ht="14.95" customHeight="1" thickBot="1" x14ac:dyDescent="0.3">
      <c r="A22" s="468" t="s">
        <v>259</v>
      </c>
      <c r="B22" s="469" t="s">
        <v>199</v>
      </c>
      <c r="C22" s="470" t="s">
        <v>106</v>
      </c>
      <c r="D22" s="471" t="s">
        <v>299</v>
      </c>
      <c r="E22" s="471" t="s">
        <v>32</v>
      </c>
      <c r="F22" s="471">
        <v>18</v>
      </c>
      <c r="G22" s="471">
        <v>9</v>
      </c>
      <c r="H22" s="471">
        <v>0</v>
      </c>
      <c r="I22" s="471">
        <v>0</v>
      </c>
      <c r="J22" s="471">
        <v>2</v>
      </c>
      <c r="K22" s="471">
        <v>1</v>
      </c>
      <c r="L22" s="471">
        <v>0</v>
      </c>
      <c r="M22" s="471">
        <v>2</v>
      </c>
      <c r="N22" s="471">
        <v>1</v>
      </c>
      <c r="O22" s="471">
        <v>0</v>
      </c>
      <c r="P22" s="471">
        <v>0</v>
      </c>
      <c r="Q22" s="471">
        <v>0</v>
      </c>
      <c r="R22" s="471">
        <v>0</v>
      </c>
      <c r="S22" s="484">
        <v>23353</v>
      </c>
      <c r="T22" s="498" t="s">
        <v>793</v>
      </c>
      <c r="U22" s="478" t="s">
        <v>554</v>
      </c>
      <c r="V22" s="472" t="s">
        <v>348</v>
      </c>
      <c r="W22" s="472" t="s">
        <v>343</v>
      </c>
      <c r="X22" s="473" t="s">
        <v>328</v>
      </c>
      <c r="Y22" s="472">
        <v>1</v>
      </c>
      <c r="Z22" s="472">
        <v>1</v>
      </c>
      <c r="AA22" s="472">
        <v>0</v>
      </c>
      <c r="AB22" s="472">
        <v>0</v>
      </c>
      <c r="AC22" s="472">
        <v>1</v>
      </c>
      <c r="AD22" s="472">
        <v>1</v>
      </c>
      <c r="AE22" s="472">
        <v>0</v>
      </c>
      <c r="AF22" s="472">
        <v>0</v>
      </c>
      <c r="AG22" s="472">
        <v>0</v>
      </c>
      <c r="AH22" s="472">
        <v>0</v>
      </c>
      <c r="AI22" s="472">
        <v>0</v>
      </c>
      <c r="AJ22" s="478">
        <v>0</v>
      </c>
      <c r="AK22" s="472">
        <v>0</v>
      </c>
      <c r="AL22" s="472">
        <v>0</v>
      </c>
      <c r="AM22" s="472">
        <v>0</v>
      </c>
      <c r="AN22" s="478">
        <v>0</v>
      </c>
    </row>
    <row r="23" spans="1:40" ht="14.95" customHeight="1" thickBot="1" x14ac:dyDescent="0.3">
      <c r="A23" s="479" t="s">
        <v>459</v>
      </c>
      <c r="B23" s="461" t="s">
        <v>199</v>
      </c>
      <c r="C23" s="462" t="s">
        <v>27</v>
      </c>
      <c r="D23" s="463" t="s">
        <v>36</v>
      </c>
      <c r="E23" s="463" t="s">
        <v>34</v>
      </c>
      <c r="F23" s="463">
        <v>3</v>
      </c>
      <c r="G23" s="463">
        <v>36</v>
      </c>
      <c r="H23" s="463">
        <v>0</v>
      </c>
      <c r="I23" s="463">
        <v>0</v>
      </c>
      <c r="J23" s="463">
        <v>0</v>
      </c>
      <c r="K23" s="463">
        <v>0</v>
      </c>
      <c r="L23" s="463">
        <v>0</v>
      </c>
      <c r="M23" s="463">
        <v>1</v>
      </c>
      <c r="N23" s="463">
        <v>2</v>
      </c>
      <c r="O23" s="463">
        <v>0</v>
      </c>
      <c r="P23" s="463">
        <v>1</v>
      </c>
      <c r="Q23" s="463">
        <v>0</v>
      </c>
      <c r="R23" s="463">
        <v>5</v>
      </c>
      <c r="S23" s="464">
        <v>7208</v>
      </c>
      <c r="T23" s="485" t="s">
        <v>801</v>
      </c>
      <c r="U23" s="466" t="s">
        <v>318</v>
      </c>
      <c r="V23" s="464" t="s">
        <v>348</v>
      </c>
      <c r="W23" s="464" t="s">
        <v>306</v>
      </c>
      <c r="X23" s="467" t="s">
        <v>715</v>
      </c>
      <c r="Y23" s="464">
        <v>1</v>
      </c>
      <c r="Z23" s="464">
        <v>0</v>
      </c>
      <c r="AA23" s="464">
        <v>0</v>
      </c>
      <c r="AB23" s="464">
        <v>1</v>
      </c>
      <c r="AC23" s="464">
        <v>0</v>
      </c>
      <c r="AD23" s="464">
        <v>0</v>
      </c>
      <c r="AE23" s="464">
        <v>0</v>
      </c>
      <c r="AF23" s="464">
        <v>0</v>
      </c>
      <c r="AG23" s="464">
        <v>1</v>
      </c>
      <c r="AH23" s="464">
        <v>0</v>
      </c>
      <c r="AI23" s="464">
        <v>0</v>
      </c>
      <c r="AJ23" s="466">
        <v>1</v>
      </c>
      <c r="AK23" s="464">
        <v>0</v>
      </c>
      <c r="AL23" s="464">
        <v>0</v>
      </c>
      <c r="AM23" s="464">
        <v>0</v>
      </c>
      <c r="AN23" s="466">
        <v>0</v>
      </c>
    </row>
    <row r="24" spans="1:40" ht="14.95" customHeight="1" thickBot="1" x14ac:dyDescent="0.3">
      <c r="A24" s="468" t="s">
        <v>294</v>
      </c>
      <c r="B24" s="469" t="s">
        <v>199</v>
      </c>
      <c r="C24" s="470" t="s">
        <v>23</v>
      </c>
      <c r="D24" s="471" t="s">
        <v>299</v>
      </c>
      <c r="E24" s="471" t="s">
        <v>32</v>
      </c>
      <c r="F24" s="471">
        <v>14</v>
      </c>
      <c r="G24" s="471">
        <v>8</v>
      </c>
      <c r="H24" s="471">
        <v>0</v>
      </c>
      <c r="I24" s="471">
        <v>0</v>
      </c>
      <c r="J24" s="471">
        <v>1</v>
      </c>
      <c r="K24" s="471">
        <v>0</v>
      </c>
      <c r="L24" s="471">
        <v>0</v>
      </c>
      <c r="M24" s="471">
        <v>3</v>
      </c>
      <c r="N24" s="471">
        <v>0</v>
      </c>
      <c r="O24" s="471">
        <v>0</v>
      </c>
      <c r="P24" s="471">
        <v>0</v>
      </c>
      <c r="Q24" s="471">
        <v>1</v>
      </c>
      <c r="R24" s="471">
        <v>1</v>
      </c>
      <c r="S24" s="472">
        <v>18268</v>
      </c>
      <c r="T24" s="508" t="s">
        <v>810</v>
      </c>
      <c r="U24" s="478" t="s">
        <v>308</v>
      </c>
      <c r="V24" s="472" t="s">
        <v>352</v>
      </c>
      <c r="W24" s="472" t="s">
        <v>396</v>
      </c>
      <c r="X24" s="473" t="s">
        <v>394</v>
      </c>
      <c r="Y24" s="472">
        <v>1</v>
      </c>
      <c r="Z24" s="472">
        <v>1</v>
      </c>
      <c r="AA24" s="472">
        <v>0</v>
      </c>
      <c r="AB24" s="472">
        <v>0</v>
      </c>
      <c r="AC24" s="472">
        <v>1</v>
      </c>
      <c r="AD24" s="472">
        <v>1</v>
      </c>
      <c r="AE24" s="472">
        <v>0</v>
      </c>
      <c r="AF24" s="472">
        <v>0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</row>
    <row r="25" spans="1:40" ht="14.45" customHeight="1" thickBot="1" x14ac:dyDescent="0.3">
      <c r="A25" s="479" t="s">
        <v>295</v>
      </c>
      <c r="B25" s="461" t="s">
        <v>199</v>
      </c>
      <c r="C25" s="462" t="s">
        <v>19</v>
      </c>
      <c r="D25" s="463" t="s">
        <v>36</v>
      </c>
      <c r="E25" s="463" t="s">
        <v>34</v>
      </c>
      <c r="F25" s="463">
        <v>13</v>
      </c>
      <c r="G25" s="463">
        <v>24</v>
      </c>
      <c r="H25" s="463">
        <v>0</v>
      </c>
      <c r="I25" s="463">
        <v>0</v>
      </c>
      <c r="J25" s="463">
        <v>1</v>
      </c>
      <c r="K25" s="463">
        <v>1</v>
      </c>
      <c r="L25" s="463">
        <v>0</v>
      </c>
      <c r="M25" s="463">
        <v>2</v>
      </c>
      <c r="N25" s="463">
        <v>1</v>
      </c>
      <c r="O25" s="463">
        <v>0</v>
      </c>
      <c r="P25" s="463">
        <v>0</v>
      </c>
      <c r="Q25" s="463">
        <v>0</v>
      </c>
      <c r="R25" s="463">
        <v>3</v>
      </c>
      <c r="S25" s="464">
        <v>5500</v>
      </c>
      <c r="T25" s="465" t="s">
        <v>564</v>
      </c>
      <c r="U25" s="466" t="s">
        <v>324</v>
      </c>
      <c r="V25" s="464" t="s">
        <v>634</v>
      </c>
      <c r="W25" s="464" t="s">
        <v>554</v>
      </c>
      <c r="X25" s="467" t="s">
        <v>394</v>
      </c>
      <c r="Y25" s="464">
        <v>1</v>
      </c>
      <c r="Z25" s="464">
        <v>0</v>
      </c>
      <c r="AA25" s="464">
        <v>0</v>
      </c>
      <c r="AB25" s="464">
        <v>1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0</v>
      </c>
      <c r="AI25" s="464">
        <v>0</v>
      </c>
      <c r="AJ25" s="466">
        <v>1</v>
      </c>
      <c r="AK25" s="464">
        <v>0</v>
      </c>
      <c r="AL25" s="464">
        <v>0</v>
      </c>
      <c r="AM25" s="464">
        <v>0</v>
      </c>
      <c r="AN25" s="466">
        <v>0</v>
      </c>
    </row>
    <row r="26" spans="1:40" ht="14.95" customHeight="1" thickBot="1" x14ac:dyDescent="0.3">
      <c r="A26" s="479" t="s">
        <v>829</v>
      </c>
      <c r="B26" s="461" t="s">
        <v>199</v>
      </c>
      <c r="C26" s="462" t="s">
        <v>28</v>
      </c>
      <c r="D26" s="463" t="s">
        <v>36</v>
      </c>
      <c r="E26" s="463" t="s">
        <v>34</v>
      </c>
      <c r="F26" s="463">
        <v>13</v>
      </c>
      <c r="G26" s="463">
        <v>26</v>
      </c>
      <c r="H26" s="463">
        <v>0</v>
      </c>
      <c r="I26" s="463">
        <v>0</v>
      </c>
      <c r="J26" s="463">
        <v>1</v>
      </c>
      <c r="K26" s="463">
        <v>0</v>
      </c>
      <c r="L26" s="463">
        <v>1</v>
      </c>
      <c r="M26" s="463">
        <v>1</v>
      </c>
      <c r="N26" s="463">
        <v>1</v>
      </c>
      <c r="O26" s="463">
        <v>0</v>
      </c>
      <c r="P26" s="463">
        <v>1</v>
      </c>
      <c r="Q26" s="463">
        <v>0</v>
      </c>
      <c r="R26" s="463">
        <v>4</v>
      </c>
      <c r="S26" s="464">
        <v>0</v>
      </c>
      <c r="T26" s="485" t="s">
        <v>877</v>
      </c>
      <c r="U26" s="466" t="s">
        <v>463</v>
      </c>
      <c r="V26" s="464" t="s">
        <v>464</v>
      </c>
      <c r="W26" s="464" t="s">
        <v>356</v>
      </c>
      <c r="X26" s="467" t="s">
        <v>346</v>
      </c>
      <c r="Y26" s="464">
        <v>1</v>
      </c>
      <c r="Z26" s="464">
        <v>0</v>
      </c>
      <c r="AA26" s="464">
        <v>0</v>
      </c>
      <c r="AB26" s="464">
        <v>1</v>
      </c>
      <c r="AC26" s="464">
        <v>0</v>
      </c>
      <c r="AD26" s="464">
        <v>0</v>
      </c>
      <c r="AE26" s="464">
        <v>0</v>
      </c>
      <c r="AF26" s="464">
        <v>0</v>
      </c>
      <c r="AG26" s="464">
        <v>1</v>
      </c>
      <c r="AH26" s="464">
        <v>0</v>
      </c>
      <c r="AI26" s="464">
        <v>0</v>
      </c>
      <c r="AJ26" s="466">
        <v>1</v>
      </c>
      <c r="AK26" s="464">
        <v>0</v>
      </c>
      <c r="AL26" s="464">
        <v>0</v>
      </c>
      <c r="AM26" s="464">
        <v>0</v>
      </c>
      <c r="AN26" s="466">
        <v>0</v>
      </c>
    </row>
    <row r="27" spans="1:40" ht="15.65" customHeight="1" thickBot="1" x14ac:dyDescent="0.3">
      <c r="A27" s="468" t="s">
        <v>832</v>
      </c>
      <c r="B27" s="469" t="s">
        <v>199</v>
      </c>
      <c r="C27" s="470" t="s">
        <v>22</v>
      </c>
      <c r="D27" s="471" t="s">
        <v>299</v>
      </c>
      <c r="E27" s="471" t="s">
        <v>34</v>
      </c>
      <c r="F27" s="471">
        <v>16</v>
      </c>
      <c r="G27" s="471">
        <v>38</v>
      </c>
      <c r="H27" s="471">
        <v>0</v>
      </c>
      <c r="I27" s="471">
        <v>0</v>
      </c>
      <c r="J27" s="471">
        <v>2</v>
      </c>
      <c r="K27" s="471">
        <v>0</v>
      </c>
      <c r="L27" s="471">
        <v>0</v>
      </c>
      <c r="M27" s="471">
        <v>2</v>
      </c>
      <c r="N27" s="471">
        <v>0</v>
      </c>
      <c r="O27" s="471">
        <v>0</v>
      </c>
      <c r="P27" s="471">
        <v>1</v>
      </c>
      <c r="Q27" s="471">
        <v>0</v>
      </c>
      <c r="R27" s="471">
        <v>6</v>
      </c>
      <c r="S27" s="504">
        <v>0</v>
      </c>
      <c r="T27" s="477" t="s">
        <v>890</v>
      </c>
      <c r="U27" s="478" t="s">
        <v>554</v>
      </c>
      <c r="V27" s="472" t="s">
        <v>352</v>
      </c>
      <c r="W27" s="472" t="s">
        <v>304</v>
      </c>
      <c r="X27" s="473" t="s">
        <v>308</v>
      </c>
      <c r="Y27" s="472">
        <v>1</v>
      </c>
      <c r="Z27" s="472">
        <v>0</v>
      </c>
      <c r="AA27" s="472">
        <v>0</v>
      </c>
      <c r="AB27" s="472">
        <v>1</v>
      </c>
      <c r="AC27" s="472">
        <v>1</v>
      </c>
      <c r="AD27" s="472">
        <v>0</v>
      </c>
      <c r="AE27" s="472">
        <v>0</v>
      </c>
      <c r="AF27" s="472">
        <v>1</v>
      </c>
      <c r="AG27" s="472">
        <v>0</v>
      </c>
      <c r="AH27" s="472">
        <v>0</v>
      </c>
      <c r="AI27" s="472">
        <v>0</v>
      </c>
      <c r="AJ27" s="478">
        <v>0</v>
      </c>
      <c r="AK27" s="472">
        <v>0</v>
      </c>
      <c r="AL27" s="472">
        <v>0</v>
      </c>
      <c r="AM27" s="472">
        <v>0</v>
      </c>
      <c r="AN27" s="478">
        <v>0</v>
      </c>
    </row>
    <row r="28" spans="1:40" ht="15.65" customHeight="1" thickBot="1" x14ac:dyDescent="0.3">
      <c r="A28" s="468" t="s">
        <v>836</v>
      </c>
      <c r="B28" s="469" t="s">
        <v>199</v>
      </c>
      <c r="C28" s="470" t="s">
        <v>11</v>
      </c>
      <c r="D28" s="471" t="s">
        <v>299</v>
      </c>
      <c r="E28" s="471" t="s">
        <v>32</v>
      </c>
      <c r="F28" s="471">
        <v>13</v>
      </c>
      <c r="G28" s="471">
        <v>7</v>
      </c>
      <c r="H28" s="471">
        <v>0</v>
      </c>
      <c r="I28" s="471">
        <v>0</v>
      </c>
      <c r="J28" s="471">
        <v>1</v>
      </c>
      <c r="K28" s="471">
        <v>1</v>
      </c>
      <c r="L28" s="471">
        <v>0</v>
      </c>
      <c r="M28" s="471">
        <v>1</v>
      </c>
      <c r="N28" s="471">
        <v>1</v>
      </c>
      <c r="O28" s="471">
        <v>0</v>
      </c>
      <c r="P28" s="471">
        <v>0</v>
      </c>
      <c r="Q28" s="471">
        <v>1</v>
      </c>
      <c r="R28" s="471">
        <v>1</v>
      </c>
      <c r="S28" s="472">
        <v>0</v>
      </c>
      <c r="T28" s="480" t="s">
        <v>471</v>
      </c>
      <c r="U28" s="478" t="s">
        <v>633</v>
      </c>
      <c r="V28" s="472" t="s">
        <v>329</v>
      </c>
      <c r="W28" s="472" t="s">
        <v>896</v>
      </c>
      <c r="X28" s="473" t="s">
        <v>306</v>
      </c>
      <c r="Y28" s="472">
        <v>1</v>
      </c>
      <c r="Z28" s="472">
        <v>1</v>
      </c>
      <c r="AA28" s="472">
        <v>0</v>
      </c>
      <c r="AB28" s="472">
        <v>0</v>
      </c>
      <c r="AC28" s="472">
        <v>1</v>
      </c>
      <c r="AD28" s="472">
        <v>1</v>
      </c>
      <c r="AE28" s="472">
        <v>0</v>
      </c>
      <c r="AF28" s="472">
        <v>0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40" ht="15.65" customHeight="1" thickBot="1" x14ac:dyDescent="0.3">
      <c r="A29" s="479" t="s">
        <v>840</v>
      </c>
      <c r="B29" s="461" t="s">
        <v>199</v>
      </c>
      <c r="C29" s="462" t="s">
        <v>347</v>
      </c>
      <c r="D29" s="463" t="s">
        <v>36</v>
      </c>
      <c r="E29" s="463" t="s">
        <v>34</v>
      </c>
      <c r="F29" s="463">
        <v>30</v>
      </c>
      <c r="G29" s="463">
        <v>46</v>
      </c>
      <c r="H29" s="463">
        <v>0</v>
      </c>
      <c r="I29" s="463">
        <v>0</v>
      </c>
      <c r="J29" s="463">
        <v>3</v>
      </c>
      <c r="K29" s="463">
        <v>3</v>
      </c>
      <c r="L29" s="463">
        <v>0</v>
      </c>
      <c r="M29" s="463">
        <v>3</v>
      </c>
      <c r="N29" s="463">
        <v>0</v>
      </c>
      <c r="O29" s="463">
        <v>0</v>
      </c>
      <c r="P29" s="463">
        <v>1</v>
      </c>
      <c r="Q29" s="463">
        <v>0</v>
      </c>
      <c r="R29" s="463">
        <v>7</v>
      </c>
      <c r="S29" s="464">
        <v>0</v>
      </c>
      <c r="T29" s="465" t="s">
        <v>906</v>
      </c>
      <c r="U29" s="466" t="s">
        <v>550</v>
      </c>
      <c r="V29" s="464" t="s">
        <v>403</v>
      </c>
      <c r="W29" s="464" t="s">
        <v>304</v>
      </c>
      <c r="X29" s="467" t="s">
        <v>316</v>
      </c>
      <c r="Y29" s="464">
        <v>1</v>
      </c>
      <c r="Z29" s="464">
        <v>0</v>
      </c>
      <c r="AA29" s="464">
        <v>0</v>
      </c>
      <c r="AB29" s="464">
        <v>1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0</v>
      </c>
      <c r="AI29" s="464">
        <v>0</v>
      </c>
      <c r="AJ29" s="466">
        <v>1</v>
      </c>
      <c r="AK29" s="464">
        <v>0</v>
      </c>
      <c r="AL29" s="464">
        <v>0</v>
      </c>
      <c r="AM29" s="464">
        <v>0</v>
      </c>
      <c r="AN29" s="466">
        <v>0</v>
      </c>
    </row>
    <row r="30" spans="1:40" ht="15.8" customHeight="1" thickBot="1" x14ac:dyDescent="0.3">
      <c r="A30" s="468" t="s">
        <v>856</v>
      </c>
      <c r="B30" s="469" t="s">
        <v>199</v>
      </c>
      <c r="C30" s="470" t="s">
        <v>27</v>
      </c>
      <c r="D30" s="471" t="s">
        <v>299</v>
      </c>
      <c r="E30" s="471" t="s">
        <v>34</v>
      </c>
      <c r="F30" s="471">
        <v>31</v>
      </c>
      <c r="G30" s="471">
        <v>40</v>
      </c>
      <c r="H30" s="471">
        <v>0</v>
      </c>
      <c r="I30" s="471">
        <v>0</v>
      </c>
      <c r="J30" s="471">
        <v>3</v>
      </c>
      <c r="K30" s="471">
        <v>2</v>
      </c>
      <c r="L30" s="471">
        <v>0</v>
      </c>
      <c r="M30" s="471">
        <v>4</v>
      </c>
      <c r="N30" s="471">
        <v>0</v>
      </c>
      <c r="O30" s="471">
        <v>0</v>
      </c>
      <c r="P30" s="471">
        <v>1</v>
      </c>
      <c r="Q30" s="471">
        <v>0</v>
      </c>
      <c r="R30" s="471">
        <v>4</v>
      </c>
      <c r="S30" s="484">
        <v>0</v>
      </c>
      <c r="T30" s="477" t="s">
        <v>918</v>
      </c>
      <c r="U30" s="478" t="s">
        <v>318</v>
      </c>
      <c r="V30" s="472" t="s">
        <v>632</v>
      </c>
      <c r="W30" s="472" t="s">
        <v>554</v>
      </c>
      <c r="X30" s="473" t="s">
        <v>304</v>
      </c>
      <c r="Y30" s="472">
        <v>1</v>
      </c>
      <c r="Z30" s="472">
        <v>0</v>
      </c>
      <c r="AA30" s="472">
        <v>0</v>
      </c>
      <c r="AB30" s="472">
        <v>1</v>
      </c>
      <c r="AC30" s="472">
        <v>1</v>
      </c>
      <c r="AD30" s="472">
        <v>0</v>
      </c>
      <c r="AE30" s="472">
        <v>0</v>
      </c>
      <c r="AF30" s="472">
        <v>1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0" ht="15.8" customHeight="1" thickBot="1" x14ac:dyDescent="0.3">
      <c r="A31" s="474" t="s">
        <v>861</v>
      </c>
      <c r="B31" s="474" t="s">
        <v>199</v>
      </c>
      <c r="C31" s="487" t="s">
        <v>106</v>
      </c>
      <c r="D31" s="488" t="s">
        <v>36</v>
      </c>
      <c r="E31" s="488" t="s">
        <v>34</v>
      </c>
      <c r="F31" s="463">
        <v>7</v>
      </c>
      <c r="G31" s="488">
        <v>54</v>
      </c>
      <c r="H31" s="463">
        <v>0</v>
      </c>
      <c r="I31" s="463">
        <v>0</v>
      </c>
      <c r="J31" s="463">
        <v>1</v>
      </c>
      <c r="K31" s="463">
        <v>1</v>
      </c>
      <c r="L31" s="463">
        <v>0</v>
      </c>
      <c r="M31" s="463">
        <v>0</v>
      </c>
      <c r="N31" s="463">
        <v>2</v>
      </c>
      <c r="O31" s="463">
        <v>0</v>
      </c>
      <c r="P31" s="463">
        <v>1</v>
      </c>
      <c r="Q31" s="463">
        <v>0</v>
      </c>
      <c r="R31" s="463">
        <v>8</v>
      </c>
      <c r="S31" s="464">
        <v>0</v>
      </c>
      <c r="T31" s="465" t="s">
        <v>885</v>
      </c>
      <c r="U31" s="464" t="s">
        <v>554</v>
      </c>
      <c r="V31" s="464" t="s">
        <v>509</v>
      </c>
      <c r="W31" s="464" t="s">
        <v>318</v>
      </c>
      <c r="X31" s="464" t="s">
        <v>395</v>
      </c>
      <c r="Y31" s="464">
        <v>1</v>
      </c>
      <c r="Z31" s="464">
        <v>0</v>
      </c>
      <c r="AA31" s="464">
        <v>0</v>
      </c>
      <c r="AB31" s="464">
        <v>1</v>
      </c>
      <c r="AC31" s="464">
        <v>0</v>
      </c>
      <c r="AD31" s="464">
        <v>0</v>
      </c>
      <c r="AE31" s="464">
        <v>0</v>
      </c>
      <c r="AF31" s="464">
        <v>0</v>
      </c>
      <c r="AG31" s="464">
        <v>1</v>
      </c>
      <c r="AH31" s="464">
        <v>0</v>
      </c>
      <c r="AI31" s="464">
        <v>0</v>
      </c>
      <c r="AJ31" s="466">
        <v>1</v>
      </c>
      <c r="AK31" s="464">
        <v>0</v>
      </c>
      <c r="AL31" s="464">
        <v>0</v>
      </c>
      <c r="AM31" s="464">
        <v>0</v>
      </c>
      <c r="AN31" s="466">
        <v>0</v>
      </c>
    </row>
    <row r="32" spans="1:40" ht="15.8" customHeight="1" thickBot="1" x14ac:dyDescent="0.3">
      <c r="A32" s="496" t="s">
        <v>864</v>
      </c>
      <c r="B32" s="496" t="s">
        <v>199</v>
      </c>
      <c r="C32" s="476" t="s">
        <v>25</v>
      </c>
      <c r="D32" s="501" t="s">
        <v>299</v>
      </c>
      <c r="E32" s="471" t="s">
        <v>32</v>
      </c>
      <c r="F32" s="471">
        <v>28</v>
      </c>
      <c r="G32" s="471">
        <v>24</v>
      </c>
      <c r="H32" s="471">
        <v>0</v>
      </c>
      <c r="I32" s="471">
        <v>0</v>
      </c>
      <c r="J32" s="471">
        <v>1</v>
      </c>
      <c r="K32" s="471">
        <v>1</v>
      </c>
      <c r="L32" s="471">
        <v>1</v>
      </c>
      <c r="M32" s="471">
        <v>6</v>
      </c>
      <c r="N32" s="471">
        <v>3</v>
      </c>
      <c r="O32" s="471">
        <v>0</v>
      </c>
      <c r="P32" s="471">
        <v>0</v>
      </c>
      <c r="Q32" s="471">
        <v>1</v>
      </c>
      <c r="R32" s="471">
        <v>3</v>
      </c>
      <c r="S32" s="472">
        <v>0</v>
      </c>
      <c r="T32" s="638" t="s">
        <v>937</v>
      </c>
      <c r="U32" s="472" t="s">
        <v>637</v>
      </c>
      <c r="V32" s="472" t="s">
        <v>632</v>
      </c>
      <c r="W32" s="472" t="s">
        <v>345</v>
      </c>
      <c r="X32" s="472" t="s">
        <v>316</v>
      </c>
      <c r="Y32" s="472">
        <v>1</v>
      </c>
      <c r="Z32" s="472">
        <v>1</v>
      </c>
      <c r="AA32" s="472">
        <v>0</v>
      </c>
      <c r="AB32" s="472">
        <v>0</v>
      </c>
      <c r="AC32" s="472">
        <v>1</v>
      </c>
      <c r="AD32" s="472">
        <v>1</v>
      </c>
      <c r="AE32" s="472">
        <v>0</v>
      </c>
      <c r="AF32" s="472">
        <v>0</v>
      </c>
      <c r="AG32" s="472">
        <v>0</v>
      </c>
      <c r="AH32" s="472">
        <v>0</v>
      </c>
      <c r="AI32" s="472">
        <v>0</v>
      </c>
      <c r="AJ32" s="478">
        <v>0</v>
      </c>
      <c r="AK32" s="472">
        <v>0</v>
      </c>
      <c r="AL32" s="472">
        <v>0</v>
      </c>
      <c r="AM32" s="472">
        <v>0</v>
      </c>
      <c r="AN32" s="478">
        <v>0</v>
      </c>
    </row>
    <row r="33" spans="1:40" ht="15.8" customHeight="1" thickBot="1" x14ac:dyDescent="0.3">
      <c r="A33" s="828" t="s">
        <v>953</v>
      </c>
      <c r="B33" s="828" t="s">
        <v>141</v>
      </c>
      <c r="C33" s="829" t="s">
        <v>503</v>
      </c>
      <c r="D33" s="830" t="s">
        <v>299</v>
      </c>
      <c r="E33" s="830" t="s">
        <v>47</v>
      </c>
      <c r="F33" s="600"/>
      <c r="G33" s="600"/>
      <c r="H33" s="600"/>
      <c r="I33" s="600"/>
      <c r="J33" s="600"/>
      <c r="K33" s="600"/>
      <c r="L33" s="600"/>
      <c r="M33" s="600"/>
      <c r="N33" s="600"/>
      <c r="O33" s="600"/>
      <c r="P33" s="600"/>
      <c r="Q33" s="600"/>
      <c r="R33" s="600"/>
      <c r="S33" s="601" t="s">
        <v>954</v>
      </c>
      <c r="T33" s="602"/>
      <c r="U33" s="601"/>
      <c r="V33" s="601"/>
      <c r="W33" s="601"/>
      <c r="X33" s="601"/>
      <c r="Y33" s="601"/>
      <c r="Z33" s="601"/>
      <c r="AA33" s="601"/>
      <c r="AB33" s="601"/>
      <c r="AC33" s="601"/>
      <c r="AD33" s="601"/>
      <c r="AE33" s="601"/>
      <c r="AF33" s="601"/>
      <c r="AG33" s="601"/>
      <c r="AH33" s="601"/>
      <c r="AI33" s="601"/>
      <c r="AJ33" s="603"/>
      <c r="AK33" s="601"/>
      <c r="AL33" s="601"/>
      <c r="AM33" s="601"/>
      <c r="AN33" s="603"/>
    </row>
    <row r="34" spans="1:40" ht="15.8" customHeight="1" thickBot="1" x14ac:dyDescent="0.3">
      <c r="A34" s="893" t="s">
        <v>952</v>
      </c>
      <c r="B34" s="893" t="s">
        <v>140</v>
      </c>
      <c r="C34" s="894" t="s">
        <v>955</v>
      </c>
      <c r="D34" s="895" t="s">
        <v>36</v>
      </c>
      <c r="E34" s="896" t="s">
        <v>34</v>
      </c>
      <c r="F34" s="787">
        <v>19</v>
      </c>
      <c r="G34" s="787">
        <v>34</v>
      </c>
      <c r="H34" s="787" t="s">
        <v>77</v>
      </c>
      <c r="I34" s="787" t="s">
        <v>77</v>
      </c>
      <c r="J34" s="787">
        <v>2</v>
      </c>
      <c r="K34" s="787">
        <v>0</v>
      </c>
      <c r="L34" s="787">
        <v>0</v>
      </c>
      <c r="M34" s="787">
        <v>3</v>
      </c>
      <c r="N34" s="787">
        <v>1</v>
      </c>
      <c r="O34" s="787">
        <v>0</v>
      </c>
      <c r="P34" s="787" t="s">
        <v>77</v>
      </c>
      <c r="Q34" s="787" t="s">
        <v>77</v>
      </c>
      <c r="R34" s="787">
        <v>4</v>
      </c>
      <c r="S34" s="788">
        <v>4800</v>
      </c>
      <c r="T34" s="789" t="s">
        <v>965</v>
      </c>
      <c r="U34" s="788" t="s">
        <v>574</v>
      </c>
      <c r="V34" s="788" t="s">
        <v>612</v>
      </c>
      <c r="W34" s="788" t="s">
        <v>643</v>
      </c>
      <c r="X34" s="788" t="s">
        <v>569</v>
      </c>
      <c r="Y34" s="788">
        <v>1</v>
      </c>
      <c r="Z34" s="788">
        <v>0</v>
      </c>
      <c r="AA34" s="788">
        <v>0</v>
      </c>
      <c r="AB34" s="788">
        <v>1</v>
      </c>
      <c r="AC34" s="788">
        <v>0</v>
      </c>
      <c r="AD34" s="788">
        <v>0</v>
      </c>
      <c r="AE34" s="788">
        <v>0</v>
      </c>
      <c r="AF34" s="788">
        <v>0</v>
      </c>
      <c r="AG34" s="788">
        <v>1</v>
      </c>
      <c r="AH34" s="788">
        <v>0</v>
      </c>
      <c r="AI34" s="788">
        <v>0</v>
      </c>
      <c r="AJ34" s="790">
        <v>1</v>
      </c>
      <c r="AK34" s="788">
        <v>0</v>
      </c>
      <c r="AL34" s="788">
        <v>0</v>
      </c>
      <c r="AM34" s="788">
        <v>0</v>
      </c>
      <c r="AN34" s="790">
        <v>0</v>
      </c>
    </row>
    <row r="35" spans="1:40" ht="15.8" customHeight="1" thickBot="1" x14ac:dyDescent="0.3">
      <c r="A35" s="474" t="s">
        <v>950</v>
      </c>
      <c r="B35" s="474" t="s">
        <v>199</v>
      </c>
      <c r="C35" s="487" t="s">
        <v>165</v>
      </c>
      <c r="D35" s="488" t="s">
        <v>36</v>
      </c>
      <c r="E35" s="475" t="s">
        <v>34</v>
      </c>
      <c r="F35" s="463">
        <v>3</v>
      </c>
      <c r="G35" s="463">
        <v>40</v>
      </c>
      <c r="H35" s="463">
        <v>0</v>
      </c>
      <c r="I35" s="463">
        <v>0</v>
      </c>
      <c r="J35" s="463">
        <v>0</v>
      </c>
      <c r="K35" s="463">
        <v>0</v>
      </c>
      <c r="L35" s="463">
        <v>0</v>
      </c>
      <c r="M35" s="463">
        <v>1</v>
      </c>
      <c r="N35" s="463">
        <v>2</v>
      </c>
      <c r="O35" s="463">
        <v>0</v>
      </c>
      <c r="P35" s="463">
        <v>1</v>
      </c>
      <c r="Q35" s="463">
        <v>0</v>
      </c>
      <c r="R35" s="463">
        <v>6</v>
      </c>
      <c r="S35" s="464">
        <v>0</v>
      </c>
      <c r="T35" s="485" t="s">
        <v>923</v>
      </c>
      <c r="U35" s="464" t="s">
        <v>326</v>
      </c>
      <c r="V35" s="464" t="s">
        <v>396</v>
      </c>
      <c r="W35" s="464" t="s">
        <v>463</v>
      </c>
      <c r="X35" s="464" t="s">
        <v>316</v>
      </c>
      <c r="Y35" s="464">
        <v>1</v>
      </c>
      <c r="Z35" s="464">
        <v>0</v>
      </c>
      <c r="AA35" s="464">
        <v>0</v>
      </c>
      <c r="AB35" s="464">
        <v>1</v>
      </c>
      <c r="AC35" s="464">
        <v>0</v>
      </c>
      <c r="AD35" s="464">
        <v>0</v>
      </c>
      <c r="AE35" s="464">
        <v>0</v>
      </c>
      <c r="AF35" s="464">
        <v>0</v>
      </c>
      <c r="AG35" s="464">
        <v>1</v>
      </c>
      <c r="AH35" s="464">
        <v>0</v>
      </c>
      <c r="AI35" s="464">
        <v>0</v>
      </c>
      <c r="AJ35" s="466">
        <v>1</v>
      </c>
      <c r="AK35" s="464">
        <v>0</v>
      </c>
      <c r="AL35" s="464">
        <v>0</v>
      </c>
      <c r="AM35" s="464">
        <v>0</v>
      </c>
      <c r="AN35" s="466">
        <v>0</v>
      </c>
    </row>
    <row r="36" spans="1:40" ht="15.8" customHeight="1" thickBot="1" x14ac:dyDescent="0.3">
      <c r="A36" s="496" t="s">
        <v>357</v>
      </c>
      <c r="B36" s="496" t="s">
        <v>199</v>
      </c>
      <c r="C36" s="476" t="s">
        <v>9</v>
      </c>
      <c r="D36" s="501" t="s">
        <v>299</v>
      </c>
      <c r="E36" s="497" t="s">
        <v>34</v>
      </c>
      <c r="F36" s="471">
        <v>26</v>
      </c>
      <c r="G36" s="471">
        <v>32</v>
      </c>
      <c r="H36" s="471">
        <v>0</v>
      </c>
      <c r="I36" s="471">
        <v>1</v>
      </c>
      <c r="J36" s="471">
        <v>3</v>
      </c>
      <c r="K36" s="471">
        <v>1</v>
      </c>
      <c r="L36" s="471">
        <v>0</v>
      </c>
      <c r="M36" s="471">
        <v>3</v>
      </c>
      <c r="N36" s="471">
        <v>0</v>
      </c>
      <c r="O36" s="471">
        <v>0</v>
      </c>
      <c r="P36" s="471">
        <v>1</v>
      </c>
      <c r="Q36" s="471">
        <v>0</v>
      </c>
      <c r="R36" s="471">
        <v>4</v>
      </c>
      <c r="S36" s="472">
        <v>0</v>
      </c>
      <c r="T36" s="477" t="s">
        <v>996</v>
      </c>
      <c r="U36" s="472" t="s">
        <v>550</v>
      </c>
      <c r="V36" s="472" t="s">
        <v>352</v>
      </c>
      <c r="W36" s="472" t="s">
        <v>350</v>
      </c>
      <c r="X36" s="472" t="s">
        <v>401</v>
      </c>
      <c r="Y36" s="472">
        <v>1</v>
      </c>
      <c r="Z36" s="472">
        <v>0</v>
      </c>
      <c r="AA36" s="472">
        <v>0</v>
      </c>
      <c r="AB36" s="472">
        <v>1</v>
      </c>
      <c r="AC36" s="472">
        <v>1</v>
      </c>
      <c r="AD36" s="472">
        <v>0</v>
      </c>
      <c r="AE36" s="472">
        <v>0</v>
      </c>
      <c r="AF36" s="472">
        <v>1</v>
      </c>
      <c r="AG36" s="472">
        <v>0</v>
      </c>
      <c r="AH36" s="472">
        <v>0</v>
      </c>
      <c r="AI36" s="472">
        <v>0</v>
      </c>
      <c r="AJ36" s="478">
        <v>0</v>
      </c>
      <c r="AK36" s="472">
        <v>0</v>
      </c>
      <c r="AL36" s="472">
        <v>0</v>
      </c>
      <c r="AM36" s="472">
        <v>0</v>
      </c>
      <c r="AN36" s="478">
        <v>0</v>
      </c>
    </row>
    <row r="37" spans="1:40" ht="14.95" customHeight="1" thickBot="1" x14ac:dyDescent="0.3">
      <c r="A37" s="505"/>
      <c r="B37" s="506"/>
      <c r="C37" s="1000" t="s">
        <v>105</v>
      </c>
      <c r="D37" s="1001"/>
      <c r="E37" s="1002"/>
      <c r="F37" s="491">
        <f t="shared" ref="F37:R37" si="1">SUM(F7+F8+F9+F10+F13+F16+F17+F18+F21+F22+F23+F24+F25+F26+F27+F28+F29+F30+F31+F32+F35+F36)</f>
        <v>374</v>
      </c>
      <c r="G37" s="491">
        <f t="shared" si="1"/>
        <v>609</v>
      </c>
      <c r="H37" s="491">
        <f t="shared" si="1"/>
        <v>1</v>
      </c>
      <c r="I37" s="491">
        <f t="shared" si="1"/>
        <v>2</v>
      </c>
      <c r="J37" s="491">
        <f t="shared" si="1"/>
        <v>35</v>
      </c>
      <c r="K37" s="491">
        <f t="shared" si="1"/>
        <v>25</v>
      </c>
      <c r="L37" s="491">
        <f t="shared" si="1"/>
        <v>2</v>
      </c>
      <c r="M37" s="491">
        <f t="shared" si="1"/>
        <v>46</v>
      </c>
      <c r="N37" s="491">
        <f t="shared" si="1"/>
        <v>13</v>
      </c>
      <c r="O37" s="491">
        <f t="shared" si="1"/>
        <v>0</v>
      </c>
      <c r="P37" s="491">
        <f t="shared" si="1"/>
        <v>11</v>
      </c>
      <c r="Q37" s="491">
        <f t="shared" si="1"/>
        <v>3</v>
      </c>
      <c r="R37" s="491">
        <f t="shared" si="1"/>
        <v>79</v>
      </c>
      <c r="S37" s="502"/>
      <c r="T37" s="502"/>
      <c r="U37" s="502"/>
      <c r="V37" s="500"/>
      <c r="W37" s="500"/>
      <c r="X37" s="883" t="s">
        <v>105</v>
      </c>
      <c r="Y37" s="491">
        <f t="shared" ref="Y37:AN37" si="2">SUM(Y7+Y8+Y9+Y10+Y13+Y16+Y17+Y18+Y21+Y22+Y23+Y24+Y25+Y26+Y27+Y28+Y29+Y30+Y31+Y32+Y35+Y36)</f>
        <v>22</v>
      </c>
      <c r="Z37" s="491">
        <f t="shared" si="2"/>
        <v>6</v>
      </c>
      <c r="AA37" s="491">
        <f t="shared" si="2"/>
        <v>1</v>
      </c>
      <c r="AB37" s="491">
        <f t="shared" si="2"/>
        <v>15</v>
      </c>
      <c r="AC37" s="501">
        <f t="shared" si="2"/>
        <v>11</v>
      </c>
      <c r="AD37" s="501">
        <f t="shared" si="2"/>
        <v>6</v>
      </c>
      <c r="AE37" s="501">
        <f t="shared" si="2"/>
        <v>0</v>
      </c>
      <c r="AF37" s="501">
        <f t="shared" si="2"/>
        <v>5</v>
      </c>
      <c r="AG37" s="488">
        <f t="shared" si="2"/>
        <v>11</v>
      </c>
      <c r="AH37" s="488">
        <f t="shared" si="2"/>
        <v>0</v>
      </c>
      <c r="AI37" s="488">
        <f t="shared" si="2"/>
        <v>1</v>
      </c>
      <c r="AJ37" s="488">
        <f t="shared" si="2"/>
        <v>10</v>
      </c>
      <c r="AK37" s="491">
        <f t="shared" si="2"/>
        <v>0</v>
      </c>
      <c r="AL37" s="491">
        <f t="shared" si="2"/>
        <v>0</v>
      </c>
      <c r="AM37" s="491">
        <f t="shared" si="2"/>
        <v>0</v>
      </c>
      <c r="AN37" s="491">
        <f t="shared" si="2"/>
        <v>0</v>
      </c>
    </row>
    <row r="38" spans="1:40" ht="14.95" customHeight="1" thickBot="1" x14ac:dyDescent="0.3">
      <c r="A38" s="499"/>
      <c r="B38" s="499"/>
      <c r="C38" s="1000" t="s">
        <v>197</v>
      </c>
      <c r="D38" s="1001"/>
      <c r="E38" s="1002"/>
      <c r="F38" s="491">
        <v>0</v>
      </c>
      <c r="G38" s="491">
        <v>0</v>
      </c>
      <c r="H38" s="492">
        <v>0</v>
      </c>
      <c r="I38" s="492">
        <v>0</v>
      </c>
      <c r="J38" s="491">
        <v>0</v>
      </c>
      <c r="K38" s="491">
        <v>0</v>
      </c>
      <c r="L38" s="491">
        <v>0</v>
      </c>
      <c r="M38" s="491">
        <v>0</v>
      </c>
      <c r="N38" s="491">
        <v>0</v>
      </c>
      <c r="O38" s="491">
        <v>0</v>
      </c>
      <c r="P38" s="492">
        <v>0</v>
      </c>
      <c r="Q38" s="492">
        <v>0</v>
      </c>
      <c r="R38" s="491">
        <v>0</v>
      </c>
      <c r="S38" s="502"/>
      <c r="T38" s="502"/>
      <c r="U38" s="502"/>
      <c r="V38" s="502"/>
      <c r="W38" s="500"/>
      <c r="X38" s="883" t="s">
        <v>197</v>
      </c>
      <c r="Y38" s="491">
        <v>0</v>
      </c>
      <c r="Z38" s="491">
        <v>0</v>
      </c>
      <c r="AA38" s="491">
        <v>0</v>
      </c>
      <c r="AB38" s="491">
        <v>0</v>
      </c>
      <c r="AC38" s="501">
        <v>0</v>
      </c>
      <c r="AD38" s="501">
        <v>0</v>
      </c>
      <c r="AE38" s="501">
        <v>0</v>
      </c>
      <c r="AF38" s="501">
        <v>0</v>
      </c>
      <c r="AG38" s="475">
        <v>0</v>
      </c>
      <c r="AH38" s="475">
        <v>0</v>
      </c>
      <c r="AI38" s="475">
        <v>0</v>
      </c>
      <c r="AJ38" s="475">
        <v>0</v>
      </c>
      <c r="AK38" s="491">
        <v>0</v>
      </c>
      <c r="AL38" s="491">
        <v>0</v>
      </c>
      <c r="AM38" s="491">
        <v>0</v>
      </c>
      <c r="AN38" s="491">
        <v>0</v>
      </c>
    </row>
    <row r="39" spans="1:40" ht="15.8" customHeight="1" thickBot="1" x14ac:dyDescent="0.3">
      <c r="A39" s="499"/>
      <c r="B39" s="499"/>
      <c r="C39" s="1000" t="s">
        <v>219</v>
      </c>
      <c r="D39" s="1001"/>
      <c r="E39" s="1002"/>
      <c r="F39" s="491">
        <f>SUM(F37+F38)</f>
        <v>374</v>
      </c>
      <c r="G39" s="491">
        <f t="shared" ref="G39:R39" si="3">SUM(G37+G38)</f>
        <v>609</v>
      </c>
      <c r="H39" s="491">
        <f t="shared" si="3"/>
        <v>1</v>
      </c>
      <c r="I39" s="491">
        <f t="shared" si="3"/>
        <v>2</v>
      </c>
      <c r="J39" s="491">
        <f t="shared" si="3"/>
        <v>35</v>
      </c>
      <c r="K39" s="491">
        <f t="shared" si="3"/>
        <v>25</v>
      </c>
      <c r="L39" s="491">
        <f t="shared" si="3"/>
        <v>2</v>
      </c>
      <c r="M39" s="491">
        <f t="shared" si="3"/>
        <v>46</v>
      </c>
      <c r="N39" s="491">
        <f t="shared" si="3"/>
        <v>13</v>
      </c>
      <c r="O39" s="491">
        <f t="shared" si="3"/>
        <v>0</v>
      </c>
      <c r="P39" s="491">
        <f t="shared" si="3"/>
        <v>11</v>
      </c>
      <c r="Q39" s="491">
        <f t="shared" si="3"/>
        <v>3</v>
      </c>
      <c r="R39" s="491">
        <f t="shared" si="3"/>
        <v>79</v>
      </c>
      <c r="S39" s="502"/>
      <c r="T39" s="502"/>
      <c r="U39" s="502"/>
      <c r="V39" s="502"/>
      <c r="W39" s="500"/>
      <c r="X39" s="883" t="s">
        <v>219</v>
      </c>
      <c r="Y39" s="491">
        <f t="shared" ref="Y39:AN39" si="4">SUM(Y37+Y38)</f>
        <v>22</v>
      </c>
      <c r="Z39" s="491">
        <f t="shared" si="4"/>
        <v>6</v>
      </c>
      <c r="AA39" s="491">
        <f t="shared" si="4"/>
        <v>1</v>
      </c>
      <c r="AB39" s="491">
        <f t="shared" si="4"/>
        <v>15</v>
      </c>
      <c r="AC39" s="501">
        <f t="shared" si="4"/>
        <v>11</v>
      </c>
      <c r="AD39" s="501">
        <f t="shared" si="4"/>
        <v>6</v>
      </c>
      <c r="AE39" s="501">
        <f t="shared" si="4"/>
        <v>0</v>
      </c>
      <c r="AF39" s="501">
        <f t="shared" si="4"/>
        <v>5</v>
      </c>
      <c r="AG39" s="488">
        <f t="shared" si="4"/>
        <v>11</v>
      </c>
      <c r="AH39" s="488">
        <f t="shared" si="4"/>
        <v>0</v>
      </c>
      <c r="AI39" s="488">
        <f t="shared" si="4"/>
        <v>1</v>
      </c>
      <c r="AJ39" s="488">
        <f t="shared" si="4"/>
        <v>10</v>
      </c>
      <c r="AK39" s="491">
        <f t="shared" si="4"/>
        <v>0</v>
      </c>
      <c r="AL39" s="491">
        <f t="shared" si="4"/>
        <v>0</v>
      </c>
      <c r="AM39" s="491">
        <f t="shared" si="4"/>
        <v>0</v>
      </c>
      <c r="AN39" s="491">
        <f t="shared" si="4"/>
        <v>0</v>
      </c>
    </row>
    <row r="40" spans="1:40" ht="14.95" customHeight="1" thickBot="1" x14ac:dyDescent="0.3">
      <c r="A40" s="100"/>
      <c r="C40" s="1025" t="s">
        <v>261</v>
      </c>
      <c r="D40" s="1026"/>
      <c r="E40" s="1027"/>
      <c r="F40" s="419">
        <f t="shared" ref="F40:R40" si="5">SUM(F11+F12+F14+F15+F19+F20)</f>
        <v>181</v>
      </c>
      <c r="G40" s="419">
        <f t="shared" si="5"/>
        <v>95</v>
      </c>
      <c r="H40" s="419">
        <f t="shared" si="5"/>
        <v>2</v>
      </c>
      <c r="I40" s="419">
        <f t="shared" si="5"/>
        <v>1</v>
      </c>
      <c r="J40" s="419">
        <f t="shared" si="5"/>
        <v>23</v>
      </c>
      <c r="K40" s="419">
        <f t="shared" si="5"/>
        <v>18</v>
      </c>
      <c r="L40" s="419">
        <f t="shared" si="5"/>
        <v>2</v>
      </c>
      <c r="M40" s="419">
        <f t="shared" si="5"/>
        <v>8</v>
      </c>
      <c r="N40" s="419">
        <f t="shared" si="5"/>
        <v>4</v>
      </c>
      <c r="O40" s="419">
        <f t="shared" si="5"/>
        <v>0</v>
      </c>
      <c r="P40" s="419">
        <f t="shared" si="5"/>
        <v>0</v>
      </c>
      <c r="Q40" s="419">
        <f t="shared" si="5"/>
        <v>2</v>
      </c>
      <c r="R40" s="419">
        <f t="shared" si="5"/>
        <v>10</v>
      </c>
      <c r="S40" s="159"/>
      <c r="T40" s="159"/>
      <c r="U40" s="159"/>
      <c r="V40" s="159"/>
      <c r="W40" s="407"/>
      <c r="X40" s="891" t="s">
        <v>261</v>
      </c>
      <c r="Y40" s="419">
        <f t="shared" ref="Y40:AN40" si="6">SUM(Y11+Y12+Y14+Y15+Y19+Y20)</f>
        <v>6</v>
      </c>
      <c r="Z40" s="416">
        <f t="shared" si="6"/>
        <v>5</v>
      </c>
      <c r="AA40" s="416">
        <f t="shared" si="6"/>
        <v>0</v>
      </c>
      <c r="AB40" s="416">
        <f t="shared" si="6"/>
        <v>1</v>
      </c>
      <c r="AC40" s="414">
        <f t="shared" si="6"/>
        <v>3</v>
      </c>
      <c r="AD40" s="414">
        <f t="shared" si="6"/>
        <v>3</v>
      </c>
      <c r="AE40" s="414">
        <f t="shared" si="6"/>
        <v>0</v>
      </c>
      <c r="AF40" s="414">
        <f t="shared" si="6"/>
        <v>0</v>
      </c>
      <c r="AG40" s="415">
        <f t="shared" si="6"/>
        <v>3</v>
      </c>
      <c r="AH40" s="415">
        <f t="shared" si="6"/>
        <v>2</v>
      </c>
      <c r="AI40" s="415">
        <f t="shared" si="6"/>
        <v>0</v>
      </c>
      <c r="AJ40" s="415">
        <f t="shared" si="6"/>
        <v>1</v>
      </c>
      <c r="AK40" s="416">
        <f t="shared" si="6"/>
        <v>0</v>
      </c>
      <c r="AL40" s="416">
        <f t="shared" si="6"/>
        <v>0</v>
      </c>
      <c r="AM40" s="416">
        <f t="shared" si="6"/>
        <v>0</v>
      </c>
      <c r="AN40" s="416">
        <f t="shared" si="6"/>
        <v>0</v>
      </c>
    </row>
    <row r="41" spans="1:40" ht="14.95" customHeight="1" thickBot="1" x14ac:dyDescent="0.3">
      <c r="A41" s="100"/>
      <c r="C41" s="1025" t="s">
        <v>262</v>
      </c>
      <c r="D41" s="1026"/>
      <c r="E41" s="1027"/>
      <c r="F41" s="419">
        <f>SUM(F34)</f>
        <v>19</v>
      </c>
      <c r="G41" s="419">
        <f>SUM(G34)</f>
        <v>34</v>
      </c>
      <c r="H41" s="416" t="s">
        <v>77</v>
      </c>
      <c r="I41" s="416" t="s">
        <v>77</v>
      </c>
      <c r="J41" s="419">
        <f t="shared" ref="J41:O41" si="7">SUM(J34)</f>
        <v>2</v>
      </c>
      <c r="K41" s="419">
        <f t="shared" si="7"/>
        <v>0</v>
      </c>
      <c r="L41" s="419">
        <f t="shared" si="7"/>
        <v>0</v>
      </c>
      <c r="M41" s="419">
        <f t="shared" si="7"/>
        <v>3</v>
      </c>
      <c r="N41" s="419">
        <f t="shared" si="7"/>
        <v>1</v>
      </c>
      <c r="O41" s="419">
        <f t="shared" si="7"/>
        <v>0</v>
      </c>
      <c r="P41" s="416" t="s">
        <v>77</v>
      </c>
      <c r="Q41" s="416" t="s">
        <v>77</v>
      </c>
      <c r="R41" s="419">
        <f>SUM(R34)</f>
        <v>4</v>
      </c>
      <c r="S41" s="159"/>
      <c r="T41" s="159"/>
      <c r="U41" s="159"/>
      <c r="V41" s="159"/>
      <c r="W41" s="407"/>
      <c r="X41" s="891" t="s">
        <v>262</v>
      </c>
      <c r="Y41" s="419">
        <f t="shared" ref="Y41:AN41" si="8">SUM(Y34)</f>
        <v>1</v>
      </c>
      <c r="Z41" s="419">
        <f t="shared" si="8"/>
        <v>0</v>
      </c>
      <c r="AA41" s="419">
        <f t="shared" si="8"/>
        <v>0</v>
      </c>
      <c r="AB41" s="419">
        <f t="shared" si="8"/>
        <v>1</v>
      </c>
      <c r="AC41" s="417">
        <f t="shared" si="8"/>
        <v>0</v>
      </c>
      <c r="AD41" s="417">
        <f t="shared" si="8"/>
        <v>0</v>
      </c>
      <c r="AE41" s="417">
        <f t="shared" si="8"/>
        <v>0</v>
      </c>
      <c r="AF41" s="417">
        <f t="shared" si="8"/>
        <v>0</v>
      </c>
      <c r="AG41" s="418">
        <f t="shared" si="8"/>
        <v>1</v>
      </c>
      <c r="AH41" s="418">
        <f t="shared" si="8"/>
        <v>0</v>
      </c>
      <c r="AI41" s="418">
        <f t="shared" si="8"/>
        <v>0</v>
      </c>
      <c r="AJ41" s="418">
        <f t="shared" si="8"/>
        <v>1</v>
      </c>
      <c r="AK41" s="419">
        <f t="shared" si="8"/>
        <v>0</v>
      </c>
      <c r="AL41" s="419">
        <f t="shared" si="8"/>
        <v>0</v>
      </c>
      <c r="AM41" s="419">
        <f t="shared" si="8"/>
        <v>0</v>
      </c>
      <c r="AN41" s="419">
        <f t="shared" si="8"/>
        <v>0</v>
      </c>
    </row>
    <row r="42" spans="1:40" ht="15.8" customHeight="1" thickBot="1" x14ac:dyDescent="0.3">
      <c r="A42" s="100"/>
      <c r="C42" s="1028" t="s">
        <v>263</v>
      </c>
      <c r="D42" s="1026"/>
      <c r="E42" s="1027"/>
      <c r="F42" s="396">
        <f>SUM(F40+F41)</f>
        <v>200</v>
      </c>
      <c r="G42" s="396">
        <f t="shared" ref="G42:R42" si="9">SUM(G40+G41)</f>
        <v>129</v>
      </c>
      <c r="H42" s="396">
        <f>SUM(H40)</f>
        <v>2</v>
      </c>
      <c r="I42" s="396">
        <f>SUM(I40)</f>
        <v>1</v>
      </c>
      <c r="J42" s="396">
        <f t="shared" si="9"/>
        <v>25</v>
      </c>
      <c r="K42" s="396">
        <f t="shared" si="9"/>
        <v>18</v>
      </c>
      <c r="L42" s="396">
        <f t="shared" si="9"/>
        <v>2</v>
      </c>
      <c r="M42" s="396">
        <f t="shared" si="9"/>
        <v>11</v>
      </c>
      <c r="N42" s="396">
        <f t="shared" si="9"/>
        <v>5</v>
      </c>
      <c r="O42" s="396">
        <f t="shared" si="9"/>
        <v>0</v>
      </c>
      <c r="P42" s="396">
        <f t="shared" ref="P42:Q42" si="10">SUM(P40)</f>
        <v>0</v>
      </c>
      <c r="Q42" s="396">
        <f t="shared" si="10"/>
        <v>2</v>
      </c>
      <c r="R42" s="396">
        <f t="shared" si="9"/>
        <v>14</v>
      </c>
      <c r="S42" s="159"/>
      <c r="T42" s="159"/>
      <c r="U42" s="159"/>
      <c r="V42" s="159"/>
      <c r="W42" s="160"/>
      <c r="X42" s="892" t="s">
        <v>263</v>
      </c>
      <c r="Y42" s="396">
        <f t="shared" ref="Y42:AN42" si="11">SUM(Y40+Y41)</f>
        <v>7</v>
      </c>
      <c r="Z42" s="396">
        <f t="shared" si="11"/>
        <v>5</v>
      </c>
      <c r="AA42" s="396">
        <f t="shared" si="11"/>
        <v>0</v>
      </c>
      <c r="AB42" s="396">
        <f t="shared" si="11"/>
        <v>2</v>
      </c>
      <c r="AC42" s="394">
        <f t="shared" si="11"/>
        <v>3</v>
      </c>
      <c r="AD42" s="394">
        <f t="shared" si="11"/>
        <v>3</v>
      </c>
      <c r="AE42" s="394">
        <f t="shared" si="11"/>
        <v>0</v>
      </c>
      <c r="AF42" s="394">
        <f t="shared" si="11"/>
        <v>0</v>
      </c>
      <c r="AG42" s="395">
        <f t="shared" si="11"/>
        <v>4</v>
      </c>
      <c r="AH42" s="395">
        <f t="shared" si="11"/>
        <v>2</v>
      </c>
      <c r="AI42" s="395">
        <f t="shared" si="11"/>
        <v>0</v>
      </c>
      <c r="AJ42" s="395">
        <f t="shared" si="11"/>
        <v>2</v>
      </c>
      <c r="AK42" s="396">
        <f t="shared" si="11"/>
        <v>0</v>
      </c>
      <c r="AL42" s="396">
        <f t="shared" si="11"/>
        <v>0</v>
      </c>
      <c r="AM42" s="396">
        <f t="shared" si="11"/>
        <v>0</v>
      </c>
      <c r="AN42" s="396">
        <f t="shared" si="11"/>
        <v>0</v>
      </c>
    </row>
    <row r="43" spans="1:40" ht="14.95" customHeight="1" thickBot="1" x14ac:dyDescent="0.3">
      <c r="A43" s="100"/>
      <c r="C43" s="977" t="s">
        <v>227</v>
      </c>
      <c r="D43" s="978"/>
      <c r="E43" s="979"/>
      <c r="F43" s="541">
        <f t="shared" ref="F43:R43" si="12">SUM(F3+F4+F5+F6)</f>
        <v>90</v>
      </c>
      <c r="G43" s="541">
        <f t="shared" si="12"/>
        <v>102</v>
      </c>
      <c r="H43" s="541">
        <f t="shared" si="12"/>
        <v>2</v>
      </c>
      <c r="I43" s="541">
        <f t="shared" si="12"/>
        <v>0</v>
      </c>
      <c r="J43" s="541">
        <f t="shared" si="12"/>
        <v>12</v>
      </c>
      <c r="K43" s="541">
        <f t="shared" si="12"/>
        <v>6</v>
      </c>
      <c r="L43" s="541">
        <f t="shared" si="12"/>
        <v>1</v>
      </c>
      <c r="M43" s="541">
        <f t="shared" si="12"/>
        <v>5</v>
      </c>
      <c r="N43" s="541">
        <f t="shared" si="12"/>
        <v>1</v>
      </c>
      <c r="O43" s="541">
        <f t="shared" si="12"/>
        <v>1</v>
      </c>
      <c r="P43" s="541">
        <f t="shared" si="12"/>
        <v>2</v>
      </c>
      <c r="Q43" s="541">
        <f t="shared" si="12"/>
        <v>0</v>
      </c>
      <c r="R43" s="541">
        <f t="shared" si="12"/>
        <v>17</v>
      </c>
      <c r="S43" s="534"/>
      <c r="T43" s="534"/>
      <c r="U43" s="534"/>
      <c r="V43" s="535"/>
      <c r="W43" s="535"/>
      <c r="X43" s="888" t="s">
        <v>227</v>
      </c>
      <c r="Y43" s="541">
        <f t="shared" ref="Y43:AN43" si="13">SUM(Y3+Y4+Y5+Y6)</f>
        <v>4</v>
      </c>
      <c r="Z43" s="541">
        <f t="shared" si="13"/>
        <v>2</v>
      </c>
      <c r="AA43" s="541">
        <f t="shared" si="13"/>
        <v>0</v>
      </c>
      <c r="AB43" s="541">
        <f t="shared" si="13"/>
        <v>2</v>
      </c>
      <c r="AC43" s="536">
        <f t="shared" si="13"/>
        <v>2</v>
      </c>
      <c r="AD43" s="536">
        <f t="shared" si="13"/>
        <v>1</v>
      </c>
      <c r="AE43" s="536">
        <f t="shared" si="13"/>
        <v>0</v>
      </c>
      <c r="AF43" s="536">
        <f t="shared" si="13"/>
        <v>1</v>
      </c>
      <c r="AG43" s="537">
        <f t="shared" si="13"/>
        <v>2</v>
      </c>
      <c r="AH43" s="537">
        <f t="shared" si="13"/>
        <v>1</v>
      </c>
      <c r="AI43" s="537">
        <f t="shared" si="13"/>
        <v>0</v>
      </c>
      <c r="AJ43" s="537">
        <f t="shared" si="13"/>
        <v>1</v>
      </c>
      <c r="AK43" s="538">
        <f t="shared" si="13"/>
        <v>0</v>
      </c>
      <c r="AL43" s="538">
        <f t="shared" si="13"/>
        <v>0</v>
      </c>
      <c r="AM43" s="538">
        <f t="shared" si="13"/>
        <v>0</v>
      </c>
      <c r="AN43" s="538">
        <f t="shared" si="13"/>
        <v>0</v>
      </c>
    </row>
    <row r="44" spans="1:40" ht="15.8" customHeight="1" thickBot="1" x14ac:dyDescent="0.3">
      <c r="C44" s="977" t="s">
        <v>228</v>
      </c>
      <c r="D44" s="978"/>
      <c r="E44" s="979"/>
      <c r="F44" s="541">
        <v>0</v>
      </c>
      <c r="G44" s="541">
        <v>0</v>
      </c>
      <c r="H44" s="538" t="s">
        <v>77</v>
      </c>
      <c r="I44" s="538" t="s">
        <v>77</v>
      </c>
      <c r="J44" s="541">
        <v>0</v>
      </c>
      <c r="K44" s="541">
        <v>0</v>
      </c>
      <c r="L44" s="541">
        <v>0</v>
      </c>
      <c r="M44" s="541">
        <v>0</v>
      </c>
      <c r="N44" s="541">
        <v>0</v>
      </c>
      <c r="O44" s="541">
        <v>0</v>
      </c>
      <c r="P44" s="538" t="s">
        <v>77</v>
      </c>
      <c r="Q44" s="538" t="s">
        <v>77</v>
      </c>
      <c r="R44" s="541">
        <v>0</v>
      </c>
      <c r="S44" s="534"/>
      <c r="T44" s="534"/>
      <c r="U44" s="534"/>
      <c r="V44" s="534"/>
      <c r="W44" s="535"/>
      <c r="X44" s="888" t="s">
        <v>228</v>
      </c>
      <c r="Y44" s="541">
        <v>0</v>
      </c>
      <c r="Z44" s="541">
        <v>0</v>
      </c>
      <c r="AA44" s="541">
        <v>0</v>
      </c>
      <c r="AB44" s="541">
        <v>0</v>
      </c>
      <c r="AC44" s="539">
        <v>0</v>
      </c>
      <c r="AD44" s="539">
        <v>0</v>
      </c>
      <c r="AE44" s="539">
        <v>0</v>
      </c>
      <c r="AF44" s="539">
        <v>0</v>
      </c>
      <c r="AG44" s="540">
        <v>0</v>
      </c>
      <c r="AH44" s="540">
        <v>0</v>
      </c>
      <c r="AI44" s="540">
        <v>0</v>
      </c>
      <c r="AJ44" s="540">
        <v>0</v>
      </c>
      <c r="AK44" s="541">
        <v>0</v>
      </c>
      <c r="AL44" s="541">
        <v>0</v>
      </c>
      <c r="AM44" s="541">
        <v>0</v>
      </c>
      <c r="AN44" s="541">
        <v>0</v>
      </c>
    </row>
    <row r="45" spans="1:40" ht="15.8" customHeight="1" thickBot="1" x14ac:dyDescent="0.3">
      <c r="C45" s="1010" t="s">
        <v>229</v>
      </c>
      <c r="D45" s="978"/>
      <c r="E45" s="979"/>
      <c r="F45" s="545">
        <f>SUM(F43+F44)</f>
        <v>90</v>
      </c>
      <c r="G45" s="545">
        <f t="shared" ref="G45:R45" si="14">SUM(G43+G44)</f>
        <v>102</v>
      </c>
      <c r="H45" s="545">
        <f>H43</f>
        <v>2</v>
      </c>
      <c r="I45" s="545">
        <f>I43</f>
        <v>0</v>
      </c>
      <c r="J45" s="545">
        <f t="shared" si="14"/>
        <v>12</v>
      </c>
      <c r="K45" s="545">
        <f t="shared" si="14"/>
        <v>6</v>
      </c>
      <c r="L45" s="545">
        <f t="shared" si="14"/>
        <v>1</v>
      </c>
      <c r="M45" s="545">
        <f t="shared" si="14"/>
        <v>5</v>
      </c>
      <c r="N45" s="545">
        <f t="shared" si="14"/>
        <v>1</v>
      </c>
      <c r="O45" s="545">
        <f t="shared" si="14"/>
        <v>1</v>
      </c>
      <c r="P45" s="545">
        <f t="shared" ref="P45:Q45" si="15">P43</f>
        <v>2</v>
      </c>
      <c r="Q45" s="545">
        <f t="shared" si="15"/>
        <v>0</v>
      </c>
      <c r="R45" s="545">
        <f t="shared" si="14"/>
        <v>17</v>
      </c>
      <c r="S45" s="534"/>
      <c r="T45" s="534"/>
      <c r="U45" s="534"/>
      <c r="V45" s="534"/>
      <c r="W45" s="542"/>
      <c r="X45" s="885" t="s">
        <v>229</v>
      </c>
      <c r="Y45" s="545">
        <f t="shared" ref="Y45:AN45" si="16">SUM(Y43+Y44)</f>
        <v>4</v>
      </c>
      <c r="Z45" s="545">
        <f t="shared" si="16"/>
        <v>2</v>
      </c>
      <c r="AA45" s="545">
        <f t="shared" si="16"/>
        <v>0</v>
      </c>
      <c r="AB45" s="545">
        <f t="shared" si="16"/>
        <v>2</v>
      </c>
      <c r="AC45" s="543">
        <f t="shared" si="16"/>
        <v>2</v>
      </c>
      <c r="AD45" s="543">
        <f t="shared" si="16"/>
        <v>1</v>
      </c>
      <c r="AE45" s="543">
        <f t="shared" si="16"/>
        <v>0</v>
      </c>
      <c r="AF45" s="543">
        <f t="shared" si="16"/>
        <v>1</v>
      </c>
      <c r="AG45" s="544">
        <f t="shared" si="16"/>
        <v>2</v>
      </c>
      <c r="AH45" s="544">
        <f t="shared" si="16"/>
        <v>1</v>
      </c>
      <c r="AI45" s="544">
        <f t="shared" si="16"/>
        <v>0</v>
      </c>
      <c r="AJ45" s="544">
        <f t="shared" si="16"/>
        <v>1</v>
      </c>
      <c r="AK45" s="545">
        <f t="shared" si="16"/>
        <v>0</v>
      </c>
      <c r="AL45" s="545">
        <f t="shared" si="16"/>
        <v>0</v>
      </c>
      <c r="AM45" s="545">
        <f t="shared" si="16"/>
        <v>0</v>
      </c>
      <c r="AN45" s="545">
        <f t="shared" si="16"/>
        <v>0</v>
      </c>
    </row>
    <row r="46" spans="1:40" ht="14.95" thickBot="1" x14ac:dyDescent="0.3">
      <c r="A46" s="100"/>
      <c r="C46" s="980" t="s">
        <v>63</v>
      </c>
      <c r="D46" s="981"/>
      <c r="E46" s="982"/>
      <c r="F46" s="378">
        <f t="shared" ref="F46:R46" si="17">SUM(F3:F36)</f>
        <v>664</v>
      </c>
      <c r="G46" s="378">
        <f t="shared" si="17"/>
        <v>840</v>
      </c>
      <c r="H46" s="378">
        <f t="shared" si="17"/>
        <v>5</v>
      </c>
      <c r="I46" s="378">
        <f t="shared" si="17"/>
        <v>3</v>
      </c>
      <c r="J46" s="378">
        <f t="shared" si="17"/>
        <v>72</v>
      </c>
      <c r="K46" s="378">
        <f t="shared" si="17"/>
        <v>49</v>
      </c>
      <c r="L46" s="378">
        <f t="shared" si="17"/>
        <v>5</v>
      </c>
      <c r="M46" s="378">
        <f t="shared" si="17"/>
        <v>62</v>
      </c>
      <c r="N46" s="378">
        <f t="shared" si="17"/>
        <v>19</v>
      </c>
      <c r="O46" s="378">
        <f t="shared" si="17"/>
        <v>1</v>
      </c>
      <c r="P46" s="378">
        <f t="shared" si="17"/>
        <v>13</v>
      </c>
      <c r="Q46" s="378">
        <f t="shared" si="17"/>
        <v>5</v>
      </c>
      <c r="R46" s="378">
        <f t="shared" si="17"/>
        <v>110</v>
      </c>
      <c r="S46" s="168"/>
      <c r="T46" s="168"/>
      <c r="U46" s="168"/>
      <c r="V46" s="169"/>
      <c r="W46" s="169"/>
      <c r="X46" s="886" t="s">
        <v>63</v>
      </c>
      <c r="Y46" s="378">
        <f t="shared" ref="Y46:AN46" si="18">SUM(Y3:Y36)</f>
        <v>33</v>
      </c>
      <c r="Z46" s="378">
        <f t="shared" si="18"/>
        <v>13</v>
      </c>
      <c r="AA46" s="378">
        <f t="shared" si="18"/>
        <v>1</v>
      </c>
      <c r="AB46" s="378">
        <f t="shared" si="18"/>
        <v>19</v>
      </c>
      <c r="AC46" s="66">
        <f t="shared" si="18"/>
        <v>16</v>
      </c>
      <c r="AD46" s="66">
        <f t="shared" si="18"/>
        <v>10</v>
      </c>
      <c r="AE46" s="66">
        <f t="shared" si="18"/>
        <v>0</v>
      </c>
      <c r="AF46" s="66">
        <f t="shared" si="18"/>
        <v>6</v>
      </c>
      <c r="AG46" s="377">
        <f t="shared" si="18"/>
        <v>17</v>
      </c>
      <c r="AH46" s="377">
        <f t="shared" si="18"/>
        <v>3</v>
      </c>
      <c r="AI46" s="377">
        <f t="shared" si="18"/>
        <v>1</v>
      </c>
      <c r="AJ46" s="377">
        <f t="shared" si="18"/>
        <v>13</v>
      </c>
      <c r="AK46" s="378">
        <f t="shared" si="18"/>
        <v>0</v>
      </c>
      <c r="AL46" s="378">
        <f t="shared" si="18"/>
        <v>0</v>
      </c>
      <c r="AM46" s="378">
        <f t="shared" si="18"/>
        <v>0</v>
      </c>
      <c r="AN46" s="378">
        <f t="shared" si="18"/>
        <v>0</v>
      </c>
    </row>
    <row r="47" spans="1:40" x14ac:dyDescent="0.25">
      <c r="A47" s="100" t="s">
        <v>683</v>
      </c>
    </row>
    <row r="48" spans="1:40" x14ac:dyDescent="0.25">
      <c r="A48" s="100" t="s">
        <v>878</v>
      </c>
    </row>
    <row r="49" spans="1:1" x14ac:dyDescent="0.25">
      <c r="A49" s="100" t="s">
        <v>107</v>
      </c>
    </row>
    <row r="50" spans="1:1" x14ac:dyDescent="0.25">
      <c r="A50" s="100" t="s">
        <v>87</v>
      </c>
    </row>
  </sheetData>
  <mergeCells count="24">
    <mergeCell ref="AZ4:BA4"/>
    <mergeCell ref="C40:E40"/>
    <mergeCell ref="C39:E39"/>
    <mergeCell ref="AT4:AU4"/>
    <mergeCell ref="C45:E45"/>
    <mergeCell ref="Y1:AB1"/>
    <mergeCell ref="AV4:AW4"/>
    <mergeCell ref="AX4:AY4"/>
    <mergeCell ref="AC1:AF1"/>
    <mergeCell ref="AG1:AJ1"/>
    <mergeCell ref="AK1:AN1"/>
    <mergeCell ref="C46:E46"/>
    <mergeCell ref="P1:R1"/>
    <mergeCell ref="A1:D1"/>
    <mergeCell ref="E1:G1"/>
    <mergeCell ref="H1:I1"/>
    <mergeCell ref="J1:M1"/>
    <mergeCell ref="N1:O1"/>
    <mergeCell ref="C44:E44"/>
    <mergeCell ref="C41:E41"/>
    <mergeCell ref="C43:E43"/>
    <mergeCell ref="C37:E37"/>
    <mergeCell ref="C38:E38"/>
    <mergeCell ref="C42:E4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C47"/>
  <sheetViews>
    <sheetView workbookViewId="0">
      <pane ySplit="2" topLeftCell="A3" activePane="bottomLeft" state="frozen"/>
      <selection pane="bottomLeft" activeCell="X29" sqref="X29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6" width="3.75" customWidth="1"/>
    <col min="7" max="7" width="4.125" customWidth="1"/>
    <col min="8" max="18" width="3.75" customWidth="1"/>
    <col min="19" max="20" width="5.75" customWidth="1"/>
    <col min="21" max="21" width="22.125" bestFit="1" customWidth="1"/>
    <col min="22" max="22" width="23.375" bestFit="1" customWidth="1"/>
    <col min="23" max="23" width="22.875" customWidth="1"/>
    <col min="24" max="24" width="26.25" bestFit="1" customWidth="1"/>
    <col min="25" max="40" width="3.75" customWidth="1"/>
    <col min="43" max="43" width="15.75" customWidth="1"/>
    <col min="46" max="46" width="11.75" bestFit="1" customWidth="1"/>
    <col min="47" max="47" width="6.75" customWidth="1"/>
    <col min="48" max="48" width="11.75" bestFit="1" customWidth="1"/>
    <col min="49" max="49" width="6.75" customWidth="1"/>
    <col min="50" max="50" width="11.75" bestFit="1" customWidth="1"/>
    <col min="51" max="51" width="6.75" customWidth="1"/>
    <col min="52" max="52" width="11.75" bestFit="1" customWidth="1"/>
    <col min="53" max="53" width="6.75" customWidth="1"/>
    <col min="54" max="54" width="11.75" bestFit="1" customWidth="1"/>
    <col min="55" max="55" width="6.75" customWidth="1"/>
  </cols>
  <sheetData>
    <row r="1" spans="1:55" ht="14.95" customHeight="1" thickBot="1" x14ac:dyDescent="0.3">
      <c r="A1" s="1111" t="s">
        <v>281</v>
      </c>
      <c r="B1" s="1112"/>
      <c r="C1" s="1112"/>
      <c r="D1" s="1113"/>
      <c r="E1" s="1114" t="s">
        <v>70</v>
      </c>
      <c r="F1" s="1115"/>
      <c r="G1" s="1116"/>
      <c r="H1" s="1114" t="s">
        <v>69</v>
      </c>
      <c r="I1" s="1116"/>
      <c r="J1" s="1108" t="s">
        <v>40</v>
      </c>
      <c r="K1" s="1109"/>
      <c r="L1" s="1109"/>
      <c r="M1" s="1110"/>
      <c r="N1" s="1108" t="s">
        <v>41</v>
      </c>
      <c r="O1" s="1110"/>
      <c r="P1" s="1108" t="s">
        <v>72</v>
      </c>
      <c r="Q1" s="1109"/>
      <c r="R1" s="1110"/>
      <c r="S1" s="837" t="s">
        <v>42</v>
      </c>
      <c r="T1" s="837" t="s">
        <v>43</v>
      </c>
      <c r="U1" s="838" t="s">
        <v>44</v>
      </c>
      <c r="V1" s="839" t="s">
        <v>45</v>
      </c>
      <c r="W1" s="839" t="s">
        <v>101</v>
      </c>
      <c r="X1" s="840" t="s">
        <v>102</v>
      </c>
      <c r="Y1" s="1102" t="s">
        <v>64</v>
      </c>
      <c r="Z1" s="1103"/>
      <c r="AA1" s="1103"/>
      <c r="AB1" s="1104"/>
      <c r="AC1" s="1102" t="s">
        <v>65</v>
      </c>
      <c r="AD1" s="1103"/>
      <c r="AE1" s="1103"/>
      <c r="AF1" s="1105"/>
      <c r="AG1" s="1102" t="s">
        <v>66</v>
      </c>
      <c r="AH1" s="1103"/>
      <c r="AI1" s="1103"/>
      <c r="AJ1" s="1105"/>
      <c r="AK1" s="1102" t="s">
        <v>137</v>
      </c>
      <c r="AL1" s="1103"/>
      <c r="AM1" s="1103"/>
      <c r="AN1" s="1105"/>
    </row>
    <row r="2" spans="1:55" ht="14.95" customHeight="1" thickBot="1" x14ac:dyDescent="0.3">
      <c r="A2" s="841" t="s">
        <v>62</v>
      </c>
      <c r="B2" s="842" t="s">
        <v>61</v>
      </c>
      <c r="C2" s="843" t="s">
        <v>60</v>
      </c>
      <c r="D2" s="843" t="s">
        <v>71</v>
      </c>
      <c r="E2" s="844" t="s">
        <v>50</v>
      </c>
      <c r="F2" s="844" t="s">
        <v>35</v>
      </c>
      <c r="G2" s="844" t="s">
        <v>36</v>
      </c>
      <c r="H2" s="845" t="s">
        <v>67</v>
      </c>
      <c r="I2" s="845" t="s">
        <v>68</v>
      </c>
      <c r="J2" s="845" t="s">
        <v>46</v>
      </c>
      <c r="K2" s="845" t="s">
        <v>47</v>
      </c>
      <c r="L2" s="845" t="s">
        <v>33</v>
      </c>
      <c r="M2" s="845" t="s">
        <v>48</v>
      </c>
      <c r="N2" s="845" t="s">
        <v>49</v>
      </c>
      <c r="O2" s="845" t="s">
        <v>50</v>
      </c>
      <c r="P2" s="845" t="s">
        <v>67</v>
      </c>
      <c r="Q2" s="845" t="s">
        <v>68</v>
      </c>
      <c r="R2" s="845" t="s">
        <v>46</v>
      </c>
      <c r="S2" s="846"/>
      <c r="T2" s="847"/>
      <c r="U2" s="848"/>
      <c r="V2" s="846"/>
      <c r="W2" s="839"/>
      <c r="X2" s="849"/>
      <c r="Y2" s="850" t="s">
        <v>31</v>
      </c>
      <c r="Z2" s="850" t="s">
        <v>32</v>
      </c>
      <c r="AA2" s="850" t="s">
        <v>33</v>
      </c>
      <c r="AB2" s="850" t="s">
        <v>34</v>
      </c>
      <c r="AC2" s="850" t="s">
        <v>31</v>
      </c>
      <c r="AD2" s="850" t="s">
        <v>32</v>
      </c>
      <c r="AE2" s="850" t="s">
        <v>33</v>
      </c>
      <c r="AF2" s="850" t="s">
        <v>34</v>
      </c>
      <c r="AG2" s="850" t="s">
        <v>31</v>
      </c>
      <c r="AH2" s="850" t="s">
        <v>32</v>
      </c>
      <c r="AI2" s="850" t="s">
        <v>33</v>
      </c>
      <c r="AJ2" s="850" t="s">
        <v>34</v>
      </c>
      <c r="AK2" s="850" t="s">
        <v>31</v>
      </c>
      <c r="AL2" s="850" t="s">
        <v>32</v>
      </c>
      <c r="AM2" s="850" t="s">
        <v>33</v>
      </c>
      <c r="AN2" s="850" t="s">
        <v>34</v>
      </c>
      <c r="AQ2" s="729" t="s">
        <v>291</v>
      </c>
      <c r="AR2" s="730"/>
      <c r="AS2" s="731"/>
      <c r="AT2" s="1106" t="s">
        <v>291</v>
      </c>
      <c r="AU2" s="1107"/>
    </row>
    <row r="3" spans="1:55" ht="14.95" customHeight="1" thickBot="1" x14ac:dyDescent="0.3">
      <c r="A3" s="581" t="s">
        <v>231</v>
      </c>
      <c r="B3" s="554" t="s">
        <v>222</v>
      </c>
      <c r="C3" s="555" t="s">
        <v>24</v>
      </c>
      <c r="D3" s="556" t="s">
        <v>36</v>
      </c>
      <c r="E3" s="556" t="s">
        <v>32</v>
      </c>
      <c r="F3" s="556">
        <v>49</v>
      </c>
      <c r="G3" s="556">
        <v>29</v>
      </c>
      <c r="H3" s="556">
        <v>1</v>
      </c>
      <c r="I3" s="556">
        <v>0</v>
      </c>
      <c r="J3" s="556">
        <v>7</v>
      </c>
      <c r="K3" s="556">
        <v>4</v>
      </c>
      <c r="L3" s="556">
        <v>0</v>
      </c>
      <c r="M3" s="556">
        <v>2</v>
      </c>
      <c r="N3" s="556">
        <v>1</v>
      </c>
      <c r="O3" s="556">
        <v>0</v>
      </c>
      <c r="P3" s="556">
        <v>1</v>
      </c>
      <c r="Q3" s="556">
        <v>0</v>
      </c>
      <c r="R3" s="556">
        <v>4</v>
      </c>
      <c r="S3" s="557">
        <v>11287</v>
      </c>
      <c r="T3" s="563" t="s">
        <v>311</v>
      </c>
      <c r="U3" s="559" t="s">
        <v>323</v>
      </c>
      <c r="V3" s="557" t="s">
        <v>202</v>
      </c>
      <c r="W3" s="557" t="s">
        <v>324</v>
      </c>
      <c r="X3" s="558" t="s">
        <v>325</v>
      </c>
      <c r="Y3" s="557">
        <v>1</v>
      </c>
      <c r="Z3" s="557">
        <v>1</v>
      </c>
      <c r="AA3" s="557">
        <v>0</v>
      </c>
      <c r="AB3" s="583">
        <v>0</v>
      </c>
      <c r="AC3" s="557">
        <v>0</v>
      </c>
      <c r="AD3" s="557">
        <v>0</v>
      </c>
      <c r="AE3" s="557">
        <v>0</v>
      </c>
      <c r="AF3" s="583">
        <v>0</v>
      </c>
      <c r="AG3" s="557">
        <v>1</v>
      </c>
      <c r="AH3" s="557">
        <v>1</v>
      </c>
      <c r="AI3" s="557">
        <v>0</v>
      </c>
      <c r="AJ3" s="558">
        <v>0</v>
      </c>
      <c r="AK3" s="557">
        <v>0</v>
      </c>
      <c r="AL3" s="557">
        <v>0</v>
      </c>
      <c r="AM3" s="557">
        <v>0</v>
      </c>
      <c r="AN3" s="558">
        <v>0</v>
      </c>
      <c r="AQ3" s="507" t="s">
        <v>171</v>
      </c>
      <c r="AT3" s="4" t="s">
        <v>177</v>
      </c>
    </row>
    <row r="4" spans="1:55" ht="14.95" customHeight="1" thickBot="1" x14ac:dyDescent="0.3">
      <c r="A4" s="546" t="s">
        <v>232</v>
      </c>
      <c r="B4" s="547" t="s">
        <v>222</v>
      </c>
      <c r="C4" s="548" t="s">
        <v>9</v>
      </c>
      <c r="D4" s="549" t="s">
        <v>299</v>
      </c>
      <c r="E4" s="549" t="s">
        <v>34</v>
      </c>
      <c r="F4" s="549">
        <v>18</v>
      </c>
      <c r="G4" s="549">
        <v>21</v>
      </c>
      <c r="H4" s="549">
        <v>0</v>
      </c>
      <c r="I4" s="549">
        <v>1</v>
      </c>
      <c r="J4" s="549">
        <v>2</v>
      </c>
      <c r="K4" s="549">
        <v>1</v>
      </c>
      <c r="L4" s="549">
        <v>0</v>
      </c>
      <c r="M4" s="549">
        <v>2</v>
      </c>
      <c r="N4" s="549">
        <v>1</v>
      </c>
      <c r="O4" s="549">
        <v>0</v>
      </c>
      <c r="P4" s="549">
        <v>0</v>
      </c>
      <c r="Q4" s="549">
        <v>0</v>
      </c>
      <c r="R4" s="549">
        <v>3</v>
      </c>
      <c r="S4" s="584">
        <v>3249</v>
      </c>
      <c r="T4" s="585" t="s">
        <v>374</v>
      </c>
      <c r="U4" s="586" t="s">
        <v>356</v>
      </c>
      <c r="V4" s="584" t="s">
        <v>202</v>
      </c>
      <c r="W4" s="587" t="s">
        <v>354</v>
      </c>
      <c r="X4" s="587" t="s">
        <v>355</v>
      </c>
      <c r="Y4" s="550">
        <v>1</v>
      </c>
      <c r="Z4" s="550">
        <v>0</v>
      </c>
      <c r="AA4" s="550">
        <v>0</v>
      </c>
      <c r="AB4" s="588">
        <v>1</v>
      </c>
      <c r="AC4" s="550">
        <v>1</v>
      </c>
      <c r="AD4" s="550">
        <v>0</v>
      </c>
      <c r="AE4" s="550">
        <v>0</v>
      </c>
      <c r="AF4" s="588">
        <v>1</v>
      </c>
      <c r="AG4" s="550">
        <v>0</v>
      </c>
      <c r="AH4" s="550">
        <v>0</v>
      </c>
      <c r="AI4" s="550">
        <v>0</v>
      </c>
      <c r="AJ4" s="552">
        <v>0</v>
      </c>
      <c r="AK4" s="550">
        <v>0</v>
      </c>
      <c r="AL4" s="550">
        <v>0</v>
      </c>
      <c r="AM4" s="550">
        <v>0</v>
      </c>
      <c r="AN4" s="552">
        <v>0</v>
      </c>
      <c r="AQ4" s="173" t="s">
        <v>167</v>
      </c>
      <c r="AR4" s="174">
        <f>London_Irishpremhistplayed</f>
        <v>469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989" t="s">
        <v>174</v>
      </c>
      <c r="BC4" s="990"/>
    </row>
    <row r="5" spans="1:55" ht="14.95" customHeight="1" thickBot="1" x14ac:dyDescent="0.3">
      <c r="A5" s="582" t="s">
        <v>358</v>
      </c>
      <c r="B5" s="554" t="s">
        <v>222</v>
      </c>
      <c r="C5" s="589" t="s">
        <v>359</v>
      </c>
      <c r="D5" s="562" t="s">
        <v>36</v>
      </c>
      <c r="E5" s="562" t="s">
        <v>34</v>
      </c>
      <c r="F5" s="562">
        <v>27</v>
      </c>
      <c r="G5" s="562">
        <v>44</v>
      </c>
      <c r="H5" s="562">
        <v>1</v>
      </c>
      <c r="I5" s="562">
        <v>0</v>
      </c>
      <c r="J5" s="562">
        <v>4</v>
      </c>
      <c r="K5" s="562">
        <v>2</v>
      </c>
      <c r="L5" s="562">
        <v>0</v>
      </c>
      <c r="M5" s="562">
        <v>1</v>
      </c>
      <c r="N5" s="562">
        <v>1</v>
      </c>
      <c r="O5" s="562">
        <v>0</v>
      </c>
      <c r="P5" s="562">
        <v>1</v>
      </c>
      <c r="Q5" s="562">
        <v>0</v>
      </c>
      <c r="R5" s="562">
        <v>5</v>
      </c>
      <c r="S5" s="557">
        <v>4865</v>
      </c>
      <c r="T5" s="569" t="s">
        <v>408</v>
      </c>
      <c r="U5" s="559" t="s">
        <v>350</v>
      </c>
      <c r="V5" s="557" t="s">
        <v>202</v>
      </c>
      <c r="W5" s="557" t="s">
        <v>346</v>
      </c>
      <c r="X5" s="557" t="s">
        <v>398</v>
      </c>
      <c r="Y5" s="557">
        <v>1</v>
      </c>
      <c r="Z5" s="557">
        <v>0</v>
      </c>
      <c r="AA5" s="557">
        <v>0</v>
      </c>
      <c r="AB5" s="557">
        <v>1</v>
      </c>
      <c r="AC5" s="557">
        <v>0</v>
      </c>
      <c r="AD5" s="557">
        <v>0</v>
      </c>
      <c r="AE5" s="557">
        <v>0</v>
      </c>
      <c r="AF5" s="557">
        <v>0</v>
      </c>
      <c r="AG5" s="557">
        <v>1</v>
      </c>
      <c r="AH5" s="557">
        <v>0</v>
      </c>
      <c r="AI5" s="557">
        <v>0</v>
      </c>
      <c r="AJ5" s="559">
        <v>1</v>
      </c>
      <c r="AK5" s="557">
        <v>0</v>
      </c>
      <c r="AL5" s="557">
        <v>0</v>
      </c>
      <c r="AM5" s="557">
        <v>0</v>
      </c>
      <c r="AN5" s="559">
        <v>0</v>
      </c>
      <c r="AQ5" s="175" t="s">
        <v>0</v>
      </c>
      <c r="AR5" s="176">
        <f>London_Irishpremhistwon</f>
        <v>192</v>
      </c>
      <c r="AT5" s="177" t="s">
        <v>167</v>
      </c>
      <c r="AU5" s="189">
        <f>London_Irisheuropeancuphistplayed</f>
        <v>38</v>
      </c>
      <c r="AV5" s="179" t="s">
        <v>167</v>
      </c>
      <c r="AW5" s="180">
        <v>0</v>
      </c>
      <c r="AX5" s="187" t="s">
        <v>167</v>
      </c>
      <c r="AY5" s="188">
        <v>0</v>
      </c>
      <c r="AZ5" s="181" t="s">
        <v>167</v>
      </c>
      <c r="BA5" s="178">
        <f>London_Irisheuropeanchallengecupplayed</f>
        <v>95</v>
      </c>
      <c r="BB5" s="182" t="s">
        <v>167</v>
      </c>
      <c r="BC5" s="183">
        <f>SUM(AU5+AY5+BA5)</f>
        <v>133</v>
      </c>
    </row>
    <row r="6" spans="1:55" ht="14.95" customHeight="1" thickBot="1" x14ac:dyDescent="0.3">
      <c r="A6" s="546" t="s">
        <v>241</v>
      </c>
      <c r="B6" s="547" t="s">
        <v>222</v>
      </c>
      <c r="C6" s="590" t="s">
        <v>27</v>
      </c>
      <c r="D6" s="549" t="s">
        <v>299</v>
      </c>
      <c r="E6" s="549" t="s">
        <v>34</v>
      </c>
      <c r="F6" s="549">
        <v>22</v>
      </c>
      <c r="G6" s="549">
        <v>27</v>
      </c>
      <c r="H6" s="549">
        <v>0</v>
      </c>
      <c r="I6" s="549">
        <v>1</v>
      </c>
      <c r="J6" s="549">
        <v>3</v>
      </c>
      <c r="K6" s="549">
        <v>2</v>
      </c>
      <c r="L6" s="549">
        <v>0</v>
      </c>
      <c r="M6" s="549">
        <v>1</v>
      </c>
      <c r="N6" s="549">
        <v>1</v>
      </c>
      <c r="O6" s="549">
        <v>0</v>
      </c>
      <c r="P6" s="549">
        <v>1</v>
      </c>
      <c r="Q6" s="549">
        <v>0</v>
      </c>
      <c r="R6" s="549">
        <v>4</v>
      </c>
      <c r="S6" s="550">
        <v>2558</v>
      </c>
      <c r="T6" s="560" t="s">
        <v>416</v>
      </c>
      <c r="U6" s="551" t="s">
        <v>343</v>
      </c>
      <c r="V6" s="550" t="s">
        <v>202</v>
      </c>
      <c r="W6" s="550" t="s">
        <v>402</v>
      </c>
      <c r="X6" s="552" t="s">
        <v>305</v>
      </c>
      <c r="Y6" s="550">
        <v>1</v>
      </c>
      <c r="Z6" s="550">
        <v>0</v>
      </c>
      <c r="AA6" s="550">
        <v>0</v>
      </c>
      <c r="AB6" s="550">
        <v>1</v>
      </c>
      <c r="AC6" s="550">
        <v>1</v>
      </c>
      <c r="AD6" s="550">
        <v>0</v>
      </c>
      <c r="AE6" s="550">
        <v>0</v>
      </c>
      <c r="AF6" s="550">
        <v>1</v>
      </c>
      <c r="AG6" s="550">
        <v>0</v>
      </c>
      <c r="AH6" s="550">
        <v>0</v>
      </c>
      <c r="AI6" s="550">
        <v>0</v>
      </c>
      <c r="AJ6" s="551">
        <v>0</v>
      </c>
      <c r="AK6" s="550">
        <v>0</v>
      </c>
      <c r="AL6" s="550">
        <v>0</v>
      </c>
      <c r="AM6" s="550">
        <v>0</v>
      </c>
      <c r="AN6" s="551">
        <v>0</v>
      </c>
      <c r="AQ6" s="175" t="s">
        <v>168</v>
      </c>
      <c r="AR6" s="176">
        <f>London_Irishpremhistdrawn</f>
        <v>15</v>
      </c>
      <c r="AT6" s="177" t="s">
        <v>0</v>
      </c>
      <c r="AU6" s="189">
        <f>London_Irisheuropeancuphistwon</f>
        <v>16</v>
      </c>
      <c r="AV6" s="179" t="s">
        <v>0</v>
      </c>
      <c r="AW6" s="180">
        <v>0</v>
      </c>
      <c r="AX6" s="187" t="s">
        <v>0</v>
      </c>
      <c r="AY6" s="188">
        <v>0</v>
      </c>
      <c r="AZ6" s="181" t="s">
        <v>0</v>
      </c>
      <c r="BA6" s="178">
        <f>London_Irisheuropeanchallengecupwon</f>
        <v>60</v>
      </c>
      <c r="BB6" s="182" t="s">
        <v>0</v>
      </c>
      <c r="BC6" s="183">
        <f t="shared" ref="BC6:BC12" si="0">SUM(AU6+AY6+BA6)</f>
        <v>76</v>
      </c>
    </row>
    <row r="7" spans="1:55" ht="14.95" customHeight="1" thickBot="1" x14ac:dyDescent="0.3">
      <c r="A7" s="479" t="s">
        <v>479</v>
      </c>
      <c r="B7" s="461" t="s">
        <v>199</v>
      </c>
      <c r="C7" s="462" t="s">
        <v>106</v>
      </c>
      <c r="D7" s="463" t="s">
        <v>36</v>
      </c>
      <c r="E7" s="463" t="s">
        <v>32</v>
      </c>
      <c r="F7" s="463">
        <v>29</v>
      </c>
      <c r="G7" s="463">
        <v>26</v>
      </c>
      <c r="H7" s="463">
        <v>0</v>
      </c>
      <c r="I7" s="463">
        <v>0</v>
      </c>
      <c r="J7" s="463">
        <v>3</v>
      </c>
      <c r="K7" s="463">
        <v>1</v>
      </c>
      <c r="L7" s="463">
        <v>0</v>
      </c>
      <c r="M7" s="463">
        <v>4</v>
      </c>
      <c r="N7" s="463">
        <v>1</v>
      </c>
      <c r="O7" s="463">
        <v>0</v>
      </c>
      <c r="P7" s="463">
        <v>0</v>
      </c>
      <c r="Q7" s="463">
        <v>1</v>
      </c>
      <c r="R7" s="463">
        <v>3</v>
      </c>
      <c r="S7" s="464">
        <v>12401</v>
      </c>
      <c r="T7" s="481" t="s">
        <v>478</v>
      </c>
      <c r="U7" s="466" t="s">
        <v>324</v>
      </c>
      <c r="V7" s="464" t="s">
        <v>399</v>
      </c>
      <c r="W7" s="464" t="s">
        <v>323</v>
      </c>
      <c r="X7" s="467" t="s">
        <v>316</v>
      </c>
      <c r="Y7" s="464">
        <v>1</v>
      </c>
      <c r="Z7" s="464">
        <v>1</v>
      </c>
      <c r="AA7" s="464">
        <v>0</v>
      </c>
      <c r="AB7" s="464">
        <v>0</v>
      </c>
      <c r="AC7" s="464">
        <v>0</v>
      </c>
      <c r="AD7" s="464">
        <v>0</v>
      </c>
      <c r="AE7" s="464">
        <v>0</v>
      </c>
      <c r="AF7" s="464">
        <v>0</v>
      </c>
      <c r="AG7" s="464">
        <v>1</v>
      </c>
      <c r="AH7" s="464">
        <v>1</v>
      </c>
      <c r="AI7" s="464">
        <v>0</v>
      </c>
      <c r="AJ7" s="466">
        <v>0</v>
      </c>
      <c r="AK7" s="464">
        <v>0</v>
      </c>
      <c r="AL7" s="464">
        <v>0</v>
      </c>
      <c r="AM7" s="464">
        <v>0</v>
      </c>
      <c r="AN7" s="466">
        <v>0</v>
      </c>
      <c r="AQ7" s="175" t="s">
        <v>1</v>
      </c>
      <c r="AR7" s="176">
        <f>London_Irishpremhistlost</f>
        <v>262</v>
      </c>
      <c r="AT7" s="177" t="s">
        <v>168</v>
      </c>
      <c r="AU7" s="189">
        <f>London_Irisheuropeancuphistdrawn</f>
        <v>1</v>
      </c>
      <c r="AV7" s="179" t="s">
        <v>168</v>
      </c>
      <c r="AW7" s="180">
        <v>0</v>
      </c>
      <c r="AX7" s="187" t="s">
        <v>168</v>
      </c>
      <c r="AY7" s="188">
        <v>0</v>
      </c>
      <c r="AZ7" s="181" t="s">
        <v>168</v>
      </c>
      <c r="BA7" s="178">
        <f>London_Irisheuropeanchallengecupdrawn</f>
        <v>1</v>
      </c>
      <c r="BB7" s="182" t="s">
        <v>168</v>
      </c>
      <c r="BC7" s="183">
        <f t="shared" si="0"/>
        <v>2</v>
      </c>
    </row>
    <row r="8" spans="1:55" ht="14.95" customHeight="1" thickBot="1" x14ac:dyDescent="0.3">
      <c r="A8" s="468" t="s">
        <v>238</v>
      </c>
      <c r="B8" s="469" t="s">
        <v>199</v>
      </c>
      <c r="C8" s="470" t="s">
        <v>27</v>
      </c>
      <c r="D8" s="471" t="s">
        <v>299</v>
      </c>
      <c r="E8" s="471" t="s">
        <v>34</v>
      </c>
      <c r="F8" s="471">
        <v>7</v>
      </c>
      <c r="G8" s="471">
        <v>41</v>
      </c>
      <c r="H8" s="471">
        <v>0</v>
      </c>
      <c r="I8" s="471">
        <v>0</v>
      </c>
      <c r="J8" s="471">
        <v>1</v>
      </c>
      <c r="K8" s="471">
        <v>1</v>
      </c>
      <c r="L8" s="471">
        <v>0</v>
      </c>
      <c r="M8" s="471">
        <v>0</v>
      </c>
      <c r="N8" s="471">
        <v>0</v>
      </c>
      <c r="O8" s="471">
        <v>0</v>
      </c>
      <c r="P8" s="471">
        <v>1</v>
      </c>
      <c r="Q8" s="471">
        <v>0</v>
      </c>
      <c r="R8" s="471">
        <v>6</v>
      </c>
      <c r="S8" s="472">
        <v>3622</v>
      </c>
      <c r="T8" s="498" t="s">
        <v>513</v>
      </c>
      <c r="U8" s="478" t="s">
        <v>396</v>
      </c>
      <c r="V8" s="472" t="s">
        <v>352</v>
      </c>
      <c r="W8" s="472" t="s">
        <v>308</v>
      </c>
      <c r="X8" s="473" t="s">
        <v>397</v>
      </c>
      <c r="Y8" s="472">
        <v>1</v>
      </c>
      <c r="Z8" s="472">
        <v>0</v>
      </c>
      <c r="AA8" s="472">
        <v>0</v>
      </c>
      <c r="AB8" s="472">
        <v>1</v>
      </c>
      <c r="AC8" s="472">
        <v>1</v>
      </c>
      <c r="AD8" s="472">
        <v>0</v>
      </c>
      <c r="AE8" s="472">
        <v>0</v>
      </c>
      <c r="AF8" s="472">
        <v>1</v>
      </c>
      <c r="AG8" s="472">
        <v>0</v>
      </c>
      <c r="AH8" s="472">
        <v>0</v>
      </c>
      <c r="AI8" s="472">
        <v>0</v>
      </c>
      <c r="AJ8" s="478">
        <v>0</v>
      </c>
      <c r="AK8" s="472">
        <v>0</v>
      </c>
      <c r="AL8" s="472">
        <v>0</v>
      </c>
      <c r="AM8" s="472">
        <v>0</v>
      </c>
      <c r="AN8" s="478">
        <v>0</v>
      </c>
      <c r="AQ8" s="175" t="s">
        <v>169</v>
      </c>
      <c r="AR8" s="176">
        <f>London_Irishpremhistptsscored</f>
        <v>9871</v>
      </c>
      <c r="AT8" s="177" t="s">
        <v>1</v>
      </c>
      <c r="AU8" s="189">
        <f>London_Irisheuropeancuphistlost</f>
        <v>21</v>
      </c>
      <c r="AV8" s="179" t="s">
        <v>1</v>
      </c>
      <c r="AW8" s="180">
        <v>0</v>
      </c>
      <c r="AX8" s="187" t="s">
        <v>1</v>
      </c>
      <c r="AY8" s="188">
        <v>0</v>
      </c>
      <c r="AZ8" s="181" t="s">
        <v>1</v>
      </c>
      <c r="BA8" s="178">
        <f>London_Irisheuropeanchallengecuplost</f>
        <v>34</v>
      </c>
      <c r="BB8" s="182" t="s">
        <v>1</v>
      </c>
      <c r="BC8" s="183">
        <f t="shared" si="0"/>
        <v>55</v>
      </c>
    </row>
    <row r="9" spans="1:55" ht="14.95" customHeight="1" thickBot="1" x14ac:dyDescent="0.3">
      <c r="A9" s="479" t="s">
        <v>239</v>
      </c>
      <c r="B9" s="461" t="s">
        <v>199</v>
      </c>
      <c r="C9" s="462" t="s">
        <v>19</v>
      </c>
      <c r="D9" s="463" t="s">
        <v>36</v>
      </c>
      <c r="E9" s="463" t="s">
        <v>34</v>
      </c>
      <c r="F9" s="463">
        <v>13</v>
      </c>
      <c r="G9" s="463">
        <v>16</v>
      </c>
      <c r="H9" s="463">
        <v>0</v>
      </c>
      <c r="I9" s="463">
        <v>1</v>
      </c>
      <c r="J9" s="463">
        <v>1</v>
      </c>
      <c r="K9" s="463">
        <v>1</v>
      </c>
      <c r="L9" s="463">
        <v>0</v>
      </c>
      <c r="M9" s="463">
        <v>2</v>
      </c>
      <c r="N9" s="463">
        <v>1</v>
      </c>
      <c r="O9" s="463">
        <v>0</v>
      </c>
      <c r="P9" s="463">
        <v>0</v>
      </c>
      <c r="Q9" s="463">
        <v>0</v>
      </c>
      <c r="R9" s="463">
        <v>2</v>
      </c>
      <c r="S9" s="464">
        <v>6293</v>
      </c>
      <c r="T9" s="465" t="s">
        <v>531</v>
      </c>
      <c r="U9" s="466" t="s">
        <v>308</v>
      </c>
      <c r="V9" s="464" t="s">
        <v>352</v>
      </c>
      <c r="W9" s="464" t="s">
        <v>396</v>
      </c>
      <c r="X9" s="467" t="s">
        <v>397</v>
      </c>
      <c r="Y9" s="464">
        <v>1</v>
      </c>
      <c r="Z9" s="464">
        <v>0</v>
      </c>
      <c r="AA9" s="464">
        <v>0</v>
      </c>
      <c r="AB9" s="464">
        <v>1</v>
      </c>
      <c r="AC9" s="464">
        <v>0</v>
      </c>
      <c r="AD9" s="464">
        <v>0</v>
      </c>
      <c r="AE9" s="464">
        <v>0</v>
      </c>
      <c r="AF9" s="464">
        <v>0</v>
      </c>
      <c r="AG9" s="464">
        <v>1</v>
      </c>
      <c r="AH9" s="464">
        <v>0</v>
      </c>
      <c r="AI9" s="464">
        <v>0</v>
      </c>
      <c r="AJ9" s="466">
        <v>1</v>
      </c>
      <c r="AK9" s="464">
        <v>0</v>
      </c>
      <c r="AL9" s="464">
        <v>0</v>
      </c>
      <c r="AM9" s="464">
        <v>0</v>
      </c>
      <c r="AN9" s="466">
        <v>0</v>
      </c>
      <c r="AQ9" s="175" t="s">
        <v>170</v>
      </c>
      <c r="AR9" s="176">
        <f>London_Irishpremhistptsagainst</f>
        <v>10914</v>
      </c>
      <c r="AT9" s="177" t="s">
        <v>169</v>
      </c>
      <c r="AU9" s="189">
        <f>London_Irisheuropeancuphistptsscored</f>
        <v>862</v>
      </c>
      <c r="AV9" s="179" t="s">
        <v>169</v>
      </c>
      <c r="AW9" s="180">
        <v>0</v>
      </c>
      <c r="AX9" s="187" t="s">
        <v>169</v>
      </c>
      <c r="AY9" s="188">
        <v>0</v>
      </c>
      <c r="AZ9" s="181" t="s">
        <v>169</v>
      </c>
      <c r="BA9" s="178">
        <f>London_Irisheuropeanchallengecupptsscored</f>
        <v>3176</v>
      </c>
      <c r="BB9" s="182" t="s">
        <v>169</v>
      </c>
      <c r="BC9" s="183">
        <f t="shared" si="0"/>
        <v>4038</v>
      </c>
    </row>
    <row r="10" spans="1:55" ht="14.95" customHeight="1" thickBot="1" x14ac:dyDescent="0.3">
      <c r="A10" s="468" t="s">
        <v>436</v>
      </c>
      <c r="B10" s="469" t="s">
        <v>199</v>
      </c>
      <c r="C10" s="470" t="s">
        <v>26</v>
      </c>
      <c r="D10" s="471" t="s">
        <v>299</v>
      </c>
      <c r="E10" s="471" t="s">
        <v>32</v>
      </c>
      <c r="F10" s="471">
        <v>36</v>
      </c>
      <c r="G10" s="471">
        <v>11</v>
      </c>
      <c r="H10" s="471">
        <v>1</v>
      </c>
      <c r="I10" s="471">
        <v>0</v>
      </c>
      <c r="J10" s="471">
        <v>5</v>
      </c>
      <c r="K10" s="471">
        <v>4</v>
      </c>
      <c r="L10" s="471">
        <v>0</v>
      </c>
      <c r="M10" s="471">
        <v>1</v>
      </c>
      <c r="N10" s="471">
        <v>1</v>
      </c>
      <c r="O10" s="471">
        <v>0</v>
      </c>
      <c r="P10" s="471">
        <v>0</v>
      </c>
      <c r="Q10" s="471">
        <v>0</v>
      </c>
      <c r="R10" s="471">
        <v>1</v>
      </c>
      <c r="S10" s="503">
        <v>5324</v>
      </c>
      <c r="T10" s="480" t="s">
        <v>551</v>
      </c>
      <c r="U10" s="478" t="s">
        <v>324</v>
      </c>
      <c r="V10" s="472" t="s">
        <v>329</v>
      </c>
      <c r="W10" s="472" t="s">
        <v>320</v>
      </c>
      <c r="X10" s="473" t="s">
        <v>316</v>
      </c>
      <c r="Y10" s="472">
        <v>1</v>
      </c>
      <c r="Z10" s="472">
        <v>1</v>
      </c>
      <c r="AA10" s="472">
        <v>0</v>
      </c>
      <c r="AB10" s="472">
        <v>0</v>
      </c>
      <c r="AC10" s="472">
        <v>1</v>
      </c>
      <c r="AD10" s="472">
        <v>1</v>
      </c>
      <c r="AE10" s="472">
        <v>0</v>
      </c>
      <c r="AF10" s="472">
        <v>0</v>
      </c>
      <c r="AG10" s="472">
        <v>0</v>
      </c>
      <c r="AH10" s="472">
        <v>0</v>
      </c>
      <c r="AI10" s="472">
        <v>0</v>
      </c>
      <c r="AJ10" s="478">
        <v>0</v>
      </c>
      <c r="AK10" s="472">
        <v>0</v>
      </c>
      <c r="AL10" s="472">
        <v>0</v>
      </c>
      <c r="AM10" s="472">
        <v>0</v>
      </c>
      <c r="AN10" s="478">
        <v>0</v>
      </c>
      <c r="AQ10" s="175" t="s">
        <v>73</v>
      </c>
      <c r="AR10" s="176">
        <f>London_Irishpremhisttriesscored</f>
        <v>945</v>
      </c>
      <c r="AT10" s="177" t="s">
        <v>175</v>
      </c>
      <c r="AU10" s="189">
        <f>London_Irisheuropeancuphistptsagainst</f>
        <v>779</v>
      </c>
      <c r="AV10" s="179" t="s">
        <v>175</v>
      </c>
      <c r="AW10" s="180">
        <v>0</v>
      </c>
      <c r="AX10" s="187" t="s">
        <v>175</v>
      </c>
      <c r="AY10" s="188">
        <v>0</v>
      </c>
      <c r="AZ10" s="181" t="s">
        <v>175</v>
      </c>
      <c r="BA10" s="178">
        <f>London_Irisheuropeanchallengecupptsagainst</f>
        <v>1967</v>
      </c>
      <c r="BB10" s="182" t="s">
        <v>175</v>
      </c>
      <c r="BC10" s="183">
        <f t="shared" si="0"/>
        <v>2746</v>
      </c>
    </row>
    <row r="11" spans="1:55" ht="14.95" customHeight="1" thickBot="1" x14ac:dyDescent="0.3">
      <c r="A11" s="750" t="s">
        <v>234</v>
      </c>
      <c r="B11" s="751" t="s">
        <v>142</v>
      </c>
      <c r="C11" s="752" t="s">
        <v>494</v>
      </c>
      <c r="D11" s="753" t="s">
        <v>36</v>
      </c>
      <c r="E11" s="753" t="s">
        <v>34</v>
      </c>
      <c r="F11" s="753">
        <v>16</v>
      </c>
      <c r="G11" s="753">
        <v>20</v>
      </c>
      <c r="H11" s="753">
        <v>0</v>
      </c>
      <c r="I11" s="753">
        <v>1</v>
      </c>
      <c r="J11" s="753">
        <v>1</v>
      </c>
      <c r="K11" s="753">
        <v>1</v>
      </c>
      <c r="L11" s="753">
        <v>0</v>
      </c>
      <c r="M11" s="753">
        <v>3</v>
      </c>
      <c r="N11" s="753">
        <v>1</v>
      </c>
      <c r="O11" s="753">
        <v>0</v>
      </c>
      <c r="P11" s="753">
        <v>0</v>
      </c>
      <c r="Q11" s="753">
        <v>0</v>
      </c>
      <c r="R11" s="753">
        <v>2</v>
      </c>
      <c r="S11" s="756">
        <v>6753</v>
      </c>
      <c r="T11" s="763" t="s">
        <v>618</v>
      </c>
      <c r="U11" s="758" t="s">
        <v>619</v>
      </c>
      <c r="V11" s="756" t="s">
        <v>620</v>
      </c>
      <c r="W11" s="756" t="s">
        <v>621</v>
      </c>
      <c r="X11" s="757" t="s">
        <v>622</v>
      </c>
      <c r="Y11" s="756">
        <v>1</v>
      </c>
      <c r="Z11" s="756">
        <v>0</v>
      </c>
      <c r="AA11" s="756">
        <v>0</v>
      </c>
      <c r="AB11" s="756">
        <v>1</v>
      </c>
      <c r="AC11" s="756">
        <v>0</v>
      </c>
      <c r="AD11" s="756">
        <v>0</v>
      </c>
      <c r="AE11" s="756">
        <v>0</v>
      </c>
      <c r="AF11" s="756">
        <v>0</v>
      </c>
      <c r="AG11" s="756">
        <v>1</v>
      </c>
      <c r="AH11" s="756">
        <v>0</v>
      </c>
      <c r="AI11" s="756">
        <v>0</v>
      </c>
      <c r="AJ11" s="758">
        <v>1</v>
      </c>
      <c r="AK11" s="756">
        <v>0</v>
      </c>
      <c r="AL11" s="756">
        <v>0</v>
      </c>
      <c r="AM11" s="756">
        <v>0</v>
      </c>
      <c r="AN11" s="758">
        <v>0</v>
      </c>
      <c r="AQ11" s="175" t="s">
        <v>75</v>
      </c>
      <c r="AR11" s="176">
        <f>London_Irishpremhisttriesagainst</f>
        <v>1131</v>
      </c>
      <c r="AT11" s="177" t="s">
        <v>73</v>
      </c>
      <c r="AU11" s="189">
        <f>London_Irisheuropeancuphisttriesscored</f>
        <v>87</v>
      </c>
      <c r="AV11" s="179" t="s">
        <v>73</v>
      </c>
      <c r="AW11" s="180">
        <v>0</v>
      </c>
      <c r="AX11" s="187" t="s">
        <v>73</v>
      </c>
      <c r="AY11" s="188">
        <v>0</v>
      </c>
      <c r="AZ11" s="181" t="s">
        <v>73</v>
      </c>
      <c r="BA11" s="178">
        <f>London_Irisheuropeanchallengecuptriesscored</f>
        <v>398</v>
      </c>
      <c r="BB11" s="182" t="s">
        <v>73</v>
      </c>
      <c r="BC11" s="183">
        <f t="shared" si="0"/>
        <v>485</v>
      </c>
    </row>
    <row r="12" spans="1:55" ht="14.95" customHeight="1" thickBot="1" x14ac:dyDescent="0.3">
      <c r="A12" s="597" t="s">
        <v>235</v>
      </c>
      <c r="B12" s="598" t="s">
        <v>142</v>
      </c>
      <c r="C12" s="599" t="s">
        <v>495</v>
      </c>
      <c r="D12" s="600" t="s">
        <v>299</v>
      </c>
      <c r="E12" s="600" t="s">
        <v>32</v>
      </c>
      <c r="F12" s="600">
        <v>45</v>
      </c>
      <c r="G12" s="600">
        <v>31</v>
      </c>
      <c r="H12" s="600">
        <v>1</v>
      </c>
      <c r="I12" s="600">
        <v>0</v>
      </c>
      <c r="J12" s="600">
        <v>7</v>
      </c>
      <c r="K12" s="600">
        <v>5</v>
      </c>
      <c r="L12" s="600">
        <v>0</v>
      </c>
      <c r="M12" s="600">
        <v>0</v>
      </c>
      <c r="N12" s="600">
        <v>0</v>
      </c>
      <c r="O12" s="600">
        <v>0</v>
      </c>
      <c r="P12" s="600">
        <v>1</v>
      </c>
      <c r="Q12" s="600">
        <v>0</v>
      </c>
      <c r="R12" s="600">
        <v>5</v>
      </c>
      <c r="S12" s="601">
        <v>2632</v>
      </c>
      <c r="T12" s="728" t="s">
        <v>684</v>
      </c>
      <c r="U12" s="653" t="s">
        <v>685</v>
      </c>
      <c r="V12" s="654" t="s">
        <v>202</v>
      </c>
      <c r="W12" s="601" t="s">
        <v>686</v>
      </c>
      <c r="X12" s="604" t="s">
        <v>687</v>
      </c>
      <c r="Y12" s="601">
        <v>1</v>
      </c>
      <c r="Z12" s="601">
        <v>1</v>
      </c>
      <c r="AA12" s="601">
        <v>0</v>
      </c>
      <c r="AB12" s="601">
        <v>0</v>
      </c>
      <c r="AC12" s="601">
        <v>1</v>
      </c>
      <c r="AD12" s="601">
        <v>1</v>
      </c>
      <c r="AE12" s="601">
        <v>0</v>
      </c>
      <c r="AF12" s="601">
        <v>0</v>
      </c>
      <c r="AG12" s="601">
        <v>0</v>
      </c>
      <c r="AH12" s="601">
        <v>0</v>
      </c>
      <c r="AI12" s="601">
        <v>0</v>
      </c>
      <c r="AJ12" s="603">
        <v>0</v>
      </c>
      <c r="AK12" s="601">
        <v>0</v>
      </c>
      <c r="AL12" s="601">
        <v>0</v>
      </c>
      <c r="AM12" s="601">
        <v>0</v>
      </c>
      <c r="AN12" s="603">
        <v>0</v>
      </c>
      <c r="AT12" s="177" t="s">
        <v>176</v>
      </c>
      <c r="AU12" s="189">
        <f>London_Irisheuropeancuphisttriesagainst</f>
        <v>76</v>
      </c>
      <c r="AV12" s="179" t="s">
        <v>176</v>
      </c>
      <c r="AW12" s="180">
        <v>0</v>
      </c>
      <c r="AX12" s="187" t="s">
        <v>176</v>
      </c>
      <c r="AY12" s="188">
        <v>0</v>
      </c>
      <c r="AZ12" s="181" t="s">
        <v>176</v>
      </c>
      <c r="BA12" s="178">
        <f>London_Irisheuropeanchallengecuptriesagainst</f>
        <v>229</v>
      </c>
      <c r="BB12" s="182" t="s">
        <v>176</v>
      </c>
      <c r="BC12" s="183">
        <f t="shared" si="0"/>
        <v>305</v>
      </c>
    </row>
    <row r="13" spans="1:55" ht="14.95" customHeight="1" thickBot="1" x14ac:dyDescent="0.3">
      <c r="A13" s="479" t="s">
        <v>438</v>
      </c>
      <c r="B13" s="461" t="s">
        <v>199</v>
      </c>
      <c r="C13" s="462" t="s">
        <v>359</v>
      </c>
      <c r="D13" s="463" t="s">
        <v>36</v>
      </c>
      <c r="E13" s="463" t="s">
        <v>33</v>
      </c>
      <c r="F13" s="463">
        <v>27</v>
      </c>
      <c r="G13" s="463">
        <v>27</v>
      </c>
      <c r="H13" s="463">
        <v>0</v>
      </c>
      <c r="I13" s="463">
        <v>0</v>
      </c>
      <c r="J13" s="463">
        <v>3</v>
      </c>
      <c r="K13" s="463">
        <v>3</v>
      </c>
      <c r="L13" s="463">
        <v>0</v>
      </c>
      <c r="M13" s="463">
        <v>2</v>
      </c>
      <c r="N13" s="463">
        <v>0</v>
      </c>
      <c r="O13" s="463">
        <v>1</v>
      </c>
      <c r="P13" s="463">
        <v>1</v>
      </c>
      <c r="Q13" s="463">
        <v>0</v>
      </c>
      <c r="R13" s="463">
        <v>4</v>
      </c>
      <c r="S13" s="464">
        <v>15033</v>
      </c>
      <c r="T13" s="482" t="s">
        <v>638</v>
      </c>
      <c r="U13" s="466" t="s">
        <v>637</v>
      </c>
      <c r="V13" s="464" t="s">
        <v>464</v>
      </c>
      <c r="W13" s="464" t="s">
        <v>326</v>
      </c>
      <c r="X13" s="467" t="s">
        <v>316</v>
      </c>
      <c r="Y13" s="464">
        <v>1</v>
      </c>
      <c r="Z13" s="464">
        <v>0</v>
      </c>
      <c r="AA13" s="464">
        <v>1</v>
      </c>
      <c r="AB13" s="464">
        <v>0</v>
      </c>
      <c r="AC13" s="464">
        <v>0</v>
      </c>
      <c r="AD13" s="464">
        <v>0</v>
      </c>
      <c r="AE13" s="464">
        <v>0</v>
      </c>
      <c r="AF13" s="464">
        <v>0</v>
      </c>
      <c r="AG13" s="464">
        <v>1</v>
      </c>
      <c r="AH13" s="464">
        <v>0</v>
      </c>
      <c r="AI13" s="464">
        <v>1</v>
      </c>
      <c r="AJ13" s="466">
        <v>0</v>
      </c>
      <c r="AK13" s="464">
        <v>0</v>
      </c>
      <c r="AL13" s="464">
        <v>0</v>
      </c>
      <c r="AM13" s="464">
        <v>0</v>
      </c>
      <c r="AN13" s="466">
        <v>0</v>
      </c>
    </row>
    <row r="14" spans="1:55" ht="14.95" customHeight="1" thickBot="1" x14ac:dyDescent="0.3">
      <c r="A14" s="750" t="s">
        <v>243</v>
      </c>
      <c r="B14" s="751" t="s">
        <v>142</v>
      </c>
      <c r="C14" s="752" t="s">
        <v>496</v>
      </c>
      <c r="D14" s="753" t="s">
        <v>36</v>
      </c>
      <c r="E14" s="753" t="s">
        <v>34</v>
      </c>
      <c r="F14" s="753">
        <v>17</v>
      </c>
      <c r="G14" s="753">
        <v>37</v>
      </c>
      <c r="H14" s="753">
        <v>0</v>
      </c>
      <c r="I14" s="753">
        <v>0</v>
      </c>
      <c r="J14" s="753">
        <v>2</v>
      </c>
      <c r="K14" s="753">
        <v>2</v>
      </c>
      <c r="L14" s="753">
        <v>0</v>
      </c>
      <c r="M14" s="753">
        <v>1</v>
      </c>
      <c r="N14" s="753">
        <v>1</v>
      </c>
      <c r="O14" s="753">
        <v>1</v>
      </c>
      <c r="P14" s="753">
        <v>1</v>
      </c>
      <c r="Q14" s="753">
        <v>0</v>
      </c>
      <c r="R14" s="753">
        <v>5</v>
      </c>
      <c r="S14" s="756">
        <v>15336</v>
      </c>
      <c r="T14" s="764" t="s">
        <v>416</v>
      </c>
      <c r="U14" s="758" t="s">
        <v>560</v>
      </c>
      <c r="V14" s="756" t="s">
        <v>561</v>
      </c>
      <c r="W14" s="756" t="s">
        <v>562</v>
      </c>
      <c r="X14" s="757" t="s">
        <v>563</v>
      </c>
      <c r="Y14" s="756">
        <v>1</v>
      </c>
      <c r="Z14" s="756">
        <v>0</v>
      </c>
      <c r="AA14" s="756">
        <v>0</v>
      </c>
      <c r="AB14" s="756">
        <v>1</v>
      </c>
      <c r="AC14" s="756">
        <v>0</v>
      </c>
      <c r="AD14" s="756">
        <v>0</v>
      </c>
      <c r="AE14" s="756">
        <v>0</v>
      </c>
      <c r="AF14" s="756">
        <v>0</v>
      </c>
      <c r="AG14" s="756">
        <v>1</v>
      </c>
      <c r="AH14" s="756">
        <v>0</v>
      </c>
      <c r="AI14" s="756">
        <v>0</v>
      </c>
      <c r="AJ14" s="758">
        <v>1</v>
      </c>
      <c r="AK14" s="756">
        <v>0</v>
      </c>
      <c r="AL14" s="756">
        <v>0</v>
      </c>
      <c r="AM14" s="756">
        <v>0</v>
      </c>
      <c r="AN14" s="758">
        <v>0</v>
      </c>
    </row>
    <row r="15" spans="1:55" ht="14.95" customHeight="1" thickBot="1" x14ac:dyDescent="0.3">
      <c r="A15" s="597" t="s">
        <v>244</v>
      </c>
      <c r="B15" s="598" t="s">
        <v>142</v>
      </c>
      <c r="C15" s="599" t="s">
        <v>496</v>
      </c>
      <c r="D15" s="600" t="s">
        <v>299</v>
      </c>
      <c r="E15" s="600" t="s">
        <v>34</v>
      </c>
      <c r="F15" s="600">
        <v>20</v>
      </c>
      <c r="G15" s="600">
        <v>26</v>
      </c>
      <c r="H15" s="600">
        <v>0</v>
      </c>
      <c r="I15" s="600">
        <v>1</v>
      </c>
      <c r="J15" s="600">
        <v>2</v>
      </c>
      <c r="K15" s="600">
        <v>2</v>
      </c>
      <c r="L15" s="600">
        <v>0</v>
      </c>
      <c r="M15" s="600">
        <v>2</v>
      </c>
      <c r="N15" s="600">
        <v>2</v>
      </c>
      <c r="O15" s="600">
        <v>0</v>
      </c>
      <c r="P15" s="600">
        <v>0</v>
      </c>
      <c r="Q15" s="600">
        <v>0</v>
      </c>
      <c r="R15" s="600">
        <v>2</v>
      </c>
      <c r="S15" s="655">
        <v>3007</v>
      </c>
      <c r="T15" s="634" t="s">
        <v>688</v>
      </c>
      <c r="U15" s="603" t="s">
        <v>565</v>
      </c>
      <c r="V15" s="601" t="s">
        <v>202</v>
      </c>
      <c r="W15" s="601" t="s">
        <v>668</v>
      </c>
      <c r="X15" s="604" t="s">
        <v>689</v>
      </c>
      <c r="Y15" s="601">
        <v>1</v>
      </c>
      <c r="Z15" s="601">
        <v>0</v>
      </c>
      <c r="AA15" s="601">
        <v>0</v>
      </c>
      <c r="AB15" s="601">
        <v>1</v>
      </c>
      <c r="AC15" s="601">
        <v>1</v>
      </c>
      <c r="AD15" s="601">
        <v>0</v>
      </c>
      <c r="AE15" s="601">
        <v>0</v>
      </c>
      <c r="AF15" s="601">
        <v>1</v>
      </c>
      <c r="AG15" s="601">
        <v>0</v>
      </c>
      <c r="AH15" s="601">
        <v>0</v>
      </c>
      <c r="AI15" s="601">
        <v>0</v>
      </c>
      <c r="AJ15" s="603">
        <v>0</v>
      </c>
      <c r="AK15" s="601">
        <v>0</v>
      </c>
      <c r="AL15" s="601">
        <v>0</v>
      </c>
      <c r="AM15" s="601">
        <v>0</v>
      </c>
      <c r="AN15" s="603">
        <v>0</v>
      </c>
    </row>
    <row r="16" spans="1:55" ht="14.95" customHeight="1" thickBot="1" x14ac:dyDescent="0.3">
      <c r="A16" s="468" t="s">
        <v>434</v>
      </c>
      <c r="B16" s="469" t="s">
        <v>199</v>
      </c>
      <c r="C16" s="470" t="s">
        <v>22</v>
      </c>
      <c r="D16" s="471" t="s">
        <v>299</v>
      </c>
      <c r="E16" s="471" t="s">
        <v>34</v>
      </c>
      <c r="F16" s="471">
        <v>10</v>
      </c>
      <c r="G16" s="471">
        <v>38</v>
      </c>
      <c r="H16" s="471">
        <v>0</v>
      </c>
      <c r="I16" s="471">
        <v>0</v>
      </c>
      <c r="J16" s="471">
        <v>1</v>
      </c>
      <c r="K16" s="471">
        <v>1</v>
      </c>
      <c r="L16" s="471">
        <v>0</v>
      </c>
      <c r="M16" s="471">
        <v>1</v>
      </c>
      <c r="N16" s="471">
        <v>1</v>
      </c>
      <c r="O16" s="471">
        <v>0</v>
      </c>
      <c r="P16" s="471">
        <v>1</v>
      </c>
      <c r="Q16" s="471">
        <v>0</v>
      </c>
      <c r="R16" s="471">
        <v>6</v>
      </c>
      <c r="S16" s="472">
        <v>9259</v>
      </c>
      <c r="T16" s="477" t="s">
        <v>700</v>
      </c>
      <c r="U16" s="478" t="s">
        <v>701</v>
      </c>
      <c r="V16" s="472" t="s">
        <v>329</v>
      </c>
      <c r="W16" s="472" t="s">
        <v>343</v>
      </c>
      <c r="X16" s="473" t="s">
        <v>346</v>
      </c>
      <c r="Y16" s="472">
        <v>1</v>
      </c>
      <c r="Z16" s="472">
        <v>0</v>
      </c>
      <c r="AA16" s="472">
        <v>0</v>
      </c>
      <c r="AB16" s="472">
        <v>1</v>
      </c>
      <c r="AC16" s="472">
        <v>1</v>
      </c>
      <c r="AD16" s="472">
        <v>0</v>
      </c>
      <c r="AE16" s="472">
        <v>0</v>
      </c>
      <c r="AF16" s="472">
        <v>1</v>
      </c>
      <c r="AG16" s="472">
        <v>0</v>
      </c>
      <c r="AH16" s="472">
        <v>0</v>
      </c>
      <c r="AI16" s="472">
        <v>0</v>
      </c>
      <c r="AJ16" s="478">
        <v>0</v>
      </c>
      <c r="AK16" s="472">
        <v>0</v>
      </c>
      <c r="AL16" s="472">
        <v>0</v>
      </c>
      <c r="AM16" s="472">
        <v>0</v>
      </c>
      <c r="AN16" s="478">
        <v>0</v>
      </c>
    </row>
    <row r="17" spans="1:40" ht="14.95" customHeight="1" thickBot="1" x14ac:dyDescent="0.3">
      <c r="A17" s="479" t="s">
        <v>257</v>
      </c>
      <c r="B17" s="461" t="s">
        <v>199</v>
      </c>
      <c r="C17" s="462" t="s">
        <v>23</v>
      </c>
      <c r="D17" s="463" t="s">
        <v>36</v>
      </c>
      <c r="E17" s="463" t="s">
        <v>34</v>
      </c>
      <c r="F17" s="463">
        <v>6</v>
      </c>
      <c r="G17" s="463">
        <v>20</v>
      </c>
      <c r="H17" s="463">
        <v>0</v>
      </c>
      <c r="I17" s="463">
        <v>0</v>
      </c>
      <c r="J17" s="463">
        <v>0</v>
      </c>
      <c r="K17" s="463">
        <v>0</v>
      </c>
      <c r="L17" s="463">
        <v>0</v>
      </c>
      <c r="M17" s="463">
        <v>2</v>
      </c>
      <c r="N17" s="463">
        <v>1</v>
      </c>
      <c r="O17" s="463">
        <v>1</v>
      </c>
      <c r="P17" s="463">
        <v>0</v>
      </c>
      <c r="Q17" s="463">
        <v>0</v>
      </c>
      <c r="R17" s="463">
        <v>2</v>
      </c>
      <c r="S17" s="639">
        <v>11499</v>
      </c>
      <c r="T17" s="465" t="s">
        <v>511</v>
      </c>
      <c r="U17" s="466" t="s">
        <v>318</v>
      </c>
      <c r="V17" s="464" t="s">
        <v>330</v>
      </c>
      <c r="W17" s="464" t="s">
        <v>323</v>
      </c>
      <c r="X17" s="467" t="s">
        <v>715</v>
      </c>
      <c r="Y17" s="464">
        <v>1</v>
      </c>
      <c r="Z17" s="464">
        <v>0</v>
      </c>
      <c r="AA17" s="464">
        <v>0</v>
      </c>
      <c r="AB17" s="464">
        <v>1</v>
      </c>
      <c r="AC17" s="464">
        <v>0</v>
      </c>
      <c r="AD17" s="464">
        <v>0</v>
      </c>
      <c r="AE17" s="464">
        <v>0</v>
      </c>
      <c r="AF17" s="464">
        <v>0</v>
      </c>
      <c r="AG17" s="464">
        <v>1</v>
      </c>
      <c r="AH17" s="464">
        <v>0</v>
      </c>
      <c r="AI17" s="464">
        <v>0</v>
      </c>
      <c r="AJ17" s="466">
        <v>1</v>
      </c>
      <c r="AK17" s="464">
        <v>0</v>
      </c>
      <c r="AL17" s="464">
        <v>0</v>
      </c>
      <c r="AM17" s="464">
        <v>0</v>
      </c>
      <c r="AN17" s="466">
        <v>0</v>
      </c>
    </row>
    <row r="18" spans="1:40" ht="14.95" customHeight="1" thickBot="1" x14ac:dyDescent="0.3">
      <c r="A18" s="468" t="s">
        <v>449</v>
      </c>
      <c r="B18" s="469" t="s">
        <v>199</v>
      </c>
      <c r="C18" s="470" t="s">
        <v>28</v>
      </c>
      <c r="D18" s="471" t="s">
        <v>299</v>
      </c>
      <c r="E18" s="471" t="s">
        <v>34</v>
      </c>
      <c r="F18" s="471">
        <v>28</v>
      </c>
      <c r="G18" s="471">
        <v>45</v>
      </c>
      <c r="H18" s="471">
        <v>1</v>
      </c>
      <c r="I18" s="471">
        <v>0</v>
      </c>
      <c r="J18" s="471">
        <v>4</v>
      </c>
      <c r="K18" s="471">
        <v>4</v>
      </c>
      <c r="L18" s="471">
        <v>0</v>
      </c>
      <c r="M18" s="471">
        <v>0</v>
      </c>
      <c r="N18" s="471">
        <v>0</v>
      </c>
      <c r="O18" s="471">
        <v>0</v>
      </c>
      <c r="P18" s="471">
        <v>1</v>
      </c>
      <c r="Q18" s="471">
        <v>0</v>
      </c>
      <c r="R18" s="471">
        <v>6</v>
      </c>
      <c r="S18" s="472">
        <v>6412</v>
      </c>
      <c r="T18" s="477" t="s">
        <v>734</v>
      </c>
      <c r="U18" s="478" t="s">
        <v>326</v>
      </c>
      <c r="V18" s="472" t="s">
        <v>468</v>
      </c>
      <c r="W18" s="472" t="s">
        <v>356</v>
      </c>
      <c r="X18" s="473" t="s">
        <v>321</v>
      </c>
      <c r="Y18" s="472">
        <v>1</v>
      </c>
      <c r="Z18" s="472">
        <v>0</v>
      </c>
      <c r="AA18" s="472">
        <v>0</v>
      </c>
      <c r="AB18" s="472">
        <v>1</v>
      </c>
      <c r="AC18" s="472">
        <v>1</v>
      </c>
      <c r="AD18" s="472">
        <v>0</v>
      </c>
      <c r="AE18" s="472">
        <v>0</v>
      </c>
      <c r="AF18" s="472">
        <v>1</v>
      </c>
      <c r="AG18" s="472">
        <v>0</v>
      </c>
      <c r="AH18" s="472">
        <v>0</v>
      </c>
      <c r="AI18" s="472">
        <v>0</v>
      </c>
      <c r="AJ18" s="478">
        <v>0</v>
      </c>
      <c r="AK18" s="472">
        <v>0</v>
      </c>
      <c r="AL18" s="472">
        <v>0</v>
      </c>
      <c r="AM18" s="472">
        <v>0</v>
      </c>
      <c r="AN18" s="478">
        <v>0</v>
      </c>
    </row>
    <row r="19" spans="1:40" ht="14.95" customHeight="1" thickBot="1" x14ac:dyDescent="0.3">
      <c r="A19" s="750" t="s">
        <v>245</v>
      </c>
      <c r="B19" s="751" t="s">
        <v>142</v>
      </c>
      <c r="C19" s="752" t="s">
        <v>495</v>
      </c>
      <c r="D19" s="753" t="s">
        <v>36</v>
      </c>
      <c r="E19" s="753" t="s">
        <v>34</v>
      </c>
      <c r="F19" s="753">
        <v>10</v>
      </c>
      <c r="G19" s="753">
        <v>27</v>
      </c>
      <c r="H19" s="753">
        <v>0</v>
      </c>
      <c r="I19" s="753">
        <v>0</v>
      </c>
      <c r="J19" s="753">
        <v>2</v>
      </c>
      <c r="K19" s="753">
        <v>0</v>
      </c>
      <c r="L19" s="753">
        <v>0</v>
      </c>
      <c r="M19" s="753">
        <v>0</v>
      </c>
      <c r="N19" s="753">
        <v>0</v>
      </c>
      <c r="O19" s="753">
        <v>0</v>
      </c>
      <c r="P19" s="753">
        <v>1</v>
      </c>
      <c r="Q19" s="753">
        <v>0</v>
      </c>
      <c r="R19" s="753">
        <v>4</v>
      </c>
      <c r="S19" s="765">
        <v>5057</v>
      </c>
      <c r="T19" s="764" t="s">
        <v>749</v>
      </c>
      <c r="U19" s="758" t="s">
        <v>666</v>
      </c>
      <c r="V19" s="756" t="s">
        <v>202</v>
      </c>
      <c r="W19" s="756" t="s">
        <v>667</v>
      </c>
      <c r="X19" s="757" t="s">
        <v>750</v>
      </c>
      <c r="Y19" s="756">
        <v>1</v>
      </c>
      <c r="Z19" s="756">
        <v>0</v>
      </c>
      <c r="AA19" s="756">
        <v>0</v>
      </c>
      <c r="AB19" s="756">
        <v>1</v>
      </c>
      <c r="AC19" s="756">
        <v>0</v>
      </c>
      <c r="AD19" s="756">
        <v>0</v>
      </c>
      <c r="AE19" s="756">
        <v>0</v>
      </c>
      <c r="AF19" s="756">
        <v>0</v>
      </c>
      <c r="AG19" s="756">
        <v>1</v>
      </c>
      <c r="AH19" s="756">
        <v>0</v>
      </c>
      <c r="AI19" s="756">
        <v>0</v>
      </c>
      <c r="AJ19" s="758">
        <v>1</v>
      </c>
      <c r="AK19" s="756">
        <v>0</v>
      </c>
      <c r="AL19" s="756">
        <v>0</v>
      </c>
      <c r="AM19" s="756">
        <v>0</v>
      </c>
      <c r="AN19" s="758">
        <v>0</v>
      </c>
    </row>
    <row r="20" spans="1:40" ht="14.95" customHeight="1" thickBot="1" x14ac:dyDescent="0.3">
      <c r="A20" s="597" t="s">
        <v>246</v>
      </c>
      <c r="B20" s="598" t="s">
        <v>142</v>
      </c>
      <c r="C20" s="599" t="s">
        <v>494</v>
      </c>
      <c r="D20" s="600" t="s">
        <v>299</v>
      </c>
      <c r="E20" s="600" t="s">
        <v>34</v>
      </c>
      <c r="F20" s="600">
        <v>14</v>
      </c>
      <c r="G20" s="600">
        <v>33</v>
      </c>
      <c r="H20" s="600">
        <v>0</v>
      </c>
      <c r="I20" s="600">
        <v>0</v>
      </c>
      <c r="J20" s="600">
        <v>2</v>
      </c>
      <c r="K20" s="600">
        <v>2</v>
      </c>
      <c r="L20" s="600">
        <v>0</v>
      </c>
      <c r="M20" s="600">
        <v>0</v>
      </c>
      <c r="N20" s="600">
        <v>1</v>
      </c>
      <c r="O20" s="600">
        <v>0</v>
      </c>
      <c r="P20" s="600">
        <v>1</v>
      </c>
      <c r="Q20" s="600">
        <v>0</v>
      </c>
      <c r="R20" s="600">
        <v>5</v>
      </c>
      <c r="S20" s="601">
        <v>3444</v>
      </c>
      <c r="T20" s="634" t="s">
        <v>751</v>
      </c>
      <c r="U20" s="603" t="s">
        <v>646</v>
      </c>
      <c r="V20" s="601" t="s">
        <v>674</v>
      </c>
      <c r="W20" s="601" t="s">
        <v>675</v>
      </c>
      <c r="X20" s="604" t="s">
        <v>657</v>
      </c>
      <c r="Y20" s="601">
        <v>1</v>
      </c>
      <c r="Z20" s="601">
        <v>0</v>
      </c>
      <c r="AA20" s="601">
        <v>0</v>
      </c>
      <c r="AB20" s="601">
        <v>1</v>
      </c>
      <c r="AC20" s="601">
        <v>0</v>
      </c>
      <c r="AD20" s="601">
        <v>0</v>
      </c>
      <c r="AE20" s="601">
        <v>0</v>
      </c>
      <c r="AF20" s="601">
        <v>0</v>
      </c>
      <c r="AG20" s="601">
        <v>1</v>
      </c>
      <c r="AH20" s="601">
        <v>0</v>
      </c>
      <c r="AI20" s="601">
        <v>0</v>
      </c>
      <c r="AJ20" s="603">
        <v>1</v>
      </c>
      <c r="AK20" s="601">
        <v>0</v>
      </c>
      <c r="AL20" s="601">
        <v>0</v>
      </c>
      <c r="AM20" s="601">
        <v>0</v>
      </c>
      <c r="AN20" s="603">
        <v>0</v>
      </c>
    </row>
    <row r="21" spans="1:40" ht="14.95" customHeight="1" thickBot="1" x14ac:dyDescent="0.3">
      <c r="A21" s="479" t="s">
        <v>442</v>
      </c>
      <c r="B21" s="461" t="s">
        <v>199</v>
      </c>
      <c r="C21" s="462" t="s">
        <v>25</v>
      </c>
      <c r="D21" s="463" t="s">
        <v>36</v>
      </c>
      <c r="E21" s="463" t="s">
        <v>32</v>
      </c>
      <c r="F21" s="463">
        <v>20</v>
      </c>
      <c r="G21" s="463">
        <v>16</v>
      </c>
      <c r="H21" s="463">
        <v>0</v>
      </c>
      <c r="I21" s="463">
        <v>0</v>
      </c>
      <c r="J21" s="463">
        <v>3</v>
      </c>
      <c r="K21" s="463">
        <v>1</v>
      </c>
      <c r="L21" s="463">
        <v>0</v>
      </c>
      <c r="M21" s="463">
        <v>1</v>
      </c>
      <c r="N21" s="463">
        <v>2</v>
      </c>
      <c r="O21" s="463">
        <v>0</v>
      </c>
      <c r="P21" s="463">
        <v>0</v>
      </c>
      <c r="Q21" s="463">
        <v>1</v>
      </c>
      <c r="R21" s="463">
        <v>1</v>
      </c>
      <c r="S21" s="483">
        <v>13793</v>
      </c>
      <c r="T21" s="485" t="s">
        <v>763</v>
      </c>
      <c r="U21" s="466" t="s">
        <v>463</v>
      </c>
      <c r="V21" s="464" t="s">
        <v>632</v>
      </c>
      <c r="W21" s="464" t="s">
        <v>323</v>
      </c>
      <c r="X21" s="467" t="s">
        <v>320</v>
      </c>
      <c r="Y21" s="464">
        <v>1</v>
      </c>
      <c r="Z21" s="464">
        <v>1</v>
      </c>
      <c r="AA21" s="464">
        <v>0</v>
      </c>
      <c r="AB21" s="464">
        <v>0</v>
      </c>
      <c r="AC21" s="464">
        <v>0</v>
      </c>
      <c r="AD21" s="464">
        <v>0</v>
      </c>
      <c r="AE21" s="464">
        <v>0</v>
      </c>
      <c r="AF21" s="464">
        <v>0</v>
      </c>
      <c r="AG21" s="464">
        <v>1</v>
      </c>
      <c r="AH21" s="464">
        <v>1</v>
      </c>
      <c r="AI21" s="464">
        <v>0</v>
      </c>
      <c r="AJ21" s="466">
        <v>0</v>
      </c>
      <c r="AK21" s="464">
        <v>0</v>
      </c>
      <c r="AL21" s="464">
        <v>0</v>
      </c>
      <c r="AM21" s="464">
        <v>0</v>
      </c>
      <c r="AN21" s="466">
        <v>0</v>
      </c>
    </row>
    <row r="22" spans="1:40" ht="14.95" customHeight="1" thickBot="1" x14ac:dyDescent="0.3">
      <c r="A22" s="479" t="s">
        <v>259</v>
      </c>
      <c r="B22" s="461" t="s">
        <v>199</v>
      </c>
      <c r="C22" s="462" t="s">
        <v>9</v>
      </c>
      <c r="D22" s="463" t="s">
        <v>36</v>
      </c>
      <c r="E22" s="463" t="s">
        <v>32</v>
      </c>
      <c r="F22" s="463">
        <v>29</v>
      </c>
      <c r="G22" s="463">
        <v>15</v>
      </c>
      <c r="H22" s="463">
        <v>1</v>
      </c>
      <c r="I22" s="463">
        <v>0</v>
      </c>
      <c r="J22" s="463">
        <v>4</v>
      </c>
      <c r="K22" s="463">
        <v>3</v>
      </c>
      <c r="L22" s="463">
        <v>0</v>
      </c>
      <c r="M22" s="463">
        <v>1</v>
      </c>
      <c r="N22" s="463">
        <v>0</v>
      </c>
      <c r="O22" s="463">
        <v>0</v>
      </c>
      <c r="P22" s="463">
        <v>0</v>
      </c>
      <c r="Q22" s="463">
        <v>0</v>
      </c>
      <c r="R22" s="463">
        <v>2</v>
      </c>
      <c r="S22" s="486">
        <v>14332</v>
      </c>
      <c r="T22" s="481" t="s">
        <v>755</v>
      </c>
      <c r="U22" s="466" t="s">
        <v>324</v>
      </c>
      <c r="V22" s="464" t="s">
        <v>329</v>
      </c>
      <c r="W22" s="464" t="s">
        <v>350</v>
      </c>
      <c r="X22" s="467" t="s">
        <v>356</v>
      </c>
      <c r="Y22" s="464">
        <v>1</v>
      </c>
      <c r="Z22" s="464">
        <v>1</v>
      </c>
      <c r="AA22" s="464">
        <v>0</v>
      </c>
      <c r="AB22" s="464">
        <v>0</v>
      </c>
      <c r="AC22" s="464">
        <v>0</v>
      </c>
      <c r="AD22" s="464">
        <v>0</v>
      </c>
      <c r="AE22" s="464">
        <v>0</v>
      </c>
      <c r="AF22" s="464">
        <v>0</v>
      </c>
      <c r="AG22" s="464">
        <v>1</v>
      </c>
      <c r="AH22" s="464">
        <v>1</v>
      </c>
      <c r="AI22" s="464">
        <v>0</v>
      </c>
      <c r="AJ22" s="466">
        <v>0</v>
      </c>
      <c r="AK22" s="464">
        <v>0</v>
      </c>
      <c r="AL22" s="464">
        <v>0</v>
      </c>
      <c r="AM22" s="464">
        <v>0</v>
      </c>
      <c r="AN22" s="466">
        <v>0</v>
      </c>
    </row>
    <row r="23" spans="1:40" ht="14.95" customHeight="1" thickBot="1" x14ac:dyDescent="0.3">
      <c r="A23" s="468" t="s">
        <v>260</v>
      </c>
      <c r="B23" s="469" t="s">
        <v>199</v>
      </c>
      <c r="C23" s="470" t="s">
        <v>24</v>
      </c>
      <c r="D23" s="471" t="s">
        <v>299</v>
      </c>
      <c r="E23" s="471" t="s">
        <v>32</v>
      </c>
      <c r="F23" s="471">
        <v>24</v>
      </c>
      <c r="G23" s="471">
        <v>20</v>
      </c>
      <c r="H23" s="471">
        <v>1</v>
      </c>
      <c r="I23" s="471">
        <v>0</v>
      </c>
      <c r="J23" s="471">
        <v>4</v>
      </c>
      <c r="K23" s="471">
        <v>2</v>
      </c>
      <c r="L23" s="471">
        <v>0</v>
      </c>
      <c r="M23" s="471">
        <v>0</v>
      </c>
      <c r="N23" s="471">
        <v>0</v>
      </c>
      <c r="O23" s="471">
        <v>0</v>
      </c>
      <c r="P23" s="471">
        <v>0</v>
      </c>
      <c r="Q23" s="471">
        <v>0</v>
      </c>
      <c r="R23" s="471">
        <v>3</v>
      </c>
      <c r="S23" s="472">
        <v>4932</v>
      </c>
      <c r="T23" s="480" t="s">
        <v>516</v>
      </c>
      <c r="U23" s="478" t="s">
        <v>633</v>
      </c>
      <c r="V23" s="472" t="s">
        <v>352</v>
      </c>
      <c r="W23" s="472" t="s">
        <v>323</v>
      </c>
      <c r="X23" s="473" t="s">
        <v>328</v>
      </c>
      <c r="Y23" s="472">
        <v>1</v>
      </c>
      <c r="Z23" s="472">
        <v>1</v>
      </c>
      <c r="AA23" s="472">
        <v>0</v>
      </c>
      <c r="AB23" s="472">
        <v>0</v>
      </c>
      <c r="AC23" s="472">
        <v>1</v>
      </c>
      <c r="AD23" s="472">
        <v>1</v>
      </c>
      <c r="AE23" s="472">
        <v>0</v>
      </c>
      <c r="AF23" s="472">
        <v>0</v>
      </c>
      <c r="AG23" s="472">
        <v>0</v>
      </c>
      <c r="AH23" s="472">
        <v>0</v>
      </c>
      <c r="AI23" s="472">
        <v>0</v>
      </c>
      <c r="AJ23" s="478">
        <v>0</v>
      </c>
      <c r="AK23" s="472">
        <v>0</v>
      </c>
      <c r="AL23" s="472">
        <v>0</v>
      </c>
      <c r="AM23" s="472">
        <v>0</v>
      </c>
      <c r="AN23" s="478">
        <v>0</v>
      </c>
    </row>
    <row r="24" spans="1:40" ht="14.95" customHeight="1" thickBot="1" x14ac:dyDescent="0.3">
      <c r="A24" s="468" t="s">
        <v>497</v>
      </c>
      <c r="B24" s="469" t="s">
        <v>199</v>
      </c>
      <c r="C24" s="470" t="s">
        <v>106</v>
      </c>
      <c r="D24" s="471" t="s">
        <v>299</v>
      </c>
      <c r="E24" s="471" t="s">
        <v>34</v>
      </c>
      <c r="F24" s="471">
        <v>26</v>
      </c>
      <c r="G24" s="471">
        <v>36</v>
      </c>
      <c r="H24" s="471">
        <v>1</v>
      </c>
      <c r="I24" s="471">
        <v>0</v>
      </c>
      <c r="J24" s="471">
        <v>4</v>
      </c>
      <c r="K24" s="471">
        <v>3</v>
      </c>
      <c r="L24" s="471">
        <v>0</v>
      </c>
      <c r="M24" s="471">
        <v>0</v>
      </c>
      <c r="N24" s="471">
        <v>0</v>
      </c>
      <c r="O24" s="471">
        <v>0</v>
      </c>
      <c r="P24" s="471">
        <v>1</v>
      </c>
      <c r="Q24" s="471">
        <v>0</v>
      </c>
      <c r="R24" s="471">
        <v>5</v>
      </c>
      <c r="S24" s="472">
        <v>5447</v>
      </c>
      <c r="T24" s="638" t="s">
        <v>423</v>
      </c>
      <c r="U24" s="478" t="s">
        <v>463</v>
      </c>
      <c r="V24" s="472" t="s">
        <v>468</v>
      </c>
      <c r="W24" s="472" t="s">
        <v>395</v>
      </c>
      <c r="X24" s="473" t="s">
        <v>401</v>
      </c>
      <c r="Y24" s="472">
        <v>1</v>
      </c>
      <c r="Z24" s="472">
        <v>0</v>
      </c>
      <c r="AA24" s="472">
        <v>0</v>
      </c>
      <c r="AB24" s="472">
        <v>1</v>
      </c>
      <c r="AC24" s="472">
        <v>1</v>
      </c>
      <c r="AD24" s="472">
        <v>0</v>
      </c>
      <c r="AE24" s="472">
        <v>0</v>
      </c>
      <c r="AF24" s="472">
        <v>1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</row>
    <row r="25" spans="1:40" ht="14.95" customHeight="1" thickBot="1" x14ac:dyDescent="0.3">
      <c r="A25" s="479" t="s">
        <v>461</v>
      </c>
      <c r="B25" s="461" t="s">
        <v>199</v>
      </c>
      <c r="C25" s="462" t="s">
        <v>27</v>
      </c>
      <c r="D25" s="463" t="s">
        <v>36</v>
      </c>
      <c r="E25" s="463" t="s">
        <v>34</v>
      </c>
      <c r="F25" s="463">
        <v>0</v>
      </c>
      <c r="G25" s="463">
        <v>39</v>
      </c>
      <c r="H25" s="463">
        <v>0</v>
      </c>
      <c r="I25" s="463">
        <v>0</v>
      </c>
      <c r="J25" s="463">
        <v>0</v>
      </c>
      <c r="K25" s="463">
        <v>0</v>
      </c>
      <c r="L25" s="463">
        <v>0</v>
      </c>
      <c r="M25" s="463">
        <v>0</v>
      </c>
      <c r="N25" s="463">
        <v>1</v>
      </c>
      <c r="O25" s="463">
        <v>0</v>
      </c>
      <c r="P25" s="463">
        <v>1</v>
      </c>
      <c r="Q25" s="463">
        <v>0</v>
      </c>
      <c r="R25" s="463">
        <v>6</v>
      </c>
      <c r="S25" s="464">
        <v>7041</v>
      </c>
      <c r="T25" s="465" t="s">
        <v>817</v>
      </c>
      <c r="U25" s="466" t="s">
        <v>323</v>
      </c>
      <c r="V25" s="464" t="s">
        <v>632</v>
      </c>
      <c r="W25" s="464" t="s">
        <v>395</v>
      </c>
      <c r="X25" s="467" t="s">
        <v>306</v>
      </c>
      <c r="Y25" s="464">
        <v>1</v>
      </c>
      <c r="Z25" s="464">
        <v>0</v>
      </c>
      <c r="AA25" s="464">
        <v>0</v>
      </c>
      <c r="AB25" s="464">
        <v>1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0</v>
      </c>
      <c r="AI25" s="464">
        <v>0</v>
      </c>
      <c r="AJ25" s="466">
        <v>1</v>
      </c>
      <c r="AK25" s="464">
        <v>0</v>
      </c>
      <c r="AL25" s="464">
        <v>0</v>
      </c>
      <c r="AM25" s="464">
        <v>0</v>
      </c>
      <c r="AN25" s="466">
        <v>0</v>
      </c>
    </row>
    <row r="26" spans="1:40" ht="14.95" customHeight="1" thickBot="1" x14ac:dyDescent="0.3">
      <c r="A26" s="479" t="s">
        <v>829</v>
      </c>
      <c r="B26" s="461" t="s">
        <v>199</v>
      </c>
      <c r="C26" s="462" t="s">
        <v>22</v>
      </c>
      <c r="D26" s="463" t="s">
        <v>36</v>
      </c>
      <c r="E26" s="463" t="s">
        <v>34</v>
      </c>
      <c r="F26" s="463">
        <v>17</v>
      </c>
      <c r="G26" s="463">
        <v>34</v>
      </c>
      <c r="H26" s="463">
        <v>0</v>
      </c>
      <c r="I26" s="463">
        <v>0</v>
      </c>
      <c r="J26" s="463">
        <v>2</v>
      </c>
      <c r="K26" s="463">
        <v>2</v>
      </c>
      <c r="L26" s="463">
        <v>0</v>
      </c>
      <c r="M26" s="463">
        <v>1</v>
      </c>
      <c r="N26" s="463">
        <v>0</v>
      </c>
      <c r="O26" s="463">
        <v>0</v>
      </c>
      <c r="P26" s="463">
        <v>1</v>
      </c>
      <c r="Q26" s="463">
        <v>0</v>
      </c>
      <c r="R26" s="463">
        <v>5</v>
      </c>
      <c r="S26" s="464">
        <v>0</v>
      </c>
      <c r="T26" s="485" t="s">
        <v>879</v>
      </c>
      <c r="U26" s="466" t="s">
        <v>396</v>
      </c>
      <c r="V26" s="464" t="s">
        <v>766</v>
      </c>
      <c r="W26" s="464" t="s">
        <v>328</v>
      </c>
      <c r="X26" s="467" t="s">
        <v>475</v>
      </c>
      <c r="Y26" s="464">
        <v>1</v>
      </c>
      <c r="Z26" s="464">
        <v>0</v>
      </c>
      <c r="AA26" s="464">
        <v>0</v>
      </c>
      <c r="AB26" s="464">
        <v>1</v>
      </c>
      <c r="AC26" s="464">
        <v>0</v>
      </c>
      <c r="AD26" s="464">
        <v>0</v>
      </c>
      <c r="AE26" s="464">
        <v>0</v>
      </c>
      <c r="AF26" s="464">
        <v>0</v>
      </c>
      <c r="AG26" s="464">
        <v>1</v>
      </c>
      <c r="AH26" s="464">
        <v>0</v>
      </c>
      <c r="AI26" s="464">
        <v>0</v>
      </c>
      <c r="AJ26" s="466">
        <v>1</v>
      </c>
      <c r="AK26" s="464">
        <v>0</v>
      </c>
      <c r="AL26" s="464">
        <v>0</v>
      </c>
      <c r="AM26" s="464">
        <v>0</v>
      </c>
      <c r="AN26" s="466">
        <v>0</v>
      </c>
    </row>
    <row r="27" spans="1:40" ht="14.95" customHeight="1" thickBot="1" x14ac:dyDescent="0.3">
      <c r="A27" s="468" t="s">
        <v>832</v>
      </c>
      <c r="B27" s="469" t="s">
        <v>199</v>
      </c>
      <c r="C27" s="470" t="s">
        <v>25</v>
      </c>
      <c r="D27" s="471" t="s">
        <v>660</v>
      </c>
      <c r="E27" s="471" t="s">
        <v>34</v>
      </c>
      <c r="F27" s="471">
        <v>3</v>
      </c>
      <c r="G27" s="471">
        <v>27</v>
      </c>
      <c r="H27" s="471">
        <v>0</v>
      </c>
      <c r="I27" s="471">
        <v>0</v>
      </c>
      <c r="J27" s="471">
        <v>0</v>
      </c>
      <c r="K27" s="471">
        <v>0</v>
      </c>
      <c r="L27" s="471">
        <v>0</v>
      </c>
      <c r="M27" s="471">
        <v>1</v>
      </c>
      <c r="N27" s="471">
        <v>2</v>
      </c>
      <c r="O27" s="471">
        <v>0</v>
      </c>
      <c r="P27" s="471">
        <v>1</v>
      </c>
      <c r="Q27" s="471">
        <v>0</v>
      </c>
      <c r="R27" s="471">
        <v>4</v>
      </c>
      <c r="S27" s="504">
        <v>0</v>
      </c>
      <c r="T27" s="732" t="s">
        <v>691</v>
      </c>
      <c r="U27" s="478" t="s">
        <v>318</v>
      </c>
      <c r="V27" s="472" t="s">
        <v>632</v>
      </c>
      <c r="W27" s="472" t="s">
        <v>320</v>
      </c>
      <c r="X27" s="473" t="s">
        <v>350</v>
      </c>
      <c r="Y27" s="472">
        <v>1</v>
      </c>
      <c r="Z27" s="472">
        <v>0</v>
      </c>
      <c r="AA27" s="472">
        <v>0</v>
      </c>
      <c r="AB27" s="472">
        <v>1</v>
      </c>
      <c r="AC27" s="472">
        <v>1</v>
      </c>
      <c r="AD27" s="472">
        <v>0</v>
      </c>
      <c r="AE27" s="472">
        <v>0</v>
      </c>
      <c r="AF27" s="472">
        <v>1</v>
      </c>
      <c r="AG27" s="472">
        <v>0</v>
      </c>
      <c r="AH27" s="472">
        <v>0</v>
      </c>
      <c r="AI27" s="472">
        <v>0</v>
      </c>
      <c r="AJ27" s="478">
        <v>0</v>
      </c>
      <c r="AK27" s="472">
        <v>0</v>
      </c>
      <c r="AL27" s="472">
        <v>0</v>
      </c>
      <c r="AM27" s="472">
        <v>0</v>
      </c>
      <c r="AN27" s="478">
        <v>0</v>
      </c>
    </row>
    <row r="28" spans="1:40" ht="15.8" thickBot="1" x14ac:dyDescent="0.3">
      <c r="A28" s="479" t="s">
        <v>836</v>
      </c>
      <c r="B28" s="461" t="s">
        <v>199</v>
      </c>
      <c r="C28" s="462" t="s">
        <v>26</v>
      </c>
      <c r="D28" s="463" t="s">
        <v>36</v>
      </c>
      <c r="E28" s="463" t="s">
        <v>34</v>
      </c>
      <c r="F28" s="463">
        <v>7</v>
      </c>
      <c r="G28" s="463">
        <v>13</v>
      </c>
      <c r="H28" s="463">
        <v>0</v>
      </c>
      <c r="I28" s="463">
        <v>1</v>
      </c>
      <c r="J28" s="463">
        <v>1</v>
      </c>
      <c r="K28" s="463">
        <v>1</v>
      </c>
      <c r="L28" s="463">
        <v>0</v>
      </c>
      <c r="M28" s="463">
        <v>0</v>
      </c>
      <c r="N28" s="463">
        <v>0</v>
      </c>
      <c r="O28" s="463">
        <v>0</v>
      </c>
      <c r="P28" s="463">
        <v>0</v>
      </c>
      <c r="Q28" s="463">
        <v>0</v>
      </c>
      <c r="R28" s="463">
        <v>1</v>
      </c>
      <c r="S28" s="464">
        <v>0</v>
      </c>
      <c r="T28" s="465" t="s">
        <v>470</v>
      </c>
      <c r="U28" s="466" t="s">
        <v>633</v>
      </c>
      <c r="V28" s="464" t="s">
        <v>329</v>
      </c>
      <c r="W28" s="464" t="s">
        <v>896</v>
      </c>
      <c r="X28" s="467" t="s">
        <v>306</v>
      </c>
      <c r="Y28" s="464">
        <v>1</v>
      </c>
      <c r="Z28" s="464">
        <v>0</v>
      </c>
      <c r="AA28" s="464">
        <v>0</v>
      </c>
      <c r="AB28" s="464">
        <v>1</v>
      </c>
      <c r="AC28" s="464">
        <v>0</v>
      </c>
      <c r="AD28" s="464">
        <v>0</v>
      </c>
      <c r="AE28" s="464">
        <v>0</v>
      </c>
      <c r="AF28" s="464">
        <v>0</v>
      </c>
      <c r="AG28" s="464">
        <v>1</v>
      </c>
      <c r="AH28" s="464">
        <v>1</v>
      </c>
      <c r="AI28" s="464">
        <v>0</v>
      </c>
      <c r="AJ28" s="466">
        <v>0</v>
      </c>
      <c r="AK28" s="464">
        <v>0</v>
      </c>
      <c r="AL28" s="464">
        <v>0</v>
      </c>
      <c r="AM28" s="464">
        <v>0</v>
      </c>
      <c r="AN28" s="466">
        <v>0</v>
      </c>
    </row>
    <row r="29" spans="1:40" ht="15.8" thickBot="1" x14ac:dyDescent="0.3">
      <c r="A29" s="468" t="s">
        <v>842</v>
      </c>
      <c r="B29" s="469" t="s">
        <v>199</v>
      </c>
      <c r="C29" s="470" t="s">
        <v>19</v>
      </c>
      <c r="D29" s="471" t="s">
        <v>660</v>
      </c>
      <c r="E29" s="471" t="s">
        <v>34</v>
      </c>
      <c r="F29" s="471">
        <v>12</v>
      </c>
      <c r="G29" s="471">
        <v>40</v>
      </c>
      <c r="H29" s="471">
        <v>0</v>
      </c>
      <c r="I29" s="471">
        <v>0</v>
      </c>
      <c r="J29" s="471">
        <v>2</v>
      </c>
      <c r="K29" s="471">
        <v>1</v>
      </c>
      <c r="L29" s="471">
        <v>0</v>
      </c>
      <c r="M29" s="471">
        <v>0</v>
      </c>
      <c r="N29" s="471">
        <v>0</v>
      </c>
      <c r="O29" s="471">
        <v>0</v>
      </c>
      <c r="P29" s="471">
        <v>1</v>
      </c>
      <c r="Q29" s="471">
        <v>0</v>
      </c>
      <c r="R29" s="471">
        <v>6</v>
      </c>
      <c r="S29" s="472">
        <v>0</v>
      </c>
      <c r="T29" s="477" t="s">
        <v>908</v>
      </c>
      <c r="U29" s="478" t="s">
        <v>463</v>
      </c>
      <c r="V29" s="472" t="s">
        <v>464</v>
      </c>
      <c r="W29" s="472" t="s">
        <v>633</v>
      </c>
      <c r="X29" s="473" t="s">
        <v>350</v>
      </c>
      <c r="Y29" s="472">
        <v>1</v>
      </c>
      <c r="Z29" s="472">
        <v>0</v>
      </c>
      <c r="AA29" s="472">
        <v>0</v>
      </c>
      <c r="AB29" s="472">
        <v>1</v>
      </c>
      <c r="AC29" s="472">
        <v>1</v>
      </c>
      <c r="AD29" s="472">
        <v>0</v>
      </c>
      <c r="AE29" s="472">
        <v>0</v>
      </c>
      <c r="AF29" s="472">
        <v>1</v>
      </c>
      <c r="AG29" s="472">
        <v>0</v>
      </c>
      <c r="AH29" s="472">
        <v>0</v>
      </c>
      <c r="AI29" s="472">
        <v>0</v>
      </c>
      <c r="AJ29" s="478">
        <v>0</v>
      </c>
      <c r="AK29" s="472">
        <v>0</v>
      </c>
      <c r="AL29" s="472">
        <v>0</v>
      </c>
      <c r="AM29" s="472">
        <v>0</v>
      </c>
      <c r="AN29" s="478">
        <v>0</v>
      </c>
    </row>
    <row r="30" spans="1:40" ht="15.8" thickBot="1" x14ac:dyDescent="0.3">
      <c r="A30" s="479" t="s">
        <v>856</v>
      </c>
      <c r="B30" s="461" t="s">
        <v>199</v>
      </c>
      <c r="C30" s="462" t="s">
        <v>24</v>
      </c>
      <c r="D30" s="463" t="s">
        <v>36</v>
      </c>
      <c r="E30" s="463" t="s">
        <v>34</v>
      </c>
      <c r="F30" s="463">
        <v>23</v>
      </c>
      <c r="G30" s="463">
        <v>36</v>
      </c>
      <c r="H30" s="463">
        <v>0</v>
      </c>
      <c r="I30" s="463">
        <v>0</v>
      </c>
      <c r="J30" s="463">
        <v>2</v>
      </c>
      <c r="K30" s="463">
        <v>2</v>
      </c>
      <c r="L30" s="463">
        <v>0</v>
      </c>
      <c r="M30" s="463">
        <v>3</v>
      </c>
      <c r="N30" s="463">
        <v>0</v>
      </c>
      <c r="O30" s="463">
        <v>0</v>
      </c>
      <c r="P30" s="463">
        <v>1</v>
      </c>
      <c r="Q30" s="463">
        <v>0</v>
      </c>
      <c r="R30" s="463">
        <v>5</v>
      </c>
      <c r="S30" s="486">
        <v>0</v>
      </c>
      <c r="T30" s="465" t="s">
        <v>466</v>
      </c>
      <c r="U30" s="466" t="s">
        <v>395</v>
      </c>
      <c r="V30" s="464" t="s">
        <v>330</v>
      </c>
      <c r="W30" s="464" t="s">
        <v>343</v>
      </c>
      <c r="X30" s="467" t="s">
        <v>475</v>
      </c>
      <c r="Y30" s="464">
        <v>1</v>
      </c>
      <c r="Z30" s="464">
        <v>0</v>
      </c>
      <c r="AA30" s="464">
        <v>0</v>
      </c>
      <c r="AB30" s="464">
        <v>1</v>
      </c>
      <c r="AC30" s="464">
        <v>0</v>
      </c>
      <c r="AD30" s="464">
        <v>0</v>
      </c>
      <c r="AE30" s="464">
        <v>0</v>
      </c>
      <c r="AF30" s="464">
        <v>0</v>
      </c>
      <c r="AG30" s="464">
        <v>1</v>
      </c>
      <c r="AH30" s="464">
        <v>0</v>
      </c>
      <c r="AI30" s="464">
        <v>0</v>
      </c>
      <c r="AJ30" s="466">
        <v>1</v>
      </c>
      <c r="AK30" s="464">
        <v>0</v>
      </c>
      <c r="AL30" s="464">
        <v>0</v>
      </c>
      <c r="AM30" s="464">
        <v>0</v>
      </c>
      <c r="AN30" s="466">
        <v>0</v>
      </c>
    </row>
    <row r="31" spans="1:40" ht="15.8" customHeight="1" thickBot="1" x14ac:dyDescent="0.3">
      <c r="A31" s="496" t="s">
        <v>861</v>
      </c>
      <c r="B31" s="496" t="s">
        <v>199</v>
      </c>
      <c r="C31" s="476" t="s">
        <v>9</v>
      </c>
      <c r="D31" s="501" t="s">
        <v>660</v>
      </c>
      <c r="E31" s="501" t="s">
        <v>34</v>
      </c>
      <c r="F31" s="471">
        <v>15</v>
      </c>
      <c r="G31" s="501">
        <v>38</v>
      </c>
      <c r="H31" s="471">
        <v>0</v>
      </c>
      <c r="I31" s="471">
        <v>0</v>
      </c>
      <c r="J31" s="471">
        <v>2</v>
      </c>
      <c r="K31" s="471">
        <v>1</v>
      </c>
      <c r="L31" s="471">
        <v>0</v>
      </c>
      <c r="M31" s="471">
        <v>1</v>
      </c>
      <c r="N31" s="471">
        <v>0</v>
      </c>
      <c r="O31" s="471">
        <v>0</v>
      </c>
      <c r="P31" s="471">
        <v>1</v>
      </c>
      <c r="Q31" s="471">
        <v>0</v>
      </c>
      <c r="R31" s="471">
        <v>6</v>
      </c>
      <c r="S31" s="472">
        <v>0</v>
      </c>
      <c r="T31" s="638" t="s">
        <v>417</v>
      </c>
      <c r="U31" s="472" t="s">
        <v>550</v>
      </c>
      <c r="V31" s="472" t="s">
        <v>464</v>
      </c>
      <c r="W31" s="472" t="s">
        <v>633</v>
      </c>
      <c r="X31" s="472" t="s">
        <v>463</v>
      </c>
      <c r="Y31" s="472">
        <v>1</v>
      </c>
      <c r="Z31" s="472">
        <v>0</v>
      </c>
      <c r="AA31" s="472">
        <v>0</v>
      </c>
      <c r="AB31" s="472">
        <v>1</v>
      </c>
      <c r="AC31" s="472">
        <v>1</v>
      </c>
      <c r="AD31" s="472">
        <v>0</v>
      </c>
      <c r="AE31" s="472">
        <v>0</v>
      </c>
      <c r="AF31" s="472">
        <v>1</v>
      </c>
      <c r="AG31" s="472">
        <v>0</v>
      </c>
      <c r="AH31" s="472">
        <v>0</v>
      </c>
      <c r="AI31" s="472">
        <v>0</v>
      </c>
      <c r="AJ31" s="478">
        <v>0</v>
      </c>
      <c r="AK31" s="472">
        <v>0</v>
      </c>
      <c r="AL31" s="472">
        <v>0</v>
      </c>
      <c r="AM31" s="472">
        <v>0</v>
      </c>
      <c r="AN31" s="478">
        <v>0</v>
      </c>
    </row>
    <row r="32" spans="1:40" ht="15.8" customHeight="1" thickBot="1" x14ac:dyDescent="0.3">
      <c r="A32" s="496" t="s">
        <v>864</v>
      </c>
      <c r="B32" s="496" t="s">
        <v>199</v>
      </c>
      <c r="C32" s="476" t="s">
        <v>23</v>
      </c>
      <c r="D32" s="501" t="s">
        <v>660</v>
      </c>
      <c r="E32" s="471" t="s">
        <v>34</v>
      </c>
      <c r="F32" s="471">
        <v>25</v>
      </c>
      <c r="G32" s="471">
        <v>40</v>
      </c>
      <c r="H32" s="471">
        <v>1</v>
      </c>
      <c r="I32" s="471">
        <v>0</v>
      </c>
      <c r="J32" s="471">
        <v>4</v>
      </c>
      <c r="K32" s="471">
        <v>1</v>
      </c>
      <c r="L32" s="471">
        <v>0</v>
      </c>
      <c r="M32" s="471">
        <v>1</v>
      </c>
      <c r="N32" s="471">
        <v>2</v>
      </c>
      <c r="O32" s="471">
        <v>0</v>
      </c>
      <c r="P32" s="471">
        <v>1</v>
      </c>
      <c r="Q32" s="471">
        <v>0</v>
      </c>
      <c r="R32" s="471">
        <v>6</v>
      </c>
      <c r="S32" s="472">
        <v>0</v>
      </c>
      <c r="T32" s="480" t="s">
        <v>939</v>
      </c>
      <c r="U32" s="472" t="s">
        <v>396</v>
      </c>
      <c r="V32" s="472" t="s">
        <v>403</v>
      </c>
      <c r="W32" s="472" t="s">
        <v>343</v>
      </c>
      <c r="X32" s="472" t="s">
        <v>475</v>
      </c>
      <c r="Y32" s="472">
        <v>1</v>
      </c>
      <c r="Z32" s="472">
        <v>0</v>
      </c>
      <c r="AA32" s="472">
        <v>0</v>
      </c>
      <c r="AB32" s="472">
        <v>1</v>
      </c>
      <c r="AC32" s="472">
        <v>1</v>
      </c>
      <c r="AD32" s="472">
        <v>0</v>
      </c>
      <c r="AE32" s="472">
        <v>0</v>
      </c>
      <c r="AF32" s="472">
        <v>1</v>
      </c>
      <c r="AG32" s="472">
        <v>0</v>
      </c>
      <c r="AH32" s="472">
        <v>0</v>
      </c>
      <c r="AI32" s="472">
        <v>0</v>
      </c>
      <c r="AJ32" s="478">
        <v>0</v>
      </c>
      <c r="AK32" s="472">
        <v>0</v>
      </c>
      <c r="AL32" s="472">
        <v>0</v>
      </c>
      <c r="AM32" s="472">
        <v>0</v>
      </c>
      <c r="AN32" s="478">
        <v>0</v>
      </c>
    </row>
    <row r="33" spans="1:40" ht="15.8" customHeight="1" thickBot="1" x14ac:dyDescent="0.3">
      <c r="A33" s="474" t="s">
        <v>827</v>
      </c>
      <c r="B33" s="474" t="s">
        <v>199</v>
      </c>
      <c r="C33" s="487" t="s">
        <v>28</v>
      </c>
      <c r="D33" s="488" t="s">
        <v>36</v>
      </c>
      <c r="E33" s="475" t="s">
        <v>32</v>
      </c>
      <c r="F33" s="463">
        <v>22</v>
      </c>
      <c r="G33" s="463">
        <v>19</v>
      </c>
      <c r="H33" s="463">
        <v>0</v>
      </c>
      <c r="I33" s="463">
        <v>0</v>
      </c>
      <c r="J33" s="463">
        <v>3</v>
      </c>
      <c r="K33" s="463">
        <v>2</v>
      </c>
      <c r="L33" s="463">
        <v>0</v>
      </c>
      <c r="M33" s="463">
        <v>0</v>
      </c>
      <c r="N33" s="463">
        <v>0</v>
      </c>
      <c r="O33" s="463">
        <v>0</v>
      </c>
      <c r="P33" s="463">
        <v>0</v>
      </c>
      <c r="Q33" s="463">
        <v>1</v>
      </c>
      <c r="R33" s="463">
        <v>3</v>
      </c>
      <c r="S33" s="464">
        <v>0</v>
      </c>
      <c r="T33" s="481" t="s">
        <v>977</v>
      </c>
      <c r="U33" s="464" t="s">
        <v>630</v>
      </c>
      <c r="V33" s="464" t="s">
        <v>633</v>
      </c>
      <c r="W33" s="464" t="s">
        <v>308</v>
      </c>
      <c r="X33" s="464" t="s">
        <v>401</v>
      </c>
      <c r="Y33" s="464">
        <v>1</v>
      </c>
      <c r="Z33" s="464">
        <v>1</v>
      </c>
      <c r="AA33" s="464">
        <v>0</v>
      </c>
      <c r="AB33" s="464">
        <v>0</v>
      </c>
      <c r="AC33" s="464">
        <v>0</v>
      </c>
      <c r="AD33" s="464">
        <v>0</v>
      </c>
      <c r="AE33" s="464">
        <v>0</v>
      </c>
      <c r="AF33" s="464">
        <v>0</v>
      </c>
      <c r="AG33" s="464">
        <v>1</v>
      </c>
      <c r="AH33" s="464">
        <v>1</v>
      </c>
      <c r="AI33" s="464">
        <v>0</v>
      </c>
      <c r="AJ33" s="466">
        <v>0</v>
      </c>
      <c r="AK33" s="464">
        <v>0</v>
      </c>
      <c r="AL33" s="464">
        <v>0</v>
      </c>
      <c r="AM33" s="464">
        <v>0</v>
      </c>
      <c r="AN33" s="466">
        <v>0</v>
      </c>
    </row>
    <row r="34" spans="1:40" ht="15.8" customHeight="1" thickBot="1" x14ac:dyDescent="0.3">
      <c r="A34" s="496" t="s">
        <v>357</v>
      </c>
      <c r="B34" s="496" t="s">
        <v>199</v>
      </c>
      <c r="C34" s="476" t="s">
        <v>359</v>
      </c>
      <c r="D34" s="501" t="s">
        <v>660</v>
      </c>
      <c r="E34" s="497" t="s">
        <v>34</v>
      </c>
      <c r="F34" s="471">
        <v>7</v>
      </c>
      <c r="G34" s="471">
        <v>36</v>
      </c>
      <c r="H34" s="471">
        <v>0</v>
      </c>
      <c r="I34" s="471">
        <v>0</v>
      </c>
      <c r="J34" s="471">
        <v>1</v>
      </c>
      <c r="K34" s="471">
        <v>1</v>
      </c>
      <c r="L34" s="471">
        <v>0</v>
      </c>
      <c r="M34" s="471">
        <v>0</v>
      </c>
      <c r="N34" s="471">
        <v>1</v>
      </c>
      <c r="O34" s="471">
        <v>0</v>
      </c>
      <c r="P34" s="471">
        <v>1</v>
      </c>
      <c r="Q34" s="471">
        <v>0</v>
      </c>
      <c r="R34" s="471">
        <v>5</v>
      </c>
      <c r="S34" s="472">
        <v>0</v>
      </c>
      <c r="T34" s="477" t="s">
        <v>555</v>
      </c>
      <c r="U34" s="472" t="s">
        <v>701</v>
      </c>
      <c r="V34" s="472" t="s">
        <v>509</v>
      </c>
      <c r="W34" s="472" t="s">
        <v>308</v>
      </c>
      <c r="X34" s="472" t="s">
        <v>343</v>
      </c>
      <c r="Y34" s="472">
        <v>1</v>
      </c>
      <c r="Z34" s="472">
        <v>0</v>
      </c>
      <c r="AA34" s="472">
        <v>0</v>
      </c>
      <c r="AB34" s="472">
        <v>1</v>
      </c>
      <c r="AC34" s="472">
        <v>1</v>
      </c>
      <c r="AD34" s="472">
        <v>0</v>
      </c>
      <c r="AE34" s="472">
        <v>0</v>
      </c>
      <c r="AF34" s="472">
        <v>1</v>
      </c>
      <c r="AG34" s="472">
        <v>0</v>
      </c>
      <c r="AH34" s="472">
        <v>0</v>
      </c>
      <c r="AI34" s="472">
        <v>0</v>
      </c>
      <c r="AJ34" s="478">
        <v>0</v>
      </c>
      <c r="AK34" s="472">
        <v>0</v>
      </c>
      <c r="AL34" s="472">
        <v>0</v>
      </c>
      <c r="AM34" s="472">
        <v>0</v>
      </c>
      <c r="AN34" s="478">
        <v>0</v>
      </c>
    </row>
    <row r="35" spans="1:40" ht="14.95" customHeight="1" thickBot="1" x14ac:dyDescent="0.3">
      <c r="A35" s="505"/>
      <c r="B35" s="506"/>
      <c r="C35" s="1000" t="s">
        <v>105</v>
      </c>
      <c r="D35" s="1001"/>
      <c r="E35" s="1002"/>
      <c r="F35" s="491">
        <f t="shared" ref="F35:R35" si="1">SUM(F7+F8+F9+F10+F13+F16+F17+F18+F21+F22+F23+F24+F25+F26+F27+F28+F29+F30+F31+F32+F33+F34)</f>
        <v>386</v>
      </c>
      <c r="G35" s="491">
        <f t="shared" si="1"/>
        <v>633</v>
      </c>
      <c r="H35" s="491">
        <f t="shared" si="1"/>
        <v>6</v>
      </c>
      <c r="I35" s="491">
        <f t="shared" si="1"/>
        <v>2</v>
      </c>
      <c r="J35" s="491">
        <f t="shared" si="1"/>
        <v>50</v>
      </c>
      <c r="K35" s="491">
        <f t="shared" si="1"/>
        <v>35</v>
      </c>
      <c r="L35" s="491">
        <f t="shared" si="1"/>
        <v>0</v>
      </c>
      <c r="M35" s="491">
        <f t="shared" si="1"/>
        <v>21</v>
      </c>
      <c r="N35" s="491">
        <f t="shared" si="1"/>
        <v>13</v>
      </c>
      <c r="O35" s="491">
        <f t="shared" si="1"/>
        <v>2</v>
      </c>
      <c r="P35" s="491">
        <f t="shared" si="1"/>
        <v>13</v>
      </c>
      <c r="Q35" s="491">
        <f t="shared" si="1"/>
        <v>3</v>
      </c>
      <c r="R35" s="491">
        <f t="shared" si="1"/>
        <v>88</v>
      </c>
      <c r="S35" s="502"/>
      <c r="T35" s="502"/>
      <c r="U35" s="502"/>
      <c r="V35" s="500"/>
      <c r="W35" s="500"/>
      <c r="X35" s="883" t="s">
        <v>105</v>
      </c>
      <c r="Y35" s="491">
        <f t="shared" ref="Y35:AN35" si="2">SUM(Y7+Y8+Y9+Y10+Y13+Y16+Y17+Y18+Y21+Y22+Y23+Y24+Y25+Y26+Y27+Y28+Y29+Y30+Y31+Y32+Y33+Y34)</f>
        <v>22</v>
      </c>
      <c r="Z35" s="491">
        <f t="shared" si="2"/>
        <v>6</v>
      </c>
      <c r="AA35" s="491">
        <f t="shared" si="2"/>
        <v>1</v>
      </c>
      <c r="AB35" s="491">
        <f t="shared" si="2"/>
        <v>15</v>
      </c>
      <c r="AC35" s="501">
        <f t="shared" si="2"/>
        <v>11</v>
      </c>
      <c r="AD35" s="501">
        <f t="shared" si="2"/>
        <v>2</v>
      </c>
      <c r="AE35" s="501">
        <f t="shared" si="2"/>
        <v>0</v>
      </c>
      <c r="AF35" s="501">
        <f t="shared" si="2"/>
        <v>9</v>
      </c>
      <c r="AG35" s="488">
        <f t="shared" si="2"/>
        <v>11</v>
      </c>
      <c r="AH35" s="488">
        <f t="shared" si="2"/>
        <v>5</v>
      </c>
      <c r="AI35" s="488">
        <f t="shared" si="2"/>
        <v>1</v>
      </c>
      <c r="AJ35" s="488">
        <f t="shared" si="2"/>
        <v>5</v>
      </c>
      <c r="AK35" s="491">
        <f t="shared" si="2"/>
        <v>0</v>
      </c>
      <c r="AL35" s="491">
        <f t="shared" si="2"/>
        <v>0</v>
      </c>
      <c r="AM35" s="491">
        <f t="shared" si="2"/>
        <v>0</v>
      </c>
      <c r="AN35" s="491">
        <f t="shared" si="2"/>
        <v>0</v>
      </c>
    </row>
    <row r="36" spans="1:40" ht="14.95" customHeight="1" thickBot="1" x14ac:dyDescent="0.3">
      <c r="A36" s="499"/>
      <c r="B36" s="499"/>
      <c r="C36" s="1000" t="s">
        <v>197</v>
      </c>
      <c r="D36" s="1001"/>
      <c r="E36" s="1002"/>
      <c r="F36" s="491">
        <v>0</v>
      </c>
      <c r="G36" s="491">
        <v>0</v>
      </c>
      <c r="H36" s="492">
        <v>0</v>
      </c>
      <c r="I36" s="492">
        <v>0</v>
      </c>
      <c r="J36" s="491">
        <v>0</v>
      </c>
      <c r="K36" s="491">
        <v>0</v>
      </c>
      <c r="L36" s="491">
        <v>0</v>
      </c>
      <c r="M36" s="491">
        <v>0</v>
      </c>
      <c r="N36" s="491">
        <v>0</v>
      </c>
      <c r="O36" s="491">
        <v>0</v>
      </c>
      <c r="P36" s="492">
        <v>0</v>
      </c>
      <c r="Q36" s="492">
        <v>0</v>
      </c>
      <c r="R36" s="491">
        <v>0</v>
      </c>
      <c r="S36" s="502"/>
      <c r="T36" s="502"/>
      <c r="U36" s="502"/>
      <c r="V36" s="502"/>
      <c r="W36" s="500"/>
      <c r="X36" s="883" t="s">
        <v>197</v>
      </c>
      <c r="Y36" s="491">
        <v>0</v>
      </c>
      <c r="Z36" s="491">
        <v>0</v>
      </c>
      <c r="AA36" s="491">
        <v>0</v>
      </c>
      <c r="AB36" s="491">
        <v>0</v>
      </c>
      <c r="AC36" s="501">
        <v>0</v>
      </c>
      <c r="AD36" s="501">
        <v>0</v>
      </c>
      <c r="AE36" s="501">
        <v>0</v>
      </c>
      <c r="AF36" s="501">
        <v>0</v>
      </c>
      <c r="AG36" s="475">
        <v>0</v>
      </c>
      <c r="AH36" s="475">
        <v>0</v>
      </c>
      <c r="AI36" s="475">
        <v>0</v>
      </c>
      <c r="AJ36" s="475">
        <v>0</v>
      </c>
      <c r="AK36" s="491">
        <v>0</v>
      </c>
      <c r="AL36" s="491">
        <v>0</v>
      </c>
      <c r="AM36" s="491">
        <v>0</v>
      </c>
      <c r="AN36" s="491">
        <v>0</v>
      </c>
    </row>
    <row r="37" spans="1:40" ht="14.95" customHeight="1" thickBot="1" x14ac:dyDescent="0.3">
      <c r="A37" s="499"/>
      <c r="B37" s="499"/>
      <c r="C37" s="1000" t="s">
        <v>219</v>
      </c>
      <c r="D37" s="1001"/>
      <c r="E37" s="1002"/>
      <c r="F37" s="491">
        <f>SUM(F35+F36)</f>
        <v>386</v>
      </c>
      <c r="G37" s="491">
        <f t="shared" ref="G37:R37" si="3">SUM(G35+G36)</f>
        <v>633</v>
      </c>
      <c r="H37" s="491">
        <f t="shared" si="3"/>
        <v>6</v>
      </c>
      <c r="I37" s="491">
        <f t="shared" si="3"/>
        <v>2</v>
      </c>
      <c r="J37" s="491">
        <f t="shared" si="3"/>
        <v>50</v>
      </c>
      <c r="K37" s="491">
        <f t="shared" si="3"/>
        <v>35</v>
      </c>
      <c r="L37" s="491">
        <f t="shared" si="3"/>
        <v>0</v>
      </c>
      <c r="M37" s="491">
        <f t="shared" si="3"/>
        <v>21</v>
      </c>
      <c r="N37" s="491">
        <f t="shared" si="3"/>
        <v>13</v>
      </c>
      <c r="O37" s="491">
        <f t="shared" si="3"/>
        <v>2</v>
      </c>
      <c r="P37" s="491">
        <f t="shared" si="3"/>
        <v>13</v>
      </c>
      <c r="Q37" s="491">
        <f t="shared" si="3"/>
        <v>3</v>
      </c>
      <c r="R37" s="491">
        <f t="shared" si="3"/>
        <v>88</v>
      </c>
      <c r="S37" s="502"/>
      <c r="T37" s="502"/>
      <c r="U37" s="502"/>
      <c r="V37" s="502"/>
      <c r="W37" s="500"/>
      <c r="X37" s="883" t="s">
        <v>219</v>
      </c>
      <c r="Y37" s="491">
        <f t="shared" ref="Y37:AN37" si="4">SUM(Y35+Y36)</f>
        <v>22</v>
      </c>
      <c r="Z37" s="491">
        <f t="shared" si="4"/>
        <v>6</v>
      </c>
      <c r="AA37" s="491">
        <f t="shared" si="4"/>
        <v>1</v>
      </c>
      <c r="AB37" s="491">
        <f t="shared" si="4"/>
        <v>15</v>
      </c>
      <c r="AC37" s="501">
        <f t="shared" si="4"/>
        <v>11</v>
      </c>
      <c r="AD37" s="501">
        <f t="shared" si="4"/>
        <v>2</v>
      </c>
      <c r="AE37" s="501">
        <f t="shared" si="4"/>
        <v>0</v>
      </c>
      <c r="AF37" s="501">
        <f t="shared" si="4"/>
        <v>9</v>
      </c>
      <c r="AG37" s="488">
        <f t="shared" si="4"/>
        <v>11</v>
      </c>
      <c r="AH37" s="488">
        <f t="shared" si="4"/>
        <v>5</v>
      </c>
      <c r="AI37" s="488">
        <f t="shared" si="4"/>
        <v>1</v>
      </c>
      <c r="AJ37" s="488">
        <f t="shared" si="4"/>
        <v>5</v>
      </c>
      <c r="AK37" s="491">
        <f t="shared" si="4"/>
        <v>0</v>
      </c>
      <c r="AL37" s="491">
        <f t="shared" si="4"/>
        <v>0</v>
      </c>
      <c r="AM37" s="491">
        <f t="shared" si="4"/>
        <v>0</v>
      </c>
      <c r="AN37" s="491">
        <f t="shared" si="4"/>
        <v>0</v>
      </c>
    </row>
    <row r="38" spans="1:40" ht="14.95" customHeight="1" thickBot="1" x14ac:dyDescent="0.3">
      <c r="A38" s="100"/>
      <c r="C38" s="1025" t="s">
        <v>261</v>
      </c>
      <c r="D38" s="1026"/>
      <c r="E38" s="1027"/>
      <c r="F38" s="419">
        <f t="shared" ref="F38:R38" si="5">SUM(F11+F12+F14+F15+F19+F20)</f>
        <v>122</v>
      </c>
      <c r="G38" s="419">
        <f t="shared" si="5"/>
        <v>174</v>
      </c>
      <c r="H38" s="419">
        <f t="shared" si="5"/>
        <v>1</v>
      </c>
      <c r="I38" s="419">
        <f t="shared" si="5"/>
        <v>2</v>
      </c>
      <c r="J38" s="419">
        <f t="shared" si="5"/>
        <v>16</v>
      </c>
      <c r="K38" s="419">
        <f t="shared" si="5"/>
        <v>12</v>
      </c>
      <c r="L38" s="419">
        <f t="shared" si="5"/>
        <v>0</v>
      </c>
      <c r="M38" s="419">
        <f t="shared" si="5"/>
        <v>6</v>
      </c>
      <c r="N38" s="419">
        <f t="shared" si="5"/>
        <v>5</v>
      </c>
      <c r="O38" s="419">
        <f t="shared" si="5"/>
        <v>1</v>
      </c>
      <c r="P38" s="419">
        <f t="shared" si="5"/>
        <v>4</v>
      </c>
      <c r="Q38" s="419">
        <f t="shared" si="5"/>
        <v>0</v>
      </c>
      <c r="R38" s="419">
        <f t="shared" si="5"/>
        <v>23</v>
      </c>
      <c r="S38" s="159"/>
      <c r="T38" s="159"/>
      <c r="U38" s="159"/>
      <c r="V38" s="159"/>
      <c r="W38" s="407"/>
      <c r="X38" s="891" t="s">
        <v>261</v>
      </c>
      <c r="Y38" s="419">
        <f t="shared" ref="Y38:AN38" si="6">SUM(Y11+Y12+Y14+Y15+Y19+Y20)</f>
        <v>6</v>
      </c>
      <c r="Z38" s="416">
        <f t="shared" si="6"/>
        <v>1</v>
      </c>
      <c r="AA38" s="416">
        <f t="shared" si="6"/>
        <v>0</v>
      </c>
      <c r="AB38" s="416">
        <f t="shared" si="6"/>
        <v>5</v>
      </c>
      <c r="AC38" s="414">
        <f t="shared" si="6"/>
        <v>2</v>
      </c>
      <c r="AD38" s="414">
        <f t="shared" si="6"/>
        <v>1</v>
      </c>
      <c r="AE38" s="414">
        <f t="shared" si="6"/>
        <v>0</v>
      </c>
      <c r="AF38" s="414">
        <f t="shared" si="6"/>
        <v>1</v>
      </c>
      <c r="AG38" s="415">
        <f t="shared" si="6"/>
        <v>4</v>
      </c>
      <c r="AH38" s="415">
        <f t="shared" si="6"/>
        <v>0</v>
      </c>
      <c r="AI38" s="415">
        <f t="shared" si="6"/>
        <v>0</v>
      </c>
      <c r="AJ38" s="415">
        <f t="shared" si="6"/>
        <v>4</v>
      </c>
      <c r="AK38" s="416">
        <f t="shared" si="6"/>
        <v>0</v>
      </c>
      <c r="AL38" s="416">
        <f t="shared" si="6"/>
        <v>0</v>
      </c>
      <c r="AM38" s="416">
        <f t="shared" si="6"/>
        <v>0</v>
      </c>
      <c r="AN38" s="416">
        <f t="shared" si="6"/>
        <v>0</v>
      </c>
    </row>
    <row r="39" spans="1:40" ht="14.95" customHeight="1" thickBot="1" x14ac:dyDescent="0.3">
      <c r="A39" s="100"/>
      <c r="C39" s="1025" t="s">
        <v>262</v>
      </c>
      <c r="D39" s="1026"/>
      <c r="E39" s="1027"/>
      <c r="F39" s="419">
        <v>0</v>
      </c>
      <c r="G39" s="419">
        <v>0</v>
      </c>
      <c r="H39" s="416" t="s">
        <v>77</v>
      </c>
      <c r="I39" s="416" t="s">
        <v>77</v>
      </c>
      <c r="J39" s="419">
        <v>0</v>
      </c>
      <c r="K39" s="419">
        <v>0</v>
      </c>
      <c r="L39" s="419">
        <v>0</v>
      </c>
      <c r="M39" s="419">
        <v>0</v>
      </c>
      <c r="N39" s="419">
        <v>0</v>
      </c>
      <c r="O39" s="419">
        <v>0</v>
      </c>
      <c r="P39" s="416" t="s">
        <v>77</v>
      </c>
      <c r="Q39" s="416" t="s">
        <v>77</v>
      </c>
      <c r="R39" s="419">
        <v>0</v>
      </c>
      <c r="S39" s="159"/>
      <c r="T39" s="159"/>
      <c r="U39" s="159"/>
      <c r="V39" s="159"/>
      <c r="W39" s="407"/>
      <c r="X39" s="891" t="s">
        <v>262</v>
      </c>
      <c r="Y39" s="419">
        <v>0</v>
      </c>
      <c r="Z39" s="419">
        <v>0</v>
      </c>
      <c r="AA39" s="419">
        <v>0</v>
      </c>
      <c r="AB39" s="419">
        <v>0</v>
      </c>
      <c r="AC39" s="417">
        <v>0</v>
      </c>
      <c r="AD39" s="417">
        <v>0</v>
      </c>
      <c r="AE39" s="417">
        <v>0</v>
      </c>
      <c r="AF39" s="417">
        <v>0</v>
      </c>
      <c r="AG39" s="418">
        <v>0</v>
      </c>
      <c r="AH39" s="418">
        <v>0</v>
      </c>
      <c r="AI39" s="418">
        <v>0</v>
      </c>
      <c r="AJ39" s="418">
        <v>0</v>
      </c>
      <c r="AK39" s="419">
        <v>0</v>
      </c>
      <c r="AL39" s="419">
        <v>0</v>
      </c>
      <c r="AM39" s="419">
        <v>0</v>
      </c>
      <c r="AN39" s="419">
        <v>0</v>
      </c>
    </row>
    <row r="40" spans="1:40" ht="14.95" customHeight="1" thickBot="1" x14ac:dyDescent="0.3">
      <c r="A40" s="100"/>
      <c r="C40" s="1028" t="s">
        <v>263</v>
      </c>
      <c r="D40" s="1026"/>
      <c r="E40" s="1027"/>
      <c r="F40" s="396">
        <f>SUM(F38+F39)</f>
        <v>122</v>
      </c>
      <c r="G40" s="396">
        <f t="shared" ref="G40:R40" si="7">SUM(G38+G39)</f>
        <v>174</v>
      </c>
      <c r="H40" s="396">
        <f>SUM(H38)</f>
        <v>1</v>
      </c>
      <c r="I40" s="396">
        <f>SUM(I38)</f>
        <v>2</v>
      </c>
      <c r="J40" s="396">
        <f t="shared" si="7"/>
        <v>16</v>
      </c>
      <c r="K40" s="396">
        <f t="shared" si="7"/>
        <v>12</v>
      </c>
      <c r="L40" s="396">
        <f t="shared" si="7"/>
        <v>0</v>
      </c>
      <c r="M40" s="396">
        <f t="shared" si="7"/>
        <v>6</v>
      </c>
      <c r="N40" s="396">
        <f t="shared" si="7"/>
        <v>5</v>
      </c>
      <c r="O40" s="396">
        <f t="shared" si="7"/>
        <v>1</v>
      </c>
      <c r="P40" s="396">
        <f t="shared" ref="P40:Q40" si="8">SUM(P38)</f>
        <v>4</v>
      </c>
      <c r="Q40" s="396">
        <f t="shared" si="8"/>
        <v>0</v>
      </c>
      <c r="R40" s="396">
        <f t="shared" si="7"/>
        <v>23</v>
      </c>
      <c r="S40" s="159"/>
      <c r="T40" s="159"/>
      <c r="U40" s="159"/>
      <c r="V40" s="159"/>
      <c r="W40" s="160"/>
      <c r="X40" s="892" t="s">
        <v>263</v>
      </c>
      <c r="Y40" s="396">
        <f t="shared" ref="Y40:AN40" si="9">SUM(Y38+Y39)</f>
        <v>6</v>
      </c>
      <c r="Z40" s="396">
        <f t="shared" si="9"/>
        <v>1</v>
      </c>
      <c r="AA40" s="396">
        <f t="shared" si="9"/>
        <v>0</v>
      </c>
      <c r="AB40" s="396">
        <f t="shared" si="9"/>
        <v>5</v>
      </c>
      <c r="AC40" s="394">
        <f t="shared" si="9"/>
        <v>2</v>
      </c>
      <c r="AD40" s="394">
        <f t="shared" si="9"/>
        <v>1</v>
      </c>
      <c r="AE40" s="394">
        <f t="shared" si="9"/>
        <v>0</v>
      </c>
      <c r="AF40" s="394">
        <f t="shared" si="9"/>
        <v>1</v>
      </c>
      <c r="AG40" s="395">
        <f t="shared" si="9"/>
        <v>4</v>
      </c>
      <c r="AH40" s="395">
        <f t="shared" si="9"/>
        <v>0</v>
      </c>
      <c r="AI40" s="395">
        <f t="shared" si="9"/>
        <v>0</v>
      </c>
      <c r="AJ40" s="395">
        <f t="shared" si="9"/>
        <v>4</v>
      </c>
      <c r="AK40" s="396">
        <f t="shared" si="9"/>
        <v>0</v>
      </c>
      <c r="AL40" s="396">
        <f t="shared" si="9"/>
        <v>0</v>
      </c>
      <c r="AM40" s="396">
        <f t="shared" si="9"/>
        <v>0</v>
      </c>
      <c r="AN40" s="396">
        <f t="shared" si="9"/>
        <v>0</v>
      </c>
    </row>
    <row r="41" spans="1:40" ht="14.95" customHeight="1" thickBot="1" x14ac:dyDescent="0.3">
      <c r="A41" s="100"/>
      <c r="C41" s="977" t="s">
        <v>227</v>
      </c>
      <c r="D41" s="978"/>
      <c r="E41" s="979"/>
      <c r="F41" s="541">
        <f t="shared" ref="F41:R41" si="10">SUM(F3+F4+F5+F6)</f>
        <v>116</v>
      </c>
      <c r="G41" s="541">
        <f t="shared" si="10"/>
        <v>121</v>
      </c>
      <c r="H41" s="541">
        <f t="shared" si="10"/>
        <v>2</v>
      </c>
      <c r="I41" s="541">
        <f t="shared" si="10"/>
        <v>2</v>
      </c>
      <c r="J41" s="541">
        <f t="shared" si="10"/>
        <v>16</v>
      </c>
      <c r="K41" s="541">
        <f t="shared" si="10"/>
        <v>9</v>
      </c>
      <c r="L41" s="541">
        <f t="shared" si="10"/>
        <v>0</v>
      </c>
      <c r="M41" s="541">
        <f t="shared" si="10"/>
        <v>6</v>
      </c>
      <c r="N41" s="541">
        <f t="shared" si="10"/>
        <v>4</v>
      </c>
      <c r="O41" s="541">
        <f t="shared" si="10"/>
        <v>0</v>
      </c>
      <c r="P41" s="541">
        <f t="shared" si="10"/>
        <v>3</v>
      </c>
      <c r="Q41" s="541">
        <f t="shared" si="10"/>
        <v>0</v>
      </c>
      <c r="R41" s="541">
        <f t="shared" si="10"/>
        <v>16</v>
      </c>
      <c r="S41" s="534"/>
      <c r="T41" s="534"/>
      <c r="U41" s="534"/>
      <c r="V41" s="535"/>
      <c r="W41" s="535"/>
      <c r="X41" s="888" t="s">
        <v>227</v>
      </c>
      <c r="Y41" s="541">
        <f t="shared" ref="Y41:AN41" si="11">SUM(Y3+Y4+Y5+Y6)</f>
        <v>4</v>
      </c>
      <c r="Z41" s="541">
        <f t="shared" si="11"/>
        <v>1</v>
      </c>
      <c r="AA41" s="541">
        <f t="shared" si="11"/>
        <v>0</v>
      </c>
      <c r="AB41" s="541">
        <f t="shared" si="11"/>
        <v>3</v>
      </c>
      <c r="AC41" s="536">
        <f t="shared" si="11"/>
        <v>2</v>
      </c>
      <c r="AD41" s="536">
        <f t="shared" si="11"/>
        <v>0</v>
      </c>
      <c r="AE41" s="536">
        <f t="shared" si="11"/>
        <v>0</v>
      </c>
      <c r="AF41" s="536">
        <f t="shared" si="11"/>
        <v>2</v>
      </c>
      <c r="AG41" s="537">
        <f t="shared" si="11"/>
        <v>2</v>
      </c>
      <c r="AH41" s="537">
        <f t="shared" si="11"/>
        <v>1</v>
      </c>
      <c r="AI41" s="537">
        <f t="shared" si="11"/>
        <v>0</v>
      </c>
      <c r="AJ41" s="537">
        <f t="shared" si="11"/>
        <v>1</v>
      </c>
      <c r="AK41" s="538">
        <f t="shared" si="11"/>
        <v>0</v>
      </c>
      <c r="AL41" s="538">
        <f t="shared" si="11"/>
        <v>0</v>
      </c>
      <c r="AM41" s="538">
        <f t="shared" si="11"/>
        <v>0</v>
      </c>
      <c r="AN41" s="538">
        <f t="shared" si="11"/>
        <v>0</v>
      </c>
    </row>
    <row r="42" spans="1:40" ht="14.95" thickBot="1" x14ac:dyDescent="0.3">
      <c r="C42" s="977" t="s">
        <v>228</v>
      </c>
      <c r="D42" s="978"/>
      <c r="E42" s="979"/>
      <c r="F42" s="541">
        <v>0</v>
      </c>
      <c r="G42" s="541">
        <v>0</v>
      </c>
      <c r="H42" s="538" t="s">
        <v>77</v>
      </c>
      <c r="I42" s="538" t="s">
        <v>77</v>
      </c>
      <c r="J42" s="541">
        <v>0</v>
      </c>
      <c r="K42" s="541">
        <v>0</v>
      </c>
      <c r="L42" s="541">
        <v>0</v>
      </c>
      <c r="M42" s="541">
        <v>0</v>
      </c>
      <c r="N42" s="541">
        <v>0</v>
      </c>
      <c r="O42" s="541">
        <v>0</v>
      </c>
      <c r="P42" s="538" t="s">
        <v>77</v>
      </c>
      <c r="Q42" s="538" t="s">
        <v>77</v>
      </c>
      <c r="R42" s="541">
        <v>0</v>
      </c>
      <c r="S42" s="534"/>
      <c r="T42" s="534"/>
      <c r="U42" s="534"/>
      <c r="V42" s="534"/>
      <c r="W42" s="535"/>
      <c r="X42" s="888" t="s">
        <v>228</v>
      </c>
      <c r="Y42" s="541">
        <v>0</v>
      </c>
      <c r="Z42" s="541">
        <v>0</v>
      </c>
      <c r="AA42" s="541">
        <v>0</v>
      </c>
      <c r="AB42" s="541">
        <v>0</v>
      </c>
      <c r="AC42" s="539">
        <v>0</v>
      </c>
      <c r="AD42" s="539">
        <v>0</v>
      </c>
      <c r="AE42" s="539">
        <v>0</v>
      </c>
      <c r="AF42" s="539">
        <v>0</v>
      </c>
      <c r="AG42" s="540">
        <v>0</v>
      </c>
      <c r="AH42" s="540">
        <v>0</v>
      </c>
      <c r="AI42" s="540">
        <v>0</v>
      </c>
      <c r="AJ42" s="540">
        <v>0</v>
      </c>
      <c r="AK42" s="541">
        <v>0</v>
      </c>
      <c r="AL42" s="541">
        <v>0</v>
      </c>
      <c r="AM42" s="541">
        <v>0</v>
      </c>
      <c r="AN42" s="541">
        <v>0</v>
      </c>
    </row>
    <row r="43" spans="1:40" ht="14.95" customHeight="1" thickBot="1" x14ac:dyDescent="0.3">
      <c r="C43" s="1010" t="s">
        <v>229</v>
      </c>
      <c r="D43" s="978"/>
      <c r="E43" s="979"/>
      <c r="F43" s="545">
        <f>SUM(F41+F42)</f>
        <v>116</v>
      </c>
      <c r="G43" s="545">
        <f t="shared" ref="G43:R43" si="12">SUM(G41+G42)</f>
        <v>121</v>
      </c>
      <c r="H43" s="545">
        <f>H41</f>
        <v>2</v>
      </c>
      <c r="I43" s="545">
        <f>I41</f>
        <v>2</v>
      </c>
      <c r="J43" s="545">
        <f t="shared" si="12"/>
        <v>16</v>
      </c>
      <c r="K43" s="545">
        <f t="shared" si="12"/>
        <v>9</v>
      </c>
      <c r="L43" s="545">
        <f t="shared" si="12"/>
        <v>0</v>
      </c>
      <c r="M43" s="545">
        <f t="shared" si="12"/>
        <v>6</v>
      </c>
      <c r="N43" s="545">
        <f t="shared" si="12"/>
        <v>4</v>
      </c>
      <c r="O43" s="545">
        <f t="shared" si="12"/>
        <v>0</v>
      </c>
      <c r="P43" s="545">
        <f t="shared" ref="P43:Q43" si="13">P41</f>
        <v>3</v>
      </c>
      <c r="Q43" s="545">
        <f t="shared" si="13"/>
        <v>0</v>
      </c>
      <c r="R43" s="545">
        <f t="shared" si="12"/>
        <v>16</v>
      </c>
      <c r="S43" s="534"/>
      <c r="T43" s="534"/>
      <c r="U43" s="534"/>
      <c r="V43" s="534"/>
      <c r="W43" s="542"/>
      <c r="X43" s="885" t="s">
        <v>229</v>
      </c>
      <c r="Y43" s="545">
        <f t="shared" ref="Y43:AN43" si="14">SUM(Y41+Y42)</f>
        <v>4</v>
      </c>
      <c r="Z43" s="545">
        <f t="shared" si="14"/>
        <v>1</v>
      </c>
      <c r="AA43" s="545">
        <f t="shared" si="14"/>
        <v>0</v>
      </c>
      <c r="AB43" s="545">
        <f t="shared" si="14"/>
        <v>3</v>
      </c>
      <c r="AC43" s="543">
        <f t="shared" si="14"/>
        <v>2</v>
      </c>
      <c r="AD43" s="543">
        <f t="shared" si="14"/>
        <v>0</v>
      </c>
      <c r="AE43" s="543">
        <f t="shared" si="14"/>
        <v>0</v>
      </c>
      <c r="AF43" s="543">
        <f t="shared" si="14"/>
        <v>2</v>
      </c>
      <c r="AG43" s="544">
        <f t="shared" si="14"/>
        <v>2</v>
      </c>
      <c r="AH43" s="544">
        <f t="shared" si="14"/>
        <v>1</v>
      </c>
      <c r="AI43" s="544">
        <f t="shared" si="14"/>
        <v>0</v>
      </c>
      <c r="AJ43" s="544">
        <f t="shared" si="14"/>
        <v>1</v>
      </c>
      <c r="AK43" s="545">
        <f t="shared" si="14"/>
        <v>0</v>
      </c>
      <c r="AL43" s="545">
        <f t="shared" si="14"/>
        <v>0</v>
      </c>
      <c r="AM43" s="545">
        <f t="shared" si="14"/>
        <v>0</v>
      </c>
      <c r="AN43" s="545">
        <f t="shared" si="14"/>
        <v>0</v>
      </c>
    </row>
    <row r="44" spans="1:40" ht="14.95" thickBot="1" x14ac:dyDescent="0.3">
      <c r="A44" s="100"/>
      <c r="C44" s="980" t="s">
        <v>63</v>
      </c>
      <c r="D44" s="981"/>
      <c r="E44" s="982"/>
      <c r="F44" s="378">
        <f t="shared" ref="F44:R44" si="15">SUM(F3:F34)</f>
        <v>624</v>
      </c>
      <c r="G44" s="378">
        <f t="shared" si="15"/>
        <v>928</v>
      </c>
      <c r="H44" s="378">
        <f t="shared" si="15"/>
        <v>9</v>
      </c>
      <c r="I44" s="378">
        <f t="shared" si="15"/>
        <v>6</v>
      </c>
      <c r="J44" s="378">
        <f t="shared" si="15"/>
        <v>82</v>
      </c>
      <c r="K44" s="378">
        <f t="shared" si="15"/>
        <v>56</v>
      </c>
      <c r="L44" s="378">
        <f t="shared" si="15"/>
        <v>0</v>
      </c>
      <c r="M44" s="378">
        <f t="shared" si="15"/>
        <v>33</v>
      </c>
      <c r="N44" s="378">
        <f t="shared" si="15"/>
        <v>22</v>
      </c>
      <c r="O44" s="378">
        <f t="shared" si="15"/>
        <v>3</v>
      </c>
      <c r="P44" s="378">
        <f t="shared" si="15"/>
        <v>20</v>
      </c>
      <c r="Q44" s="378">
        <f t="shared" si="15"/>
        <v>3</v>
      </c>
      <c r="R44" s="378">
        <f t="shared" si="15"/>
        <v>127</v>
      </c>
      <c r="S44" s="168"/>
      <c r="T44" s="168"/>
      <c r="U44" s="168"/>
      <c r="V44" s="169"/>
      <c r="W44" s="169"/>
      <c r="X44" s="886" t="s">
        <v>63</v>
      </c>
      <c r="Y44" s="378">
        <f t="shared" ref="Y44:AN44" si="16">SUM(Y3:Y34)</f>
        <v>32</v>
      </c>
      <c r="Z44" s="378">
        <f t="shared" si="16"/>
        <v>8</v>
      </c>
      <c r="AA44" s="378">
        <f t="shared" si="16"/>
        <v>1</v>
      </c>
      <c r="AB44" s="378">
        <f t="shared" si="16"/>
        <v>23</v>
      </c>
      <c r="AC44" s="66">
        <f t="shared" si="16"/>
        <v>15</v>
      </c>
      <c r="AD44" s="66">
        <f t="shared" si="16"/>
        <v>3</v>
      </c>
      <c r="AE44" s="66">
        <f t="shared" si="16"/>
        <v>0</v>
      </c>
      <c r="AF44" s="66">
        <f t="shared" si="16"/>
        <v>12</v>
      </c>
      <c r="AG44" s="377">
        <f t="shared" si="16"/>
        <v>17</v>
      </c>
      <c r="AH44" s="377">
        <f t="shared" si="16"/>
        <v>6</v>
      </c>
      <c r="AI44" s="377">
        <f t="shared" si="16"/>
        <v>1</v>
      </c>
      <c r="AJ44" s="377">
        <f t="shared" si="16"/>
        <v>10</v>
      </c>
      <c r="AK44" s="378">
        <f t="shared" si="16"/>
        <v>0</v>
      </c>
      <c r="AL44" s="378">
        <f t="shared" si="16"/>
        <v>0</v>
      </c>
      <c r="AM44" s="378">
        <f t="shared" si="16"/>
        <v>0</v>
      </c>
      <c r="AN44" s="378">
        <f t="shared" si="16"/>
        <v>0</v>
      </c>
    </row>
    <row r="45" spans="1:40" x14ac:dyDescent="0.25">
      <c r="A45" s="100" t="s">
        <v>976</v>
      </c>
    </row>
    <row r="46" spans="1:40" x14ac:dyDescent="0.25">
      <c r="A46" s="100" t="s">
        <v>296</v>
      </c>
    </row>
    <row r="47" spans="1:40" x14ac:dyDescent="0.25">
      <c r="A47" s="100" t="s">
        <v>107</v>
      </c>
    </row>
  </sheetData>
  <mergeCells count="26">
    <mergeCell ref="C44:E44"/>
    <mergeCell ref="J1:M1"/>
    <mergeCell ref="N1:O1"/>
    <mergeCell ref="P1:R1"/>
    <mergeCell ref="A1:D1"/>
    <mergeCell ref="E1:G1"/>
    <mergeCell ref="H1:I1"/>
    <mergeCell ref="C39:E39"/>
    <mergeCell ref="C41:E41"/>
    <mergeCell ref="C42:E42"/>
    <mergeCell ref="C37:E37"/>
    <mergeCell ref="C40:E40"/>
    <mergeCell ref="C43:E43"/>
    <mergeCell ref="C35:E35"/>
    <mergeCell ref="C38:E38"/>
    <mergeCell ref="C36:E36"/>
    <mergeCell ref="Y1:AB1"/>
    <mergeCell ref="AC1:AF1"/>
    <mergeCell ref="AG1:AJ1"/>
    <mergeCell ref="AK1:AN1"/>
    <mergeCell ref="BB4:BC4"/>
    <mergeCell ref="AX4:AY4"/>
    <mergeCell ref="AZ4:BA4"/>
    <mergeCell ref="AT2:AU2"/>
    <mergeCell ref="AT4:AU4"/>
    <mergeCell ref="AV4:AW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C49"/>
  <sheetViews>
    <sheetView workbookViewId="0">
      <pane ySplit="2" topLeftCell="A6" activePane="bottomLeft" state="frozen"/>
      <selection pane="bottomLeft" activeCell="V28" sqref="V28"/>
    </sheetView>
  </sheetViews>
  <sheetFormatPr defaultColWidth="8.875" defaultRowHeight="14.3" x14ac:dyDescent="0.25"/>
  <cols>
    <col min="1" max="1" width="8.75" customWidth="1"/>
    <col min="2" max="2" width="6.125" customWidth="1"/>
    <col min="3" max="3" width="14" customWidth="1"/>
    <col min="4" max="5" width="3.75" customWidth="1"/>
    <col min="6" max="6" width="5" bestFit="1" customWidth="1"/>
    <col min="7" max="18" width="3.75" customWidth="1"/>
    <col min="19" max="19" width="6.25" customWidth="1"/>
    <col min="20" max="20" width="5.75" customWidth="1"/>
    <col min="21" max="21" width="21.375" bestFit="1" customWidth="1"/>
    <col min="22" max="22" width="23.375" bestFit="1" customWidth="1"/>
    <col min="23" max="23" width="21" customWidth="1"/>
    <col min="24" max="24" width="25.625" bestFit="1" customWidth="1"/>
    <col min="25" max="40" width="3.75" customWidth="1"/>
    <col min="43" max="43" width="15.75" customWidth="1"/>
    <col min="46" max="46" width="10.875" bestFit="1" customWidth="1"/>
    <col min="47" max="47" width="6.75" customWidth="1"/>
    <col min="48" max="48" width="10.875" bestFit="1" customWidth="1"/>
    <col min="49" max="49" width="6.75" customWidth="1"/>
    <col min="50" max="50" width="10.875" bestFit="1" customWidth="1"/>
    <col min="51" max="51" width="6.75" customWidth="1"/>
    <col min="52" max="52" width="10.875" bestFit="1" customWidth="1"/>
    <col min="53" max="53" width="6.75" customWidth="1"/>
    <col min="54" max="54" width="10.875" bestFit="1" customWidth="1"/>
    <col min="55" max="55" width="6.75" customWidth="1"/>
  </cols>
  <sheetData>
    <row r="1" spans="1:55" ht="14.95" customHeight="1" thickBot="1" x14ac:dyDescent="0.3">
      <c r="A1" s="1121" t="s">
        <v>282</v>
      </c>
      <c r="B1" s="1122"/>
      <c r="C1" s="1122"/>
      <c r="D1" s="1123"/>
      <c r="E1" s="1124" t="s">
        <v>70</v>
      </c>
      <c r="F1" s="1125"/>
      <c r="G1" s="1126"/>
      <c r="H1" s="1124" t="s">
        <v>69</v>
      </c>
      <c r="I1" s="1126"/>
      <c r="J1" s="1118" t="s">
        <v>40</v>
      </c>
      <c r="K1" s="1119"/>
      <c r="L1" s="1119"/>
      <c r="M1" s="1120"/>
      <c r="N1" s="1118" t="s">
        <v>41</v>
      </c>
      <c r="O1" s="1120"/>
      <c r="P1" s="1118" t="s">
        <v>72</v>
      </c>
      <c r="Q1" s="1119"/>
      <c r="R1" s="1120"/>
      <c r="S1" s="712" t="s">
        <v>42</v>
      </c>
      <c r="T1" s="712" t="s">
        <v>43</v>
      </c>
      <c r="U1" s="441" t="s">
        <v>44</v>
      </c>
      <c r="V1" s="440" t="s">
        <v>45</v>
      </c>
      <c r="W1" s="442" t="s">
        <v>101</v>
      </c>
      <c r="X1" s="442" t="s">
        <v>102</v>
      </c>
      <c r="Y1" s="1117" t="s">
        <v>64</v>
      </c>
      <c r="Z1" s="966"/>
      <c r="AA1" s="966"/>
      <c r="AB1" s="967"/>
      <c r="AC1" s="1117" t="s">
        <v>65</v>
      </c>
      <c r="AD1" s="966"/>
      <c r="AE1" s="966"/>
      <c r="AF1" s="967"/>
      <c r="AG1" s="1117" t="s">
        <v>66</v>
      </c>
      <c r="AH1" s="966"/>
      <c r="AI1" s="966"/>
      <c r="AJ1" s="967"/>
      <c r="AK1" s="1117" t="s">
        <v>137</v>
      </c>
      <c r="AL1" s="966"/>
      <c r="AM1" s="966"/>
      <c r="AN1" s="966"/>
    </row>
    <row r="2" spans="1:55" ht="14.95" customHeight="1" thickBot="1" x14ac:dyDescent="0.3">
      <c r="A2" s="444" t="s">
        <v>62</v>
      </c>
      <c r="B2" s="445" t="s">
        <v>61</v>
      </c>
      <c r="C2" s="446" t="s">
        <v>81</v>
      </c>
      <c r="D2" s="446" t="s">
        <v>71</v>
      </c>
      <c r="E2" s="447" t="s">
        <v>50</v>
      </c>
      <c r="F2" s="447" t="s">
        <v>35</v>
      </c>
      <c r="G2" s="447" t="s">
        <v>36</v>
      </c>
      <c r="H2" s="448" t="s">
        <v>67</v>
      </c>
      <c r="I2" s="448" t="s">
        <v>68</v>
      </c>
      <c r="J2" s="448" t="s">
        <v>46</v>
      </c>
      <c r="K2" s="448" t="s">
        <v>47</v>
      </c>
      <c r="L2" s="448" t="s">
        <v>33</v>
      </c>
      <c r="M2" s="448" t="s">
        <v>48</v>
      </c>
      <c r="N2" s="448" t="s">
        <v>49</v>
      </c>
      <c r="O2" s="448" t="s">
        <v>50</v>
      </c>
      <c r="P2" s="448" t="s">
        <v>67</v>
      </c>
      <c r="Q2" s="448" t="s">
        <v>68</v>
      </c>
      <c r="R2" s="448" t="s">
        <v>46</v>
      </c>
      <c r="S2" s="449"/>
      <c r="T2" s="450"/>
      <c r="U2" s="451"/>
      <c r="V2" s="449"/>
      <c r="W2" s="452"/>
      <c r="X2" s="452"/>
      <c r="Y2" s="564" t="s">
        <v>31</v>
      </c>
      <c r="Z2" s="564" t="s">
        <v>32</v>
      </c>
      <c r="AA2" s="564" t="s">
        <v>33</v>
      </c>
      <c r="AB2" s="564" t="s">
        <v>34</v>
      </c>
      <c r="AC2" s="564" t="s">
        <v>31</v>
      </c>
      <c r="AD2" s="564" t="s">
        <v>32</v>
      </c>
      <c r="AE2" s="564" t="s">
        <v>33</v>
      </c>
      <c r="AF2" s="564" t="s">
        <v>34</v>
      </c>
      <c r="AG2" s="564" t="s">
        <v>31</v>
      </c>
      <c r="AH2" s="564" t="s">
        <v>32</v>
      </c>
      <c r="AI2" s="564" t="s">
        <v>33</v>
      </c>
      <c r="AJ2" s="564" t="s">
        <v>34</v>
      </c>
      <c r="AK2" s="564" t="s">
        <v>31</v>
      </c>
      <c r="AL2" s="564" t="s">
        <v>32</v>
      </c>
      <c r="AM2" s="564" t="s">
        <v>33</v>
      </c>
      <c r="AN2" s="564" t="s">
        <v>34</v>
      </c>
      <c r="AQ2" s="256" t="s">
        <v>188</v>
      </c>
      <c r="AR2" s="443"/>
      <c r="AS2" s="453"/>
      <c r="AT2" s="1127" t="s">
        <v>188</v>
      </c>
      <c r="AU2" s="1128"/>
    </row>
    <row r="3" spans="1:55" ht="14.95" customHeight="1" thickBot="1" x14ac:dyDescent="0.3">
      <c r="A3" s="581" t="s">
        <v>231</v>
      </c>
      <c r="B3" s="554" t="s">
        <v>222</v>
      </c>
      <c r="C3" s="555" t="s">
        <v>27</v>
      </c>
      <c r="D3" s="556" t="s">
        <v>36</v>
      </c>
      <c r="E3" s="556" t="s">
        <v>34</v>
      </c>
      <c r="F3" s="556">
        <v>18</v>
      </c>
      <c r="G3" s="556">
        <v>39</v>
      </c>
      <c r="H3" s="556">
        <v>0</v>
      </c>
      <c r="I3" s="556">
        <v>0</v>
      </c>
      <c r="J3" s="556">
        <v>2</v>
      </c>
      <c r="K3" s="556">
        <v>1</v>
      </c>
      <c r="L3" s="556">
        <v>0</v>
      </c>
      <c r="M3" s="556">
        <v>2</v>
      </c>
      <c r="N3" s="556">
        <v>0</v>
      </c>
      <c r="O3" s="556">
        <v>0</v>
      </c>
      <c r="P3" s="556">
        <v>1</v>
      </c>
      <c r="Q3" s="556">
        <v>0</v>
      </c>
      <c r="R3" s="556">
        <v>6</v>
      </c>
      <c r="S3" s="702">
        <v>5744</v>
      </c>
      <c r="T3" s="563" t="s">
        <v>313</v>
      </c>
      <c r="U3" s="559" t="s">
        <v>320</v>
      </c>
      <c r="V3" s="557" t="s">
        <v>331</v>
      </c>
      <c r="W3" s="557" t="s">
        <v>321</v>
      </c>
      <c r="X3" s="558" t="s">
        <v>322</v>
      </c>
      <c r="Y3" s="557">
        <v>1</v>
      </c>
      <c r="Z3" s="557">
        <v>0</v>
      </c>
      <c r="AA3" s="557">
        <v>0</v>
      </c>
      <c r="AB3" s="583">
        <v>1</v>
      </c>
      <c r="AC3" s="557">
        <v>0</v>
      </c>
      <c r="AD3" s="557">
        <v>0</v>
      </c>
      <c r="AE3" s="557">
        <v>0</v>
      </c>
      <c r="AF3" s="583">
        <v>0</v>
      </c>
      <c r="AG3" s="557">
        <v>1</v>
      </c>
      <c r="AH3" s="557">
        <v>0</v>
      </c>
      <c r="AI3" s="557">
        <v>0</v>
      </c>
      <c r="AJ3" s="558">
        <v>1</v>
      </c>
      <c r="AK3" s="557">
        <v>0</v>
      </c>
      <c r="AL3" s="557">
        <v>0</v>
      </c>
      <c r="AM3" s="557">
        <v>0</v>
      </c>
      <c r="AN3" s="558">
        <v>0</v>
      </c>
      <c r="AQ3" s="507" t="s">
        <v>171</v>
      </c>
      <c r="AT3" s="4" t="s">
        <v>177</v>
      </c>
    </row>
    <row r="4" spans="1:55" ht="14.95" customHeight="1" thickBot="1" x14ac:dyDescent="0.3">
      <c r="A4" s="546" t="s">
        <v>232</v>
      </c>
      <c r="B4" s="547" t="s">
        <v>222</v>
      </c>
      <c r="C4" s="548" t="s">
        <v>106</v>
      </c>
      <c r="D4" s="549" t="s">
        <v>299</v>
      </c>
      <c r="E4" s="549" t="s">
        <v>34</v>
      </c>
      <c r="F4" s="549">
        <v>32</v>
      </c>
      <c r="G4" s="549">
        <v>36</v>
      </c>
      <c r="H4" s="549">
        <v>1</v>
      </c>
      <c r="I4" s="549">
        <v>1</v>
      </c>
      <c r="J4" s="549">
        <v>5</v>
      </c>
      <c r="K4" s="549">
        <v>1</v>
      </c>
      <c r="L4" s="549">
        <v>0</v>
      </c>
      <c r="M4" s="549">
        <v>1</v>
      </c>
      <c r="N4" s="549">
        <v>1</v>
      </c>
      <c r="O4" s="549">
        <v>1</v>
      </c>
      <c r="P4" s="549">
        <v>1</v>
      </c>
      <c r="Q4" s="549">
        <v>0</v>
      </c>
      <c r="R4" s="549">
        <v>6</v>
      </c>
      <c r="S4" s="703">
        <v>12000</v>
      </c>
      <c r="T4" s="585" t="s">
        <v>378</v>
      </c>
      <c r="U4" s="586" t="s">
        <v>350</v>
      </c>
      <c r="V4" s="584" t="s">
        <v>352</v>
      </c>
      <c r="W4" s="587" t="s">
        <v>351</v>
      </c>
      <c r="X4" s="587" t="s">
        <v>306</v>
      </c>
      <c r="Y4" s="550">
        <v>1</v>
      </c>
      <c r="Z4" s="550">
        <v>0</v>
      </c>
      <c r="AA4" s="550">
        <v>0</v>
      </c>
      <c r="AB4" s="588">
        <v>1</v>
      </c>
      <c r="AC4" s="550">
        <v>1</v>
      </c>
      <c r="AD4" s="550">
        <v>0</v>
      </c>
      <c r="AE4" s="550">
        <v>0</v>
      </c>
      <c r="AF4" s="588">
        <v>1</v>
      </c>
      <c r="AG4" s="550">
        <v>0</v>
      </c>
      <c r="AH4" s="550">
        <v>0</v>
      </c>
      <c r="AI4" s="550">
        <v>0</v>
      </c>
      <c r="AJ4" s="552">
        <v>0</v>
      </c>
      <c r="AK4" s="550">
        <v>0</v>
      </c>
      <c r="AL4" s="550">
        <v>0</v>
      </c>
      <c r="AM4" s="550">
        <v>0</v>
      </c>
      <c r="AN4" s="552">
        <v>0</v>
      </c>
      <c r="AQ4" s="173" t="s">
        <v>167</v>
      </c>
      <c r="AR4" s="174">
        <f>Norpremhistplayed</f>
        <v>498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989" t="s">
        <v>174</v>
      </c>
      <c r="BC4" s="990"/>
    </row>
    <row r="5" spans="1:55" ht="14.95" customHeight="1" thickBot="1" x14ac:dyDescent="0.3">
      <c r="A5" s="626" t="s">
        <v>358</v>
      </c>
      <c r="B5" s="547" t="s">
        <v>222</v>
      </c>
      <c r="C5" s="627" t="s">
        <v>19</v>
      </c>
      <c r="D5" s="628" t="s">
        <v>299</v>
      </c>
      <c r="E5" s="628" t="s">
        <v>34</v>
      </c>
      <c r="F5" s="628">
        <v>28</v>
      </c>
      <c r="G5" s="628">
        <v>54</v>
      </c>
      <c r="H5" s="628">
        <v>4</v>
      </c>
      <c r="I5" s="628">
        <v>0</v>
      </c>
      <c r="J5" s="628">
        <v>4</v>
      </c>
      <c r="K5" s="628">
        <v>4</v>
      </c>
      <c r="L5" s="628">
        <v>0</v>
      </c>
      <c r="M5" s="628">
        <v>0</v>
      </c>
      <c r="N5" s="628">
        <v>1</v>
      </c>
      <c r="O5" s="628">
        <v>0</v>
      </c>
      <c r="P5" s="628">
        <v>1</v>
      </c>
      <c r="Q5" s="628">
        <v>0</v>
      </c>
      <c r="R5" s="628">
        <v>7</v>
      </c>
      <c r="S5" s="704">
        <v>11631</v>
      </c>
      <c r="T5" s="629" t="s">
        <v>409</v>
      </c>
      <c r="U5" s="551" t="s">
        <v>396</v>
      </c>
      <c r="V5" s="550" t="s">
        <v>403</v>
      </c>
      <c r="W5" s="550" t="s">
        <v>308</v>
      </c>
      <c r="X5" s="550" t="s">
        <v>397</v>
      </c>
      <c r="Y5" s="550">
        <v>1</v>
      </c>
      <c r="Z5" s="550">
        <v>0</v>
      </c>
      <c r="AA5" s="550">
        <v>0</v>
      </c>
      <c r="AB5" s="550">
        <v>1</v>
      </c>
      <c r="AC5" s="550">
        <v>1</v>
      </c>
      <c r="AD5" s="550">
        <v>0</v>
      </c>
      <c r="AE5" s="550">
        <v>0</v>
      </c>
      <c r="AF5" s="550">
        <v>1</v>
      </c>
      <c r="AG5" s="550">
        <v>0</v>
      </c>
      <c r="AH5" s="550">
        <v>0</v>
      </c>
      <c r="AI5" s="550">
        <v>0</v>
      </c>
      <c r="AJ5" s="551">
        <v>0</v>
      </c>
      <c r="AK5" s="550">
        <v>0</v>
      </c>
      <c r="AL5" s="550">
        <v>0</v>
      </c>
      <c r="AM5" s="550">
        <v>0</v>
      </c>
      <c r="AN5" s="551">
        <v>0</v>
      </c>
      <c r="AQ5" s="175" t="s">
        <v>0</v>
      </c>
      <c r="AR5" s="176">
        <f>Norpremhistwon</f>
        <v>270</v>
      </c>
      <c r="AT5" s="177" t="s">
        <v>167</v>
      </c>
      <c r="AU5" s="189">
        <f>Noreuropeancuphistplayed</f>
        <v>116</v>
      </c>
      <c r="AV5" s="179" t="s">
        <v>167</v>
      </c>
      <c r="AW5" s="180">
        <f>Norchampscuphistplayed</f>
        <v>33</v>
      </c>
      <c r="AX5" s="187" t="s">
        <v>167</v>
      </c>
      <c r="AY5" s="188">
        <f>Norchampscuppohistplayed</f>
        <v>2</v>
      </c>
      <c r="AZ5" s="181" t="s">
        <v>167</v>
      </c>
      <c r="BA5" s="178">
        <f>Norchallcuphistplayed</f>
        <v>38</v>
      </c>
      <c r="BB5" s="182" t="s">
        <v>167</v>
      </c>
      <c r="BC5" s="183">
        <f>SUM(AU5+AY5+BA5)</f>
        <v>156</v>
      </c>
    </row>
    <row r="6" spans="1:55" ht="14.95" customHeight="1" thickBot="1" x14ac:dyDescent="0.3">
      <c r="A6" s="553" t="s">
        <v>241</v>
      </c>
      <c r="B6" s="554" t="s">
        <v>222</v>
      </c>
      <c r="C6" s="625" t="s">
        <v>26</v>
      </c>
      <c r="D6" s="556" t="s">
        <v>36</v>
      </c>
      <c r="E6" s="556" t="s">
        <v>32</v>
      </c>
      <c r="F6" s="556">
        <v>31</v>
      </c>
      <c r="G6" s="556">
        <v>22</v>
      </c>
      <c r="H6" s="556">
        <v>1</v>
      </c>
      <c r="I6" s="556">
        <v>0</v>
      </c>
      <c r="J6" s="556">
        <v>4</v>
      </c>
      <c r="K6" s="556">
        <v>4</v>
      </c>
      <c r="L6" s="556">
        <v>0</v>
      </c>
      <c r="M6" s="556">
        <v>1</v>
      </c>
      <c r="N6" s="556">
        <v>0</v>
      </c>
      <c r="O6" s="556">
        <v>0</v>
      </c>
      <c r="P6" s="556">
        <v>1</v>
      </c>
      <c r="Q6" s="556">
        <v>0</v>
      </c>
      <c r="R6" s="556">
        <v>4</v>
      </c>
      <c r="S6" s="702">
        <v>16160</v>
      </c>
      <c r="T6" s="563" t="s">
        <v>423</v>
      </c>
      <c r="U6" s="559" t="s">
        <v>326</v>
      </c>
      <c r="V6" s="557" t="s">
        <v>331</v>
      </c>
      <c r="W6" s="557" t="s">
        <v>320</v>
      </c>
      <c r="X6" s="558" t="s">
        <v>325</v>
      </c>
      <c r="Y6" s="557">
        <v>1</v>
      </c>
      <c r="Z6" s="557">
        <v>1</v>
      </c>
      <c r="AA6" s="557">
        <v>0</v>
      </c>
      <c r="AB6" s="557">
        <v>0</v>
      </c>
      <c r="AC6" s="557">
        <v>0</v>
      </c>
      <c r="AD6" s="557">
        <v>0</v>
      </c>
      <c r="AE6" s="557">
        <v>0</v>
      </c>
      <c r="AF6" s="557">
        <v>0</v>
      </c>
      <c r="AG6" s="557">
        <v>1</v>
      </c>
      <c r="AH6" s="557">
        <v>1</v>
      </c>
      <c r="AI6" s="557">
        <v>0</v>
      </c>
      <c r="AJ6" s="559">
        <v>0</v>
      </c>
      <c r="AK6" s="557">
        <v>0</v>
      </c>
      <c r="AL6" s="557">
        <v>0</v>
      </c>
      <c r="AM6" s="557">
        <v>0</v>
      </c>
      <c r="AN6" s="559">
        <v>0</v>
      </c>
      <c r="AQ6" s="175" t="s">
        <v>168</v>
      </c>
      <c r="AR6" s="176">
        <f>Norpremhistdrawn</f>
        <v>9</v>
      </c>
      <c r="AT6" s="177" t="s">
        <v>0</v>
      </c>
      <c r="AU6" s="189">
        <f>Noreuropeancuphistwon</f>
        <v>65</v>
      </c>
      <c r="AV6" s="179" t="s">
        <v>0</v>
      </c>
      <c r="AW6" s="180">
        <f>Norchampscuphistwon</f>
        <v>15</v>
      </c>
      <c r="AX6" s="187" t="s">
        <v>0</v>
      </c>
      <c r="AY6" s="188">
        <f>Norchampscuppohistwon</f>
        <v>2</v>
      </c>
      <c r="AZ6" s="181" t="s">
        <v>0</v>
      </c>
      <c r="BA6" s="178">
        <f>Norchallcuphistwon</f>
        <v>29</v>
      </c>
      <c r="BB6" s="182" t="s">
        <v>0</v>
      </c>
      <c r="BC6" s="183">
        <f t="shared" ref="BC6:BC12" si="0">SUM(AU6+AY6+BA6)</f>
        <v>96</v>
      </c>
    </row>
    <row r="7" spans="1:55" ht="14.95" customHeight="1" thickBot="1" x14ac:dyDescent="0.3">
      <c r="A7" s="479" t="s">
        <v>242</v>
      </c>
      <c r="B7" s="461" t="s">
        <v>199</v>
      </c>
      <c r="C7" s="462" t="s">
        <v>19</v>
      </c>
      <c r="D7" s="463" t="s">
        <v>36</v>
      </c>
      <c r="E7" s="463" t="s">
        <v>32</v>
      </c>
      <c r="F7" s="463">
        <v>27</v>
      </c>
      <c r="G7" s="463">
        <v>25</v>
      </c>
      <c r="H7" s="463">
        <v>0</v>
      </c>
      <c r="I7" s="463">
        <v>0</v>
      </c>
      <c r="J7" s="463">
        <v>3</v>
      </c>
      <c r="K7" s="463">
        <v>3</v>
      </c>
      <c r="L7" s="463">
        <v>0</v>
      </c>
      <c r="M7" s="463">
        <v>2</v>
      </c>
      <c r="N7" s="463">
        <v>0</v>
      </c>
      <c r="O7" s="463">
        <v>0</v>
      </c>
      <c r="P7" s="463">
        <v>0</v>
      </c>
      <c r="Q7" s="463">
        <v>1</v>
      </c>
      <c r="R7" s="463">
        <v>1</v>
      </c>
      <c r="S7" s="639">
        <v>6707</v>
      </c>
      <c r="T7" s="481" t="s">
        <v>473</v>
      </c>
      <c r="U7" s="466" t="s">
        <v>318</v>
      </c>
      <c r="V7" s="464" t="s">
        <v>348</v>
      </c>
      <c r="W7" s="464" t="s">
        <v>395</v>
      </c>
      <c r="X7" s="467" t="s">
        <v>306</v>
      </c>
      <c r="Y7" s="464">
        <v>1</v>
      </c>
      <c r="Z7" s="464">
        <v>1</v>
      </c>
      <c r="AA7" s="464">
        <v>0</v>
      </c>
      <c r="AB7" s="464">
        <v>0</v>
      </c>
      <c r="AC7" s="464">
        <v>0</v>
      </c>
      <c r="AD7" s="464">
        <v>0</v>
      </c>
      <c r="AE7" s="464">
        <v>0</v>
      </c>
      <c r="AF7" s="464">
        <v>0</v>
      </c>
      <c r="AG7" s="464">
        <v>1</v>
      </c>
      <c r="AH7" s="464">
        <v>1</v>
      </c>
      <c r="AI7" s="464">
        <v>0</v>
      </c>
      <c r="AJ7" s="466">
        <v>0</v>
      </c>
      <c r="AK7" s="464">
        <v>0</v>
      </c>
      <c r="AL7" s="464">
        <v>0</v>
      </c>
      <c r="AM7" s="464">
        <v>0</v>
      </c>
      <c r="AN7" s="466">
        <v>0</v>
      </c>
      <c r="AQ7" s="175" t="s">
        <v>1</v>
      </c>
      <c r="AR7" s="176">
        <f>Norpremhistlost</f>
        <v>219</v>
      </c>
      <c r="AT7" s="177" t="s">
        <v>168</v>
      </c>
      <c r="AU7" s="189">
        <f>Noreuropeancuphistdrawn</f>
        <v>1</v>
      </c>
      <c r="AV7" s="179" t="s">
        <v>168</v>
      </c>
      <c r="AW7" s="180">
        <f>Norchampscuphistdrawn</f>
        <v>1</v>
      </c>
      <c r="AX7" s="187" t="s">
        <v>168</v>
      </c>
      <c r="AY7" s="188">
        <f>Norchampscuppohistdrawn</f>
        <v>0</v>
      </c>
      <c r="AZ7" s="181" t="s">
        <v>168</v>
      </c>
      <c r="BA7" s="178">
        <f>Norchallcuphistdrawn</f>
        <v>0</v>
      </c>
      <c r="BB7" s="182" t="s">
        <v>168</v>
      </c>
      <c r="BC7" s="183">
        <f t="shared" si="0"/>
        <v>1</v>
      </c>
    </row>
    <row r="8" spans="1:55" ht="14.95" customHeight="1" thickBot="1" x14ac:dyDescent="0.3">
      <c r="A8" s="468" t="s">
        <v>238</v>
      </c>
      <c r="B8" s="469" t="s">
        <v>199</v>
      </c>
      <c r="C8" s="470" t="s">
        <v>23</v>
      </c>
      <c r="D8" s="471" t="s">
        <v>299</v>
      </c>
      <c r="E8" s="471" t="s">
        <v>32</v>
      </c>
      <c r="F8" s="471">
        <v>35</v>
      </c>
      <c r="G8" s="471">
        <v>16</v>
      </c>
      <c r="H8" s="471">
        <v>1</v>
      </c>
      <c r="I8" s="471">
        <v>0</v>
      </c>
      <c r="J8" s="471">
        <v>5</v>
      </c>
      <c r="K8" s="471">
        <v>2</v>
      </c>
      <c r="L8" s="471">
        <v>0</v>
      </c>
      <c r="M8" s="471">
        <v>2</v>
      </c>
      <c r="N8" s="471">
        <v>0</v>
      </c>
      <c r="O8" s="471">
        <v>0</v>
      </c>
      <c r="P8" s="471">
        <v>0</v>
      </c>
      <c r="Q8" s="471">
        <v>0</v>
      </c>
      <c r="R8" s="471">
        <v>1</v>
      </c>
      <c r="S8" s="595">
        <v>11412</v>
      </c>
      <c r="T8" s="498" t="s">
        <v>507</v>
      </c>
      <c r="U8" s="478" t="s">
        <v>304</v>
      </c>
      <c r="V8" s="472" t="s">
        <v>509</v>
      </c>
      <c r="W8" s="472" t="s">
        <v>463</v>
      </c>
      <c r="X8" s="473" t="s">
        <v>319</v>
      </c>
      <c r="Y8" s="472">
        <v>1</v>
      </c>
      <c r="Z8" s="472">
        <v>1</v>
      </c>
      <c r="AA8" s="472">
        <v>0</v>
      </c>
      <c r="AB8" s="472">
        <v>0</v>
      </c>
      <c r="AC8" s="472">
        <v>1</v>
      </c>
      <c r="AD8" s="472">
        <v>1</v>
      </c>
      <c r="AE8" s="472">
        <v>0</v>
      </c>
      <c r="AF8" s="472">
        <v>0</v>
      </c>
      <c r="AG8" s="472">
        <v>0</v>
      </c>
      <c r="AH8" s="472">
        <v>0</v>
      </c>
      <c r="AI8" s="472">
        <v>0</v>
      </c>
      <c r="AJ8" s="478">
        <v>0</v>
      </c>
      <c r="AK8" s="472">
        <v>0</v>
      </c>
      <c r="AL8" s="472">
        <v>0</v>
      </c>
      <c r="AM8" s="472">
        <v>0</v>
      </c>
      <c r="AN8" s="478">
        <v>0</v>
      </c>
      <c r="AQ8" s="175" t="s">
        <v>169</v>
      </c>
      <c r="AR8" s="176">
        <f>Norpremhistptsscored</f>
        <v>11505</v>
      </c>
      <c r="AT8" s="177" t="s">
        <v>1</v>
      </c>
      <c r="AU8" s="189">
        <f>Noreuropeancuphistlost</f>
        <v>50</v>
      </c>
      <c r="AV8" s="179" t="s">
        <v>1</v>
      </c>
      <c r="AW8" s="180">
        <f>Norchampscuphistlost</f>
        <v>17</v>
      </c>
      <c r="AX8" s="187" t="s">
        <v>1</v>
      </c>
      <c r="AY8" s="188">
        <f>Norchampscuppohistlost</f>
        <v>0</v>
      </c>
      <c r="AZ8" s="181" t="s">
        <v>1</v>
      </c>
      <c r="BA8" s="178">
        <f>Norchallcuphistlost</f>
        <v>9</v>
      </c>
      <c r="BB8" s="182" t="s">
        <v>1</v>
      </c>
      <c r="BC8" s="183">
        <f t="shared" si="0"/>
        <v>59</v>
      </c>
    </row>
    <row r="9" spans="1:55" ht="14.95" customHeight="1" thickBot="1" x14ac:dyDescent="0.3">
      <c r="A9" s="468" t="s">
        <v>435</v>
      </c>
      <c r="B9" s="469" t="s">
        <v>199</v>
      </c>
      <c r="C9" s="470" t="s">
        <v>9</v>
      </c>
      <c r="D9" s="471" t="s">
        <v>299</v>
      </c>
      <c r="E9" s="471" t="s">
        <v>32</v>
      </c>
      <c r="F9" s="471">
        <v>40</v>
      </c>
      <c r="G9" s="471">
        <v>22</v>
      </c>
      <c r="H9" s="471">
        <v>1</v>
      </c>
      <c r="I9" s="471">
        <v>0</v>
      </c>
      <c r="J9" s="471">
        <v>5</v>
      </c>
      <c r="K9" s="471">
        <v>3</v>
      </c>
      <c r="L9" s="471">
        <v>1</v>
      </c>
      <c r="M9" s="471">
        <v>2</v>
      </c>
      <c r="N9" s="471">
        <v>1</v>
      </c>
      <c r="O9" s="471">
        <v>0</v>
      </c>
      <c r="P9" s="471">
        <v>0</v>
      </c>
      <c r="Q9" s="471">
        <v>0</v>
      </c>
      <c r="R9" s="471">
        <v>3</v>
      </c>
      <c r="S9" s="595">
        <v>12791</v>
      </c>
      <c r="T9" s="480" t="s">
        <v>529</v>
      </c>
      <c r="U9" s="478" t="s">
        <v>324</v>
      </c>
      <c r="V9" s="472" t="s">
        <v>329</v>
      </c>
      <c r="W9" s="472" t="s">
        <v>304</v>
      </c>
      <c r="X9" s="473" t="s">
        <v>316</v>
      </c>
      <c r="Y9" s="472">
        <v>1</v>
      </c>
      <c r="Z9" s="472">
        <v>1</v>
      </c>
      <c r="AA9" s="472">
        <v>0</v>
      </c>
      <c r="AB9" s="472">
        <v>0</v>
      </c>
      <c r="AC9" s="472">
        <v>1</v>
      </c>
      <c r="AD9" s="472">
        <v>1</v>
      </c>
      <c r="AE9" s="472">
        <v>0</v>
      </c>
      <c r="AF9" s="472">
        <v>0</v>
      </c>
      <c r="AG9" s="472">
        <v>0</v>
      </c>
      <c r="AH9" s="472">
        <v>0</v>
      </c>
      <c r="AI9" s="472">
        <v>0</v>
      </c>
      <c r="AJ9" s="478">
        <v>0</v>
      </c>
      <c r="AK9" s="472">
        <v>0</v>
      </c>
      <c r="AL9" s="472">
        <v>0</v>
      </c>
      <c r="AM9" s="472">
        <v>0</v>
      </c>
      <c r="AN9" s="478">
        <v>0</v>
      </c>
      <c r="AQ9" s="175" t="s">
        <v>170</v>
      </c>
      <c r="AR9" s="176">
        <f>Norpremhistptsagainst</f>
        <v>10281</v>
      </c>
      <c r="AT9" s="177" t="s">
        <v>169</v>
      </c>
      <c r="AU9" s="189">
        <f>Noreuropeancuphistptsscored</f>
        <v>2580</v>
      </c>
      <c r="AV9" s="179" t="s">
        <v>169</v>
      </c>
      <c r="AW9" s="180">
        <f>Norchampscuphistptsscored</f>
        <v>684</v>
      </c>
      <c r="AX9" s="187" t="s">
        <v>169</v>
      </c>
      <c r="AY9" s="188">
        <f>Norchampscuppohistptsscored</f>
        <v>44</v>
      </c>
      <c r="AZ9" s="181" t="s">
        <v>169</v>
      </c>
      <c r="BA9" s="178">
        <f>Norchallcuphistptsscored</f>
        <v>1376</v>
      </c>
      <c r="BB9" s="182" t="s">
        <v>169</v>
      </c>
      <c r="BC9" s="183">
        <f t="shared" si="0"/>
        <v>4000</v>
      </c>
    </row>
    <row r="10" spans="1:55" ht="14.95" customHeight="1" thickBot="1" x14ac:dyDescent="0.3">
      <c r="A10" s="479" t="s">
        <v>237</v>
      </c>
      <c r="B10" s="461" t="s">
        <v>199</v>
      </c>
      <c r="C10" s="462" t="s">
        <v>22</v>
      </c>
      <c r="D10" s="463" t="s">
        <v>36</v>
      </c>
      <c r="E10" s="463" t="s">
        <v>34</v>
      </c>
      <c r="F10" s="463">
        <v>13</v>
      </c>
      <c r="G10" s="463">
        <v>22</v>
      </c>
      <c r="H10" s="463">
        <v>0</v>
      </c>
      <c r="I10" s="463">
        <v>0</v>
      </c>
      <c r="J10" s="463">
        <v>2</v>
      </c>
      <c r="K10" s="463">
        <v>0</v>
      </c>
      <c r="L10" s="463">
        <v>0</v>
      </c>
      <c r="M10" s="463">
        <v>1</v>
      </c>
      <c r="N10" s="463">
        <v>2</v>
      </c>
      <c r="O10" s="463">
        <v>0</v>
      </c>
      <c r="P10" s="463">
        <v>0</v>
      </c>
      <c r="Q10" s="463">
        <v>0</v>
      </c>
      <c r="R10" s="463">
        <v>3</v>
      </c>
      <c r="S10" s="705">
        <v>14066</v>
      </c>
      <c r="T10" s="465" t="s">
        <v>546</v>
      </c>
      <c r="U10" s="466" t="s">
        <v>318</v>
      </c>
      <c r="V10" s="464" t="s">
        <v>348</v>
      </c>
      <c r="W10" s="464" t="s">
        <v>395</v>
      </c>
      <c r="X10" s="467" t="s">
        <v>306</v>
      </c>
      <c r="Y10" s="464">
        <v>1</v>
      </c>
      <c r="Z10" s="464">
        <v>0</v>
      </c>
      <c r="AA10" s="464">
        <v>0</v>
      </c>
      <c r="AB10" s="464">
        <v>1</v>
      </c>
      <c r="AC10" s="464">
        <v>0</v>
      </c>
      <c r="AD10" s="464">
        <v>0</v>
      </c>
      <c r="AE10" s="464">
        <v>0</v>
      </c>
      <c r="AF10" s="464">
        <v>0</v>
      </c>
      <c r="AG10" s="464">
        <v>1</v>
      </c>
      <c r="AH10" s="464">
        <v>0</v>
      </c>
      <c r="AI10" s="464">
        <v>0</v>
      </c>
      <c r="AJ10" s="466">
        <v>1</v>
      </c>
      <c r="AK10" s="464">
        <v>0</v>
      </c>
      <c r="AL10" s="464">
        <v>0</v>
      </c>
      <c r="AM10" s="464">
        <v>0</v>
      </c>
      <c r="AN10" s="466">
        <v>0</v>
      </c>
      <c r="AQ10" s="175" t="s">
        <v>73</v>
      </c>
      <c r="AR10" s="176">
        <f>Norpremhisttriersscored</f>
        <v>1230</v>
      </c>
      <c r="AT10" s="177" t="s">
        <v>175</v>
      </c>
      <c r="AU10" s="189">
        <f>Noreuropeancuphistptsagainst</f>
        <v>2432</v>
      </c>
      <c r="AV10" s="179" t="s">
        <v>175</v>
      </c>
      <c r="AW10" s="180">
        <f>Norchampscuphistptsagainst</f>
        <v>900</v>
      </c>
      <c r="AX10" s="187" t="s">
        <v>175</v>
      </c>
      <c r="AY10" s="188">
        <f>Norchampscuppohistptsagainst</f>
        <v>37</v>
      </c>
      <c r="AZ10" s="181" t="s">
        <v>175</v>
      </c>
      <c r="BA10" s="178">
        <f>Norchallcuphistptsagainst</f>
        <v>698</v>
      </c>
      <c r="BB10" s="182" t="s">
        <v>175</v>
      </c>
      <c r="BC10" s="183">
        <f t="shared" si="0"/>
        <v>3167</v>
      </c>
    </row>
    <row r="11" spans="1:55" ht="14.95" customHeight="1" thickBot="1" x14ac:dyDescent="0.3">
      <c r="A11" s="309" t="s">
        <v>489</v>
      </c>
      <c r="B11" s="310" t="s">
        <v>104</v>
      </c>
      <c r="C11" s="93" t="s">
        <v>498</v>
      </c>
      <c r="D11" s="94" t="s">
        <v>299</v>
      </c>
      <c r="E11" s="94" t="s">
        <v>32</v>
      </c>
      <c r="F11" s="94">
        <v>25</v>
      </c>
      <c r="G11" s="94">
        <v>14</v>
      </c>
      <c r="H11" s="94">
        <v>0</v>
      </c>
      <c r="I11" s="94">
        <v>0</v>
      </c>
      <c r="J11" s="94">
        <v>1</v>
      </c>
      <c r="K11" s="94">
        <v>1</v>
      </c>
      <c r="L11" s="94">
        <v>0</v>
      </c>
      <c r="M11" s="94">
        <v>6</v>
      </c>
      <c r="N11" s="94">
        <v>1</v>
      </c>
      <c r="O11" s="94">
        <v>0</v>
      </c>
      <c r="P11" s="94">
        <v>0</v>
      </c>
      <c r="Q11" s="94">
        <v>0</v>
      </c>
      <c r="R11" s="94">
        <v>2</v>
      </c>
      <c r="S11" s="706">
        <v>12603</v>
      </c>
      <c r="T11" s="312" t="s">
        <v>593</v>
      </c>
      <c r="U11" s="313" t="s">
        <v>589</v>
      </c>
      <c r="V11" s="311" t="s">
        <v>590</v>
      </c>
      <c r="W11" s="311" t="s">
        <v>591</v>
      </c>
      <c r="X11" s="88" t="s">
        <v>592</v>
      </c>
      <c r="Y11" s="311">
        <v>1</v>
      </c>
      <c r="Z11" s="311">
        <v>1</v>
      </c>
      <c r="AA11" s="311">
        <v>0</v>
      </c>
      <c r="AB11" s="311">
        <v>0</v>
      </c>
      <c r="AC11" s="311">
        <v>1</v>
      </c>
      <c r="AD11" s="311">
        <v>1</v>
      </c>
      <c r="AE11" s="311">
        <v>0</v>
      </c>
      <c r="AF11" s="311">
        <v>0</v>
      </c>
      <c r="AG11" s="311">
        <v>0</v>
      </c>
      <c r="AH11" s="311">
        <v>0</v>
      </c>
      <c r="AI11" s="311">
        <v>0</v>
      </c>
      <c r="AJ11" s="313">
        <v>0</v>
      </c>
      <c r="AK11" s="311">
        <v>0</v>
      </c>
      <c r="AL11" s="311">
        <v>0</v>
      </c>
      <c r="AM11" s="311">
        <v>0</v>
      </c>
      <c r="AN11" s="313">
        <v>0</v>
      </c>
      <c r="AQ11" s="175" t="s">
        <v>75</v>
      </c>
      <c r="AR11" s="176">
        <f>Norpremhisttriesagainst</f>
        <v>1036</v>
      </c>
      <c r="AT11" s="177" t="s">
        <v>73</v>
      </c>
      <c r="AU11" s="189">
        <f>Noreuropeancuphisttriesscored</f>
        <v>284</v>
      </c>
      <c r="AV11" s="179" t="s">
        <v>73</v>
      </c>
      <c r="AW11" s="180">
        <f>Norchampscuphisttriesscored</f>
        <v>87</v>
      </c>
      <c r="AX11" s="187" t="s">
        <v>73</v>
      </c>
      <c r="AY11" s="188">
        <f>Norchampscuppohisttriesscored</f>
        <v>4</v>
      </c>
      <c r="AZ11" s="181" t="s">
        <v>73</v>
      </c>
      <c r="BA11" s="178">
        <f>Norchallcuphisttriesscored</f>
        <v>179</v>
      </c>
      <c r="BB11" s="182" t="s">
        <v>73</v>
      </c>
      <c r="BC11" s="183">
        <f t="shared" si="0"/>
        <v>467</v>
      </c>
    </row>
    <row r="12" spans="1:55" ht="14.95" customHeight="1" thickBot="1" x14ac:dyDescent="0.3">
      <c r="A12" s="145" t="s">
        <v>235</v>
      </c>
      <c r="B12" s="139" t="s">
        <v>104</v>
      </c>
      <c r="C12" s="140" t="s">
        <v>499</v>
      </c>
      <c r="D12" s="141" t="s">
        <v>36</v>
      </c>
      <c r="E12" s="141" t="s">
        <v>32</v>
      </c>
      <c r="F12" s="141">
        <v>35</v>
      </c>
      <c r="G12" s="141">
        <v>32</v>
      </c>
      <c r="H12" s="141">
        <v>1</v>
      </c>
      <c r="I12" s="141">
        <v>0</v>
      </c>
      <c r="J12" s="141">
        <v>4</v>
      </c>
      <c r="K12" s="141">
        <v>3</v>
      </c>
      <c r="L12" s="141">
        <v>0</v>
      </c>
      <c r="M12" s="141">
        <v>3</v>
      </c>
      <c r="N12" s="141">
        <v>1</v>
      </c>
      <c r="O12" s="141">
        <v>0</v>
      </c>
      <c r="P12" s="141">
        <v>1</v>
      </c>
      <c r="Q12" s="141">
        <v>1</v>
      </c>
      <c r="R12" s="141">
        <v>4</v>
      </c>
      <c r="S12" s="707" t="s">
        <v>604</v>
      </c>
      <c r="T12" s="700" t="s">
        <v>606</v>
      </c>
      <c r="U12" s="592" t="s">
        <v>574</v>
      </c>
      <c r="V12" s="593" t="s">
        <v>575</v>
      </c>
      <c r="W12" s="142" t="s">
        <v>577</v>
      </c>
      <c r="X12" s="144" t="s">
        <v>605</v>
      </c>
      <c r="Y12" s="142">
        <v>1</v>
      </c>
      <c r="Z12" s="142">
        <v>1</v>
      </c>
      <c r="AA12" s="142">
        <v>0</v>
      </c>
      <c r="AB12" s="142">
        <v>0</v>
      </c>
      <c r="AC12" s="142">
        <v>0</v>
      </c>
      <c r="AD12" s="142">
        <v>0</v>
      </c>
      <c r="AE12" s="142">
        <v>0</v>
      </c>
      <c r="AF12" s="142">
        <v>0</v>
      </c>
      <c r="AG12" s="142">
        <v>1</v>
      </c>
      <c r="AH12" s="142">
        <v>1</v>
      </c>
      <c r="AI12" s="142">
        <v>0</v>
      </c>
      <c r="AJ12" s="143">
        <v>0</v>
      </c>
      <c r="AK12" s="142">
        <v>0</v>
      </c>
      <c r="AL12" s="142">
        <v>0</v>
      </c>
      <c r="AM12" s="142">
        <v>0</v>
      </c>
      <c r="AN12" s="143">
        <v>0</v>
      </c>
      <c r="AT12" s="177" t="s">
        <v>176</v>
      </c>
      <c r="AU12" s="189">
        <f>Noreuropeancuphisttriesagainst</f>
        <v>251</v>
      </c>
      <c r="AV12" s="179" t="s">
        <v>176</v>
      </c>
      <c r="AW12" s="180">
        <f>Norchampscuphisttriesagainst</f>
        <v>110</v>
      </c>
      <c r="AX12" s="187" t="s">
        <v>176</v>
      </c>
      <c r="AY12" s="188">
        <f>Norchampscuppohisttriesagainst</f>
        <v>5</v>
      </c>
      <c r="AZ12" s="181" t="s">
        <v>176</v>
      </c>
      <c r="BA12" s="178">
        <f>Norchallcuphisttriesagainst</f>
        <v>83</v>
      </c>
      <c r="BB12" s="182" t="s">
        <v>176</v>
      </c>
      <c r="BC12" s="183">
        <f t="shared" si="0"/>
        <v>339</v>
      </c>
    </row>
    <row r="13" spans="1:55" ht="14.95" customHeight="1" thickBot="1" x14ac:dyDescent="0.3">
      <c r="A13" s="468" t="s">
        <v>236</v>
      </c>
      <c r="B13" s="469" t="s">
        <v>199</v>
      </c>
      <c r="C13" s="470" t="s">
        <v>26</v>
      </c>
      <c r="D13" s="471" t="s">
        <v>299</v>
      </c>
      <c r="E13" s="471" t="s">
        <v>32</v>
      </c>
      <c r="F13" s="471">
        <v>36</v>
      </c>
      <c r="G13" s="471">
        <v>13</v>
      </c>
      <c r="H13" s="471">
        <v>1</v>
      </c>
      <c r="I13" s="471">
        <v>0</v>
      </c>
      <c r="J13" s="471">
        <v>5</v>
      </c>
      <c r="K13" s="471">
        <v>4</v>
      </c>
      <c r="L13" s="471">
        <v>0</v>
      </c>
      <c r="M13" s="471">
        <v>1</v>
      </c>
      <c r="N13" s="471">
        <v>1</v>
      </c>
      <c r="O13" s="471">
        <v>0</v>
      </c>
      <c r="P13" s="471">
        <v>0</v>
      </c>
      <c r="Q13" s="471">
        <v>0</v>
      </c>
      <c r="R13" s="471">
        <v>1</v>
      </c>
      <c r="S13" s="595">
        <v>15200</v>
      </c>
      <c r="T13" s="480" t="s">
        <v>631</v>
      </c>
      <c r="U13" s="478" t="s">
        <v>550</v>
      </c>
      <c r="V13" s="472" t="s">
        <v>632</v>
      </c>
      <c r="W13" s="472" t="s">
        <v>320</v>
      </c>
      <c r="X13" s="473" t="s">
        <v>306</v>
      </c>
      <c r="Y13" s="472">
        <v>1</v>
      </c>
      <c r="Z13" s="472">
        <v>1</v>
      </c>
      <c r="AA13" s="472">
        <v>0</v>
      </c>
      <c r="AB13" s="472">
        <v>0</v>
      </c>
      <c r="AC13" s="472">
        <v>1</v>
      </c>
      <c r="AD13" s="472">
        <v>1</v>
      </c>
      <c r="AE13" s="472">
        <v>0</v>
      </c>
      <c r="AF13" s="472">
        <v>0</v>
      </c>
      <c r="AG13" s="472">
        <v>0</v>
      </c>
      <c r="AH13" s="472">
        <v>0</v>
      </c>
      <c r="AI13" s="472">
        <v>0</v>
      </c>
      <c r="AJ13" s="478">
        <v>0</v>
      </c>
      <c r="AK13" s="472">
        <v>0</v>
      </c>
      <c r="AL13" s="472">
        <v>0</v>
      </c>
      <c r="AM13" s="472">
        <v>0</v>
      </c>
      <c r="AN13" s="478">
        <v>0</v>
      </c>
    </row>
    <row r="14" spans="1:55" ht="14.95" customHeight="1" thickBot="1" x14ac:dyDescent="0.3">
      <c r="A14" s="309" t="s">
        <v>243</v>
      </c>
      <c r="B14" s="310" t="s">
        <v>104</v>
      </c>
      <c r="C14" s="93" t="s">
        <v>500</v>
      </c>
      <c r="D14" s="94" t="s">
        <v>299</v>
      </c>
      <c r="E14" s="94" t="s">
        <v>34</v>
      </c>
      <c r="F14" s="94">
        <v>16</v>
      </c>
      <c r="G14" s="94">
        <v>43</v>
      </c>
      <c r="H14" s="94">
        <v>0</v>
      </c>
      <c r="I14" s="94">
        <v>0</v>
      </c>
      <c r="J14" s="94">
        <v>1</v>
      </c>
      <c r="K14" s="94">
        <v>1</v>
      </c>
      <c r="L14" s="94">
        <v>0</v>
      </c>
      <c r="M14" s="94">
        <v>3</v>
      </c>
      <c r="N14" s="94">
        <v>1</v>
      </c>
      <c r="O14" s="94">
        <v>0</v>
      </c>
      <c r="P14" s="94">
        <v>1</v>
      </c>
      <c r="Q14" s="94">
        <v>0</v>
      </c>
      <c r="R14" s="94">
        <v>7</v>
      </c>
      <c r="S14" s="706">
        <v>13735</v>
      </c>
      <c r="T14" s="632" t="s">
        <v>477</v>
      </c>
      <c r="U14" s="313" t="s">
        <v>569</v>
      </c>
      <c r="V14" s="311" t="s">
        <v>570</v>
      </c>
      <c r="W14" s="311" t="s">
        <v>646</v>
      </c>
      <c r="X14" s="88" t="s">
        <v>572</v>
      </c>
      <c r="Y14" s="311">
        <v>1</v>
      </c>
      <c r="Z14" s="311">
        <v>0</v>
      </c>
      <c r="AA14" s="311">
        <v>0</v>
      </c>
      <c r="AB14" s="311">
        <v>1</v>
      </c>
      <c r="AC14" s="311">
        <v>1</v>
      </c>
      <c r="AD14" s="311">
        <v>0</v>
      </c>
      <c r="AE14" s="311">
        <v>0</v>
      </c>
      <c r="AF14" s="311">
        <v>1</v>
      </c>
      <c r="AG14" s="311">
        <v>0</v>
      </c>
      <c r="AH14" s="311">
        <v>0</v>
      </c>
      <c r="AI14" s="311">
        <v>0</v>
      </c>
      <c r="AJ14" s="313">
        <v>0</v>
      </c>
      <c r="AK14" s="311">
        <v>0</v>
      </c>
      <c r="AL14" s="311">
        <v>0</v>
      </c>
      <c r="AM14" s="311">
        <v>0</v>
      </c>
      <c r="AN14" s="313">
        <v>0</v>
      </c>
    </row>
    <row r="15" spans="1:55" ht="14.95" customHeight="1" thickBot="1" x14ac:dyDescent="0.3">
      <c r="A15" s="145" t="s">
        <v>244</v>
      </c>
      <c r="B15" s="139" t="s">
        <v>104</v>
      </c>
      <c r="C15" s="140" t="s">
        <v>500</v>
      </c>
      <c r="D15" s="141" t="s">
        <v>664</v>
      </c>
      <c r="E15" s="141" t="s">
        <v>34</v>
      </c>
      <c r="F15" s="141">
        <v>21</v>
      </c>
      <c r="G15" s="141">
        <v>50</v>
      </c>
      <c r="H15" s="141">
        <v>0</v>
      </c>
      <c r="I15" s="141">
        <v>0</v>
      </c>
      <c r="J15" s="141">
        <v>3</v>
      </c>
      <c r="K15" s="141">
        <v>3</v>
      </c>
      <c r="L15" s="141">
        <v>0</v>
      </c>
      <c r="M15" s="141">
        <v>0</v>
      </c>
      <c r="N15" s="141">
        <v>2</v>
      </c>
      <c r="O15" s="141">
        <v>0</v>
      </c>
      <c r="P15" s="141">
        <v>1</v>
      </c>
      <c r="Q15" s="141">
        <v>0</v>
      </c>
      <c r="R15" s="141">
        <v>7</v>
      </c>
      <c r="S15" s="707">
        <v>42041</v>
      </c>
      <c r="T15" s="421" t="s">
        <v>707</v>
      </c>
      <c r="U15" s="143" t="s">
        <v>649</v>
      </c>
      <c r="V15" s="142" t="s">
        <v>580</v>
      </c>
      <c r="W15" s="142" t="s">
        <v>650</v>
      </c>
      <c r="X15" s="144" t="s">
        <v>655</v>
      </c>
      <c r="Y15" s="142">
        <v>1</v>
      </c>
      <c r="Z15" s="142">
        <v>0</v>
      </c>
      <c r="AA15" s="142">
        <v>0</v>
      </c>
      <c r="AB15" s="142">
        <v>1</v>
      </c>
      <c r="AC15" s="142">
        <v>0</v>
      </c>
      <c r="AD15" s="142">
        <v>0</v>
      </c>
      <c r="AE15" s="142">
        <v>0</v>
      </c>
      <c r="AF15" s="142">
        <v>0</v>
      </c>
      <c r="AG15" s="142">
        <v>1</v>
      </c>
      <c r="AH15" s="142">
        <v>0</v>
      </c>
      <c r="AI15" s="142">
        <v>0</v>
      </c>
      <c r="AJ15" s="143">
        <v>1</v>
      </c>
      <c r="AK15" s="142">
        <v>0</v>
      </c>
      <c r="AL15" s="142">
        <v>0</v>
      </c>
      <c r="AM15" s="142">
        <v>0</v>
      </c>
      <c r="AN15" s="143">
        <v>0</v>
      </c>
    </row>
    <row r="16" spans="1:55" ht="14.95" customHeight="1" thickBot="1" x14ac:dyDescent="0.3">
      <c r="A16" s="479" t="s">
        <v>256</v>
      </c>
      <c r="B16" s="461" t="s">
        <v>199</v>
      </c>
      <c r="C16" s="462" t="s">
        <v>27</v>
      </c>
      <c r="D16" s="463" t="s">
        <v>36</v>
      </c>
      <c r="E16" s="463" t="s">
        <v>34</v>
      </c>
      <c r="F16" s="463">
        <v>10</v>
      </c>
      <c r="G16" s="463">
        <v>22</v>
      </c>
      <c r="H16" s="463">
        <v>0</v>
      </c>
      <c r="I16" s="463">
        <v>0</v>
      </c>
      <c r="J16" s="463">
        <v>1</v>
      </c>
      <c r="K16" s="463">
        <v>1</v>
      </c>
      <c r="L16" s="463">
        <v>0</v>
      </c>
      <c r="M16" s="463">
        <v>1</v>
      </c>
      <c r="N16" s="463">
        <v>0</v>
      </c>
      <c r="O16" s="463">
        <v>0</v>
      </c>
      <c r="P16" s="463">
        <v>0</v>
      </c>
      <c r="Q16" s="463">
        <v>0</v>
      </c>
      <c r="R16" s="463">
        <v>3</v>
      </c>
      <c r="S16" s="639">
        <v>8120</v>
      </c>
      <c r="T16" s="734" t="s">
        <v>506</v>
      </c>
      <c r="U16" s="466" t="s">
        <v>324</v>
      </c>
      <c r="V16" s="464" t="s">
        <v>352</v>
      </c>
      <c r="W16" s="464" t="s">
        <v>323</v>
      </c>
      <c r="X16" s="467" t="s">
        <v>306</v>
      </c>
      <c r="Y16" s="464">
        <v>1</v>
      </c>
      <c r="Z16" s="464">
        <v>0</v>
      </c>
      <c r="AA16" s="464">
        <v>0</v>
      </c>
      <c r="AB16" s="464">
        <v>1</v>
      </c>
      <c r="AC16" s="464">
        <v>0</v>
      </c>
      <c r="AD16" s="464">
        <v>0</v>
      </c>
      <c r="AE16" s="464">
        <v>0</v>
      </c>
      <c r="AF16" s="464">
        <v>0</v>
      </c>
      <c r="AG16" s="464">
        <v>1</v>
      </c>
      <c r="AH16" s="464">
        <v>0</v>
      </c>
      <c r="AI16" s="464">
        <v>0</v>
      </c>
      <c r="AJ16" s="466">
        <v>1</v>
      </c>
      <c r="AK16" s="464">
        <v>0</v>
      </c>
      <c r="AL16" s="464">
        <v>0</v>
      </c>
      <c r="AM16" s="464">
        <v>0</v>
      </c>
      <c r="AN16" s="466">
        <v>0</v>
      </c>
    </row>
    <row r="17" spans="1:40" ht="14.95" customHeight="1" thickBot="1" x14ac:dyDescent="0.3">
      <c r="A17" s="468" t="s">
        <v>257</v>
      </c>
      <c r="B17" s="469" t="s">
        <v>199</v>
      </c>
      <c r="C17" s="470" t="s">
        <v>24</v>
      </c>
      <c r="D17" s="471" t="s">
        <v>299</v>
      </c>
      <c r="E17" s="471" t="s">
        <v>32</v>
      </c>
      <c r="F17" s="471">
        <v>33</v>
      </c>
      <c r="G17" s="471">
        <v>26</v>
      </c>
      <c r="H17" s="471">
        <v>0</v>
      </c>
      <c r="I17" s="471">
        <v>0</v>
      </c>
      <c r="J17" s="471">
        <v>3</v>
      </c>
      <c r="K17" s="471">
        <v>3</v>
      </c>
      <c r="L17" s="471">
        <v>0</v>
      </c>
      <c r="M17" s="471">
        <v>4</v>
      </c>
      <c r="N17" s="471">
        <v>0</v>
      </c>
      <c r="O17" s="471">
        <v>0</v>
      </c>
      <c r="P17" s="471">
        <v>1</v>
      </c>
      <c r="Q17" s="471">
        <v>1</v>
      </c>
      <c r="R17" s="471">
        <v>4</v>
      </c>
      <c r="S17" s="595">
        <v>15200</v>
      </c>
      <c r="T17" s="638" t="s">
        <v>711</v>
      </c>
      <c r="U17" s="478" t="s">
        <v>554</v>
      </c>
      <c r="V17" s="472" t="s">
        <v>329</v>
      </c>
      <c r="W17" s="472" t="s">
        <v>346</v>
      </c>
      <c r="X17" s="473" t="s">
        <v>321</v>
      </c>
      <c r="Y17" s="472">
        <v>1</v>
      </c>
      <c r="Z17" s="472">
        <v>1</v>
      </c>
      <c r="AA17" s="472">
        <v>0</v>
      </c>
      <c r="AB17" s="472">
        <v>0</v>
      </c>
      <c r="AC17" s="472">
        <v>1</v>
      </c>
      <c r="AD17" s="472">
        <v>1</v>
      </c>
      <c r="AE17" s="472">
        <v>0</v>
      </c>
      <c r="AF17" s="472">
        <v>0</v>
      </c>
      <c r="AG17" s="472">
        <v>0</v>
      </c>
      <c r="AH17" s="472">
        <v>0</v>
      </c>
      <c r="AI17" s="472">
        <v>0</v>
      </c>
      <c r="AJ17" s="478">
        <v>0</v>
      </c>
      <c r="AK17" s="472">
        <v>0</v>
      </c>
      <c r="AL17" s="472">
        <v>0</v>
      </c>
      <c r="AM17" s="472">
        <v>0</v>
      </c>
      <c r="AN17" s="478">
        <v>0</v>
      </c>
    </row>
    <row r="18" spans="1:40" ht="14.95" customHeight="1" thickBot="1" x14ac:dyDescent="0.3">
      <c r="A18" s="479" t="s">
        <v>449</v>
      </c>
      <c r="B18" s="461" t="s">
        <v>199</v>
      </c>
      <c r="C18" s="462" t="s">
        <v>106</v>
      </c>
      <c r="D18" s="463" t="s">
        <v>36</v>
      </c>
      <c r="E18" s="463" t="s">
        <v>32</v>
      </c>
      <c r="F18" s="463">
        <v>35</v>
      </c>
      <c r="G18" s="463">
        <v>31</v>
      </c>
      <c r="H18" s="463">
        <v>1</v>
      </c>
      <c r="I18" s="463">
        <v>0</v>
      </c>
      <c r="J18" s="463">
        <v>5</v>
      </c>
      <c r="K18" s="463">
        <v>5</v>
      </c>
      <c r="L18" s="463">
        <v>0</v>
      </c>
      <c r="M18" s="463">
        <v>0</v>
      </c>
      <c r="N18" s="463">
        <v>1</v>
      </c>
      <c r="O18" s="463">
        <v>1</v>
      </c>
      <c r="P18" s="463">
        <v>1</v>
      </c>
      <c r="Q18" s="463">
        <v>1</v>
      </c>
      <c r="R18" s="463">
        <v>4</v>
      </c>
      <c r="S18" s="639">
        <v>12715</v>
      </c>
      <c r="T18" s="481" t="s">
        <v>423</v>
      </c>
      <c r="U18" s="466" t="s">
        <v>550</v>
      </c>
      <c r="V18" s="464" t="s">
        <v>634</v>
      </c>
      <c r="W18" s="464" t="s">
        <v>304</v>
      </c>
      <c r="X18" s="467" t="s">
        <v>395</v>
      </c>
      <c r="Y18" s="464">
        <v>1</v>
      </c>
      <c r="Z18" s="464">
        <v>1</v>
      </c>
      <c r="AA18" s="464">
        <v>0</v>
      </c>
      <c r="AB18" s="464">
        <v>0</v>
      </c>
      <c r="AC18" s="464">
        <v>0</v>
      </c>
      <c r="AD18" s="464">
        <v>0</v>
      </c>
      <c r="AE18" s="464">
        <v>0</v>
      </c>
      <c r="AF18" s="464">
        <v>0</v>
      </c>
      <c r="AG18" s="464">
        <v>1</v>
      </c>
      <c r="AH18" s="464">
        <v>1</v>
      </c>
      <c r="AI18" s="464">
        <v>0</v>
      </c>
      <c r="AJ18" s="466">
        <v>0</v>
      </c>
      <c r="AK18" s="464">
        <v>0</v>
      </c>
      <c r="AL18" s="464">
        <v>0</v>
      </c>
      <c r="AM18" s="464">
        <v>0</v>
      </c>
      <c r="AN18" s="466">
        <v>0</v>
      </c>
    </row>
    <row r="19" spans="1:40" ht="14.95" customHeight="1" thickBot="1" x14ac:dyDescent="0.3">
      <c r="A19" s="309" t="s">
        <v>487</v>
      </c>
      <c r="B19" s="310" t="s">
        <v>104</v>
      </c>
      <c r="C19" s="93" t="s">
        <v>499</v>
      </c>
      <c r="D19" s="94" t="s">
        <v>299</v>
      </c>
      <c r="E19" s="94" t="s">
        <v>32</v>
      </c>
      <c r="F19" s="94">
        <v>33</v>
      </c>
      <c r="G19" s="94">
        <v>20</v>
      </c>
      <c r="H19" s="94">
        <v>1</v>
      </c>
      <c r="I19" s="94">
        <v>0</v>
      </c>
      <c r="J19" s="94">
        <v>5</v>
      </c>
      <c r="K19" s="94">
        <v>4</v>
      </c>
      <c r="L19" s="94">
        <v>0</v>
      </c>
      <c r="M19" s="94">
        <v>0</v>
      </c>
      <c r="N19" s="94">
        <v>0</v>
      </c>
      <c r="O19" s="94">
        <v>0</v>
      </c>
      <c r="P19" s="94">
        <v>0</v>
      </c>
      <c r="Q19" s="94">
        <v>0</v>
      </c>
      <c r="R19" s="94">
        <v>2</v>
      </c>
      <c r="S19" s="708">
        <v>12770</v>
      </c>
      <c r="T19" s="596" t="s">
        <v>742</v>
      </c>
      <c r="U19" s="313" t="s">
        <v>645</v>
      </c>
      <c r="V19" s="311" t="s">
        <v>674</v>
      </c>
      <c r="W19" s="311" t="s">
        <v>675</v>
      </c>
      <c r="X19" s="88" t="s">
        <v>658</v>
      </c>
      <c r="Y19" s="311">
        <v>1</v>
      </c>
      <c r="Z19" s="311">
        <v>1</v>
      </c>
      <c r="AA19" s="311">
        <v>0</v>
      </c>
      <c r="AB19" s="311">
        <v>0</v>
      </c>
      <c r="AC19" s="311">
        <v>1</v>
      </c>
      <c r="AD19" s="311">
        <v>1</v>
      </c>
      <c r="AE19" s="311">
        <v>0</v>
      </c>
      <c r="AF19" s="311">
        <v>0</v>
      </c>
      <c r="AG19" s="311">
        <v>0</v>
      </c>
      <c r="AH19" s="311">
        <v>0</v>
      </c>
      <c r="AI19" s="311">
        <v>0</v>
      </c>
      <c r="AJ19" s="313">
        <v>0</v>
      </c>
      <c r="AK19" s="311">
        <v>0</v>
      </c>
      <c r="AL19" s="311">
        <v>0</v>
      </c>
      <c r="AM19" s="311">
        <v>0</v>
      </c>
      <c r="AN19" s="313">
        <v>0</v>
      </c>
    </row>
    <row r="20" spans="1:40" ht="14.95" customHeight="1" thickBot="1" x14ac:dyDescent="0.3">
      <c r="A20" s="145" t="s">
        <v>246</v>
      </c>
      <c r="B20" s="139" t="s">
        <v>104</v>
      </c>
      <c r="C20" s="140" t="s">
        <v>498</v>
      </c>
      <c r="D20" s="141" t="s">
        <v>36</v>
      </c>
      <c r="E20" s="141" t="s">
        <v>32</v>
      </c>
      <c r="F20" s="141">
        <v>36</v>
      </c>
      <c r="G20" s="141">
        <v>24</v>
      </c>
      <c r="H20" s="141">
        <v>1</v>
      </c>
      <c r="I20" s="141">
        <v>0</v>
      </c>
      <c r="J20" s="141">
        <v>5</v>
      </c>
      <c r="K20" s="141">
        <v>4</v>
      </c>
      <c r="L20" s="141">
        <v>0</v>
      </c>
      <c r="M20" s="141">
        <v>1</v>
      </c>
      <c r="N20" s="141">
        <v>0</v>
      </c>
      <c r="O20" s="141">
        <v>0</v>
      </c>
      <c r="P20" s="141">
        <v>0</v>
      </c>
      <c r="Q20" s="141">
        <v>0</v>
      </c>
      <c r="R20" s="141">
        <v>3</v>
      </c>
      <c r="S20" s="707">
        <v>14748</v>
      </c>
      <c r="T20" s="272" t="s">
        <v>300</v>
      </c>
      <c r="U20" s="143" t="s">
        <v>649</v>
      </c>
      <c r="V20" s="142" t="s">
        <v>580</v>
      </c>
      <c r="W20" s="142" t="s">
        <v>748</v>
      </c>
      <c r="X20" s="144" t="s">
        <v>563</v>
      </c>
      <c r="Y20" s="142">
        <v>1</v>
      </c>
      <c r="Z20" s="142">
        <v>1</v>
      </c>
      <c r="AA20" s="142">
        <v>0</v>
      </c>
      <c r="AB20" s="142">
        <v>0</v>
      </c>
      <c r="AC20" s="142">
        <v>0</v>
      </c>
      <c r="AD20" s="142">
        <v>0</v>
      </c>
      <c r="AE20" s="142">
        <v>0</v>
      </c>
      <c r="AF20" s="142">
        <v>0</v>
      </c>
      <c r="AG20" s="142">
        <v>1</v>
      </c>
      <c r="AH20" s="142">
        <v>1</v>
      </c>
      <c r="AI20" s="142">
        <v>0</v>
      </c>
      <c r="AJ20" s="143">
        <v>0</v>
      </c>
      <c r="AK20" s="142">
        <v>0</v>
      </c>
      <c r="AL20" s="142">
        <v>0</v>
      </c>
      <c r="AM20" s="142">
        <v>0</v>
      </c>
      <c r="AN20" s="143">
        <v>0</v>
      </c>
    </row>
    <row r="21" spans="1:40" ht="14.95" customHeight="1" thickBot="1" x14ac:dyDescent="0.3">
      <c r="A21" s="468" t="s">
        <v>442</v>
      </c>
      <c r="B21" s="469" t="s">
        <v>199</v>
      </c>
      <c r="C21" s="470" t="s">
        <v>11</v>
      </c>
      <c r="D21" s="471" t="s">
        <v>299</v>
      </c>
      <c r="E21" s="471" t="s">
        <v>34</v>
      </c>
      <c r="F21" s="471">
        <v>16</v>
      </c>
      <c r="G21" s="471">
        <v>20</v>
      </c>
      <c r="H21" s="471">
        <v>0</v>
      </c>
      <c r="I21" s="471">
        <v>1</v>
      </c>
      <c r="J21" s="471">
        <v>1</v>
      </c>
      <c r="K21" s="471">
        <v>1</v>
      </c>
      <c r="L21" s="471">
        <v>0</v>
      </c>
      <c r="M21" s="471">
        <v>3</v>
      </c>
      <c r="N21" s="471">
        <v>0</v>
      </c>
      <c r="O21" s="471">
        <v>1</v>
      </c>
      <c r="P21" s="471">
        <v>0</v>
      </c>
      <c r="Q21" s="471">
        <v>0</v>
      </c>
      <c r="R21" s="471">
        <v>3</v>
      </c>
      <c r="S21" s="709">
        <v>13793</v>
      </c>
      <c r="T21" s="638" t="s">
        <v>652</v>
      </c>
      <c r="U21" s="478" t="s">
        <v>463</v>
      </c>
      <c r="V21" s="472" t="s">
        <v>632</v>
      </c>
      <c r="W21" s="472" t="s">
        <v>323</v>
      </c>
      <c r="X21" s="473" t="s">
        <v>320</v>
      </c>
      <c r="Y21" s="472">
        <v>1</v>
      </c>
      <c r="Z21" s="472">
        <v>0</v>
      </c>
      <c r="AA21" s="472">
        <v>0</v>
      </c>
      <c r="AB21" s="472">
        <v>1</v>
      </c>
      <c r="AC21" s="472">
        <v>1</v>
      </c>
      <c r="AD21" s="472">
        <v>0</v>
      </c>
      <c r="AE21" s="472">
        <v>0</v>
      </c>
      <c r="AF21" s="472">
        <v>1</v>
      </c>
      <c r="AG21" s="472">
        <v>0</v>
      </c>
      <c r="AH21" s="472">
        <v>0</v>
      </c>
      <c r="AI21" s="472">
        <v>0</v>
      </c>
      <c r="AJ21" s="478">
        <v>0</v>
      </c>
      <c r="AK21" s="472">
        <v>0</v>
      </c>
      <c r="AL21" s="472">
        <v>0</v>
      </c>
      <c r="AM21" s="472">
        <v>0</v>
      </c>
      <c r="AN21" s="478">
        <v>0</v>
      </c>
    </row>
    <row r="22" spans="1:40" ht="14.95" customHeight="1" thickBot="1" x14ac:dyDescent="0.3">
      <c r="A22" s="468" t="s">
        <v>726</v>
      </c>
      <c r="B22" s="469" t="s">
        <v>199</v>
      </c>
      <c r="C22" s="470" t="s">
        <v>165</v>
      </c>
      <c r="D22" s="471" t="s">
        <v>299</v>
      </c>
      <c r="E22" s="471" t="s">
        <v>34</v>
      </c>
      <c r="F22" s="471">
        <v>14</v>
      </c>
      <c r="G22" s="471">
        <v>20</v>
      </c>
      <c r="H22" s="471">
        <v>0</v>
      </c>
      <c r="I22" s="471">
        <v>1</v>
      </c>
      <c r="J22" s="471">
        <v>1</v>
      </c>
      <c r="K22" s="471">
        <v>0</v>
      </c>
      <c r="L22" s="471">
        <v>0</v>
      </c>
      <c r="M22" s="471">
        <v>3</v>
      </c>
      <c r="N22" s="471">
        <v>1</v>
      </c>
      <c r="O22" s="471">
        <v>0</v>
      </c>
      <c r="P22" s="471">
        <v>0</v>
      </c>
      <c r="Q22" s="471">
        <v>0</v>
      </c>
      <c r="R22" s="471">
        <v>2</v>
      </c>
      <c r="S22" s="710">
        <v>12666</v>
      </c>
      <c r="T22" s="638" t="s">
        <v>796</v>
      </c>
      <c r="U22" s="478" t="s">
        <v>463</v>
      </c>
      <c r="V22" s="472" t="s">
        <v>634</v>
      </c>
      <c r="W22" s="472" t="s">
        <v>554</v>
      </c>
      <c r="X22" s="473" t="s">
        <v>637</v>
      </c>
      <c r="Y22" s="472">
        <v>1</v>
      </c>
      <c r="Z22" s="472">
        <v>0</v>
      </c>
      <c r="AA22" s="472">
        <v>0</v>
      </c>
      <c r="AB22" s="472">
        <v>1</v>
      </c>
      <c r="AC22" s="472">
        <v>1</v>
      </c>
      <c r="AD22" s="472">
        <v>0</v>
      </c>
      <c r="AE22" s="472">
        <v>0</v>
      </c>
      <c r="AF22" s="472">
        <v>1</v>
      </c>
      <c r="AG22" s="472">
        <v>0</v>
      </c>
      <c r="AH22" s="472">
        <v>0</v>
      </c>
      <c r="AI22" s="472">
        <v>0</v>
      </c>
      <c r="AJ22" s="478">
        <v>0</v>
      </c>
      <c r="AK22" s="472">
        <v>0</v>
      </c>
      <c r="AL22" s="472">
        <v>0</v>
      </c>
      <c r="AM22" s="472">
        <v>0</v>
      </c>
      <c r="AN22" s="478">
        <v>0</v>
      </c>
    </row>
    <row r="23" spans="1:40" ht="14.95" customHeight="1" thickBot="1" x14ac:dyDescent="0.3">
      <c r="A23" s="479" t="s">
        <v>727</v>
      </c>
      <c r="B23" s="461" t="s">
        <v>199</v>
      </c>
      <c r="C23" s="462" t="s">
        <v>28</v>
      </c>
      <c r="D23" s="463" t="s">
        <v>36</v>
      </c>
      <c r="E23" s="463" t="s">
        <v>34</v>
      </c>
      <c r="F23" s="463">
        <v>7</v>
      </c>
      <c r="G23" s="463">
        <v>57</v>
      </c>
      <c r="H23" s="463">
        <v>0</v>
      </c>
      <c r="I23" s="463">
        <v>0</v>
      </c>
      <c r="J23" s="463">
        <v>1</v>
      </c>
      <c r="K23" s="463">
        <v>1</v>
      </c>
      <c r="L23" s="463">
        <v>0</v>
      </c>
      <c r="M23" s="463">
        <v>0</v>
      </c>
      <c r="N23" s="463">
        <v>1</v>
      </c>
      <c r="O23" s="463">
        <v>0</v>
      </c>
      <c r="P23" s="463">
        <v>1</v>
      </c>
      <c r="Q23" s="463">
        <v>0</v>
      </c>
      <c r="R23" s="463">
        <v>8</v>
      </c>
      <c r="S23" s="639">
        <v>11528</v>
      </c>
      <c r="T23" s="465" t="s">
        <v>808</v>
      </c>
      <c r="U23" s="466" t="s">
        <v>304</v>
      </c>
      <c r="V23" s="464" t="s">
        <v>399</v>
      </c>
      <c r="W23" s="464" t="s">
        <v>463</v>
      </c>
      <c r="X23" s="467" t="s">
        <v>346</v>
      </c>
      <c r="Y23" s="464">
        <v>1</v>
      </c>
      <c r="Z23" s="464">
        <v>0</v>
      </c>
      <c r="AA23" s="464">
        <v>0</v>
      </c>
      <c r="AB23" s="464">
        <v>1</v>
      </c>
      <c r="AC23" s="464">
        <v>0</v>
      </c>
      <c r="AD23" s="464">
        <v>0</v>
      </c>
      <c r="AE23" s="464">
        <v>0</v>
      </c>
      <c r="AF23" s="464">
        <v>0</v>
      </c>
      <c r="AG23" s="464">
        <v>1</v>
      </c>
      <c r="AH23" s="464">
        <v>0</v>
      </c>
      <c r="AI23" s="464">
        <v>0</v>
      </c>
      <c r="AJ23" s="466">
        <v>1</v>
      </c>
      <c r="AK23" s="464">
        <v>0</v>
      </c>
      <c r="AL23" s="464">
        <v>0</v>
      </c>
      <c r="AM23" s="464">
        <v>0</v>
      </c>
      <c r="AN23" s="466">
        <v>0</v>
      </c>
    </row>
    <row r="24" spans="1:40" ht="14.95" customHeight="1" thickBot="1" x14ac:dyDescent="0.3">
      <c r="A24" s="468" t="s">
        <v>294</v>
      </c>
      <c r="B24" s="469" t="s">
        <v>199</v>
      </c>
      <c r="C24" s="470" t="s">
        <v>19</v>
      </c>
      <c r="D24" s="471" t="s">
        <v>299</v>
      </c>
      <c r="E24" s="471" t="s">
        <v>34</v>
      </c>
      <c r="F24" s="471">
        <v>21</v>
      </c>
      <c r="G24" s="471">
        <v>27</v>
      </c>
      <c r="H24" s="471">
        <v>0</v>
      </c>
      <c r="I24" s="471">
        <v>1</v>
      </c>
      <c r="J24" s="471">
        <v>2</v>
      </c>
      <c r="K24" s="471">
        <v>1</v>
      </c>
      <c r="L24" s="471">
        <v>0</v>
      </c>
      <c r="M24" s="471">
        <v>3</v>
      </c>
      <c r="N24" s="471">
        <v>2</v>
      </c>
      <c r="O24" s="471">
        <v>0</v>
      </c>
      <c r="P24" s="471">
        <v>1</v>
      </c>
      <c r="Q24" s="471">
        <v>0</v>
      </c>
      <c r="R24" s="471">
        <v>4</v>
      </c>
      <c r="S24" s="595">
        <v>14978</v>
      </c>
      <c r="T24" s="638" t="s">
        <v>374</v>
      </c>
      <c r="U24" s="478" t="s">
        <v>550</v>
      </c>
      <c r="V24" s="472" t="s">
        <v>329</v>
      </c>
      <c r="W24" s="472" t="s">
        <v>320</v>
      </c>
      <c r="X24" s="473" t="s">
        <v>346</v>
      </c>
      <c r="Y24" s="472">
        <v>1</v>
      </c>
      <c r="Z24" s="472">
        <v>0</v>
      </c>
      <c r="AA24" s="472">
        <v>0</v>
      </c>
      <c r="AB24" s="472">
        <v>1</v>
      </c>
      <c r="AC24" s="472">
        <v>1</v>
      </c>
      <c r="AD24" s="472">
        <v>0</v>
      </c>
      <c r="AE24" s="472">
        <v>0</v>
      </c>
      <c r="AF24" s="472">
        <v>1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</row>
    <row r="25" spans="1:40" ht="14.95" customHeight="1" thickBot="1" x14ac:dyDescent="0.3">
      <c r="A25" s="479" t="s">
        <v>461</v>
      </c>
      <c r="B25" s="461" t="s">
        <v>199</v>
      </c>
      <c r="C25" s="462" t="s">
        <v>23</v>
      </c>
      <c r="D25" s="463" t="s">
        <v>36</v>
      </c>
      <c r="E25" s="463" t="s">
        <v>32</v>
      </c>
      <c r="F25" s="463">
        <v>16</v>
      </c>
      <c r="G25" s="463">
        <v>10</v>
      </c>
      <c r="H25" s="463">
        <v>0</v>
      </c>
      <c r="I25" s="463">
        <v>0</v>
      </c>
      <c r="J25" s="463">
        <v>1</v>
      </c>
      <c r="K25" s="463">
        <v>1</v>
      </c>
      <c r="L25" s="463">
        <v>0</v>
      </c>
      <c r="M25" s="463">
        <v>3</v>
      </c>
      <c r="N25" s="463">
        <v>2</v>
      </c>
      <c r="O25" s="463">
        <v>0</v>
      </c>
      <c r="P25" s="463">
        <v>0</v>
      </c>
      <c r="Q25" s="463">
        <v>1</v>
      </c>
      <c r="R25" s="463">
        <v>1</v>
      </c>
      <c r="S25" s="639">
        <v>7297</v>
      </c>
      <c r="T25" s="465" t="s">
        <v>510</v>
      </c>
      <c r="U25" s="466" t="s">
        <v>320</v>
      </c>
      <c r="V25" s="464" t="s">
        <v>330</v>
      </c>
      <c r="W25" s="464" t="s">
        <v>316</v>
      </c>
      <c r="X25" s="467" t="s">
        <v>715</v>
      </c>
      <c r="Y25" s="464">
        <v>1</v>
      </c>
      <c r="Z25" s="464">
        <v>1</v>
      </c>
      <c r="AA25" s="464">
        <v>0</v>
      </c>
      <c r="AB25" s="464">
        <v>0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1</v>
      </c>
      <c r="AI25" s="464">
        <v>0</v>
      </c>
      <c r="AJ25" s="466">
        <v>0</v>
      </c>
      <c r="AK25" s="464">
        <v>0</v>
      </c>
      <c r="AL25" s="464">
        <v>0</v>
      </c>
      <c r="AM25" s="464">
        <v>0</v>
      </c>
      <c r="AN25" s="466">
        <v>0</v>
      </c>
    </row>
    <row r="26" spans="1:40" ht="14.95" customHeight="1" thickBot="1" x14ac:dyDescent="0.3">
      <c r="A26" s="468" t="s">
        <v>830</v>
      </c>
      <c r="B26" s="469" t="s">
        <v>199</v>
      </c>
      <c r="C26" s="470" t="s">
        <v>106</v>
      </c>
      <c r="D26" s="471" t="s">
        <v>299</v>
      </c>
      <c r="E26" s="471" t="s">
        <v>34</v>
      </c>
      <c r="F26" s="471">
        <v>21</v>
      </c>
      <c r="G26" s="471">
        <v>34</v>
      </c>
      <c r="H26" s="471">
        <v>0</v>
      </c>
      <c r="I26" s="471">
        <v>0</v>
      </c>
      <c r="J26" s="471">
        <v>2</v>
      </c>
      <c r="K26" s="471">
        <v>1</v>
      </c>
      <c r="L26" s="471">
        <v>0</v>
      </c>
      <c r="M26" s="471">
        <v>3</v>
      </c>
      <c r="N26" s="471">
        <v>0</v>
      </c>
      <c r="O26" s="471">
        <v>0</v>
      </c>
      <c r="P26" s="471">
        <v>1</v>
      </c>
      <c r="Q26" s="471">
        <v>0</v>
      </c>
      <c r="R26" s="471">
        <v>4</v>
      </c>
      <c r="S26" s="595">
        <v>0</v>
      </c>
      <c r="T26" s="477" t="s">
        <v>669</v>
      </c>
      <c r="U26" s="478" t="s">
        <v>554</v>
      </c>
      <c r="V26" s="472" t="s">
        <v>634</v>
      </c>
      <c r="W26" s="472" t="s">
        <v>323</v>
      </c>
      <c r="X26" s="473" t="s">
        <v>395</v>
      </c>
      <c r="Y26" s="472">
        <v>1</v>
      </c>
      <c r="Z26" s="472">
        <v>0</v>
      </c>
      <c r="AA26" s="472">
        <v>0</v>
      </c>
      <c r="AB26" s="472">
        <v>1</v>
      </c>
      <c r="AC26" s="472">
        <v>1</v>
      </c>
      <c r="AD26" s="472">
        <v>0</v>
      </c>
      <c r="AE26" s="472">
        <v>0</v>
      </c>
      <c r="AF26" s="472">
        <v>1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</row>
    <row r="27" spans="1:40" ht="14.95" customHeight="1" thickBot="1" x14ac:dyDescent="0.3">
      <c r="A27" s="479" t="s">
        <v>832</v>
      </c>
      <c r="B27" s="461" t="s">
        <v>199</v>
      </c>
      <c r="C27" s="462" t="s">
        <v>11</v>
      </c>
      <c r="D27" s="463" t="s">
        <v>725</v>
      </c>
      <c r="E27" s="463" t="s">
        <v>32</v>
      </c>
      <c r="F27" s="463">
        <v>27</v>
      </c>
      <c r="G27" s="463">
        <v>3</v>
      </c>
      <c r="H27" s="463">
        <v>1</v>
      </c>
      <c r="I27" s="463">
        <v>0</v>
      </c>
      <c r="J27" s="463">
        <v>4</v>
      </c>
      <c r="K27" s="463">
        <v>0</v>
      </c>
      <c r="L27" s="463">
        <v>0</v>
      </c>
      <c r="M27" s="463">
        <v>1</v>
      </c>
      <c r="N27" s="463">
        <v>0</v>
      </c>
      <c r="O27" s="463">
        <v>0</v>
      </c>
      <c r="P27" s="463">
        <v>0</v>
      </c>
      <c r="Q27" s="463">
        <v>0</v>
      </c>
      <c r="R27" s="463">
        <v>0</v>
      </c>
      <c r="S27" s="711">
        <v>0</v>
      </c>
      <c r="T27" s="640" t="s">
        <v>691</v>
      </c>
      <c r="U27" s="466" t="s">
        <v>318</v>
      </c>
      <c r="V27" s="464" t="s">
        <v>632</v>
      </c>
      <c r="W27" s="464" t="s">
        <v>320</v>
      </c>
      <c r="X27" s="467" t="s">
        <v>350</v>
      </c>
      <c r="Y27" s="464">
        <v>1</v>
      </c>
      <c r="Z27" s="464">
        <v>1</v>
      </c>
      <c r="AA27" s="464">
        <v>0</v>
      </c>
      <c r="AB27" s="464">
        <v>0</v>
      </c>
      <c r="AC27" s="464">
        <v>0</v>
      </c>
      <c r="AD27" s="464">
        <v>0</v>
      </c>
      <c r="AE27" s="464">
        <v>0</v>
      </c>
      <c r="AF27" s="464">
        <v>0</v>
      </c>
      <c r="AG27" s="464">
        <v>1</v>
      </c>
      <c r="AH27" s="464">
        <v>1</v>
      </c>
      <c r="AI27" s="464">
        <v>0</v>
      </c>
      <c r="AJ27" s="466">
        <v>0</v>
      </c>
      <c r="AK27" s="464">
        <v>0</v>
      </c>
      <c r="AL27" s="464">
        <v>0</v>
      </c>
      <c r="AM27" s="464">
        <v>0</v>
      </c>
      <c r="AN27" s="466">
        <v>0</v>
      </c>
    </row>
    <row r="28" spans="1:40" ht="15.8" thickBot="1" x14ac:dyDescent="0.3">
      <c r="A28" s="468" t="s">
        <v>836</v>
      </c>
      <c r="B28" s="469" t="s">
        <v>199</v>
      </c>
      <c r="C28" s="470" t="s">
        <v>22</v>
      </c>
      <c r="D28" s="471" t="s">
        <v>299</v>
      </c>
      <c r="E28" s="471" t="s">
        <v>34</v>
      </c>
      <c r="F28" s="471">
        <v>3</v>
      </c>
      <c r="G28" s="471">
        <v>18</v>
      </c>
      <c r="H28" s="471">
        <v>0</v>
      </c>
      <c r="I28" s="471">
        <v>0</v>
      </c>
      <c r="J28" s="471">
        <v>0</v>
      </c>
      <c r="K28" s="471">
        <v>0</v>
      </c>
      <c r="L28" s="471">
        <v>0</v>
      </c>
      <c r="M28" s="471">
        <v>1</v>
      </c>
      <c r="N28" s="471">
        <v>1</v>
      </c>
      <c r="O28" s="471">
        <v>0</v>
      </c>
      <c r="P28" s="471">
        <v>0</v>
      </c>
      <c r="Q28" s="471">
        <v>0</v>
      </c>
      <c r="R28" s="471">
        <v>2</v>
      </c>
      <c r="S28" s="595">
        <v>0</v>
      </c>
      <c r="T28" s="732" t="s">
        <v>691</v>
      </c>
      <c r="U28" s="478" t="s">
        <v>326</v>
      </c>
      <c r="V28" s="472" t="s">
        <v>637</v>
      </c>
      <c r="W28" s="472" t="s">
        <v>316</v>
      </c>
      <c r="X28" s="473" t="s">
        <v>715</v>
      </c>
      <c r="Y28" s="472">
        <v>1</v>
      </c>
      <c r="Z28" s="472">
        <v>0</v>
      </c>
      <c r="AA28" s="472">
        <v>0</v>
      </c>
      <c r="AB28" s="472">
        <v>1</v>
      </c>
      <c r="AC28" s="472">
        <v>1</v>
      </c>
      <c r="AD28" s="472">
        <v>0</v>
      </c>
      <c r="AE28" s="472">
        <v>0</v>
      </c>
      <c r="AF28" s="472">
        <v>1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40" ht="14.95" customHeight="1" thickBot="1" x14ac:dyDescent="0.3">
      <c r="A29" s="479" t="s">
        <v>840</v>
      </c>
      <c r="B29" s="461" t="s">
        <v>199</v>
      </c>
      <c r="C29" s="462" t="s">
        <v>9</v>
      </c>
      <c r="D29" s="463" t="s">
        <v>36</v>
      </c>
      <c r="E29" s="463" t="s">
        <v>34</v>
      </c>
      <c r="F29" s="463">
        <v>17</v>
      </c>
      <c r="G29" s="463">
        <v>30</v>
      </c>
      <c r="H29" s="463">
        <v>0</v>
      </c>
      <c r="I29" s="463">
        <v>0</v>
      </c>
      <c r="J29" s="463">
        <v>2</v>
      </c>
      <c r="K29" s="463">
        <v>2</v>
      </c>
      <c r="L29" s="463">
        <v>0</v>
      </c>
      <c r="M29" s="463">
        <v>1</v>
      </c>
      <c r="N29" s="463">
        <v>0</v>
      </c>
      <c r="O29" s="463">
        <v>0</v>
      </c>
      <c r="P29" s="463">
        <v>1</v>
      </c>
      <c r="Q29" s="463">
        <v>0</v>
      </c>
      <c r="R29" s="463">
        <v>4</v>
      </c>
      <c r="S29" s="639">
        <v>0</v>
      </c>
      <c r="T29" s="465" t="s">
        <v>907</v>
      </c>
      <c r="U29" s="466" t="s">
        <v>396</v>
      </c>
      <c r="V29" s="464" t="s">
        <v>352</v>
      </c>
      <c r="W29" s="464" t="s">
        <v>343</v>
      </c>
      <c r="X29" s="467" t="s">
        <v>355</v>
      </c>
      <c r="Y29" s="464">
        <v>1</v>
      </c>
      <c r="Z29" s="464">
        <v>0</v>
      </c>
      <c r="AA29" s="464">
        <v>0</v>
      </c>
      <c r="AB29" s="464">
        <v>1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0</v>
      </c>
      <c r="AI29" s="464">
        <v>0</v>
      </c>
      <c r="AJ29" s="466">
        <v>1</v>
      </c>
      <c r="AK29" s="464">
        <v>0</v>
      </c>
      <c r="AL29" s="464">
        <v>0</v>
      </c>
      <c r="AM29" s="464">
        <v>0</v>
      </c>
      <c r="AN29" s="466">
        <v>0</v>
      </c>
    </row>
    <row r="30" spans="1:40" ht="14.95" customHeight="1" thickBot="1" x14ac:dyDescent="0.3">
      <c r="A30" s="468" t="s">
        <v>854</v>
      </c>
      <c r="B30" s="469" t="s">
        <v>199</v>
      </c>
      <c r="C30" s="470" t="s">
        <v>28</v>
      </c>
      <c r="D30" s="471" t="s">
        <v>299</v>
      </c>
      <c r="E30" s="471" t="s">
        <v>34</v>
      </c>
      <c r="F30" s="471">
        <v>19</v>
      </c>
      <c r="G30" s="471">
        <v>22</v>
      </c>
      <c r="H30" s="471">
        <v>0</v>
      </c>
      <c r="I30" s="471">
        <v>1</v>
      </c>
      <c r="J30" s="471">
        <v>3</v>
      </c>
      <c r="K30" s="471">
        <v>2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3</v>
      </c>
      <c r="S30" s="710">
        <v>0</v>
      </c>
      <c r="T30" s="477" t="s">
        <v>747</v>
      </c>
      <c r="U30" s="478" t="s">
        <v>633</v>
      </c>
      <c r="V30" s="472" t="s">
        <v>399</v>
      </c>
      <c r="W30" s="472" t="s">
        <v>356</v>
      </c>
      <c r="X30" s="473" t="s">
        <v>320</v>
      </c>
      <c r="Y30" s="472">
        <v>1</v>
      </c>
      <c r="Z30" s="472">
        <v>0</v>
      </c>
      <c r="AA30" s="472">
        <v>0</v>
      </c>
      <c r="AB30" s="472">
        <v>1</v>
      </c>
      <c r="AC30" s="472">
        <v>1</v>
      </c>
      <c r="AD30" s="472">
        <v>0</v>
      </c>
      <c r="AE30" s="472">
        <v>0</v>
      </c>
      <c r="AF30" s="472">
        <v>1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0" ht="15.65" customHeight="1" thickBot="1" x14ac:dyDescent="0.3">
      <c r="A31" s="474" t="s">
        <v>859</v>
      </c>
      <c r="B31" s="474" t="s">
        <v>199</v>
      </c>
      <c r="C31" s="487" t="s">
        <v>165</v>
      </c>
      <c r="D31" s="488" t="s">
        <v>36</v>
      </c>
      <c r="E31" s="488" t="s">
        <v>34</v>
      </c>
      <c r="F31" s="463">
        <v>10</v>
      </c>
      <c r="G31" s="488">
        <v>47</v>
      </c>
      <c r="H31" s="463">
        <v>0</v>
      </c>
      <c r="I31" s="463">
        <v>0</v>
      </c>
      <c r="J31" s="463">
        <v>1</v>
      </c>
      <c r="K31" s="463">
        <v>1</v>
      </c>
      <c r="L31" s="463">
        <v>0</v>
      </c>
      <c r="M31" s="463">
        <v>1</v>
      </c>
      <c r="N31" s="463">
        <v>0</v>
      </c>
      <c r="O31" s="463">
        <v>0</v>
      </c>
      <c r="P31" s="463">
        <v>1</v>
      </c>
      <c r="Q31" s="463">
        <v>0</v>
      </c>
      <c r="R31" s="463">
        <v>7</v>
      </c>
      <c r="S31" s="639">
        <v>0</v>
      </c>
      <c r="T31" s="465" t="s">
        <v>923</v>
      </c>
      <c r="U31" s="464" t="s">
        <v>463</v>
      </c>
      <c r="V31" s="464" t="s">
        <v>637</v>
      </c>
      <c r="W31" s="464" t="s">
        <v>304</v>
      </c>
      <c r="X31" s="464" t="s">
        <v>319</v>
      </c>
      <c r="Y31" s="464">
        <v>1</v>
      </c>
      <c r="Z31" s="464">
        <v>0</v>
      </c>
      <c r="AA31" s="464">
        <v>0</v>
      </c>
      <c r="AB31" s="464">
        <v>1</v>
      </c>
      <c r="AC31" s="464">
        <v>0</v>
      </c>
      <c r="AD31" s="464">
        <v>0</v>
      </c>
      <c r="AE31" s="464">
        <v>0</v>
      </c>
      <c r="AF31" s="464">
        <v>0</v>
      </c>
      <c r="AG31" s="464">
        <v>1</v>
      </c>
      <c r="AH31" s="464">
        <v>0</v>
      </c>
      <c r="AI31" s="464">
        <v>0</v>
      </c>
      <c r="AJ31" s="466">
        <v>1</v>
      </c>
      <c r="AK31" s="464">
        <v>0</v>
      </c>
      <c r="AL31" s="464">
        <v>0</v>
      </c>
      <c r="AM31" s="464">
        <v>0</v>
      </c>
      <c r="AN31" s="466">
        <v>0</v>
      </c>
    </row>
    <row r="32" spans="1:40" ht="15.65" customHeight="1" thickBot="1" x14ac:dyDescent="0.3">
      <c r="A32" s="474" t="s">
        <v>864</v>
      </c>
      <c r="B32" s="474" t="s">
        <v>199</v>
      </c>
      <c r="C32" s="487" t="s">
        <v>26</v>
      </c>
      <c r="D32" s="488" t="s">
        <v>36</v>
      </c>
      <c r="E32" s="463" t="s">
        <v>34</v>
      </c>
      <c r="F32" s="463">
        <v>24</v>
      </c>
      <c r="G32" s="463">
        <v>28</v>
      </c>
      <c r="H32" s="463">
        <v>0</v>
      </c>
      <c r="I32" s="463">
        <v>1</v>
      </c>
      <c r="J32" s="463">
        <v>3</v>
      </c>
      <c r="K32" s="463">
        <v>2</v>
      </c>
      <c r="L32" s="463">
        <v>0</v>
      </c>
      <c r="M32" s="463">
        <v>1</v>
      </c>
      <c r="N32" s="463">
        <v>1</v>
      </c>
      <c r="O32" s="463">
        <v>0</v>
      </c>
      <c r="P32" s="463">
        <v>0</v>
      </c>
      <c r="Q32" s="463">
        <v>0</v>
      </c>
      <c r="R32" s="463">
        <v>1</v>
      </c>
      <c r="S32" s="639">
        <v>0</v>
      </c>
      <c r="T32" s="465" t="s">
        <v>688</v>
      </c>
      <c r="U32" s="464" t="s">
        <v>637</v>
      </c>
      <c r="V32" s="464" t="s">
        <v>632</v>
      </c>
      <c r="W32" s="464" t="s">
        <v>345</v>
      </c>
      <c r="X32" s="464" t="s">
        <v>316</v>
      </c>
      <c r="Y32" s="464">
        <v>1</v>
      </c>
      <c r="Z32" s="464">
        <v>0</v>
      </c>
      <c r="AA32" s="464">
        <v>0</v>
      </c>
      <c r="AB32" s="464">
        <v>1</v>
      </c>
      <c r="AC32" s="464">
        <v>0</v>
      </c>
      <c r="AD32" s="464">
        <v>0</v>
      </c>
      <c r="AE32" s="464">
        <v>0</v>
      </c>
      <c r="AF32" s="464">
        <v>0</v>
      </c>
      <c r="AG32" s="464">
        <v>1</v>
      </c>
      <c r="AH32" s="464">
        <v>0</v>
      </c>
      <c r="AI32" s="464">
        <v>0</v>
      </c>
      <c r="AJ32" s="466">
        <v>1</v>
      </c>
      <c r="AK32" s="464">
        <v>0</v>
      </c>
      <c r="AL32" s="464">
        <v>0</v>
      </c>
      <c r="AM32" s="464">
        <v>0</v>
      </c>
      <c r="AN32" s="466">
        <v>0</v>
      </c>
    </row>
    <row r="33" spans="1:40" ht="15.65" customHeight="1" thickBot="1" x14ac:dyDescent="0.3">
      <c r="A33" s="832" t="s">
        <v>298</v>
      </c>
      <c r="B33" s="832" t="s">
        <v>103</v>
      </c>
      <c r="C33" s="833" t="s">
        <v>28</v>
      </c>
      <c r="D33" s="383" t="s">
        <v>36</v>
      </c>
      <c r="E33" s="383" t="s">
        <v>34</v>
      </c>
      <c r="F33" s="141">
        <v>15</v>
      </c>
      <c r="G33" s="141">
        <v>38</v>
      </c>
      <c r="H33" s="141" t="s">
        <v>77</v>
      </c>
      <c r="I33" s="141" t="s">
        <v>77</v>
      </c>
      <c r="J33" s="141">
        <v>2</v>
      </c>
      <c r="K33" s="141">
        <v>1</v>
      </c>
      <c r="L33" s="141">
        <v>0</v>
      </c>
      <c r="M33" s="141">
        <v>1</v>
      </c>
      <c r="N33" s="141">
        <v>0</v>
      </c>
      <c r="O33" s="141">
        <v>0</v>
      </c>
      <c r="P33" s="141" t="s">
        <v>77</v>
      </c>
      <c r="Q33" s="141" t="s">
        <v>77</v>
      </c>
      <c r="R33" s="141">
        <v>5</v>
      </c>
      <c r="S33" s="707">
        <v>0</v>
      </c>
      <c r="T33" s="421" t="s">
        <v>422</v>
      </c>
      <c r="U33" s="142" t="s">
        <v>550</v>
      </c>
      <c r="V33" s="142" t="s">
        <v>464</v>
      </c>
      <c r="W33" s="142" t="s">
        <v>633</v>
      </c>
      <c r="X33" s="142" t="s">
        <v>463</v>
      </c>
      <c r="Y33" s="142">
        <v>1</v>
      </c>
      <c r="Z33" s="142">
        <v>0</v>
      </c>
      <c r="AA33" s="142">
        <v>0</v>
      </c>
      <c r="AB33" s="142">
        <v>1</v>
      </c>
      <c r="AC33" s="142">
        <v>0</v>
      </c>
      <c r="AD33" s="142">
        <v>0</v>
      </c>
      <c r="AE33" s="142">
        <v>0</v>
      </c>
      <c r="AF33" s="142">
        <v>0</v>
      </c>
      <c r="AG33" s="142">
        <v>1</v>
      </c>
      <c r="AH33" s="142">
        <v>0</v>
      </c>
      <c r="AI33" s="142">
        <v>0</v>
      </c>
      <c r="AJ33" s="143">
        <v>1</v>
      </c>
      <c r="AK33" s="142">
        <v>0</v>
      </c>
      <c r="AL33" s="142">
        <v>0</v>
      </c>
      <c r="AM33" s="142">
        <v>0</v>
      </c>
      <c r="AN33" s="143">
        <v>0</v>
      </c>
    </row>
    <row r="34" spans="1:40" ht="15.65" customHeight="1" thickBot="1" x14ac:dyDescent="0.3">
      <c r="A34" s="496" t="s">
        <v>956</v>
      </c>
      <c r="B34" s="496" t="s">
        <v>199</v>
      </c>
      <c r="C34" s="476" t="s">
        <v>27</v>
      </c>
      <c r="D34" s="501" t="s">
        <v>299</v>
      </c>
      <c r="E34" s="497" t="s">
        <v>34</v>
      </c>
      <c r="F34" s="471">
        <v>14</v>
      </c>
      <c r="G34" s="471">
        <v>34</v>
      </c>
      <c r="H34" s="471">
        <v>0</v>
      </c>
      <c r="I34" s="471">
        <v>0</v>
      </c>
      <c r="J34" s="471">
        <v>2</v>
      </c>
      <c r="K34" s="471">
        <v>2</v>
      </c>
      <c r="L34" s="471">
        <v>0</v>
      </c>
      <c r="M34" s="471">
        <v>0</v>
      </c>
      <c r="N34" s="471">
        <v>1</v>
      </c>
      <c r="O34" s="471">
        <v>0</v>
      </c>
      <c r="P34" s="471">
        <v>1</v>
      </c>
      <c r="Q34" s="471">
        <v>0</v>
      </c>
      <c r="R34" s="471">
        <v>6</v>
      </c>
      <c r="S34" s="595">
        <v>0</v>
      </c>
      <c r="T34" s="477" t="s">
        <v>969</v>
      </c>
      <c r="U34" s="472" t="s">
        <v>637</v>
      </c>
      <c r="V34" s="472" t="s">
        <v>632</v>
      </c>
      <c r="W34" s="472" t="s">
        <v>345</v>
      </c>
      <c r="X34" s="472" t="s">
        <v>715</v>
      </c>
      <c r="Y34" s="472">
        <v>1</v>
      </c>
      <c r="Z34" s="472">
        <v>0</v>
      </c>
      <c r="AA34" s="472">
        <v>0</v>
      </c>
      <c r="AB34" s="472">
        <v>1</v>
      </c>
      <c r="AC34" s="472">
        <v>1</v>
      </c>
      <c r="AD34" s="472">
        <v>0</v>
      </c>
      <c r="AE34" s="472">
        <v>0</v>
      </c>
      <c r="AF34" s="472">
        <v>1</v>
      </c>
      <c r="AG34" s="472">
        <v>0</v>
      </c>
      <c r="AH34" s="472">
        <v>0</v>
      </c>
      <c r="AI34" s="472">
        <v>0</v>
      </c>
      <c r="AJ34" s="478">
        <v>0</v>
      </c>
      <c r="AK34" s="472">
        <v>0</v>
      </c>
      <c r="AL34" s="472">
        <v>0</v>
      </c>
      <c r="AM34" s="472">
        <v>0</v>
      </c>
      <c r="AN34" s="478">
        <v>0</v>
      </c>
    </row>
    <row r="35" spans="1:40" ht="15.65" customHeight="1" thickBot="1" x14ac:dyDescent="0.3">
      <c r="A35" s="474" t="s">
        <v>357</v>
      </c>
      <c r="B35" s="474" t="s">
        <v>199</v>
      </c>
      <c r="C35" s="487" t="s">
        <v>24</v>
      </c>
      <c r="D35" s="488" t="s">
        <v>36</v>
      </c>
      <c r="E35" s="475" t="s">
        <v>993</v>
      </c>
      <c r="F35" s="463">
        <v>0</v>
      </c>
      <c r="G35" s="463">
        <v>20</v>
      </c>
      <c r="H35" s="463">
        <v>0</v>
      </c>
      <c r="I35" s="463">
        <v>0</v>
      </c>
      <c r="J35" s="463">
        <v>0</v>
      </c>
      <c r="K35" s="463">
        <v>0</v>
      </c>
      <c r="L35" s="463">
        <v>0</v>
      </c>
      <c r="M35" s="463">
        <v>0</v>
      </c>
      <c r="N35" s="463">
        <v>0</v>
      </c>
      <c r="O35" s="463">
        <v>0</v>
      </c>
      <c r="P35" s="463">
        <v>1</v>
      </c>
      <c r="Q35" s="463">
        <v>0</v>
      </c>
      <c r="R35" s="463">
        <v>4</v>
      </c>
      <c r="S35" s="639">
        <v>0</v>
      </c>
      <c r="T35" s="481" t="s">
        <v>202</v>
      </c>
      <c r="U35" s="464" t="s">
        <v>202</v>
      </c>
      <c r="V35" s="464" t="s">
        <v>202</v>
      </c>
      <c r="W35" s="464" t="s">
        <v>202</v>
      </c>
      <c r="X35" s="464" t="s">
        <v>202</v>
      </c>
      <c r="Y35" s="464">
        <v>1</v>
      </c>
      <c r="Z35" s="464">
        <v>0</v>
      </c>
      <c r="AA35" s="464">
        <v>0</v>
      </c>
      <c r="AB35" s="464">
        <v>1</v>
      </c>
      <c r="AC35" s="464">
        <v>0</v>
      </c>
      <c r="AD35" s="464">
        <v>0</v>
      </c>
      <c r="AE35" s="464">
        <v>0</v>
      </c>
      <c r="AF35" s="464">
        <v>0</v>
      </c>
      <c r="AG35" s="464">
        <v>1</v>
      </c>
      <c r="AH35" s="464">
        <v>0</v>
      </c>
      <c r="AI35" s="464">
        <v>0</v>
      </c>
      <c r="AJ35" s="466">
        <v>1</v>
      </c>
      <c r="AK35" s="464">
        <v>0</v>
      </c>
      <c r="AL35" s="464">
        <v>0</v>
      </c>
      <c r="AM35" s="464">
        <v>0</v>
      </c>
      <c r="AN35" s="466">
        <v>0</v>
      </c>
    </row>
    <row r="36" spans="1:40" ht="14.95" customHeight="1" thickBot="1" x14ac:dyDescent="0.3">
      <c r="A36" s="505"/>
      <c r="B36" s="506"/>
      <c r="C36" s="1000" t="s">
        <v>105</v>
      </c>
      <c r="D36" s="1001"/>
      <c r="E36" s="1002"/>
      <c r="F36" s="491">
        <f t="shared" ref="F36:R36" si="1">SUM(F7+F8+F9+F10+F13+F16+F17+F18+F21+F22+F23+F24+F25+F26+F27+F28+F29+F30+F31+F32+F34+F35)</f>
        <v>438</v>
      </c>
      <c r="G36" s="491">
        <f t="shared" si="1"/>
        <v>547</v>
      </c>
      <c r="H36" s="491">
        <f t="shared" si="1"/>
        <v>5</v>
      </c>
      <c r="I36" s="491">
        <f t="shared" si="1"/>
        <v>5</v>
      </c>
      <c r="J36" s="491">
        <f t="shared" si="1"/>
        <v>52</v>
      </c>
      <c r="K36" s="491">
        <f t="shared" si="1"/>
        <v>35</v>
      </c>
      <c r="L36" s="491">
        <f t="shared" si="1"/>
        <v>1</v>
      </c>
      <c r="M36" s="491">
        <f t="shared" si="1"/>
        <v>33</v>
      </c>
      <c r="N36" s="491">
        <f t="shared" si="1"/>
        <v>14</v>
      </c>
      <c r="O36" s="491">
        <f t="shared" si="1"/>
        <v>2</v>
      </c>
      <c r="P36" s="491">
        <f t="shared" si="1"/>
        <v>9</v>
      </c>
      <c r="Q36" s="491">
        <f t="shared" si="1"/>
        <v>4</v>
      </c>
      <c r="R36" s="491">
        <f t="shared" si="1"/>
        <v>69</v>
      </c>
      <c r="S36" s="502"/>
      <c r="T36" s="502"/>
      <c r="U36" s="502"/>
      <c r="V36" s="500"/>
      <c r="W36" s="500"/>
      <c r="X36" s="883" t="s">
        <v>105</v>
      </c>
      <c r="Y36" s="491">
        <f t="shared" ref="Y36:AN36" si="2">SUM(Y7+Y8+Y9+Y10+Y13+Y16+Y17+Y18+Y21+Y22+Y23+Y24+Y25+Y26+Y27+Y28+Y29+Y30+Y31+Y32+Y34+Y35)</f>
        <v>22</v>
      </c>
      <c r="Z36" s="491">
        <f t="shared" si="2"/>
        <v>8</v>
      </c>
      <c r="AA36" s="491">
        <f t="shared" si="2"/>
        <v>0</v>
      </c>
      <c r="AB36" s="491">
        <f t="shared" si="2"/>
        <v>14</v>
      </c>
      <c r="AC36" s="501">
        <f t="shared" si="2"/>
        <v>11</v>
      </c>
      <c r="AD36" s="501">
        <f t="shared" si="2"/>
        <v>4</v>
      </c>
      <c r="AE36" s="501">
        <f t="shared" si="2"/>
        <v>0</v>
      </c>
      <c r="AF36" s="501">
        <f t="shared" si="2"/>
        <v>7</v>
      </c>
      <c r="AG36" s="488">
        <f t="shared" si="2"/>
        <v>11</v>
      </c>
      <c r="AH36" s="488">
        <f t="shared" si="2"/>
        <v>4</v>
      </c>
      <c r="AI36" s="488">
        <f t="shared" si="2"/>
        <v>0</v>
      </c>
      <c r="AJ36" s="488">
        <f t="shared" si="2"/>
        <v>7</v>
      </c>
      <c r="AK36" s="491">
        <f t="shared" si="2"/>
        <v>0</v>
      </c>
      <c r="AL36" s="491">
        <f t="shared" si="2"/>
        <v>0</v>
      </c>
      <c r="AM36" s="491">
        <f t="shared" si="2"/>
        <v>0</v>
      </c>
      <c r="AN36" s="491">
        <f t="shared" si="2"/>
        <v>0</v>
      </c>
    </row>
    <row r="37" spans="1:40" ht="14.95" customHeight="1" thickBot="1" x14ac:dyDescent="0.3">
      <c r="A37" s="499"/>
      <c r="B37" s="499"/>
      <c r="C37" s="1000" t="s">
        <v>197</v>
      </c>
      <c r="D37" s="1001"/>
      <c r="E37" s="1002"/>
      <c r="F37" s="491">
        <v>0</v>
      </c>
      <c r="G37" s="491">
        <v>0</v>
      </c>
      <c r="H37" s="492">
        <v>0</v>
      </c>
      <c r="I37" s="492">
        <v>0</v>
      </c>
      <c r="J37" s="491">
        <v>0</v>
      </c>
      <c r="K37" s="491">
        <v>0</v>
      </c>
      <c r="L37" s="491">
        <v>0</v>
      </c>
      <c r="M37" s="491">
        <v>0</v>
      </c>
      <c r="N37" s="491">
        <v>0</v>
      </c>
      <c r="O37" s="491">
        <v>0</v>
      </c>
      <c r="P37" s="492">
        <v>0</v>
      </c>
      <c r="Q37" s="492">
        <v>0</v>
      </c>
      <c r="R37" s="491">
        <v>0</v>
      </c>
      <c r="S37" s="502"/>
      <c r="T37" s="502"/>
      <c r="U37" s="502"/>
      <c r="V37" s="502"/>
      <c r="W37" s="500"/>
      <c r="X37" s="883" t="s">
        <v>197</v>
      </c>
      <c r="Y37" s="491">
        <v>0</v>
      </c>
      <c r="Z37" s="491">
        <v>0</v>
      </c>
      <c r="AA37" s="491">
        <v>0</v>
      </c>
      <c r="AB37" s="491">
        <v>0</v>
      </c>
      <c r="AC37" s="501">
        <v>0</v>
      </c>
      <c r="AD37" s="501">
        <v>0</v>
      </c>
      <c r="AE37" s="501">
        <v>0</v>
      </c>
      <c r="AF37" s="501">
        <v>0</v>
      </c>
      <c r="AG37" s="475">
        <v>0</v>
      </c>
      <c r="AH37" s="475">
        <v>0</v>
      </c>
      <c r="AI37" s="475">
        <v>0</v>
      </c>
      <c r="AJ37" s="475">
        <v>0</v>
      </c>
      <c r="AK37" s="491">
        <v>0</v>
      </c>
      <c r="AL37" s="491">
        <v>0</v>
      </c>
      <c r="AM37" s="491">
        <v>0</v>
      </c>
      <c r="AN37" s="491">
        <v>0</v>
      </c>
    </row>
    <row r="38" spans="1:40" ht="15.8" customHeight="1" thickBot="1" x14ac:dyDescent="0.3">
      <c r="A38" s="499"/>
      <c r="B38" s="499"/>
      <c r="C38" s="1000" t="s">
        <v>219</v>
      </c>
      <c r="D38" s="1001"/>
      <c r="E38" s="1002"/>
      <c r="F38" s="491">
        <f>SUM(F36+F37)</f>
        <v>438</v>
      </c>
      <c r="G38" s="491">
        <f t="shared" ref="G38:R38" si="3">SUM(G36+G37)</f>
        <v>547</v>
      </c>
      <c r="H38" s="491">
        <f t="shared" si="3"/>
        <v>5</v>
      </c>
      <c r="I38" s="491">
        <f t="shared" si="3"/>
        <v>5</v>
      </c>
      <c r="J38" s="491">
        <f t="shared" si="3"/>
        <v>52</v>
      </c>
      <c r="K38" s="491">
        <f t="shared" si="3"/>
        <v>35</v>
      </c>
      <c r="L38" s="491">
        <f t="shared" si="3"/>
        <v>1</v>
      </c>
      <c r="M38" s="491">
        <f t="shared" si="3"/>
        <v>33</v>
      </c>
      <c r="N38" s="491">
        <f t="shared" si="3"/>
        <v>14</v>
      </c>
      <c r="O38" s="491">
        <f t="shared" si="3"/>
        <v>2</v>
      </c>
      <c r="P38" s="491">
        <f t="shared" si="3"/>
        <v>9</v>
      </c>
      <c r="Q38" s="491">
        <f t="shared" si="3"/>
        <v>4</v>
      </c>
      <c r="R38" s="491">
        <f t="shared" si="3"/>
        <v>69</v>
      </c>
      <c r="S38" s="502"/>
      <c r="T38" s="502"/>
      <c r="U38" s="502"/>
      <c r="V38" s="502"/>
      <c r="W38" s="500"/>
      <c r="X38" s="883" t="s">
        <v>219</v>
      </c>
      <c r="Y38" s="491">
        <f>SUM(Y36+Y37)-1</f>
        <v>21</v>
      </c>
      <c r="Z38" s="491">
        <f t="shared" ref="Z38:AN38" si="4">SUM(Z36+Z37)</f>
        <v>8</v>
      </c>
      <c r="AA38" s="491">
        <f t="shared" si="4"/>
        <v>0</v>
      </c>
      <c r="AB38" s="491">
        <f>SUM(AB36+AB37)-1</f>
        <v>13</v>
      </c>
      <c r="AC38" s="501">
        <f>SUM(AC36+AC37)</f>
        <v>11</v>
      </c>
      <c r="AD38" s="501">
        <f t="shared" si="4"/>
        <v>4</v>
      </c>
      <c r="AE38" s="501">
        <f t="shared" si="4"/>
        <v>0</v>
      </c>
      <c r="AF38" s="501">
        <f>SUM(AF36+AF37)</f>
        <v>7</v>
      </c>
      <c r="AG38" s="488">
        <f>SUM(AG36+AG37)-1</f>
        <v>10</v>
      </c>
      <c r="AH38" s="488">
        <f t="shared" si="4"/>
        <v>4</v>
      </c>
      <c r="AI38" s="488">
        <f t="shared" si="4"/>
        <v>0</v>
      </c>
      <c r="AJ38" s="488">
        <f>SUM(AJ36+AJ37)-1</f>
        <v>6</v>
      </c>
      <c r="AK38" s="491">
        <f t="shared" si="4"/>
        <v>0</v>
      </c>
      <c r="AL38" s="491">
        <f t="shared" si="4"/>
        <v>0</v>
      </c>
      <c r="AM38" s="491">
        <f t="shared" si="4"/>
        <v>0</v>
      </c>
      <c r="AN38" s="491">
        <f t="shared" si="4"/>
        <v>0</v>
      </c>
    </row>
    <row r="39" spans="1:40" ht="14.95" customHeight="1" thickBot="1" x14ac:dyDescent="0.3">
      <c r="A39" s="100"/>
      <c r="C39" s="1004" t="s">
        <v>144</v>
      </c>
      <c r="D39" s="1005"/>
      <c r="E39" s="1006"/>
      <c r="F39" s="410">
        <f t="shared" ref="F39:R39" si="5">SUM(F11+F12+F14+F15+F19+F20)</f>
        <v>166</v>
      </c>
      <c r="G39" s="410">
        <f t="shared" si="5"/>
        <v>183</v>
      </c>
      <c r="H39" s="410">
        <f t="shared" si="5"/>
        <v>3</v>
      </c>
      <c r="I39" s="410">
        <f t="shared" si="5"/>
        <v>0</v>
      </c>
      <c r="J39" s="410">
        <f t="shared" si="5"/>
        <v>19</v>
      </c>
      <c r="K39" s="410">
        <f t="shared" si="5"/>
        <v>16</v>
      </c>
      <c r="L39" s="410">
        <f t="shared" si="5"/>
        <v>0</v>
      </c>
      <c r="M39" s="410">
        <f t="shared" si="5"/>
        <v>13</v>
      </c>
      <c r="N39" s="410">
        <f t="shared" si="5"/>
        <v>5</v>
      </c>
      <c r="O39" s="410">
        <f t="shared" si="5"/>
        <v>0</v>
      </c>
      <c r="P39" s="410">
        <f t="shared" si="5"/>
        <v>3</v>
      </c>
      <c r="Q39" s="410">
        <f t="shared" si="5"/>
        <v>1</v>
      </c>
      <c r="R39" s="410">
        <f t="shared" si="5"/>
        <v>25</v>
      </c>
      <c r="S39" s="171"/>
      <c r="T39" s="171"/>
      <c r="U39" s="171"/>
      <c r="V39" s="171"/>
      <c r="W39" s="403"/>
      <c r="X39" s="399" t="s">
        <v>144</v>
      </c>
      <c r="Y39" s="410">
        <f t="shared" ref="Y39:AN39" si="6">SUM(Y11+Y12+Y14+Y15+Y19+Y20)</f>
        <v>6</v>
      </c>
      <c r="Z39" s="406">
        <f t="shared" si="6"/>
        <v>4</v>
      </c>
      <c r="AA39" s="406">
        <f t="shared" si="6"/>
        <v>0</v>
      </c>
      <c r="AB39" s="406">
        <f t="shared" si="6"/>
        <v>2</v>
      </c>
      <c r="AC39" s="404">
        <f t="shared" si="6"/>
        <v>3</v>
      </c>
      <c r="AD39" s="404">
        <f t="shared" si="6"/>
        <v>2</v>
      </c>
      <c r="AE39" s="404">
        <f t="shared" si="6"/>
        <v>0</v>
      </c>
      <c r="AF39" s="404">
        <f t="shared" si="6"/>
        <v>1</v>
      </c>
      <c r="AG39" s="405">
        <f t="shared" si="6"/>
        <v>3</v>
      </c>
      <c r="AH39" s="405">
        <f t="shared" si="6"/>
        <v>2</v>
      </c>
      <c r="AI39" s="405">
        <f t="shared" si="6"/>
        <v>0</v>
      </c>
      <c r="AJ39" s="405">
        <f t="shared" si="6"/>
        <v>1</v>
      </c>
      <c r="AK39" s="406">
        <f t="shared" si="6"/>
        <v>0</v>
      </c>
      <c r="AL39" s="406">
        <f t="shared" si="6"/>
        <v>0</v>
      </c>
      <c r="AM39" s="406">
        <f t="shared" si="6"/>
        <v>0</v>
      </c>
      <c r="AN39" s="406">
        <f t="shared" si="6"/>
        <v>0</v>
      </c>
    </row>
    <row r="40" spans="1:40" ht="14.95" customHeight="1" thickBot="1" x14ac:dyDescent="0.3">
      <c r="A40" s="100"/>
      <c r="C40" s="1004" t="s">
        <v>195</v>
      </c>
      <c r="D40" s="1007"/>
      <c r="E40" s="1008"/>
      <c r="F40" s="410">
        <f>SUM(F33)</f>
        <v>15</v>
      </c>
      <c r="G40" s="410">
        <f>SUM(G33)</f>
        <v>38</v>
      </c>
      <c r="H40" s="406" t="s">
        <v>77</v>
      </c>
      <c r="I40" s="406" t="s">
        <v>77</v>
      </c>
      <c r="J40" s="410">
        <f t="shared" ref="J40:O40" si="7">SUM(J33)</f>
        <v>2</v>
      </c>
      <c r="K40" s="410">
        <f t="shared" si="7"/>
        <v>1</v>
      </c>
      <c r="L40" s="410">
        <f t="shared" si="7"/>
        <v>0</v>
      </c>
      <c r="M40" s="410">
        <f t="shared" si="7"/>
        <v>1</v>
      </c>
      <c r="N40" s="410">
        <f t="shared" si="7"/>
        <v>0</v>
      </c>
      <c r="O40" s="410">
        <f t="shared" si="7"/>
        <v>0</v>
      </c>
      <c r="P40" s="406" t="s">
        <v>77</v>
      </c>
      <c r="Q40" s="406" t="s">
        <v>77</v>
      </c>
      <c r="R40" s="410">
        <f>SUM(R33)</f>
        <v>5</v>
      </c>
      <c r="S40" s="171"/>
      <c r="T40" s="171"/>
      <c r="U40" s="171"/>
      <c r="V40" s="171"/>
      <c r="W40" s="403"/>
      <c r="X40" s="399" t="s">
        <v>195</v>
      </c>
      <c r="Y40" s="410">
        <f t="shared" ref="Y40:AN40" si="8">SUM(Y33)</f>
        <v>1</v>
      </c>
      <c r="Z40" s="410">
        <f t="shared" si="8"/>
        <v>0</v>
      </c>
      <c r="AA40" s="410">
        <f t="shared" si="8"/>
        <v>0</v>
      </c>
      <c r="AB40" s="410">
        <f t="shared" si="8"/>
        <v>1</v>
      </c>
      <c r="AC40" s="408">
        <f t="shared" si="8"/>
        <v>0</v>
      </c>
      <c r="AD40" s="408">
        <f t="shared" si="8"/>
        <v>0</v>
      </c>
      <c r="AE40" s="408">
        <f t="shared" si="8"/>
        <v>0</v>
      </c>
      <c r="AF40" s="408">
        <f t="shared" si="8"/>
        <v>0</v>
      </c>
      <c r="AG40" s="409">
        <f t="shared" si="8"/>
        <v>1</v>
      </c>
      <c r="AH40" s="409">
        <f t="shared" si="8"/>
        <v>0</v>
      </c>
      <c r="AI40" s="409">
        <f t="shared" si="8"/>
        <v>0</v>
      </c>
      <c r="AJ40" s="409">
        <f t="shared" si="8"/>
        <v>1</v>
      </c>
      <c r="AK40" s="410">
        <f t="shared" si="8"/>
        <v>0</v>
      </c>
      <c r="AL40" s="410">
        <f t="shared" si="8"/>
        <v>0</v>
      </c>
      <c r="AM40" s="410">
        <f t="shared" si="8"/>
        <v>0</v>
      </c>
      <c r="AN40" s="410">
        <f t="shared" si="8"/>
        <v>0</v>
      </c>
    </row>
    <row r="41" spans="1:40" ht="15.8" customHeight="1" thickBot="1" x14ac:dyDescent="0.3">
      <c r="A41" s="100"/>
      <c r="C41" s="1009" t="s">
        <v>230</v>
      </c>
      <c r="D41" s="1007"/>
      <c r="E41" s="1008"/>
      <c r="F41" s="384">
        <f>SUM(F39+F40)</f>
        <v>181</v>
      </c>
      <c r="G41" s="384">
        <f t="shared" ref="G41:R41" si="9">SUM(G39+G40)</f>
        <v>221</v>
      </c>
      <c r="H41" s="384">
        <f>SUM(H39)</f>
        <v>3</v>
      </c>
      <c r="I41" s="384">
        <f>SUM(I39)</f>
        <v>0</v>
      </c>
      <c r="J41" s="384">
        <f t="shared" si="9"/>
        <v>21</v>
      </c>
      <c r="K41" s="384">
        <f t="shared" si="9"/>
        <v>17</v>
      </c>
      <c r="L41" s="384">
        <f t="shared" si="9"/>
        <v>0</v>
      </c>
      <c r="M41" s="384">
        <f t="shared" si="9"/>
        <v>14</v>
      </c>
      <c r="N41" s="384">
        <f t="shared" si="9"/>
        <v>5</v>
      </c>
      <c r="O41" s="384">
        <f t="shared" si="9"/>
        <v>0</v>
      </c>
      <c r="P41" s="384">
        <f t="shared" ref="P41:Q41" si="10">SUM(P39)</f>
        <v>3</v>
      </c>
      <c r="Q41" s="384">
        <f t="shared" si="10"/>
        <v>1</v>
      </c>
      <c r="R41" s="384">
        <f t="shared" si="9"/>
        <v>30</v>
      </c>
      <c r="S41" s="171"/>
      <c r="T41" s="171"/>
      <c r="U41" s="171"/>
      <c r="V41" s="171"/>
      <c r="W41" s="172"/>
      <c r="X41" s="887" t="s">
        <v>230</v>
      </c>
      <c r="Y41" s="384">
        <f t="shared" ref="Y41:AN41" si="11">SUM(Y39+Y40)</f>
        <v>7</v>
      </c>
      <c r="Z41" s="384">
        <f t="shared" si="11"/>
        <v>4</v>
      </c>
      <c r="AA41" s="384">
        <f t="shared" si="11"/>
        <v>0</v>
      </c>
      <c r="AB41" s="384">
        <f t="shared" si="11"/>
        <v>3</v>
      </c>
      <c r="AC41" s="92">
        <f t="shared" si="11"/>
        <v>3</v>
      </c>
      <c r="AD41" s="92">
        <f t="shared" si="11"/>
        <v>2</v>
      </c>
      <c r="AE41" s="92">
        <f t="shared" si="11"/>
        <v>0</v>
      </c>
      <c r="AF41" s="92">
        <f t="shared" si="11"/>
        <v>1</v>
      </c>
      <c r="AG41" s="383">
        <f t="shared" si="11"/>
        <v>4</v>
      </c>
      <c r="AH41" s="383">
        <f t="shared" si="11"/>
        <v>2</v>
      </c>
      <c r="AI41" s="383">
        <f t="shared" si="11"/>
        <v>0</v>
      </c>
      <c r="AJ41" s="383">
        <f t="shared" si="11"/>
        <v>2</v>
      </c>
      <c r="AK41" s="384">
        <f t="shared" si="11"/>
        <v>0</v>
      </c>
      <c r="AL41" s="384">
        <f t="shared" si="11"/>
        <v>0</v>
      </c>
      <c r="AM41" s="384">
        <f t="shared" si="11"/>
        <v>0</v>
      </c>
      <c r="AN41" s="384">
        <f t="shared" si="11"/>
        <v>0</v>
      </c>
    </row>
    <row r="42" spans="1:40" ht="14.95" customHeight="1" thickBot="1" x14ac:dyDescent="0.3">
      <c r="A42" s="100"/>
      <c r="C42" s="977" t="s">
        <v>227</v>
      </c>
      <c r="D42" s="978"/>
      <c r="E42" s="979"/>
      <c r="F42" s="541">
        <f t="shared" ref="F42:R42" si="12">SUM(F3+F4+F5+F6)</f>
        <v>109</v>
      </c>
      <c r="G42" s="541">
        <f t="shared" si="12"/>
        <v>151</v>
      </c>
      <c r="H42" s="541">
        <f t="shared" si="12"/>
        <v>6</v>
      </c>
      <c r="I42" s="541">
        <f t="shared" si="12"/>
        <v>1</v>
      </c>
      <c r="J42" s="541">
        <f t="shared" si="12"/>
        <v>15</v>
      </c>
      <c r="K42" s="541">
        <f t="shared" si="12"/>
        <v>10</v>
      </c>
      <c r="L42" s="541">
        <f t="shared" si="12"/>
        <v>0</v>
      </c>
      <c r="M42" s="541">
        <f t="shared" si="12"/>
        <v>4</v>
      </c>
      <c r="N42" s="541">
        <f t="shared" si="12"/>
        <v>2</v>
      </c>
      <c r="O42" s="541">
        <f t="shared" si="12"/>
        <v>1</v>
      </c>
      <c r="P42" s="541">
        <f t="shared" si="12"/>
        <v>4</v>
      </c>
      <c r="Q42" s="541">
        <f t="shared" si="12"/>
        <v>0</v>
      </c>
      <c r="R42" s="541">
        <f t="shared" si="12"/>
        <v>23</v>
      </c>
      <c r="S42" s="534"/>
      <c r="T42" s="534"/>
      <c r="U42" s="534"/>
      <c r="V42" s="535"/>
      <c r="W42" s="535"/>
      <c r="X42" s="888" t="s">
        <v>227</v>
      </c>
      <c r="Y42" s="541">
        <f t="shared" ref="Y42:AN42" si="13">SUM(Y3+Y4+Y5+Y6)</f>
        <v>4</v>
      </c>
      <c r="Z42" s="541">
        <f t="shared" si="13"/>
        <v>1</v>
      </c>
      <c r="AA42" s="541">
        <f t="shared" si="13"/>
        <v>0</v>
      </c>
      <c r="AB42" s="541">
        <f t="shared" si="13"/>
        <v>3</v>
      </c>
      <c r="AC42" s="536">
        <f t="shared" si="13"/>
        <v>2</v>
      </c>
      <c r="AD42" s="536">
        <f t="shared" si="13"/>
        <v>0</v>
      </c>
      <c r="AE42" s="536">
        <f t="shared" si="13"/>
        <v>0</v>
      </c>
      <c r="AF42" s="536">
        <f t="shared" si="13"/>
        <v>2</v>
      </c>
      <c r="AG42" s="537">
        <f t="shared" si="13"/>
        <v>2</v>
      </c>
      <c r="AH42" s="537">
        <f t="shared" si="13"/>
        <v>1</v>
      </c>
      <c r="AI42" s="537">
        <f t="shared" si="13"/>
        <v>0</v>
      </c>
      <c r="AJ42" s="537">
        <f t="shared" si="13"/>
        <v>1</v>
      </c>
      <c r="AK42" s="538">
        <f t="shared" si="13"/>
        <v>0</v>
      </c>
      <c r="AL42" s="538">
        <f t="shared" si="13"/>
        <v>0</v>
      </c>
      <c r="AM42" s="538">
        <f t="shared" si="13"/>
        <v>0</v>
      </c>
      <c r="AN42" s="538">
        <f t="shared" si="13"/>
        <v>0</v>
      </c>
    </row>
    <row r="43" spans="1:40" ht="14.95" thickBot="1" x14ac:dyDescent="0.3">
      <c r="C43" s="977" t="s">
        <v>228</v>
      </c>
      <c r="D43" s="978"/>
      <c r="E43" s="979"/>
      <c r="F43" s="541">
        <v>0</v>
      </c>
      <c r="G43" s="541">
        <v>0</v>
      </c>
      <c r="H43" s="538" t="s">
        <v>77</v>
      </c>
      <c r="I43" s="538" t="s">
        <v>77</v>
      </c>
      <c r="J43" s="541">
        <v>0</v>
      </c>
      <c r="K43" s="541">
        <v>0</v>
      </c>
      <c r="L43" s="541">
        <v>0</v>
      </c>
      <c r="M43" s="541">
        <v>0</v>
      </c>
      <c r="N43" s="541">
        <v>0</v>
      </c>
      <c r="O43" s="541">
        <v>0</v>
      </c>
      <c r="P43" s="538" t="s">
        <v>77</v>
      </c>
      <c r="Q43" s="538" t="s">
        <v>77</v>
      </c>
      <c r="R43" s="541">
        <v>0</v>
      </c>
      <c r="S43" s="534"/>
      <c r="T43" s="534"/>
      <c r="U43" s="534"/>
      <c r="V43" s="534"/>
      <c r="W43" s="535"/>
      <c r="X43" s="888" t="s">
        <v>228</v>
      </c>
      <c r="Y43" s="541">
        <v>0</v>
      </c>
      <c r="Z43" s="541">
        <v>0</v>
      </c>
      <c r="AA43" s="541">
        <v>0</v>
      </c>
      <c r="AB43" s="541">
        <v>0</v>
      </c>
      <c r="AC43" s="539">
        <v>0</v>
      </c>
      <c r="AD43" s="539">
        <v>0</v>
      </c>
      <c r="AE43" s="539">
        <v>0</v>
      </c>
      <c r="AF43" s="539">
        <v>0</v>
      </c>
      <c r="AG43" s="540">
        <v>0</v>
      </c>
      <c r="AH43" s="540">
        <v>0</v>
      </c>
      <c r="AI43" s="540">
        <v>0</v>
      </c>
      <c r="AJ43" s="540">
        <v>0</v>
      </c>
      <c r="AK43" s="541">
        <v>0</v>
      </c>
      <c r="AL43" s="541">
        <v>0</v>
      </c>
      <c r="AM43" s="541">
        <v>0</v>
      </c>
      <c r="AN43" s="541">
        <v>0</v>
      </c>
    </row>
    <row r="44" spans="1:40" ht="15.8" customHeight="1" thickBot="1" x14ac:dyDescent="0.3">
      <c r="C44" s="1010" t="s">
        <v>229</v>
      </c>
      <c r="D44" s="978"/>
      <c r="E44" s="979"/>
      <c r="F44" s="545">
        <f>SUM(F42+F43)</f>
        <v>109</v>
      </c>
      <c r="G44" s="545">
        <f t="shared" ref="G44:R44" si="14">SUM(G42+G43)</f>
        <v>151</v>
      </c>
      <c r="H44" s="545">
        <f>H42</f>
        <v>6</v>
      </c>
      <c r="I44" s="545">
        <f>I42</f>
        <v>1</v>
      </c>
      <c r="J44" s="545">
        <f t="shared" si="14"/>
        <v>15</v>
      </c>
      <c r="K44" s="545">
        <f t="shared" si="14"/>
        <v>10</v>
      </c>
      <c r="L44" s="545">
        <f t="shared" si="14"/>
        <v>0</v>
      </c>
      <c r="M44" s="545">
        <f t="shared" si="14"/>
        <v>4</v>
      </c>
      <c r="N44" s="545">
        <f t="shared" si="14"/>
        <v>2</v>
      </c>
      <c r="O44" s="545">
        <f t="shared" si="14"/>
        <v>1</v>
      </c>
      <c r="P44" s="545">
        <f t="shared" ref="P44:Q44" si="15">P42</f>
        <v>4</v>
      </c>
      <c r="Q44" s="545">
        <f t="shared" si="15"/>
        <v>0</v>
      </c>
      <c r="R44" s="545">
        <f t="shared" si="14"/>
        <v>23</v>
      </c>
      <c r="S44" s="534"/>
      <c r="T44" s="534"/>
      <c r="U44" s="534"/>
      <c r="V44" s="534"/>
      <c r="W44" s="542"/>
      <c r="X44" s="885" t="s">
        <v>229</v>
      </c>
      <c r="Y44" s="545">
        <f t="shared" ref="Y44:AN44" si="16">SUM(Y42+Y43)</f>
        <v>4</v>
      </c>
      <c r="Z44" s="545">
        <f t="shared" si="16"/>
        <v>1</v>
      </c>
      <c r="AA44" s="545">
        <f t="shared" si="16"/>
        <v>0</v>
      </c>
      <c r="AB44" s="545">
        <f t="shared" si="16"/>
        <v>3</v>
      </c>
      <c r="AC44" s="543">
        <f t="shared" si="16"/>
        <v>2</v>
      </c>
      <c r="AD44" s="543">
        <f t="shared" si="16"/>
        <v>0</v>
      </c>
      <c r="AE44" s="543">
        <f t="shared" si="16"/>
        <v>0</v>
      </c>
      <c r="AF44" s="543">
        <f t="shared" si="16"/>
        <v>2</v>
      </c>
      <c r="AG44" s="544">
        <f t="shared" si="16"/>
        <v>2</v>
      </c>
      <c r="AH44" s="544">
        <f t="shared" si="16"/>
        <v>1</v>
      </c>
      <c r="AI44" s="544">
        <f t="shared" si="16"/>
        <v>0</v>
      </c>
      <c r="AJ44" s="544">
        <f t="shared" si="16"/>
        <v>1</v>
      </c>
      <c r="AK44" s="545">
        <f t="shared" si="16"/>
        <v>0</v>
      </c>
      <c r="AL44" s="545">
        <f t="shared" si="16"/>
        <v>0</v>
      </c>
      <c r="AM44" s="545">
        <f t="shared" si="16"/>
        <v>0</v>
      </c>
      <c r="AN44" s="545">
        <f t="shared" si="16"/>
        <v>0</v>
      </c>
    </row>
    <row r="45" spans="1:40" ht="14.95" thickBot="1" x14ac:dyDescent="0.3">
      <c r="A45" s="100"/>
      <c r="C45" s="980" t="s">
        <v>63</v>
      </c>
      <c r="D45" s="981"/>
      <c r="E45" s="982"/>
      <c r="F45" s="378">
        <f t="shared" ref="F45:R45" si="17">SUM(F3:F35)</f>
        <v>728</v>
      </c>
      <c r="G45" s="378">
        <f t="shared" si="17"/>
        <v>919</v>
      </c>
      <c r="H45" s="378">
        <f t="shared" si="17"/>
        <v>14</v>
      </c>
      <c r="I45" s="378">
        <f t="shared" si="17"/>
        <v>6</v>
      </c>
      <c r="J45" s="378">
        <f t="shared" si="17"/>
        <v>88</v>
      </c>
      <c r="K45" s="378">
        <f t="shared" si="17"/>
        <v>62</v>
      </c>
      <c r="L45" s="378">
        <f t="shared" si="17"/>
        <v>1</v>
      </c>
      <c r="M45" s="378">
        <f t="shared" si="17"/>
        <v>51</v>
      </c>
      <c r="N45" s="378">
        <f t="shared" si="17"/>
        <v>21</v>
      </c>
      <c r="O45" s="378">
        <f t="shared" si="17"/>
        <v>3</v>
      </c>
      <c r="P45" s="378">
        <f t="shared" si="17"/>
        <v>16</v>
      </c>
      <c r="Q45" s="378">
        <f t="shared" si="17"/>
        <v>5</v>
      </c>
      <c r="R45" s="378">
        <f t="shared" si="17"/>
        <v>122</v>
      </c>
      <c r="S45" s="168"/>
      <c r="T45" s="168"/>
      <c r="U45" s="168"/>
      <c r="V45" s="169"/>
      <c r="W45" s="169"/>
      <c r="X45" s="886" t="s">
        <v>63</v>
      </c>
      <c r="Y45" s="378">
        <f t="shared" ref="Y45:AN45" si="18">SUM(Y3:Y35)</f>
        <v>33</v>
      </c>
      <c r="Z45" s="378">
        <f t="shared" si="18"/>
        <v>13</v>
      </c>
      <c r="AA45" s="378">
        <f t="shared" si="18"/>
        <v>0</v>
      </c>
      <c r="AB45" s="378">
        <f t="shared" si="18"/>
        <v>20</v>
      </c>
      <c r="AC45" s="66">
        <f t="shared" si="18"/>
        <v>16</v>
      </c>
      <c r="AD45" s="66">
        <f t="shared" si="18"/>
        <v>6</v>
      </c>
      <c r="AE45" s="66">
        <f t="shared" si="18"/>
        <v>0</v>
      </c>
      <c r="AF45" s="66">
        <f t="shared" si="18"/>
        <v>10</v>
      </c>
      <c r="AG45" s="377">
        <f t="shared" si="18"/>
        <v>17</v>
      </c>
      <c r="AH45" s="377">
        <f t="shared" si="18"/>
        <v>7</v>
      </c>
      <c r="AI45" s="377">
        <f t="shared" si="18"/>
        <v>0</v>
      </c>
      <c r="AJ45" s="377">
        <f t="shared" si="18"/>
        <v>10</v>
      </c>
      <c r="AK45" s="378">
        <f t="shared" si="18"/>
        <v>0</v>
      </c>
      <c r="AL45" s="378">
        <f t="shared" si="18"/>
        <v>0</v>
      </c>
      <c r="AM45" s="378">
        <f t="shared" si="18"/>
        <v>0</v>
      </c>
      <c r="AN45" s="378">
        <f t="shared" si="18"/>
        <v>0</v>
      </c>
    </row>
    <row r="46" spans="1:40" x14ac:dyDescent="0.25">
      <c r="A46" s="745" t="s">
        <v>893</v>
      </c>
    </row>
    <row r="47" spans="1:40" x14ac:dyDescent="0.25">
      <c r="A47" s="745" t="s">
        <v>994</v>
      </c>
    </row>
    <row r="48" spans="1:40" x14ac:dyDescent="0.25">
      <c r="A48" s="100" t="s">
        <v>938</v>
      </c>
    </row>
    <row r="49" spans="1:1" x14ac:dyDescent="0.25">
      <c r="A49" s="100" t="s">
        <v>107</v>
      </c>
    </row>
  </sheetData>
  <mergeCells count="26">
    <mergeCell ref="C39:E39"/>
    <mergeCell ref="C45:E45"/>
    <mergeCell ref="BB4:BC4"/>
    <mergeCell ref="AT2:AU2"/>
    <mergeCell ref="AT4:AU4"/>
    <mergeCell ref="AV4:AW4"/>
    <mergeCell ref="AX4:AY4"/>
    <mergeCell ref="AZ4:BA4"/>
    <mergeCell ref="C42:E42"/>
    <mergeCell ref="C37:E37"/>
    <mergeCell ref="C40:E40"/>
    <mergeCell ref="C43:E43"/>
    <mergeCell ref="C38:E38"/>
    <mergeCell ref="C41:E41"/>
    <mergeCell ref="C44:E44"/>
    <mergeCell ref="Y1:AB1"/>
    <mergeCell ref="AC1:AF1"/>
    <mergeCell ref="AG1:AJ1"/>
    <mergeCell ref="AK1:AN1"/>
    <mergeCell ref="C36:E36"/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  <pageSetup paperSize="9" orientation="portrait" r:id="rId1"/>
  <ignoredErrors>
    <ignoredError sqref="T3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C78"/>
  <sheetViews>
    <sheetView tabSelected="1" workbookViewId="0">
      <pane ySplit="2" topLeftCell="A17" activePane="bottomLeft" state="frozen"/>
      <selection pane="bottomLeft" activeCell="F30" sqref="F30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18" width="3.75" customWidth="1"/>
    <col min="19" max="19" width="6.25" customWidth="1"/>
    <col min="20" max="20" width="5.75" customWidth="1"/>
    <col min="21" max="21" width="22.125" bestFit="1" customWidth="1"/>
    <col min="22" max="22" width="23.375" bestFit="1" customWidth="1"/>
    <col min="23" max="23" width="21.875" bestFit="1" customWidth="1"/>
    <col min="24" max="24" width="21.375" bestFit="1" customWidth="1"/>
    <col min="25" max="40" width="3.75" customWidth="1"/>
    <col min="43" max="43" width="15.75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  <col min="54" max="54" width="10.875" bestFit="1" customWidth="1"/>
  </cols>
  <sheetData>
    <row r="1" spans="1:55" ht="14.95" customHeight="1" thickBot="1" x14ac:dyDescent="0.3">
      <c r="A1" s="1132" t="s">
        <v>283</v>
      </c>
      <c r="B1" s="1133"/>
      <c r="C1" s="1133"/>
      <c r="D1" s="1134"/>
      <c r="E1" s="1135" t="s">
        <v>70</v>
      </c>
      <c r="F1" s="1136"/>
      <c r="G1" s="1137"/>
      <c r="H1" s="1135" t="s">
        <v>69</v>
      </c>
      <c r="I1" s="1137"/>
      <c r="J1" s="1129" t="s">
        <v>40</v>
      </c>
      <c r="K1" s="1130"/>
      <c r="L1" s="1130"/>
      <c r="M1" s="1131"/>
      <c r="N1" s="1129" t="s">
        <v>41</v>
      </c>
      <c r="O1" s="1131"/>
      <c r="P1" s="1129" t="s">
        <v>72</v>
      </c>
      <c r="Q1" s="1130"/>
      <c r="R1" s="1131"/>
      <c r="S1" s="733" t="s">
        <v>42</v>
      </c>
      <c r="T1" s="733" t="s">
        <v>43</v>
      </c>
      <c r="U1" s="345" t="s">
        <v>44</v>
      </c>
      <c r="V1" s="344" t="s">
        <v>45</v>
      </c>
      <c r="W1" s="344" t="s">
        <v>101</v>
      </c>
      <c r="X1" s="346" t="s">
        <v>102</v>
      </c>
      <c r="Y1" s="1140" t="s">
        <v>64</v>
      </c>
      <c r="Z1" s="966"/>
      <c r="AA1" s="966"/>
      <c r="AB1" s="967"/>
      <c r="AC1" s="1140" t="s">
        <v>65</v>
      </c>
      <c r="AD1" s="966"/>
      <c r="AE1" s="966"/>
      <c r="AF1" s="967"/>
      <c r="AG1" s="1140" t="s">
        <v>66</v>
      </c>
      <c r="AH1" s="966"/>
      <c r="AI1" s="966"/>
      <c r="AJ1" s="967"/>
      <c r="AK1" s="1140" t="s">
        <v>137</v>
      </c>
      <c r="AL1" s="966"/>
      <c r="AM1" s="966"/>
      <c r="AN1" s="967"/>
    </row>
    <row r="2" spans="1:55" ht="14.95" customHeight="1" thickBot="1" x14ac:dyDescent="0.3">
      <c r="A2" s="347" t="s">
        <v>62</v>
      </c>
      <c r="B2" s="348" t="s">
        <v>61</v>
      </c>
      <c r="C2" s="349" t="s">
        <v>60</v>
      </c>
      <c r="D2" s="349" t="s">
        <v>71</v>
      </c>
      <c r="E2" s="350" t="s">
        <v>50</v>
      </c>
      <c r="F2" s="350" t="s">
        <v>35</v>
      </c>
      <c r="G2" s="350" t="s">
        <v>36</v>
      </c>
      <c r="H2" s="351" t="s">
        <v>67</v>
      </c>
      <c r="I2" s="351" t="s">
        <v>68</v>
      </c>
      <c r="J2" s="351" t="s">
        <v>46</v>
      </c>
      <c r="K2" s="351" t="s">
        <v>47</v>
      </c>
      <c r="L2" s="351" t="s">
        <v>33</v>
      </c>
      <c r="M2" s="351" t="s">
        <v>48</v>
      </c>
      <c r="N2" s="351" t="s">
        <v>49</v>
      </c>
      <c r="O2" s="351" t="s">
        <v>50</v>
      </c>
      <c r="P2" s="351" t="s">
        <v>67</v>
      </c>
      <c r="Q2" s="351" t="s">
        <v>68</v>
      </c>
      <c r="R2" s="351" t="s">
        <v>46</v>
      </c>
      <c r="S2" s="352"/>
      <c r="T2" s="353"/>
      <c r="U2" s="354"/>
      <c r="V2" s="352"/>
      <c r="W2" s="780"/>
      <c r="X2" s="355"/>
      <c r="Y2" s="455" t="s">
        <v>31</v>
      </c>
      <c r="Z2" s="455" t="s">
        <v>32</v>
      </c>
      <c r="AA2" s="455" t="s">
        <v>33</v>
      </c>
      <c r="AB2" s="455" t="s">
        <v>34</v>
      </c>
      <c r="AC2" s="455" t="s">
        <v>31</v>
      </c>
      <c r="AD2" s="455" t="s">
        <v>32</v>
      </c>
      <c r="AE2" s="455" t="s">
        <v>33</v>
      </c>
      <c r="AF2" s="455" t="s">
        <v>34</v>
      </c>
      <c r="AG2" s="455" t="s">
        <v>31</v>
      </c>
      <c r="AH2" s="455" t="s">
        <v>32</v>
      </c>
      <c r="AI2" s="455" t="s">
        <v>33</v>
      </c>
      <c r="AJ2" s="455" t="s">
        <v>34</v>
      </c>
      <c r="AK2" s="455" t="s">
        <v>31</v>
      </c>
      <c r="AL2" s="455" t="s">
        <v>32</v>
      </c>
      <c r="AM2" s="455" t="s">
        <v>33</v>
      </c>
      <c r="AN2" s="455" t="s">
        <v>34</v>
      </c>
      <c r="AQ2" s="356" t="s">
        <v>189</v>
      </c>
      <c r="AR2" s="357"/>
      <c r="AS2" s="168"/>
      <c r="AT2" s="1138" t="s">
        <v>189</v>
      </c>
      <c r="AU2" s="1139"/>
    </row>
    <row r="3" spans="1:55" ht="14.95" customHeight="1" thickBot="1" x14ac:dyDescent="0.3">
      <c r="A3" s="619" t="s">
        <v>231</v>
      </c>
      <c r="B3" s="547" t="s">
        <v>222</v>
      </c>
      <c r="C3" s="548" t="s">
        <v>25</v>
      </c>
      <c r="D3" s="549" t="s">
        <v>299</v>
      </c>
      <c r="E3" s="549" t="s">
        <v>32</v>
      </c>
      <c r="F3" s="549">
        <v>39</v>
      </c>
      <c r="G3" s="549">
        <v>18</v>
      </c>
      <c r="H3" s="549">
        <v>1</v>
      </c>
      <c r="I3" s="549">
        <v>0</v>
      </c>
      <c r="J3" s="549">
        <v>6</v>
      </c>
      <c r="K3" s="549">
        <v>2</v>
      </c>
      <c r="L3" s="549">
        <v>0</v>
      </c>
      <c r="M3" s="549">
        <v>1</v>
      </c>
      <c r="N3" s="549">
        <v>0</v>
      </c>
      <c r="O3" s="549">
        <v>0</v>
      </c>
      <c r="P3" s="549">
        <v>0</v>
      </c>
      <c r="Q3" s="549">
        <v>0</v>
      </c>
      <c r="R3" s="549">
        <v>2</v>
      </c>
      <c r="S3" s="550">
        <v>5744</v>
      </c>
      <c r="T3" s="560" t="s">
        <v>312</v>
      </c>
      <c r="U3" s="551" t="s">
        <v>320</v>
      </c>
      <c r="V3" s="550" t="s">
        <v>202</v>
      </c>
      <c r="W3" s="550" t="s">
        <v>321</v>
      </c>
      <c r="X3" s="552" t="s">
        <v>322</v>
      </c>
      <c r="Y3" s="550">
        <v>1</v>
      </c>
      <c r="Z3" s="550">
        <v>1</v>
      </c>
      <c r="AA3" s="550">
        <v>0</v>
      </c>
      <c r="AB3" s="588">
        <v>0</v>
      </c>
      <c r="AC3" s="550">
        <v>1</v>
      </c>
      <c r="AD3" s="550">
        <v>1</v>
      </c>
      <c r="AE3" s="550">
        <v>0</v>
      </c>
      <c r="AF3" s="588">
        <v>0</v>
      </c>
      <c r="AG3" s="550">
        <v>0</v>
      </c>
      <c r="AH3" s="550">
        <v>0</v>
      </c>
      <c r="AI3" s="550">
        <v>0</v>
      </c>
      <c r="AJ3" s="552">
        <v>0</v>
      </c>
      <c r="AK3" s="550">
        <v>0</v>
      </c>
      <c r="AL3" s="550">
        <v>0</v>
      </c>
      <c r="AM3" s="550">
        <v>0</v>
      </c>
      <c r="AN3" s="552">
        <v>0</v>
      </c>
      <c r="AQ3" s="507" t="s">
        <v>171</v>
      </c>
      <c r="AT3" s="4" t="s">
        <v>177</v>
      </c>
    </row>
    <row r="4" spans="1:55" ht="14.95" customHeight="1" thickBot="1" x14ac:dyDescent="0.3">
      <c r="A4" s="553" t="s">
        <v>232</v>
      </c>
      <c r="B4" s="554" t="s">
        <v>222</v>
      </c>
      <c r="C4" s="555" t="s">
        <v>19</v>
      </c>
      <c r="D4" s="556" t="s">
        <v>36</v>
      </c>
      <c r="E4" s="556" t="s">
        <v>32</v>
      </c>
      <c r="F4" s="556">
        <v>36</v>
      </c>
      <c r="G4" s="556">
        <v>17</v>
      </c>
      <c r="H4" s="556">
        <v>1</v>
      </c>
      <c r="I4" s="556">
        <v>0</v>
      </c>
      <c r="J4" s="556">
        <v>5</v>
      </c>
      <c r="K4" s="556">
        <v>4</v>
      </c>
      <c r="L4" s="556">
        <v>0</v>
      </c>
      <c r="M4" s="556">
        <v>1</v>
      </c>
      <c r="N4" s="556">
        <v>1</v>
      </c>
      <c r="O4" s="556">
        <v>0</v>
      </c>
      <c r="P4" s="556">
        <v>0</v>
      </c>
      <c r="Q4" s="556">
        <v>0</v>
      </c>
      <c r="R4" s="556">
        <v>2</v>
      </c>
      <c r="S4" s="620">
        <v>5398</v>
      </c>
      <c r="T4" s="621" t="s">
        <v>381</v>
      </c>
      <c r="U4" s="622" t="s">
        <v>326</v>
      </c>
      <c r="V4" s="620" t="s">
        <v>202</v>
      </c>
      <c r="W4" s="623" t="s">
        <v>318</v>
      </c>
      <c r="X4" s="623" t="s">
        <v>353</v>
      </c>
      <c r="Y4" s="557">
        <v>1</v>
      </c>
      <c r="Z4" s="557">
        <v>1</v>
      </c>
      <c r="AA4" s="557">
        <v>0</v>
      </c>
      <c r="AB4" s="583">
        <v>0</v>
      </c>
      <c r="AC4" s="557">
        <v>0</v>
      </c>
      <c r="AD4" s="557">
        <v>0</v>
      </c>
      <c r="AE4" s="557">
        <v>0</v>
      </c>
      <c r="AF4" s="583">
        <v>0</v>
      </c>
      <c r="AG4" s="557">
        <v>1</v>
      </c>
      <c r="AH4" s="557">
        <v>1</v>
      </c>
      <c r="AI4" s="557">
        <v>0</v>
      </c>
      <c r="AJ4" s="558">
        <v>0</v>
      </c>
      <c r="AK4" s="557">
        <v>0</v>
      </c>
      <c r="AL4" s="557">
        <v>0</v>
      </c>
      <c r="AM4" s="557">
        <v>0</v>
      </c>
      <c r="AN4" s="558">
        <v>0</v>
      </c>
      <c r="AQ4" s="173" t="s">
        <v>167</v>
      </c>
      <c r="AR4" s="174">
        <f>Salpremhistplayed</f>
        <v>512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989" t="s">
        <v>174</v>
      </c>
      <c r="BC4" s="990"/>
    </row>
    <row r="5" spans="1:55" ht="14.95" customHeight="1" thickBot="1" x14ac:dyDescent="0.3">
      <c r="A5" s="626" t="s">
        <v>233</v>
      </c>
      <c r="B5" s="547" t="s">
        <v>222</v>
      </c>
      <c r="C5" s="627" t="s">
        <v>106</v>
      </c>
      <c r="D5" s="628" t="s">
        <v>299</v>
      </c>
      <c r="E5" s="628" t="s">
        <v>32</v>
      </c>
      <c r="F5" s="628">
        <v>24</v>
      </c>
      <c r="G5" s="628">
        <v>20</v>
      </c>
      <c r="H5" s="628">
        <v>0</v>
      </c>
      <c r="I5" s="628">
        <v>0</v>
      </c>
      <c r="J5" s="628">
        <v>3</v>
      </c>
      <c r="K5" s="628">
        <v>3</v>
      </c>
      <c r="L5" s="628">
        <v>0</v>
      </c>
      <c r="M5" s="628">
        <v>1</v>
      </c>
      <c r="N5" s="628">
        <v>0</v>
      </c>
      <c r="O5" s="628">
        <v>0</v>
      </c>
      <c r="P5" s="628">
        <v>9</v>
      </c>
      <c r="Q5" s="628">
        <v>1</v>
      </c>
      <c r="R5" s="628">
        <v>2</v>
      </c>
      <c r="S5" s="550">
        <v>6809</v>
      </c>
      <c r="T5" s="629" t="s">
        <v>391</v>
      </c>
      <c r="U5" s="551" t="s">
        <v>308</v>
      </c>
      <c r="V5" s="550" t="s">
        <v>202</v>
      </c>
      <c r="W5" s="550" t="s">
        <v>404</v>
      </c>
      <c r="X5" s="550" t="s">
        <v>322</v>
      </c>
      <c r="Y5" s="550">
        <v>1</v>
      </c>
      <c r="Z5" s="550">
        <v>1</v>
      </c>
      <c r="AA5" s="550">
        <v>0</v>
      </c>
      <c r="AB5" s="550">
        <v>0</v>
      </c>
      <c r="AC5" s="550">
        <v>1</v>
      </c>
      <c r="AD5" s="550">
        <v>1</v>
      </c>
      <c r="AE5" s="550">
        <v>0</v>
      </c>
      <c r="AF5" s="550">
        <v>0</v>
      </c>
      <c r="AG5" s="550">
        <v>0</v>
      </c>
      <c r="AH5" s="550">
        <v>0</v>
      </c>
      <c r="AI5" s="550">
        <v>0</v>
      </c>
      <c r="AJ5" s="551">
        <v>0</v>
      </c>
      <c r="AK5" s="550">
        <v>0</v>
      </c>
      <c r="AL5" s="550">
        <v>0</v>
      </c>
      <c r="AM5" s="550">
        <v>0</v>
      </c>
      <c r="AN5" s="551">
        <v>0</v>
      </c>
      <c r="AQ5" s="175" t="s">
        <v>0</v>
      </c>
      <c r="AR5" s="176">
        <f>Salpremhistwon</f>
        <v>239</v>
      </c>
      <c r="AT5" s="177" t="s">
        <v>167</v>
      </c>
      <c r="AU5" s="189">
        <f>Saleuropeancuphistplayed</f>
        <v>61</v>
      </c>
      <c r="AV5" s="179" t="s">
        <v>167</v>
      </c>
      <c r="AW5" s="180">
        <f>Salchampscuphistplayed</f>
        <v>18</v>
      </c>
      <c r="AX5" s="187" t="s">
        <v>167</v>
      </c>
      <c r="AY5" s="188">
        <f>Salchampscuppohistplayed</f>
        <v>0</v>
      </c>
      <c r="AZ5" s="181" t="s">
        <v>167</v>
      </c>
      <c r="BA5" s="178">
        <f>Salchallcuphistplayed</f>
        <v>89</v>
      </c>
      <c r="BB5" s="182" t="s">
        <v>167</v>
      </c>
      <c r="BC5" s="183">
        <f>SUM(AU5+AY5+BA5)</f>
        <v>150</v>
      </c>
    </row>
    <row r="6" spans="1:55" ht="14.95" customHeight="1" thickBot="1" x14ac:dyDescent="0.3">
      <c r="A6" s="553" t="s">
        <v>241</v>
      </c>
      <c r="B6" s="554" t="s">
        <v>222</v>
      </c>
      <c r="C6" s="625" t="s">
        <v>11</v>
      </c>
      <c r="D6" s="556" t="s">
        <v>36</v>
      </c>
      <c r="E6" s="556" t="s">
        <v>32</v>
      </c>
      <c r="F6" s="556">
        <v>27</v>
      </c>
      <c r="G6" s="556">
        <v>22</v>
      </c>
      <c r="H6" s="556">
        <v>1</v>
      </c>
      <c r="I6" s="556">
        <v>0</v>
      </c>
      <c r="J6" s="556">
        <v>4</v>
      </c>
      <c r="K6" s="556">
        <v>2</v>
      </c>
      <c r="L6" s="556">
        <v>0</v>
      </c>
      <c r="M6" s="556">
        <v>1</v>
      </c>
      <c r="N6" s="556">
        <v>1</v>
      </c>
      <c r="O6" s="556">
        <v>0</v>
      </c>
      <c r="P6" s="556">
        <v>0</v>
      </c>
      <c r="Q6" s="556">
        <v>1</v>
      </c>
      <c r="R6" s="556">
        <v>3</v>
      </c>
      <c r="S6" s="557">
        <v>2558</v>
      </c>
      <c r="T6" s="563" t="s">
        <v>417</v>
      </c>
      <c r="U6" s="559" t="s">
        <v>343</v>
      </c>
      <c r="V6" s="557" t="s">
        <v>202</v>
      </c>
      <c r="W6" s="557" t="s">
        <v>402</v>
      </c>
      <c r="X6" s="558" t="s">
        <v>305</v>
      </c>
      <c r="Y6" s="557">
        <v>1</v>
      </c>
      <c r="Z6" s="557">
        <v>1</v>
      </c>
      <c r="AA6" s="557">
        <v>0</v>
      </c>
      <c r="AB6" s="557">
        <v>0</v>
      </c>
      <c r="AC6" s="557">
        <v>0</v>
      </c>
      <c r="AD6" s="557">
        <v>0</v>
      </c>
      <c r="AE6" s="557">
        <v>0</v>
      </c>
      <c r="AF6" s="557">
        <v>0</v>
      </c>
      <c r="AG6" s="557">
        <v>1</v>
      </c>
      <c r="AH6" s="557">
        <v>1</v>
      </c>
      <c r="AI6" s="557">
        <v>0</v>
      </c>
      <c r="AJ6" s="559">
        <v>0</v>
      </c>
      <c r="AK6" s="557">
        <v>0</v>
      </c>
      <c r="AL6" s="557">
        <v>0</v>
      </c>
      <c r="AM6" s="557">
        <v>0</v>
      </c>
      <c r="AN6" s="559">
        <v>0</v>
      </c>
      <c r="AQ6" s="175" t="s">
        <v>168</v>
      </c>
      <c r="AR6" s="176">
        <f>Salpremhistdrawn</f>
        <v>20</v>
      </c>
      <c r="AT6" s="177" t="s">
        <v>0</v>
      </c>
      <c r="AU6" s="189">
        <f>Saleuropeancuphistwon</f>
        <v>20</v>
      </c>
      <c r="AV6" s="179" t="s">
        <v>0</v>
      </c>
      <c r="AW6" s="180">
        <f>Salchampscuphistwon</f>
        <v>2</v>
      </c>
      <c r="AX6" s="187" t="s">
        <v>0</v>
      </c>
      <c r="AY6" s="188">
        <f>Salchampscuppohistwon</f>
        <v>0</v>
      </c>
      <c r="AZ6" s="181" t="s">
        <v>0</v>
      </c>
      <c r="BA6" s="178">
        <f>Salchallcuphistwon</f>
        <v>60</v>
      </c>
      <c r="BB6" s="182" t="s">
        <v>0</v>
      </c>
      <c r="BC6" s="183">
        <f t="shared" ref="BC6:BC12" si="0">SUM(AU6+AY6+BA6)</f>
        <v>80</v>
      </c>
    </row>
    <row r="7" spans="1:55" ht="14.95" customHeight="1" thickBot="1" x14ac:dyDescent="0.3">
      <c r="A7" s="468" t="s">
        <v>242</v>
      </c>
      <c r="B7" s="469" t="s">
        <v>199</v>
      </c>
      <c r="C7" s="470" t="s">
        <v>347</v>
      </c>
      <c r="D7" s="471" t="s">
        <v>299</v>
      </c>
      <c r="E7" s="471" t="s">
        <v>34</v>
      </c>
      <c r="F7" s="471">
        <v>16</v>
      </c>
      <c r="G7" s="471">
        <v>18</v>
      </c>
      <c r="H7" s="471">
        <v>0</v>
      </c>
      <c r="I7" s="471">
        <v>1</v>
      </c>
      <c r="J7" s="471">
        <v>1</v>
      </c>
      <c r="K7" s="471">
        <v>1</v>
      </c>
      <c r="L7" s="471">
        <v>0</v>
      </c>
      <c r="M7" s="471">
        <v>3</v>
      </c>
      <c r="N7" s="471">
        <v>0</v>
      </c>
      <c r="O7" s="471">
        <v>0</v>
      </c>
      <c r="P7" s="471">
        <v>0</v>
      </c>
      <c r="Q7" s="471">
        <v>0</v>
      </c>
      <c r="R7" s="471">
        <v>2</v>
      </c>
      <c r="S7" s="472">
        <v>6152</v>
      </c>
      <c r="T7" s="480" t="s">
        <v>471</v>
      </c>
      <c r="U7" s="478" t="s">
        <v>320</v>
      </c>
      <c r="V7" s="472" t="s">
        <v>329</v>
      </c>
      <c r="W7" s="472" t="s">
        <v>324</v>
      </c>
      <c r="X7" s="473" t="s">
        <v>328</v>
      </c>
      <c r="Y7" s="472">
        <v>1</v>
      </c>
      <c r="Z7" s="472">
        <v>0</v>
      </c>
      <c r="AA7" s="472">
        <v>0</v>
      </c>
      <c r="AB7" s="472">
        <v>1</v>
      </c>
      <c r="AC7" s="472">
        <v>1</v>
      </c>
      <c r="AD7" s="472">
        <v>0</v>
      </c>
      <c r="AE7" s="472">
        <v>0</v>
      </c>
      <c r="AF7" s="472">
        <v>1</v>
      </c>
      <c r="AG7" s="472">
        <v>0</v>
      </c>
      <c r="AH7" s="472">
        <v>0</v>
      </c>
      <c r="AI7" s="472">
        <v>0</v>
      </c>
      <c r="AJ7" s="478">
        <v>0</v>
      </c>
      <c r="AK7" s="472">
        <v>0</v>
      </c>
      <c r="AL7" s="472">
        <v>0</v>
      </c>
      <c r="AM7" s="472">
        <v>0</v>
      </c>
      <c r="AN7" s="478">
        <v>0</v>
      </c>
      <c r="AQ7" s="175" t="s">
        <v>1</v>
      </c>
      <c r="AR7" s="176">
        <f>Salpremhistlost</f>
        <v>253</v>
      </c>
      <c r="AT7" s="177" t="s">
        <v>168</v>
      </c>
      <c r="AU7" s="189">
        <f>Saleuropeancuphistdrawn</f>
        <v>0</v>
      </c>
      <c r="AV7" s="179" t="s">
        <v>168</v>
      </c>
      <c r="AW7" s="180">
        <f>Salchampscuphistdrawn</f>
        <v>0</v>
      </c>
      <c r="AX7" s="187" t="s">
        <v>168</v>
      </c>
      <c r="AY7" s="188">
        <f>Salchampscuppohistdrawn</f>
        <v>0</v>
      </c>
      <c r="AZ7" s="181" t="s">
        <v>168</v>
      </c>
      <c r="BA7" s="178">
        <f>Salchallcuphistdrawn</f>
        <v>2</v>
      </c>
      <c r="BB7" s="182" t="s">
        <v>168</v>
      </c>
      <c r="BC7" s="183">
        <f t="shared" si="0"/>
        <v>2</v>
      </c>
    </row>
    <row r="8" spans="1:55" ht="14.95" customHeight="1" thickBot="1" x14ac:dyDescent="0.3">
      <c r="A8" s="479" t="s">
        <v>238</v>
      </c>
      <c r="B8" s="461" t="s">
        <v>199</v>
      </c>
      <c r="C8" s="462" t="s">
        <v>11</v>
      </c>
      <c r="D8" s="463" t="s">
        <v>36</v>
      </c>
      <c r="E8" s="463" t="s">
        <v>32</v>
      </c>
      <c r="F8" s="463">
        <v>41</v>
      </c>
      <c r="G8" s="463">
        <v>7</v>
      </c>
      <c r="H8" s="463">
        <v>1</v>
      </c>
      <c r="I8" s="463">
        <v>0</v>
      </c>
      <c r="J8" s="463">
        <v>6</v>
      </c>
      <c r="K8" s="463">
        <v>4</v>
      </c>
      <c r="L8" s="463">
        <v>1</v>
      </c>
      <c r="M8" s="463">
        <v>0</v>
      </c>
      <c r="N8" s="463">
        <v>0</v>
      </c>
      <c r="O8" s="463">
        <v>0</v>
      </c>
      <c r="P8" s="463">
        <v>0</v>
      </c>
      <c r="Q8" s="463">
        <v>0</v>
      </c>
      <c r="R8" s="463">
        <v>1</v>
      </c>
      <c r="S8" s="464">
        <v>3622</v>
      </c>
      <c r="T8" s="485" t="s">
        <v>514</v>
      </c>
      <c r="U8" s="466" t="s">
        <v>396</v>
      </c>
      <c r="V8" s="464" t="s">
        <v>352</v>
      </c>
      <c r="W8" s="464" t="s">
        <v>308</v>
      </c>
      <c r="X8" s="467" t="s">
        <v>397</v>
      </c>
      <c r="Y8" s="464">
        <v>1</v>
      </c>
      <c r="Z8" s="464">
        <v>1</v>
      </c>
      <c r="AA8" s="464">
        <v>0</v>
      </c>
      <c r="AB8" s="464">
        <v>0</v>
      </c>
      <c r="AC8" s="464">
        <v>0</v>
      </c>
      <c r="AD8" s="464">
        <v>0</v>
      </c>
      <c r="AE8" s="464">
        <v>0</v>
      </c>
      <c r="AF8" s="464">
        <v>0</v>
      </c>
      <c r="AG8" s="464">
        <v>1</v>
      </c>
      <c r="AH8" s="464">
        <v>1</v>
      </c>
      <c r="AI8" s="464">
        <v>0</v>
      </c>
      <c r="AJ8" s="466">
        <v>0</v>
      </c>
      <c r="AK8" s="464">
        <v>0</v>
      </c>
      <c r="AL8" s="464">
        <v>0</v>
      </c>
      <c r="AM8" s="464">
        <v>0</v>
      </c>
      <c r="AN8" s="466">
        <v>0</v>
      </c>
      <c r="AQ8" s="175" t="s">
        <v>169</v>
      </c>
      <c r="AR8" s="176">
        <f>Salpremhistptsscored</f>
        <v>11338</v>
      </c>
      <c r="AT8" s="177" t="s">
        <v>1</v>
      </c>
      <c r="AU8" s="189">
        <f>Saleuropeancuphistlost</f>
        <v>41</v>
      </c>
      <c r="AV8" s="179" t="s">
        <v>1</v>
      </c>
      <c r="AW8" s="180">
        <f>Salchampscuphistlost</f>
        <v>16</v>
      </c>
      <c r="AX8" s="187" t="s">
        <v>1</v>
      </c>
      <c r="AY8" s="188">
        <f>Salchampscuppohistlost</f>
        <v>0</v>
      </c>
      <c r="AZ8" s="181" t="s">
        <v>1</v>
      </c>
      <c r="BA8" s="178">
        <f>Salchallcuphistlost</f>
        <v>27</v>
      </c>
      <c r="BB8" s="182" t="s">
        <v>1</v>
      </c>
      <c r="BC8" s="183">
        <f t="shared" si="0"/>
        <v>68</v>
      </c>
    </row>
    <row r="9" spans="1:55" ht="14.95" customHeight="1" thickBot="1" x14ac:dyDescent="0.3">
      <c r="A9" s="479" t="s">
        <v>435</v>
      </c>
      <c r="B9" s="461" t="s">
        <v>199</v>
      </c>
      <c r="C9" s="462" t="s">
        <v>165</v>
      </c>
      <c r="D9" s="463" t="s">
        <v>36</v>
      </c>
      <c r="E9" s="463" t="s">
        <v>34</v>
      </c>
      <c r="F9" s="463">
        <v>10</v>
      </c>
      <c r="G9" s="463">
        <v>16</v>
      </c>
      <c r="H9" s="463">
        <v>0</v>
      </c>
      <c r="I9" s="463">
        <v>1</v>
      </c>
      <c r="J9" s="463">
        <v>1</v>
      </c>
      <c r="K9" s="463">
        <v>1</v>
      </c>
      <c r="L9" s="463">
        <v>0</v>
      </c>
      <c r="M9" s="463">
        <v>1</v>
      </c>
      <c r="N9" s="463">
        <v>0</v>
      </c>
      <c r="O9" s="463">
        <v>0</v>
      </c>
      <c r="P9" s="463">
        <v>0</v>
      </c>
      <c r="Q9" s="463">
        <v>0</v>
      </c>
      <c r="R9" s="463">
        <v>1</v>
      </c>
      <c r="S9" s="464">
        <v>14639</v>
      </c>
      <c r="T9" s="465" t="s">
        <v>528</v>
      </c>
      <c r="U9" s="466" t="s">
        <v>326</v>
      </c>
      <c r="V9" s="464" t="s">
        <v>330</v>
      </c>
      <c r="W9" s="464" t="s">
        <v>320</v>
      </c>
      <c r="X9" s="467" t="s">
        <v>343</v>
      </c>
      <c r="Y9" s="464">
        <v>1</v>
      </c>
      <c r="Z9" s="464">
        <v>0</v>
      </c>
      <c r="AA9" s="464">
        <v>0</v>
      </c>
      <c r="AB9" s="464">
        <v>1</v>
      </c>
      <c r="AC9" s="464">
        <v>0</v>
      </c>
      <c r="AD9" s="464">
        <v>0</v>
      </c>
      <c r="AE9" s="464">
        <v>0</v>
      </c>
      <c r="AF9" s="464">
        <v>0</v>
      </c>
      <c r="AG9" s="464">
        <v>1</v>
      </c>
      <c r="AH9" s="464">
        <v>0</v>
      </c>
      <c r="AI9" s="464">
        <v>0</v>
      </c>
      <c r="AJ9" s="466">
        <v>1</v>
      </c>
      <c r="AK9" s="464">
        <v>0</v>
      </c>
      <c r="AL9" s="464">
        <v>0</v>
      </c>
      <c r="AM9" s="464">
        <v>0</v>
      </c>
      <c r="AN9" s="466">
        <v>0</v>
      </c>
      <c r="AQ9" s="175" t="s">
        <v>170</v>
      </c>
      <c r="AR9" s="176">
        <f>Salpremhistptsagainst</f>
        <v>11840</v>
      </c>
      <c r="AT9" s="177" t="s">
        <v>169</v>
      </c>
      <c r="AU9" s="189">
        <f>Saleuropeancuphistptsscored</f>
        <v>1090</v>
      </c>
      <c r="AV9" s="179" t="s">
        <v>169</v>
      </c>
      <c r="AW9" s="180">
        <f>Salchampscuphistptsscored</f>
        <v>240</v>
      </c>
      <c r="AX9" s="187" t="s">
        <v>169</v>
      </c>
      <c r="AY9" s="188">
        <f>Salchampscuppohistptsscored</f>
        <v>0</v>
      </c>
      <c r="AZ9" s="181" t="s">
        <v>169</v>
      </c>
      <c r="BA9" s="178">
        <f>Salchallcuphistptsscored</f>
        <v>2842</v>
      </c>
      <c r="BB9" s="182" t="s">
        <v>169</v>
      </c>
      <c r="BC9" s="183">
        <f t="shared" si="0"/>
        <v>3932</v>
      </c>
    </row>
    <row r="10" spans="1:55" ht="14.95" customHeight="1" thickBot="1" x14ac:dyDescent="0.3">
      <c r="A10" s="468" t="s">
        <v>480</v>
      </c>
      <c r="B10" s="469" t="s">
        <v>199</v>
      </c>
      <c r="C10" s="470" t="s">
        <v>106</v>
      </c>
      <c r="D10" s="471" t="s">
        <v>299</v>
      </c>
      <c r="E10" s="471" t="s">
        <v>32</v>
      </c>
      <c r="F10" s="471">
        <v>28</v>
      </c>
      <c r="G10" s="471">
        <v>18</v>
      </c>
      <c r="H10" s="471">
        <v>0</v>
      </c>
      <c r="I10" s="471">
        <v>0</v>
      </c>
      <c r="J10" s="471">
        <v>1</v>
      </c>
      <c r="K10" s="471">
        <v>1</v>
      </c>
      <c r="L10" s="471">
        <v>0</v>
      </c>
      <c r="M10" s="471">
        <v>7</v>
      </c>
      <c r="N10" s="471">
        <v>2</v>
      </c>
      <c r="O10" s="471">
        <v>0</v>
      </c>
      <c r="P10" s="471">
        <v>0</v>
      </c>
      <c r="Q10" s="471">
        <v>0</v>
      </c>
      <c r="R10" s="471">
        <v>2</v>
      </c>
      <c r="S10" s="503">
        <v>5951</v>
      </c>
      <c r="T10" s="480" t="s">
        <v>542</v>
      </c>
      <c r="U10" s="478" t="s">
        <v>463</v>
      </c>
      <c r="V10" s="472" t="s">
        <v>464</v>
      </c>
      <c r="W10" s="472" t="s">
        <v>304</v>
      </c>
      <c r="X10" s="473" t="s">
        <v>320</v>
      </c>
      <c r="Y10" s="472">
        <v>1</v>
      </c>
      <c r="Z10" s="472">
        <v>1</v>
      </c>
      <c r="AA10" s="472">
        <v>0</v>
      </c>
      <c r="AB10" s="472">
        <v>0</v>
      </c>
      <c r="AC10" s="472">
        <v>1</v>
      </c>
      <c r="AD10" s="472">
        <v>1</v>
      </c>
      <c r="AE10" s="472">
        <v>0</v>
      </c>
      <c r="AF10" s="472">
        <v>0</v>
      </c>
      <c r="AG10" s="472">
        <v>0</v>
      </c>
      <c r="AH10" s="472">
        <v>0</v>
      </c>
      <c r="AI10" s="472">
        <v>0</v>
      </c>
      <c r="AJ10" s="478">
        <v>0</v>
      </c>
      <c r="AK10" s="472">
        <v>0</v>
      </c>
      <c r="AL10" s="472">
        <v>0</v>
      </c>
      <c r="AM10" s="472">
        <v>0</v>
      </c>
      <c r="AN10" s="478">
        <v>0</v>
      </c>
      <c r="AQ10" s="175" t="s">
        <v>73</v>
      </c>
      <c r="AR10" s="176">
        <f>Salpremhisttriesscored</f>
        <v>1200</v>
      </c>
      <c r="AT10" s="177" t="s">
        <v>175</v>
      </c>
      <c r="AU10" s="189">
        <f>Saleuropeancuphistptsagainst</f>
        <v>1454</v>
      </c>
      <c r="AV10" s="179" t="s">
        <v>175</v>
      </c>
      <c r="AW10" s="180">
        <f>Salchampscuphistptsagainst</f>
        <v>523</v>
      </c>
      <c r="AX10" s="187" t="s">
        <v>175</v>
      </c>
      <c r="AY10" s="188">
        <f>Salchampscuppohistptsagainst</f>
        <v>0</v>
      </c>
      <c r="AZ10" s="181" t="s">
        <v>175</v>
      </c>
      <c r="BA10" s="178">
        <f>Salchallcuphistptsagainst</f>
        <v>1557</v>
      </c>
      <c r="BB10" s="182" t="s">
        <v>175</v>
      </c>
      <c r="BC10" s="183">
        <f t="shared" si="0"/>
        <v>3011</v>
      </c>
    </row>
    <row r="11" spans="1:55" ht="14.95" customHeight="1" thickBot="1" x14ac:dyDescent="0.3">
      <c r="A11" s="145" t="s">
        <v>234</v>
      </c>
      <c r="B11" s="139" t="s">
        <v>104</v>
      </c>
      <c r="C11" s="140" t="s">
        <v>447</v>
      </c>
      <c r="D11" s="141" t="s">
        <v>36</v>
      </c>
      <c r="E11" s="141" t="s">
        <v>34</v>
      </c>
      <c r="F11" s="141">
        <v>7</v>
      </c>
      <c r="G11" s="141">
        <v>13</v>
      </c>
      <c r="H11" s="141">
        <v>0</v>
      </c>
      <c r="I11" s="141">
        <v>1</v>
      </c>
      <c r="J11" s="141">
        <v>1</v>
      </c>
      <c r="K11" s="141">
        <v>1</v>
      </c>
      <c r="L11" s="141">
        <v>0</v>
      </c>
      <c r="M11" s="141">
        <v>0</v>
      </c>
      <c r="N11" s="141">
        <v>0</v>
      </c>
      <c r="O11" s="141">
        <v>0</v>
      </c>
      <c r="P11" s="141">
        <v>0</v>
      </c>
      <c r="Q11" s="141">
        <v>0</v>
      </c>
      <c r="R11" s="141">
        <v>1</v>
      </c>
      <c r="S11" s="142">
        <v>7351</v>
      </c>
      <c r="T11" s="421" t="s">
        <v>573</v>
      </c>
      <c r="U11" s="143" t="s">
        <v>569</v>
      </c>
      <c r="V11" s="142" t="s">
        <v>570</v>
      </c>
      <c r="W11" s="142" t="s">
        <v>571</v>
      </c>
      <c r="X11" s="144" t="s">
        <v>572</v>
      </c>
      <c r="Y11" s="142">
        <v>1</v>
      </c>
      <c r="Z11" s="142">
        <v>0</v>
      </c>
      <c r="AA11" s="142">
        <v>0</v>
      </c>
      <c r="AB11" s="142">
        <v>1</v>
      </c>
      <c r="AC11" s="142">
        <v>0</v>
      </c>
      <c r="AD11" s="142">
        <v>0</v>
      </c>
      <c r="AE11" s="142">
        <v>0</v>
      </c>
      <c r="AF11" s="142">
        <v>0</v>
      </c>
      <c r="AG11" s="142">
        <v>1</v>
      </c>
      <c r="AH11" s="142">
        <v>0</v>
      </c>
      <c r="AI11" s="142">
        <v>0</v>
      </c>
      <c r="AJ11" s="143">
        <v>1</v>
      </c>
      <c r="AK11" s="142">
        <v>0</v>
      </c>
      <c r="AL11" s="142">
        <v>0</v>
      </c>
      <c r="AM11" s="142">
        <v>0</v>
      </c>
      <c r="AN11" s="143">
        <v>0</v>
      </c>
      <c r="AQ11" s="175" t="s">
        <v>75</v>
      </c>
      <c r="AR11" s="176">
        <f>Salpremhisttriesagainst</f>
        <v>1227</v>
      </c>
      <c r="AT11" s="177" t="s">
        <v>73</v>
      </c>
      <c r="AU11" s="189">
        <f>Saleuropeancuphisttriesscored</f>
        <v>117</v>
      </c>
      <c r="AV11" s="179" t="s">
        <v>73</v>
      </c>
      <c r="AW11" s="180">
        <f>Salchampscuphisttriesscored</f>
        <v>26</v>
      </c>
      <c r="AX11" s="187" t="s">
        <v>73</v>
      </c>
      <c r="AY11" s="188">
        <f>Salchampscuppohisttriesscored</f>
        <v>0</v>
      </c>
      <c r="AZ11" s="181" t="s">
        <v>73</v>
      </c>
      <c r="BA11" s="178">
        <f>Salchallcuphisttriesscored</f>
        <v>349</v>
      </c>
      <c r="BB11" s="182" t="s">
        <v>73</v>
      </c>
      <c r="BC11" s="183">
        <f t="shared" si="0"/>
        <v>466</v>
      </c>
    </row>
    <row r="12" spans="1:55" ht="14.95" customHeight="1" thickBot="1" x14ac:dyDescent="0.3">
      <c r="A12" s="309" t="s">
        <v>452</v>
      </c>
      <c r="B12" s="310" t="s">
        <v>104</v>
      </c>
      <c r="C12" s="93" t="s">
        <v>446</v>
      </c>
      <c r="D12" s="94" t="s">
        <v>299</v>
      </c>
      <c r="E12" s="94" t="s">
        <v>32</v>
      </c>
      <c r="F12" s="94">
        <v>25</v>
      </c>
      <c r="G12" s="94">
        <v>15</v>
      </c>
      <c r="H12" s="94">
        <v>0</v>
      </c>
      <c r="I12" s="94">
        <v>0</v>
      </c>
      <c r="J12" s="94">
        <v>3</v>
      </c>
      <c r="K12" s="94">
        <v>1</v>
      </c>
      <c r="L12" s="94">
        <v>0</v>
      </c>
      <c r="M12" s="94">
        <v>2</v>
      </c>
      <c r="N12" s="94">
        <v>0</v>
      </c>
      <c r="O12" s="94">
        <v>0</v>
      </c>
      <c r="P12" s="94">
        <v>0</v>
      </c>
      <c r="Q12" s="94">
        <v>0</v>
      </c>
      <c r="R12" s="94">
        <v>2</v>
      </c>
      <c r="S12" s="311">
        <v>6087</v>
      </c>
      <c r="T12" s="698" t="s">
        <v>616</v>
      </c>
      <c r="U12" s="636" t="s">
        <v>594</v>
      </c>
      <c r="V12" s="637" t="s">
        <v>595</v>
      </c>
      <c r="W12" s="311" t="s">
        <v>617</v>
      </c>
      <c r="X12" s="88" t="s">
        <v>597</v>
      </c>
      <c r="Y12" s="311">
        <v>1</v>
      </c>
      <c r="Z12" s="311">
        <v>1</v>
      </c>
      <c r="AA12" s="311">
        <v>0</v>
      </c>
      <c r="AB12" s="311">
        <v>0</v>
      </c>
      <c r="AC12" s="311">
        <v>1</v>
      </c>
      <c r="AD12" s="311">
        <v>1</v>
      </c>
      <c r="AE12" s="311">
        <v>0</v>
      </c>
      <c r="AF12" s="311">
        <v>0</v>
      </c>
      <c r="AG12" s="311">
        <v>0</v>
      </c>
      <c r="AH12" s="311">
        <v>0</v>
      </c>
      <c r="AI12" s="311">
        <v>0</v>
      </c>
      <c r="AJ12" s="313">
        <v>0</v>
      </c>
      <c r="AK12" s="311">
        <v>0</v>
      </c>
      <c r="AL12" s="311">
        <v>0</v>
      </c>
      <c r="AM12" s="311">
        <v>0</v>
      </c>
      <c r="AN12" s="313">
        <v>0</v>
      </c>
      <c r="AT12" s="177" t="s">
        <v>176</v>
      </c>
      <c r="AU12" s="189">
        <f>Saleuropeancuphisttriesagainst</f>
        <v>160</v>
      </c>
      <c r="AV12" s="179" t="s">
        <v>176</v>
      </c>
      <c r="AW12" s="180">
        <f>Salchampscuphisttriesagainst</f>
        <v>62</v>
      </c>
      <c r="AX12" s="187" t="s">
        <v>176</v>
      </c>
      <c r="AY12" s="188">
        <f>Salchampscuppohisttriesagainst</f>
        <v>0</v>
      </c>
      <c r="AZ12" s="181" t="s">
        <v>176</v>
      </c>
      <c r="BA12" s="178">
        <f>Salchallcuphisttriesagainst</f>
        <v>171</v>
      </c>
      <c r="BB12" s="182" t="s">
        <v>176</v>
      </c>
      <c r="BC12" s="183">
        <f t="shared" si="0"/>
        <v>331</v>
      </c>
    </row>
    <row r="13" spans="1:55" ht="14.95" customHeight="1" thickBot="1" x14ac:dyDescent="0.3">
      <c r="A13" s="479" t="s">
        <v>236</v>
      </c>
      <c r="B13" s="461" t="s">
        <v>199</v>
      </c>
      <c r="C13" s="462" t="s">
        <v>23</v>
      </c>
      <c r="D13" s="463" t="s">
        <v>36</v>
      </c>
      <c r="E13" s="463" t="s">
        <v>34</v>
      </c>
      <c r="F13" s="463">
        <v>13</v>
      </c>
      <c r="G13" s="463">
        <v>20</v>
      </c>
      <c r="H13" s="463">
        <v>0</v>
      </c>
      <c r="I13" s="463">
        <v>1</v>
      </c>
      <c r="J13" s="463">
        <v>2</v>
      </c>
      <c r="K13" s="463">
        <v>0</v>
      </c>
      <c r="L13" s="463">
        <v>0</v>
      </c>
      <c r="M13" s="463">
        <v>1</v>
      </c>
      <c r="N13" s="463">
        <v>1</v>
      </c>
      <c r="O13" s="463">
        <v>1</v>
      </c>
      <c r="P13" s="463">
        <v>0</v>
      </c>
      <c r="Q13" s="463">
        <v>0</v>
      </c>
      <c r="R13" s="463">
        <v>2</v>
      </c>
      <c r="S13" s="464">
        <v>8409</v>
      </c>
      <c r="T13" s="482" t="s">
        <v>516</v>
      </c>
      <c r="U13" s="466" t="s">
        <v>633</v>
      </c>
      <c r="V13" s="464" t="s">
        <v>634</v>
      </c>
      <c r="W13" s="464" t="s">
        <v>308</v>
      </c>
      <c r="X13" s="467" t="s">
        <v>475</v>
      </c>
      <c r="Y13" s="464">
        <v>1</v>
      </c>
      <c r="Z13" s="464">
        <v>0</v>
      </c>
      <c r="AA13" s="464">
        <v>0</v>
      </c>
      <c r="AB13" s="464">
        <v>1</v>
      </c>
      <c r="AC13" s="464">
        <v>0</v>
      </c>
      <c r="AD13" s="464">
        <v>0</v>
      </c>
      <c r="AE13" s="464">
        <v>0</v>
      </c>
      <c r="AF13" s="464">
        <v>0</v>
      </c>
      <c r="AG13" s="464">
        <v>1</v>
      </c>
      <c r="AH13" s="464">
        <v>0</v>
      </c>
      <c r="AI13" s="464">
        <v>0</v>
      </c>
      <c r="AJ13" s="466">
        <v>1</v>
      </c>
      <c r="AK13" s="464">
        <v>0</v>
      </c>
      <c r="AL13" s="464">
        <v>0</v>
      </c>
      <c r="AM13" s="464">
        <v>0</v>
      </c>
      <c r="AN13" s="466">
        <v>0</v>
      </c>
    </row>
    <row r="14" spans="1:55" ht="14.95" customHeight="1" thickBot="1" x14ac:dyDescent="0.3">
      <c r="A14" s="309" t="s">
        <v>445</v>
      </c>
      <c r="B14" s="310" t="s">
        <v>104</v>
      </c>
      <c r="C14" s="93" t="s">
        <v>28</v>
      </c>
      <c r="D14" s="94" t="s">
        <v>299</v>
      </c>
      <c r="E14" s="94" t="s">
        <v>34</v>
      </c>
      <c r="F14" s="94">
        <v>20</v>
      </c>
      <c r="G14" s="94">
        <v>22</v>
      </c>
      <c r="H14" s="94">
        <v>0</v>
      </c>
      <c r="I14" s="94">
        <v>1</v>
      </c>
      <c r="J14" s="94">
        <v>3</v>
      </c>
      <c r="K14" s="94">
        <v>1</v>
      </c>
      <c r="L14" s="94">
        <v>0</v>
      </c>
      <c r="M14" s="94">
        <v>1</v>
      </c>
      <c r="N14" s="94">
        <v>1</v>
      </c>
      <c r="O14" s="94">
        <v>0</v>
      </c>
      <c r="P14" s="94">
        <v>0</v>
      </c>
      <c r="Q14" s="94">
        <v>0</v>
      </c>
      <c r="R14" s="94">
        <v>3</v>
      </c>
      <c r="S14" s="311">
        <v>11090</v>
      </c>
      <c r="T14" s="632" t="s">
        <v>425</v>
      </c>
      <c r="U14" s="313" t="s">
        <v>600</v>
      </c>
      <c r="V14" s="311" t="s">
        <v>601</v>
      </c>
      <c r="W14" s="311" t="s">
        <v>602</v>
      </c>
      <c r="X14" s="88" t="s">
        <v>647</v>
      </c>
      <c r="Y14" s="311">
        <v>1</v>
      </c>
      <c r="Z14" s="311">
        <v>0</v>
      </c>
      <c r="AA14" s="311">
        <v>0</v>
      </c>
      <c r="AB14" s="311">
        <v>1</v>
      </c>
      <c r="AC14" s="311">
        <v>1</v>
      </c>
      <c r="AD14" s="311">
        <v>0</v>
      </c>
      <c r="AE14" s="311">
        <v>0</v>
      </c>
      <c r="AF14" s="311">
        <v>1</v>
      </c>
      <c r="AG14" s="311">
        <v>0</v>
      </c>
      <c r="AH14" s="311">
        <v>0</v>
      </c>
      <c r="AI14" s="311">
        <v>0</v>
      </c>
      <c r="AJ14" s="313">
        <v>0</v>
      </c>
      <c r="AK14" s="311">
        <v>0</v>
      </c>
      <c r="AL14" s="311">
        <v>0</v>
      </c>
      <c r="AM14" s="311">
        <v>0</v>
      </c>
      <c r="AN14" s="313">
        <v>0</v>
      </c>
    </row>
    <row r="15" spans="1:55" ht="14.95" customHeight="1" thickBot="1" x14ac:dyDescent="0.3">
      <c r="A15" s="145" t="s">
        <v>433</v>
      </c>
      <c r="B15" s="139" t="s">
        <v>104</v>
      </c>
      <c r="C15" s="140" t="s">
        <v>28</v>
      </c>
      <c r="D15" s="141" t="s">
        <v>36</v>
      </c>
      <c r="E15" s="141" t="s">
        <v>34</v>
      </c>
      <c r="F15" s="141">
        <v>10</v>
      </c>
      <c r="G15" s="141">
        <v>35</v>
      </c>
      <c r="H15" s="141">
        <v>0</v>
      </c>
      <c r="I15" s="141">
        <v>0</v>
      </c>
      <c r="J15" s="141">
        <v>1</v>
      </c>
      <c r="K15" s="141">
        <v>1</v>
      </c>
      <c r="L15" s="141">
        <v>0</v>
      </c>
      <c r="M15" s="141">
        <v>1</v>
      </c>
      <c r="N15" s="141">
        <v>1</v>
      </c>
      <c r="O15" s="141">
        <v>0</v>
      </c>
      <c r="P15" s="141">
        <v>1</v>
      </c>
      <c r="Q15" s="141">
        <v>0</v>
      </c>
      <c r="R15" s="141">
        <v>5</v>
      </c>
      <c r="S15" s="283">
        <v>10217</v>
      </c>
      <c r="T15" s="421" t="s">
        <v>636</v>
      </c>
      <c r="U15" s="143" t="s">
        <v>645</v>
      </c>
      <c r="V15" s="142" t="s">
        <v>674</v>
      </c>
      <c r="W15" s="142" t="s">
        <v>675</v>
      </c>
      <c r="X15" s="144" t="s">
        <v>676</v>
      </c>
      <c r="Y15" s="142">
        <v>1</v>
      </c>
      <c r="Z15" s="142">
        <v>0</v>
      </c>
      <c r="AA15" s="142">
        <v>0</v>
      </c>
      <c r="AB15" s="142">
        <v>1</v>
      </c>
      <c r="AC15" s="142">
        <v>0</v>
      </c>
      <c r="AD15" s="142">
        <v>0</v>
      </c>
      <c r="AE15" s="142">
        <v>0</v>
      </c>
      <c r="AF15" s="142">
        <v>0</v>
      </c>
      <c r="AG15" s="142">
        <v>1</v>
      </c>
      <c r="AH15" s="142">
        <v>0</v>
      </c>
      <c r="AI15" s="142">
        <v>0</v>
      </c>
      <c r="AJ15" s="143">
        <v>1</v>
      </c>
      <c r="AK15" s="142">
        <v>0</v>
      </c>
      <c r="AL15" s="142">
        <v>0</v>
      </c>
      <c r="AM15" s="142">
        <v>0</v>
      </c>
      <c r="AN15" s="143">
        <v>0</v>
      </c>
    </row>
    <row r="16" spans="1:55" ht="14.95" customHeight="1" thickBot="1" x14ac:dyDescent="0.3">
      <c r="A16" s="468" t="s">
        <v>256</v>
      </c>
      <c r="B16" s="469" t="s">
        <v>199</v>
      </c>
      <c r="C16" s="470" t="s">
        <v>25</v>
      </c>
      <c r="D16" s="471" t="s">
        <v>299</v>
      </c>
      <c r="E16" s="471" t="s">
        <v>32</v>
      </c>
      <c r="F16" s="471">
        <v>22</v>
      </c>
      <c r="G16" s="471">
        <v>10</v>
      </c>
      <c r="H16" s="471">
        <v>0</v>
      </c>
      <c r="I16" s="471">
        <v>0</v>
      </c>
      <c r="J16" s="471">
        <v>3</v>
      </c>
      <c r="K16" s="471">
        <v>2</v>
      </c>
      <c r="L16" s="471">
        <v>0</v>
      </c>
      <c r="M16" s="471">
        <v>1</v>
      </c>
      <c r="N16" s="471">
        <v>0</v>
      </c>
      <c r="O16" s="471">
        <v>0</v>
      </c>
      <c r="P16" s="471">
        <v>0</v>
      </c>
      <c r="Q16" s="471">
        <v>0</v>
      </c>
      <c r="R16" s="471">
        <v>1</v>
      </c>
      <c r="S16" s="472">
        <v>8120</v>
      </c>
      <c r="T16" s="508" t="s">
        <v>506</v>
      </c>
      <c r="U16" s="478" t="s">
        <v>324</v>
      </c>
      <c r="V16" s="472" t="s">
        <v>352</v>
      </c>
      <c r="W16" s="472" t="s">
        <v>323</v>
      </c>
      <c r="X16" s="473" t="s">
        <v>306</v>
      </c>
      <c r="Y16" s="472">
        <v>1</v>
      </c>
      <c r="Z16" s="472">
        <v>1</v>
      </c>
      <c r="AA16" s="472">
        <v>0</v>
      </c>
      <c r="AB16" s="472">
        <v>0</v>
      </c>
      <c r="AC16" s="472">
        <v>1</v>
      </c>
      <c r="AD16" s="472">
        <v>1</v>
      </c>
      <c r="AE16" s="472">
        <v>0</v>
      </c>
      <c r="AF16" s="472">
        <v>0</v>
      </c>
      <c r="AG16" s="472">
        <v>0</v>
      </c>
      <c r="AH16" s="472">
        <v>0</v>
      </c>
      <c r="AI16" s="472">
        <v>0</v>
      </c>
      <c r="AJ16" s="478">
        <v>0</v>
      </c>
      <c r="AK16" s="472">
        <v>0</v>
      </c>
      <c r="AL16" s="472">
        <v>0</v>
      </c>
      <c r="AM16" s="472">
        <v>0</v>
      </c>
      <c r="AN16" s="478">
        <v>0</v>
      </c>
    </row>
    <row r="17" spans="1:40" ht="14.95" customHeight="1" thickBot="1" x14ac:dyDescent="0.3">
      <c r="A17" s="479" t="s">
        <v>257</v>
      </c>
      <c r="B17" s="461" t="s">
        <v>199</v>
      </c>
      <c r="C17" s="462" t="s">
        <v>22</v>
      </c>
      <c r="D17" s="463" t="s">
        <v>36</v>
      </c>
      <c r="E17" s="463" t="s">
        <v>34</v>
      </c>
      <c r="F17" s="463">
        <v>14</v>
      </c>
      <c r="G17" s="463">
        <v>16</v>
      </c>
      <c r="H17" s="463">
        <v>0</v>
      </c>
      <c r="I17" s="463">
        <v>1</v>
      </c>
      <c r="J17" s="463">
        <v>2</v>
      </c>
      <c r="K17" s="463">
        <v>2</v>
      </c>
      <c r="L17" s="463">
        <v>0</v>
      </c>
      <c r="M17" s="463">
        <v>0</v>
      </c>
      <c r="N17" s="463">
        <v>0</v>
      </c>
      <c r="O17" s="463">
        <v>0</v>
      </c>
      <c r="P17" s="463">
        <v>0</v>
      </c>
      <c r="Q17" s="463">
        <v>0</v>
      </c>
      <c r="R17" s="463">
        <v>1</v>
      </c>
      <c r="S17" s="639">
        <v>14509</v>
      </c>
      <c r="T17" s="465" t="s">
        <v>714</v>
      </c>
      <c r="U17" s="466" t="s">
        <v>396</v>
      </c>
      <c r="V17" s="464" t="s">
        <v>403</v>
      </c>
      <c r="W17" s="464" t="s">
        <v>308</v>
      </c>
      <c r="X17" s="467" t="s">
        <v>475</v>
      </c>
      <c r="Y17" s="464">
        <v>1</v>
      </c>
      <c r="Z17" s="464">
        <v>0</v>
      </c>
      <c r="AA17" s="464">
        <v>0</v>
      </c>
      <c r="AB17" s="464">
        <v>1</v>
      </c>
      <c r="AC17" s="464">
        <v>0</v>
      </c>
      <c r="AD17" s="464">
        <v>0</v>
      </c>
      <c r="AE17" s="464">
        <v>0</v>
      </c>
      <c r="AF17" s="464">
        <v>0</v>
      </c>
      <c r="AG17" s="464">
        <v>1</v>
      </c>
      <c r="AH17" s="464">
        <v>0</v>
      </c>
      <c r="AI17" s="464">
        <v>0</v>
      </c>
      <c r="AJ17" s="466">
        <v>1</v>
      </c>
      <c r="AK17" s="464">
        <v>0</v>
      </c>
      <c r="AL17" s="464">
        <v>0</v>
      </c>
      <c r="AM17" s="464">
        <v>0</v>
      </c>
      <c r="AN17" s="466">
        <v>0</v>
      </c>
    </row>
    <row r="18" spans="1:40" ht="14.95" customHeight="1" thickBot="1" x14ac:dyDescent="0.3">
      <c r="A18" s="468" t="s">
        <v>456</v>
      </c>
      <c r="B18" s="469" t="s">
        <v>199</v>
      </c>
      <c r="C18" s="470" t="s">
        <v>9</v>
      </c>
      <c r="D18" s="471" t="s">
        <v>299</v>
      </c>
      <c r="E18" s="471" t="s">
        <v>32</v>
      </c>
      <c r="F18" s="471">
        <v>48</v>
      </c>
      <c r="G18" s="471">
        <v>10</v>
      </c>
      <c r="H18" s="471">
        <v>1</v>
      </c>
      <c r="I18" s="471">
        <v>0</v>
      </c>
      <c r="J18" s="471">
        <v>6</v>
      </c>
      <c r="K18" s="471">
        <v>6</v>
      </c>
      <c r="L18" s="471">
        <v>0</v>
      </c>
      <c r="M18" s="471">
        <v>2</v>
      </c>
      <c r="N18" s="471">
        <v>1</v>
      </c>
      <c r="O18" s="471">
        <v>0</v>
      </c>
      <c r="P18" s="471">
        <v>0</v>
      </c>
      <c r="Q18" s="471">
        <v>0</v>
      </c>
      <c r="R18" s="471">
        <v>1</v>
      </c>
      <c r="S18" s="472">
        <v>8579</v>
      </c>
      <c r="T18" s="480" t="s">
        <v>631</v>
      </c>
      <c r="U18" s="478" t="s">
        <v>318</v>
      </c>
      <c r="V18" s="472" t="s">
        <v>348</v>
      </c>
      <c r="W18" s="472" t="s">
        <v>320</v>
      </c>
      <c r="X18" s="473" t="s">
        <v>322</v>
      </c>
      <c r="Y18" s="472">
        <v>1</v>
      </c>
      <c r="Z18" s="472">
        <v>1</v>
      </c>
      <c r="AA18" s="472">
        <v>0</v>
      </c>
      <c r="AB18" s="472">
        <v>0</v>
      </c>
      <c r="AC18" s="472">
        <v>1</v>
      </c>
      <c r="AD18" s="472">
        <v>1</v>
      </c>
      <c r="AE18" s="472">
        <v>0</v>
      </c>
      <c r="AF18" s="472">
        <v>0</v>
      </c>
      <c r="AG18" s="472">
        <v>0</v>
      </c>
      <c r="AH18" s="472">
        <v>0</v>
      </c>
      <c r="AI18" s="472">
        <v>0</v>
      </c>
      <c r="AJ18" s="478">
        <v>0</v>
      </c>
      <c r="AK18" s="472">
        <v>0</v>
      </c>
      <c r="AL18" s="472">
        <v>0</v>
      </c>
      <c r="AM18" s="472">
        <v>0</v>
      </c>
      <c r="AN18" s="478">
        <v>0</v>
      </c>
    </row>
    <row r="19" spans="1:40" ht="14.95" customHeight="1" thickBot="1" x14ac:dyDescent="0.3">
      <c r="A19" s="145" t="s">
        <v>430</v>
      </c>
      <c r="B19" s="139" t="s">
        <v>104</v>
      </c>
      <c r="C19" s="140" t="s">
        <v>446</v>
      </c>
      <c r="D19" s="141" t="s">
        <v>36</v>
      </c>
      <c r="E19" s="141" t="s">
        <v>34</v>
      </c>
      <c r="F19" s="141">
        <v>23</v>
      </c>
      <c r="G19" s="141">
        <v>30</v>
      </c>
      <c r="H19" s="141">
        <v>0</v>
      </c>
      <c r="I19" s="141">
        <v>1</v>
      </c>
      <c r="J19" s="141">
        <v>2</v>
      </c>
      <c r="K19" s="141">
        <v>2</v>
      </c>
      <c r="L19" s="141">
        <v>0</v>
      </c>
      <c r="M19" s="141">
        <v>3</v>
      </c>
      <c r="N19" s="141">
        <v>1</v>
      </c>
      <c r="O19" s="141">
        <v>1</v>
      </c>
      <c r="P19" s="141">
        <v>1</v>
      </c>
      <c r="Q19" s="141">
        <v>0</v>
      </c>
      <c r="R19" s="141">
        <v>4</v>
      </c>
      <c r="S19" s="363">
        <v>15500</v>
      </c>
      <c r="T19" s="272" t="s">
        <v>739</v>
      </c>
      <c r="U19" s="143" t="s">
        <v>574</v>
      </c>
      <c r="V19" s="142" t="s">
        <v>575</v>
      </c>
      <c r="W19" s="142" t="s">
        <v>576</v>
      </c>
      <c r="X19" s="144" t="s">
        <v>605</v>
      </c>
      <c r="Y19" s="142">
        <v>1</v>
      </c>
      <c r="Z19" s="142">
        <v>0</v>
      </c>
      <c r="AA19" s="142">
        <v>0</v>
      </c>
      <c r="AB19" s="142">
        <v>1</v>
      </c>
      <c r="AC19" s="142">
        <v>0</v>
      </c>
      <c r="AD19" s="142">
        <v>0</v>
      </c>
      <c r="AE19" s="142">
        <v>0</v>
      </c>
      <c r="AF19" s="142">
        <v>0</v>
      </c>
      <c r="AG19" s="142">
        <v>1</v>
      </c>
      <c r="AH19" s="142">
        <v>0</v>
      </c>
      <c r="AI19" s="142">
        <v>0</v>
      </c>
      <c r="AJ19" s="143">
        <v>1</v>
      </c>
      <c r="AK19" s="142">
        <v>0</v>
      </c>
      <c r="AL19" s="142">
        <v>0</v>
      </c>
      <c r="AM19" s="142">
        <v>0</v>
      </c>
      <c r="AN19" s="143">
        <v>0</v>
      </c>
    </row>
    <row r="20" spans="1:40" ht="14.95" customHeight="1" thickBot="1" x14ac:dyDescent="0.3">
      <c r="A20" s="309" t="s">
        <v>246</v>
      </c>
      <c r="B20" s="310" t="s">
        <v>104</v>
      </c>
      <c r="C20" s="93" t="s">
        <v>447</v>
      </c>
      <c r="D20" s="94" t="s">
        <v>299</v>
      </c>
      <c r="E20" s="94" t="s">
        <v>34</v>
      </c>
      <c r="F20" s="94">
        <v>7</v>
      </c>
      <c r="G20" s="94">
        <v>45</v>
      </c>
      <c r="H20" s="94">
        <v>0</v>
      </c>
      <c r="I20" s="94">
        <v>0</v>
      </c>
      <c r="J20" s="94">
        <v>1</v>
      </c>
      <c r="K20" s="94">
        <v>1</v>
      </c>
      <c r="L20" s="94">
        <v>0</v>
      </c>
      <c r="M20" s="94">
        <v>0</v>
      </c>
      <c r="N20" s="94">
        <v>1</v>
      </c>
      <c r="O20" s="94">
        <v>0</v>
      </c>
      <c r="P20" s="94">
        <v>1</v>
      </c>
      <c r="Q20" s="94">
        <v>0</v>
      </c>
      <c r="R20" s="94">
        <v>6</v>
      </c>
      <c r="S20" s="311">
        <v>7708</v>
      </c>
      <c r="T20" s="632" t="s">
        <v>309</v>
      </c>
      <c r="U20" s="313" t="s">
        <v>611</v>
      </c>
      <c r="V20" s="311" t="s">
        <v>612</v>
      </c>
      <c r="W20" s="311" t="s">
        <v>661</v>
      </c>
      <c r="X20" s="88" t="s">
        <v>614</v>
      </c>
      <c r="Y20" s="311">
        <v>1</v>
      </c>
      <c r="Z20" s="311">
        <v>0</v>
      </c>
      <c r="AA20" s="311">
        <v>0</v>
      </c>
      <c r="AB20" s="311">
        <v>1</v>
      </c>
      <c r="AC20" s="311">
        <v>1</v>
      </c>
      <c r="AD20" s="311">
        <v>0</v>
      </c>
      <c r="AE20" s="311">
        <v>0</v>
      </c>
      <c r="AF20" s="311">
        <v>1</v>
      </c>
      <c r="AG20" s="311">
        <v>0</v>
      </c>
      <c r="AH20" s="311">
        <v>0</v>
      </c>
      <c r="AI20" s="311">
        <v>0</v>
      </c>
      <c r="AJ20" s="313">
        <v>0</v>
      </c>
      <c r="AK20" s="311">
        <v>0</v>
      </c>
      <c r="AL20" s="311">
        <v>0</v>
      </c>
      <c r="AM20" s="311">
        <v>0</v>
      </c>
      <c r="AN20" s="313">
        <v>0</v>
      </c>
    </row>
    <row r="21" spans="1:40" ht="14.95" customHeight="1" thickBot="1" x14ac:dyDescent="0.3">
      <c r="A21" s="479" t="s">
        <v>293</v>
      </c>
      <c r="B21" s="461" t="s">
        <v>199</v>
      </c>
      <c r="C21" s="462" t="s">
        <v>28</v>
      </c>
      <c r="D21" s="463" t="s">
        <v>36</v>
      </c>
      <c r="E21" s="463" t="s">
        <v>32</v>
      </c>
      <c r="F21" s="463">
        <v>22</v>
      </c>
      <c r="G21" s="463">
        <v>19</v>
      </c>
      <c r="H21" s="463">
        <v>0</v>
      </c>
      <c r="I21" s="463">
        <v>0</v>
      </c>
      <c r="J21" s="463">
        <v>3</v>
      </c>
      <c r="K21" s="463">
        <v>2</v>
      </c>
      <c r="L21" s="463">
        <v>0</v>
      </c>
      <c r="M21" s="463">
        <v>1</v>
      </c>
      <c r="N21" s="463">
        <v>1</v>
      </c>
      <c r="O21" s="463">
        <v>0</v>
      </c>
      <c r="P21" s="463">
        <v>0</v>
      </c>
      <c r="Q21" s="463">
        <v>1</v>
      </c>
      <c r="R21" s="463">
        <v>3</v>
      </c>
      <c r="S21" s="483">
        <v>11965</v>
      </c>
      <c r="T21" s="481" t="s">
        <v>772</v>
      </c>
      <c r="U21" s="466" t="s">
        <v>324</v>
      </c>
      <c r="V21" s="464" t="s">
        <v>468</v>
      </c>
      <c r="W21" s="464" t="s">
        <v>1040</v>
      </c>
      <c r="X21" s="467" t="s">
        <v>328</v>
      </c>
      <c r="Y21" s="464">
        <v>1</v>
      </c>
      <c r="Z21" s="464">
        <v>1</v>
      </c>
      <c r="AA21" s="464">
        <v>0</v>
      </c>
      <c r="AB21" s="464">
        <v>0</v>
      </c>
      <c r="AC21" s="464">
        <v>0</v>
      </c>
      <c r="AD21" s="464">
        <v>0</v>
      </c>
      <c r="AE21" s="464">
        <v>0</v>
      </c>
      <c r="AF21" s="464">
        <v>0</v>
      </c>
      <c r="AG21" s="464">
        <v>1</v>
      </c>
      <c r="AH21" s="464">
        <v>1</v>
      </c>
      <c r="AI21" s="464">
        <v>0</v>
      </c>
      <c r="AJ21" s="466">
        <v>0</v>
      </c>
      <c r="AK21" s="464">
        <v>0</v>
      </c>
      <c r="AL21" s="464">
        <v>0</v>
      </c>
      <c r="AM21" s="464">
        <v>0</v>
      </c>
      <c r="AN21" s="466">
        <v>0</v>
      </c>
    </row>
    <row r="22" spans="1:40" ht="14.3" customHeight="1" thickBot="1" x14ac:dyDescent="0.3">
      <c r="A22" s="546" t="s">
        <v>538</v>
      </c>
      <c r="B22" s="547" t="s">
        <v>223</v>
      </c>
      <c r="C22" s="548" t="s">
        <v>19</v>
      </c>
      <c r="D22" s="549" t="s">
        <v>299</v>
      </c>
      <c r="E22" s="549" t="s">
        <v>32</v>
      </c>
      <c r="F22" s="549">
        <v>28</v>
      </c>
      <c r="G22" s="549">
        <v>7</v>
      </c>
      <c r="H22" s="549" t="s">
        <v>77</v>
      </c>
      <c r="I22" s="549" t="s">
        <v>77</v>
      </c>
      <c r="J22" s="549">
        <v>4</v>
      </c>
      <c r="K22" s="549">
        <v>4</v>
      </c>
      <c r="L22" s="549">
        <v>0</v>
      </c>
      <c r="M22" s="549">
        <v>0</v>
      </c>
      <c r="N22" s="549">
        <v>0</v>
      </c>
      <c r="O22" s="549">
        <v>0</v>
      </c>
      <c r="P22" s="549" t="s">
        <v>77</v>
      </c>
      <c r="Q22" s="549" t="s">
        <v>77</v>
      </c>
      <c r="R22" s="549">
        <v>1</v>
      </c>
      <c r="S22" s="550">
        <v>7992</v>
      </c>
      <c r="T22" s="560" t="s">
        <v>307</v>
      </c>
      <c r="U22" s="551" t="s">
        <v>395</v>
      </c>
      <c r="V22" s="550" t="s">
        <v>348</v>
      </c>
      <c r="W22" s="550" t="s">
        <v>306</v>
      </c>
      <c r="X22" s="552" t="s">
        <v>305</v>
      </c>
      <c r="Y22" s="550">
        <v>1</v>
      </c>
      <c r="Z22" s="550">
        <v>1</v>
      </c>
      <c r="AA22" s="550">
        <v>0</v>
      </c>
      <c r="AB22" s="550">
        <v>0</v>
      </c>
      <c r="AC22" s="550">
        <v>1</v>
      </c>
      <c r="AD22" s="550">
        <v>1</v>
      </c>
      <c r="AE22" s="550">
        <v>0</v>
      </c>
      <c r="AF22" s="550">
        <v>0</v>
      </c>
      <c r="AG22" s="550">
        <v>0</v>
      </c>
      <c r="AH22" s="550">
        <v>0</v>
      </c>
      <c r="AI22" s="550">
        <v>0</v>
      </c>
      <c r="AJ22" s="551">
        <v>0</v>
      </c>
      <c r="AK22" s="550">
        <v>0</v>
      </c>
      <c r="AL22" s="550">
        <v>0</v>
      </c>
      <c r="AM22" s="550">
        <v>0</v>
      </c>
      <c r="AN22" s="551">
        <v>0</v>
      </c>
    </row>
    <row r="23" spans="1:40" ht="14.95" customHeight="1" thickBot="1" x14ac:dyDescent="0.3">
      <c r="A23" s="479" t="s">
        <v>259</v>
      </c>
      <c r="B23" s="461" t="s">
        <v>199</v>
      </c>
      <c r="C23" s="462" t="s">
        <v>19</v>
      </c>
      <c r="D23" s="463" t="s">
        <v>36</v>
      </c>
      <c r="E23" s="463" t="s">
        <v>34</v>
      </c>
      <c r="F23" s="463">
        <v>22</v>
      </c>
      <c r="G23" s="463">
        <v>36</v>
      </c>
      <c r="H23" s="463">
        <v>0</v>
      </c>
      <c r="I23" s="463">
        <v>0</v>
      </c>
      <c r="J23" s="463">
        <v>3</v>
      </c>
      <c r="K23" s="463">
        <v>2</v>
      </c>
      <c r="L23" s="463">
        <v>0</v>
      </c>
      <c r="M23" s="463">
        <v>1</v>
      </c>
      <c r="N23" s="463">
        <v>0</v>
      </c>
      <c r="O23" s="463">
        <v>0</v>
      </c>
      <c r="P23" s="463">
        <v>1</v>
      </c>
      <c r="Q23" s="463">
        <v>0</v>
      </c>
      <c r="R23" s="463">
        <v>4</v>
      </c>
      <c r="S23" s="486">
        <v>7500</v>
      </c>
      <c r="T23" s="485" t="s">
        <v>422</v>
      </c>
      <c r="U23" s="466" t="s">
        <v>637</v>
      </c>
      <c r="V23" s="464" t="s">
        <v>795</v>
      </c>
      <c r="W23" s="464" t="s">
        <v>463</v>
      </c>
      <c r="X23" s="467" t="s">
        <v>395</v>
      </c>
      <c r="Y23" s="464">
        <v>1</v>
      </c>
      <c r="Z23" s="464">
        <v>0</v>
      </c>
      <c r="AA23" s="464">
        <v>0</v>
      </c>
      <c r="AB23" s="464">
        <v>1</v>
      </c>
      <c r="AC23" s="464">
        <v>0</v>
      </c>
      <c r="AD23" s="464">
        <v>0</v>
      </c>
      <c r="AE23" s="464">
        <v>0</v>
      </c>
      <c r="AF23" s="464">
        <v>0</v>
      </c>
      <c r="AG23" s="464">
        <v>1</v>
      </c>
      <c r="AH23" s="464">
        <v>0</v>
      </c>
      <c r="AI23" s="464">
        <v>0</v>
      </c>
      <c r="AJ23" s="466">
        <v>1</v>
      </c>
      <c r="AK23" s="464">
        <v>0</v>
      </c>
      <c r="AL23" s="464">
        <v>0</v>
      </c>
      <c r="AM23" s="464">
        <v>0</v>
      </c>
      <c r="AN23" s="466">
        <v>0</v>
      </c>
    </row>
    <row r="24" spans="1:40" ht="14.95" customHeight="1" thickBot="1" x14ac:dyDescent="0.3">
      <c r="A24" s="468" t="s">
        <v>459</v>
      </c>
      <c r="B24" s="469" t="s">
        <v>199</v>
      </c>
      <c r="C24" s="470" t="s">
        <v>26</v>
      </c>
      <c r="D24" s="471" t="s">
        <v>299</v>
      </c>
      <c r="E24" s="471" t="s">
        <v>32</v>
      </c>
      <c r="F24" s="471">
        <v>36</v>
      </c>
      <c r="G24" s="471">
        <v>3</v>
      </c>
      <c r="H24" s="471">
        <v>1</v>
      </c>
      <c r="I24" s="471">
        <v>0</v>
      </c>
      <c r="J24" s="471">
        <v>5</v>
      </c>
      <c r="K24" s="471">
        <v>4</v>
      </c>
      <c r="L24" s="471">
        <v>0</v>
      </c>
      <c r="M24" s="471">
        <v>1</v>
      </c>
      <c r="N24" s="471">
        <v>0</v>
      </c>
      <c r="O24" s="471">
        <v>0</v>
      </c>
      <c r="P24" s="471">
        <v>0</v>
      </c>
      <c r="Q24" s="471">
        <v>0</v>
      </c>
      <c r="R24" s="471">
        <v>0</v>
      </c>
      <c r="S24" s="472">
        <v>7208</v>
      </c>
      <c r="T24" s="480" t="s">
        <v>800</v>
      </c>
      <c r="U24" s="478" t="s">
        <v>318</v>
      </c>
      <c r="V24" s="472" t="s">
        <v>348</v>
      </c>
      <c r="W24" s="472" t="s">
        <v>306</v>
      </c>
      <c r="X24" s="473" t="s">
        <v>715</v>
      </c>
      <c r="Y24" s="472">
        <v>1</v>
      </c>
      <c r="Z24" s="472">
        <v>1</v>
      </c>
      <c r="AA24" s="472">
        <v>0</v>
      </c>
      <c r="AB24" s="472">
        <v>0</v>
      </c>
      <c r="AC24" s="472">
        <v>1</v>
      </c>
      <c r="AD24" s="472">
        <v>1</v>
      </c>
      <c r="AE24" s="472">
        <v>0</v>
      </c>
      <c r="AF24" s="472">
        <v>0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</row>
    <row r="25" spans="1:40" ht="14.95" customHeight="1" thickBot="1" x14ac:dyDescent="0.3">
      <c r="A25" s="479" t="s">
        <v>460</v>
      </c>
      <c r="B25" s="461" t="s">
        <v>199</v>
      </c>
      <c r="C25" s="462" t="s">
        <v>347</v>
      </c>
      <c r="D25" s="463" t="s">
        <v>36</v>
      </c>
      <c r="E25" s="463" t="s">
        <v>32</v>
      </c>
      <c r="F25" s="463">
        <v>23</v>
      </c>
      <c r="G25" s="463">
        <v>17</v>
      </c>
      <c r="H25" s="463">
        <v>0</v>
      </c>
      <c r="I25" s="463">
        <v>0</v>
      </c>
      <c r="J25" s="463">
        <v>3</v>
      </c>
      <c r="K25" s="463">
        <v>1</v>
      </c>
      <c r="L25" s="463">
        <f>-M20</f>
        <v>0</v>
      </c>
      <c r="M25" s="463">
        <v>2</v>
      </c>
      <c r="N25" s="463">
        <v>1</v>
      </c>
      <c r="O25" s="463">
        <v>0</v>
      </c>
      <c r="P25" s="463">
        <v>0</v>
      </c>
      <c r="Q25" s="463">
        <v>1</v>
      </c>
      <c r="R25" s="463">
        <v>2</v>
      </c>
      <c r="S25" s="464">
        <v>10370</v>
      </c>
      <c r="T25" s="481" t="s">
        <v>471</v>
      </c>
      <c r="U25" s="466" t="s">
        <v>637</v>
      </c>
      <c r="V25" s="464" t="s">
        <v>632</v>
      </c>
      <c r="W25" s="464" t="s">
        <v>633</v>
      </c>
      <c r="X25" s="467" t="s">
        <v>305</v>
      </c>
      <c r="Y25" s="464">
        <v>1</v>
      </c>
      <c r="Z25" s="464">
        <v>1</v>
      </c>
      <c r="AA25" s="464">
        <v>0</v>
      </c>
      <c r="AB25" s="464">
        <v>0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1</v>
      </c>
      <c r="AI25" s="464">
        <v>0</v>
      </c>
      <c r="AJ25" s="466">
        <v>0</v>
      </c>
      <c r="AK25" s="464">
        <v>0</v>
      </c>
      <c r="AL25" s="464">
        <v>0</v>
      </c>
      <c r="AM25" s="464">
        <v>0</v>
      </c>
      <c r="AN25" s="466">
        <v>0</v>
      </c>
    </row>
    <row r="26" spans="1:40" ht="14.95" customHeight="1" thickBot="1" x14ac:dyDescent="0.3">
      <c r="A26" s="468" t="s">
        <v>461</v>
      </c>
      <c r="B26" s="469" t="s">
        <v>199</v>
      </c>
      <c r="C26" s="470" t="s">
        <v>11</v>
      </c>
      <c r="D26" s="471" t="s">
        <v>299</v>
      </c>
      <c r="E26" s="471" t="s">
        <v>32</v>
      </c>
      <c r="F26" s="471">
        <v>39</v>
      </c>
      <c r="G26" s="471">
        <v>0</v>
      </c>
      <c r="H26" s="471">
        <v>1</v>
      </c>
      <c r="I26" s="471">
        <v>0</v>
      </c>
      <c r="J26" s="471">
        <v>6</v>
      </c>
      <c r="K26" s="471">
        <v>3</v>
      </c>
      <c r="L26" s="471">
        <v>0</v>
      </c>
      <c r="M26" s="471">
        <v>1</v>
      </c>
      <c r="N26" s="471">
        <v>0</v>
      </c>
      <c r="O26" s="471">
        <v>0</v>
      </c>
      <c r="P26" s="471">
        <v>0</v>
      </c>
      <c r="Q26" s="471">
        <v>0</v>
      </c>
      <c r="R26" s="471">
        <v>0</v>
      </c>
      <c r="S26" s="472">
        <v>7041</v>
      </c>
      <c r="T26" s="480" t="s">
        <v>816</v>
      </c>
      <c r="U26" s="478" t="s">
        <v>323</v>
      </c>
      <c r="V26" s="472" t="s">
        <v>632</v>
      </c>
      <c r="W26" s="472" t="s">
        <v>395</v>
      </c>
      <c r="X26" s="473" t="s">
        <v>306</v>
      </c>
      <c r="Y26" s="472">
        <v>1</v>
      </c>
      <c r="Z26" s="472">
        <v>1</v>
      </c>
      <c r="AA26" s="472">
        <v>0</v>
      </c>
      <c r="AB26" s="472">
        <v>0</v>
      </c>
      <c r="AC26" s="472">
        <v>1</v>
      </c>
      <c r="AD26" s="472">
        <v>1</v>
      </c>
      <c r="AE26" s="472">
        <v>0</v>
      </c>
      <c r="AF26" s="472">
        <v>0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</row>
    <row r="27" spans="1:40" ht="14.95" customHeight="1" thickBot="1" x14ac:dyDescent="0.3">
      <c r="A27" s="479" t="s">
        <v>828</v>
      </c>
      <c r="B27" s="461" t="s">
        <v>199</v>
      </c>
      <c r="C27" s="462" t="s">
        <v>9</v>
      </c>
      <c r="D27" s="463" t="s">
        <v>36</v>
      </c>
      <c r="E27" s="463" t="s">
        <v>34</v>
      </c>
      <c r="F27" s="463">
        <v>10</v>
      </c>
      <c r="G27" s="463">
        <v>16</v>
      </c>
      <c r="H27" s="463">
        <v>0</v>
      </c>
      <c r="I27" s="463">
        <v>1</v>
      </c>
      <c r="J27" s="463">
        <v>1</v>
      </c>
      <c r="K27" s="463">
        <v>1</v>
      </c>
      <c r="L27" s="463">
        <v>0</v>
      </c>
      <c r="M27" s="463">
        <v>1</v>
      </c>
      <c r="N27" s="463">
        <v>1</v>
      </c>
      <c r="O27" s="463">
        <v>0</v>
      </c>
      <c r="P27" s="463">
        <v>0</v>
      </c>
      <c r="Q27" s="463">
        <v>0</v>
      </c>
      <c r="R27" s="463">
        <v>1</v>
      </c>
      <c r="S27" s="464">
        <v>0</v>
      </c>
      <c r="T27" s="485" t="s">
        <v>528</v>
      </c>
      <c r="U27" s="466" t="s">
        <v>873</v>
      </c>
      <c r="V27" s="464" t="s">
        <v>632</v>
      </c>
      <c r="W27" s="464" t="s">
        <v>554</v>
      </c>
      <c r="X27" s="467" t="s">
        <v>316</v>
      </c>
      <c r="Y27" s="464">
        <v>1</v>
      </c>
      <c r="Z27" s="464">
        <v>0</v>
      </c>
      <c r="AA27" s="464">
        <v>0</v>
      </c>
      <c r="AB27" s="464">
        <v>1</v>
      </c>
      <c r="AC27" s="464">
        <v>0</v>
      </c>
      <c r="AD27" s="464">
        <v>0</v>
      </c>
      <c r="AE27" s="464">
        <v>0</v>
      </c>
      <c r="AF27" s="464">
        <v>0</v>
      </c>
      <c r="AG27" s="464">
        <v>1</v>
      </c>
      <c r="AH27" s="464">
        <v>0</v>
      </c>
      <c r="AI27" s="464">
        <v>0</v>
      </c>
      <c r="AJ27" s="466">
        <v>1</v>
      </c>
      <c r="AK27" s="464">
        <v>0</v>
      </c>
      <c r="AL27" s="464">
        <v>0</v>
      </c>
      <c r="AM27" s="464">
        <v>0</v>
      </c>
      <c r="AN27" s="466">
        <v>0</v>
      </c>
    </row>
    <row r="28" spans="1:40" ht="15.65" customHeight="1" thickBot="1" x14ac:dyDescent="0.3">
      <c r="A28" s="468" t="s">
        <v>831</v>
      </c>
      <c r="B28" s="469" t="s">
        <v>199</v>
      </c>
      <c r="C28" s="470" t="s">
        <v>28</v>
      </c>
      <c r="D28" s="471" t="s">
        <v>299</v>
      </c>
      <c r="E28" s="471" t="s">
        <v>34</v>
      </c>
      <c r="F28" s="471">
        <v>22</v>
      </c>
      <c r="G28" s="471">
        <v>32</v>
      </c>
      <c r="H28" s="471">
        <v>0</v>
      </c>
      <c r="I28" s="471">
        <v>0</v>
      </c>
      <c r="J28" s="471">
        <v>3</v>
      </c>
      <c r="K28" s="471">
        <v>2</v>
      </c>
      <c r="L28" s="471">
        <v>0</v>
      </c>
      <c r="M28" s="471">
        <v>1</v>
      </c>
      <c r="N28" s="471">
        <v>1</v>
      </c>
      <c r="O28" s="471">
        <v>0</v>
      </c>
      <c r="P28" s="471">
        <v>1</v>
      </c>
      <c r="Q28" s="471">
        <v>0</v>
      </c>
      <c r="R28" s="471">
        <v>4</v>
      </c>
      <c r="S28" s="504">
        <v>0</v>
      </c>
      <c r="T28" s="638" t="s">
        <v>884</v>
      </c>
      <c r="U28" s="478" t="s">
        <v>463</v>
      </c>
      <c r="V28" s="472" t="s">
        <v>348</v>
      </c>
      <c r="W28" s="472" t="s">
        <v>304</v>
      </c>
      <c r="X28" s="473" t="s">
        <v>322</v>
      </c>
      <c r="Y28" s="472">
        <v>1</v>
      </c>
      <c r="Z28" s="472">
        <v>0</v>
      </c>
      <c r="AA28" s="472">
        <v>0</v>
      </c>
      <c r="AB28" s="472">
        <v>1</v>
      </c>
      <c r="AC28" s="472">
        <v>1</v>
      </c>
      <c r="AD28" s="472">
        <v>0</v>
      </c>
      <c r="AE28" s="472">
        <v>0</v>
      </c>
      <c r="AF28" s="472">
        <v>1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40" ht="16.5" thickBot="1" x14ac:dyDescent="0.3">
      <c r="A29" s="479" t="s">
        <v>833</v>
      </c>
      <c r="B29" s="461" t="s">
        <v>199</v>
      </c>
      <c r="C29" s="462" t="s">
        <v>106</v>
      </c>
      <c r="D29" s="463" t="s">
        <v>36</v>
      </c>
      <c r="E29" s="463" t="s">
        <v>32</v>
      </c>
      <c r="F29" s="463">
        <v>20</v>
      </c>
      <c r="G29" s="463">
        <v>11</v>
      </c>
      <c r="H29" s="463">
        <v>0</v>
      </c>
      <c r="I29" s="463">
        <v>0</v>
      </c>
      <c r="J29" s="463">
        <v>1</v>
      </c>
      <c r="K29" s="463">
        <v>0</v>
      </c>
      <c r="L29" s="463">
        <v>0</v>
      </c>
      <c r="M29" s="463">
        <v>5</v>
      </c>
      <c r="N29" s="463">
        <v>1</v>
      </c>
      <c r="O29" s="463">
        <v>0</v>
      </c>
      <c r="P29" s="463">
        <v>0</v>
      </c>
      <c r="Q29" s="463">
        <v>0</v>
      </c>
      <c r="R29" s="463">
        <v>1</v>
      </c>
      <c r="S29" s="464">
        <v>0</v>
      </c>
      <c r="T29" s="481" t="s">
        <v>508</v>
      </c>
      <c r="U29" s="466" t="s">
        <v>396</v>
      </c>
      <c r="V29" s="464" t="s">
        <v>509</v>
      </c>
      <c r="W29" s="464" t="s">
        <v>894</v>
      </c>
      <c r="X29" s="467" t="s">
        <v>346</v>
      </c>
      <c r="Y29" s="464">
        <v>1</v>
      </c>
      <c r="Z29" s="464">
        <v>1</v>
      </c>
      <c r="AA29" s="464">
        <v>0</v>
      </c>
      <c r="AB29" s="464">
        <v>0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1</v>
      </c>
      <c r="AI29" s="464">
        <v>0</v>
      </c>
      <c r="AJ29" s="466">
        <v>0</v>
      </c>
      <c r="AK29" s="464">
        <v>0</v>
      </c>
      <c r="AL29" s="464">
        <v>0</v>
      </c>
      <c r="AM29" s="464">
        <v>0</v>
      </c>
      <c r="AN29" s="466">
        <v>0</v>
      </c>
    </row>
    <row r="30" spans="1:40" ht="16.5" thickBot="1" x14ac:dyDescent="0.3">
      <c r="A30" s="468" t="s">
        <v>838</v>
      </c>
      <c r="B30" s="469" t="s">
        <v>199</v>
      </c>
      <c r="C30" s="470" t="s">
        <v>165</v>
      </c>
      <c r="D30" s="471" t="s">
        <v>299</v>
      </c>
      <c r="E30" s="471" t="s">
        <v>32</v>
      </c>
      <c r="F30" s="471">
        <v>40</v>
      </c>
      <c r="G30" s="471">
        <v>7</v>
      </c>
      <c r="H30" s="471">
        <v>1</v>
      </c>
      <c r="I30" s="471">
        <v>0</v>
      </c>
      <c r="J30" s="471">
        <v>6</v>
      </c>
      <c r="K30" s="471">
        <v>5</v>
      </c>
      <c r="L30" s="471">
        <v>0</v>
      </c>
      <c r="M30" s="471">
        <v>0</v>
      </c>
      <c r="N30" s="471">
        <v>0</v>
      </c>
      <c r="O30" s="471">
        <v>0</v>
      </c>
      <c r="P30" s="471">
        <v>0</v>
      </c>
      <c r="Q30" s="471">
        <v>0</v>
      </c>
      <c r="R30" s="471">
        <v>1</v>
      </c>
      <c r="S30" s="472">
        <v>0</v>
      </c>
      <c r="T30" s="480" t="s">
        <v>678</v>
      </c>
      <c r="U30" s="478" t="s">
        <v>554</v>
      </c>
      <c r="V30" s="472" t="s">
        <v>320</v>
      </c>
      <c r="W30" s="472" t="s">
        <v>318</v>
      </c>
      <c r="X30" s="473" t="s">
        <v>395</v>
      </c>
      <c r="Y30" s="472">
        <v>1</v>
      </c>
      <c r="Z30" s="472">
        <v>1</v>
      </c>
      <c r="AA30" s="472">
        <v>0</v>
      </c>
      <c r="AB30" s="472">
        <v>0</v>
      </c>
      <c r="AC30" s="472">
        <v>1</v>
      </c>
      <c r="AD30" s="472">
        <v>1</v>
      </c>
      <c r="AE30" s="472">
        <v>0</v>
      </c>
      <c r="AF30" s="472">
        <v>0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0" ht="15.8" customHeight="1" thickBot="1" x14ac:dyDescent="0.3">
      <c r="A31" s="479" t="s">
        <v>856</v>
      </c>
      <c r="B31" s="461" t="s">
        <v>199</v>
      </c>
      <c r="C31" s="462" t="s">
        <v>26</v>
      </c>
      <c r="D31" s="463" t="s">
        <v>36</v>
      </c>
      <c r="E31" s="463" t="s">
        <v>32</v>
      </c>
      <c r="F31" s="463">
        <v>40</v>
      </c>
      <c r="G31" s="463">
        <v>31</v>
      </c>
      <c r="H31" s="463">
        <v>1</v>
      </c>
      <c r="I31" s="463">
        <v>0</v>
      </c>
      <c r="J31" s="463">
        <v>4</v>
      </c>
      <c r="K31" s="463">
        <v>4</v>
      </c>
      <c r="L31" s="463">
        <v>1</v>
      </c>
      <c r="M31" s="463">
        <v>3</v>
      </c>
      <c r="N31" s="463">
        <v>0</v>
      </c>
      <c r="O31" s="463">
        <v>0</v>
      </c>
      <c r="P31" s="463">
        <v>0</v>
      </c>
      <c r="Q31" s="463">
        <v>0</v>
      </c>
      <c r="R31" s="463">
        <v>3</v>
      </c>
      <c r="S31" s="486">
        <v>0</v>
      </c>
      <c r="T31" s="481" t="s">
        <v>559</v>
      </c>
      <c r="U31" s="466" t="s">
        <v>318</v>
      </c>
      <c r="V31" s="464" t="s">
        <v>632</v>
      </c>
      <c r="W31" s="464" t="s">
        <v>554</v>
      </c>
      <c r="X31" s="467" t="s">
        <v>304</v>
      </c>
      <c r="Y31" s="464">
        <v>1</v>
      </c>
      <c r="Z31" s="464">
        <v>1</v>
      </c>
      <c r="AA31" s="464">
        <v>0</v>
      </c>
      <c r="AB31" s="464">
        <v>0</v>
      </c>
      <c r="AC31" s="464">
        <v>0</v>
      </c>
      <c r="AD31" s="464">
        <v>0</v>
      </c>
      <c r="AE31" s="464">
        <v>0</v>
      </c>
      <c r="AF31" s="464">
        <v>0</v>
      </c>
      <c r="AG31" s="464">
        <v>1</v>
      </c>
      <c r="AH31" s="464">
        <v>1</v>
      </c>
      <c r="AI31" s="464">
        <v>0</v>
      </c>
      <c r="AJ31" s="466">
        <v>0</v>
      </c>
      <c r="AK31" s="464">
        <v>0</v>
      </c>
      <c r="AL31" s="464">
        <v>0</v>
      </c>
      <c r="AM31" s="464">
        <v>0</v>
      </c>
      <c r="AN31" s="466">
        <v>0</v>
      </c>
    </row>
    <row r="32" spans="1:40" ht="15.8" customHeight="1" thickBot="1" x14ac:dyDescent="0.3">
      <c r="A32" s="496" t="s">
        <v>861</v>
      </c>
      <c r="B32" s="496" t="s">
        <v>199</v>
      </c>
      <c r="C32" s="476" t="s">
        <v>19</v>
      </c>
      <c r="D32" s="501" t="s">
        <v>299</v>
      </c>
      <c r="E32" s="501" t="s">
        <v>32</v>
      </c>
      <c r="F32" s="471">
        <v>24</v>
      </c>
      <c r="G32" s="501">
        <v>17</v>
      </c>
      <c r="H32" s="471">
        <v>0</v>
      </c>
      <c r="I32" s="471">
        <v>0</v>
      </c>
      <c r="J32" s="471">
        <v>3</v>
      </c>
      <c r="K32" s="471">
        <v>3</v>
      </c>
      <c r="L32" s="471">
        <v>0</v>
      </c>
      <c r="M32" s="471">
        <v>1</v>
      </c>
      <c r="N32" s="471">
        <v>0</v>
      </c>
      <c r="O32" s="471">
        <v>0</v>
      </c>
      <c r="P32" s="471">
        <v>0</v>
      </c>
      <c r="Q32" s="471">
        <v>1</v>
      </c>
      <c r="R32" s="471">
        <v>2</v>
      </c>
      <c r="S32" s="472">
        <v>0</v>
      </c>
      <c r="T32" s="480" t="s">
        <v>928</v>
      </c>
      <c r="U32" s="472" t="s">
        <v>396</v>
      </c>
      <c r="V32" s="472" t="s">
        <v>348</v>
      </c>
      <c r="W32" s="472" t="s">
        <v>306</v>
      </c>
      <c r="X32" s="472" t="s">
        <v>325</v>
      </c>
      <c r="Y32" s="472">
        <v>1</v>
      </c>
      <c r="Z32" s="472">
        <v>1</v>
      </c>
      <c r="AA32" s="472">
        <v>0</v>
      </c>
      <c r="AB32" s="472">
        <v>0</v>
      </c>
      <c r="AC32" s="472">
        <v>1</v>
      </c>
      <c r="AD32" s="472">
        <v>1</v>
      </c>
      <c r="AE32" s="472">
        <v>0</v>
      </c>
      <c r="AF32" s="472">
        <v>0</v>
      </c>
      <c r="AG32" s="472">
        <v>0</v>
      </c>
      <c r="AH32" s="472">
        <v>0</v>
      </c>
      <c r="AI32" s="472">
        <v>0</v>
      </c>
      <c r="AJ32" s="478">
        <v>0</v>
      </c>
      <c r="AK32" s="472">
        <v>0</v>
      </c>
      <c r="AL32" s="472">
        <v>0</v>
      </c>
      <c r="AM32" s="472">
        <v>0</v>
      </c>
      <c r="AN32" s="478">
        <v>0</v>
      </c>
    </row>
    <row r="33" spans="1:40" ht="15.8" customHeight="1" thickBot="1" x14ac:dyDescent="0.3">
      <c r="A33" s="496" t="s">
        <v>864</v>
      </c>
      <c r="B33" s="496" t="s">
        <v>199</v>
      </c>
      <c r="C33" s="476" t="s">
        <v>22</v>
      </c>
      <c r="D33" s="501" t="s">
        <v>299</v>
      </c>
      <c r="E33" s="471" t="s">
        <v>34</v>
      </c>
      <c r="F33" s="471">
        <v>22</v>
      </c>
      <c r="G33" s="471">
        <v>37</v>
      </c>
      <c r="H33" s="471">
        <v>0</v>
      </c>
      <c r="I33" s="471">
        <v>0</v>
      </c>
      <c r="J33" s="471">
        <v>3</v>
      </c>
      <c r="K33" s="471">
        <v>2</v>
      </c>
      <c r="L33" s="471">
        <v>0</v>
      </c>
      <c r="M33" s="471">
        <v>1</v>
      </c>
      <c r="N33" s="471">
        <v>2</v>
      </c>
      <c r="O33" s="471">
        <v>0</v>
      </c>
      <c r="P33" s="471">
        <v>1</v>
      </c>
      <c r="Q33" s="471">
        <v>0</v>
      </c>
      <c r="R33" s="471">
        <v>4</v>
      </c>
      <c r="S33" s="472">
        <v>0</v>
      </c>
      <c r="T33" s="477" t="s">
        <v>879</v>
      </c>
      <c r="U33" s="472" t="s">
        <v>550</v>
      </c>
      <c r="V33" s="472" t="s">
        <v>464</v>
      </c>
      <c r="W33" s="472" t="s">
        <v>633</v>
      </c>
      <c r="X33" s="472" t="s">
        <v>463</v>
      </c>
      <c r="Y33" s="472">
        <v>1</v>
      </c>
      <c r="Z33" s="472">
        <v>0</v>
      </c>
      <c r="AA33" s="472">
        <v>0</v>
      </c>
      <c r="AB33" s="472">
        <v>1</v>
      </c>
      <c r="AC33" s="472">
        <v>1</v>
      </c>
      <c r="AD33" s="472">
        <v>0</v>
      </c>
      <c r="AE33" s="472">
        <v>0</v>
      </c>
      <c r="AF33" s="472">
        <v>1</v>
      </c>
      <c r="AG33" s="472">
        <v>0</v>
      </c>
      <c r="AH33" s="472">
        <v>0</v>
      </c>
      <c r="AI33" s="472">
        <v>0</v>
      </c>
      <c r="AJ33" s="478">
        <v>0</v>
      </c>
      <c r="AK33" s="472">
        <v>0</v>
      </c>
      <c r="AL33" s="472">
        <v>0</v>
      </c>
      <c r="AM33" s="472">
        <v>0</v>
      </c>
      <c r="AN33" s="478">
        <v>0</v>
      </c>
    </row>
    <row r="34" spans="1:40" ht="15.8" customHeight="1" thickBot="1" x14ac:dyDescent="0.3">
      <c r="A34" s="546" t="s">
        <v>231</v>
      </c>
      <c r="B34" s="547" t="s">
        <v>224</v>
      </c>
      <c r="C34" s="548" t="s">
        <v>9</v>
      </c>
      <c r="D34" s="549" t="s">
        <v>299</v>
      </c>
      <c r="E34" s="549" t="s">
        <v>32</v>
      </c>
      <c r="F34" s="549">
        <v>27</v>
      </c>
      <c r="G34" s="549">
        <v>19</v>
      </c>
      <c r="H34" s="549" t="s">
        <v>77</v>
      </c>
      <c r="I34" s="549" t="s">
        <v>77</v>
      </c>
      <c r="J34" s="549">
        <v>3</v>
      </c>
      <c r="K34" s="549">
        <v>3</v>
      </c>
      <c r="L34" s="549">
        <v>0</v>
      </c>
      <c r="M34" s="549">
        <v>2</v>
      </c>
      <c r="N34" s="549">
        <v>0</v>
      </c>
      <c r="O34" s="549">
        <v>0</v>
      </c>
      <c r="P34" s="549" t="s">
        <v>77</v>
      </c>
      <c r="Q34" s="549" t="s">
        <v>77</v>
      </c>
      <c r="R34" s="549">
        <v>1</v>
      </c>
      <c r="S34" s="550">
        <v>0</v>
      </c>
      <c r="T34" s="873" t="s">
        <v>957</v>
      </c>
      <c r="U34" s="550" t="s">
        <v>463</v>
      </c>
      <c r="V34" s="550" t="s">
        <v>403</v>
      </c>
      <c r="W34" s="550" t="s">
        <v>633</v>
      </c>
      <c r="X34" s="550" t="s">
        <v>318</v>
      </c>
      <c r="Y34" s="550">
        <v>1</v>
      </c>
      <c r="Z34" s="550">
        <v>1</v>
      </c>
      <c r="AA34" s="550">
        <v>0</v>
      </c>
      <c r="AB34" s="550">
        <v>0</v>
      </c>
      <c r="AC34" s="550">
        <v>1</v>
      </c>
      <c r="AD34" s="550">
        <v>1</v>
      </c>
      <c r="AE34" s="550">
        <v>0</v>
      </c>
      <c r="AF34" s="550">
        <v>0</v>
      </c>
      <c r="AG34" s="550">
        <v>0</v>
      </c>
      <c r="AH34" s="550">
        <v>0</v>
      </c>
      <c r="AI34" s="550">
        <v>0</v>
      </c>
      <c r="AJ34" s="551">
        <v>0</v>
      </c>
      <c r="AK34" s="550">
        <v>0</v>
      </c>
      <c r="AL34" s="550">
        <v>0</v>
      </c>
      <c r="AM34" s="550">
        <v>0</v>
      </c>
      <c r="AN34" s="551">
        <v>0</v>
      </c>
    </row>
    <row r="35" spans="1:40" ht="16.5" thickBot="1" x14ac:dyDescent="0.3">
      <c r="A35" s="474" t="s">
        <v>956</v>
      </c>
      <c r="B35" s="474" t="s">
        <v>199</v>
      </c>
      <c r="C35" s="487" t="s">
        <v>25</v>
      </c>
      <c r="D35" s="488" t="s">
        <v>36</v>
      </c>
      <c r="E35" s="475" t="s">
        <v>32</v>
      </c>
      <c r="F35" s="463">
        <v>34</v>
      </c>
      <c r="G35" s="463">
        <v>14</v>
      </c>
      <c r="H35" s="463">
        <v>1</v>
      </c>
      <c r="I35" s="463">
        <v>0</v>
      </c>
      <c r="J35" s="463">
        <v>6</v>
      </c>
      <c r="K35" s="463">
        <v>1</v>
      </c>
      <c r="L35" s="463">
        <v>0</v>
      </c>
      <c r="M35" s="463">
        <v>0</v>
      </c>
      <c r="N35" s="463">
        <v>0</v>
      </c>
      <c r="O35" s="463">
        <v>0</v>
      </c>
      <c r="P35" s="463">
        <v>0</v>
      </c>
      <c r="Q35" s="463">
        <v>0</v>
      </c>
      <c r="R35" s="463">
        <v>2</v>
      </c>
      <c r="S35" s="464">
        <v>0</v>
      </c>
      <c r="T35" s="481" t="s">
        <v>970</v>
      </c>
      <c r="U35" s="464" t="s">
        <v>637</v>
      </c>
      <c r="V35" s="464" t="s">
        <v>632</v>
      </c>
      <c r="W35" s="464" t="s">
        <v>345</v>
      </c>
      <c r="X35" s="464" t="s">
        <v>715</v>
      </c>
      <c r="Y35" s="464">
        <v>1</v>
      </c>
      <c r="Z35" s="464">
        <v>1</v>
      </c>
      <c r="AA35" s="464">
        <v>0</v>
      </c>
      <c r="AB35" s="464">
        <v>0</v>
      </c>
      <c r="AC35" s="464">
        <v>0</v>
      </c>
      <c r="AD35" s="464">
        <v>0</v>
      </c>
      <c r="AE35" s="464">
        <v>0</v>
      </c>
      <c r="AF35" s="464">
        <v>0</v>
      </c>
      <c r="AG35" s="464">
        <v>1</v>
      </c>
      <c r="AH35" s="464">
        <v>1</v>
      </c>
      <c r="AI35" s="464">
        <v>0</v>
      </c>
      <c r="AJ35" s="466">
        <v>0</v>
      </c>
      <c r="AK35" s="464">
        <v>0</v>
      </c>
      <c r="AL35" s="464">
        <v>0</v>
      </c>
      <c r="AM35" s="464">
        <v>0</v>
      </c>
      <c r="AN35" s="466">
        <v>0</v>
      </c>
    </row>
    <row r="36" spans="1:40" ht="16.5" thickBot="1" x14ac:dyDescent="0.3">
      <c r="A36" s="496" t="s">
        <v>357</v>
      </c>
      <c r="B36" s="496" t="s">
        <v>199</v>
      </c>
      <c r="C36" s="476" t="s">
        <v>23</v>
      </c>
      <c r="D36" s="501" t="s">
        <v>299</v>
      </c>
      <c r="E36" s="497" t="s">
        <v>34</v>
      </c>
      <c r="F36" s="471">
        <v>0</v>
      </c>
      <c r="G36" s="471">
        <v>20</v>
      </c>
      <c r="H36" s="471">
        <v>0</v>
      </c>
      <c r="I36" s="471">
        <v>0</v>
      </c>
      <c r="J36" s="471">
        <v>0</v>
      </c>
      <c r="K36" s="471">
        <v>0</v>
      </c>
      <c r="L36" s="471">
        <v>0</v>
      </c>
      <c r="M36" s="471">
        <v>0</v>
      </c>
      <c r="N36" s="471">
        <v>0</v>
      </c>
      <c r="O36" s="471">
        <v>0</v>
      </c>
      <c r="P36" s="471">
        <v>1</v>
      </c>
      <c r="Q36" s="471">
        <v>0</v>
      </c>
      <c r="R36" s="471">
        <v>4</v>
      </c>
      <c r="S36" s="472">
        <v>0</v>
      </c>
      <c r="T36" s="480" t="s">
        <v>202</v>
      </c>
      <c r="U36" s="472" t="s">
        <v>202</v>
      </c>
      <c r="V36" s="472" t="s">
        <v>202</v>
      </c>
      <c r="W36" s="472" t="s">
        <v>202</v>
      </c>
      <c r="X36" s="472" t="s">
        <v>202</v>
      </c>
      <c r="Y36" s="472">
        <v>1</v>
      </c>
      <c r="Z36" s="472">
        <v>0</v>
      </c>
      <c r="AA36" s="472">
        <v>0</v>
      </c>
      <c r="AB36" s="472">
        <v>1</v>
      </c>
      <c r="AC36" s="472">
        <v>1</v>
      </c>
      <c r="AD36" s="472">
        <v>0</v>
      </c>
      <c r="AE36" s="472">
        <v>0</v>
      </c>
      <c r="AF36" s="472">
        <v>1</v>
      </c>
      <c r="AG36" s="472">
        <v>0</v>
      </c>
      <c r="AH36" s="472">
        <v>0</v>
      </c>
      <c r="AI36" s="472">
        <v>0</v>
      </c>
      <c r="AJ36" s="478">
        <v>0</v>
      </c>
      <c r="AK36" s="472">
        <v>0</v>
      </c>
      <c r="AL36" s="472">
        <v>0</v>
      </c>
      <c r="AM36" s="472">
        <v>0</v>
      </c>
      <c r="AN36" s="478">
        <v>0</v>
      </c>
    </row>
    <row r="37" spans="1:40" ht="15.8" thickBot="1" x14ac:dyDescent="0.3">
      <c r="A37" s="505"/>
      <c r="B37" s="506"/>
      <c r="C37" s="1000" t="s">
        <v>105</v>
      </c>
      <c r="D37" s="1001"/>
      <c r="E37" s="1002"/>
      <c r="F37" s="491">
        <f t="shared" ref="F37:R37" si="1">SUM(F7+F8+F9+F10+F13+F16+F17+F18+F21+F23+F24+F25+F26+F27+F28+F29+F30+F31+F32+F33+F35+F36)</f>
        <v>546</v>
      </c>
      <c r="G37" s="491">
        <f t="shared" si="1"/>
        <v>375</v>
      </c>
      <c r="H37" s="491">
        <f t="shared" si="1"/>
        <v>7</v>
      </c>
      <c r="I37" s="491">
        <f t="shared" si="1"/>
        <v>5</v>
      </c>
      <c r="J37" s="491">
        <f t="shared" si="1"/>
        <v>69</v>
      </c>
      <c r="K37" s="491">
        <f t="shared" si="1"/>
        <v>47</v>
      </c>
      <c r="L37" s="491">
        <f t="shared" si="1"/>
        <v>2</v>
      </c>
      <c r="M37" s="491">
        <f t="shared" si="1"/>
        <v>33</v>
      </c>
      <c r="N37" s="491">
        <f t="shared" si="1"/>
        <v>11</v>
      </c>
      <c r="O37" s="491">
        <f t="shared" si="1"/>
        <v>1</v>
      </c>
      <c r="P37" s="491">
        <f t="shared" si="1"/>
        <v>4</v>
      </c>
      <c r="Q37" s="491">
        <f t="shared" si="1"/>
        <v>3</v>
      </c>
      <c r="R37" s="491">
        <f t="shared" si="1"/>
        <v>42</v>
      </c>
      <c r="S37" s="502"/>
      <c r="T37" s="502"/>
      <c r="U37" s="502"/>
      <c r="V37" s="500"/>
      <c r="W37" s="500"/>
      <c r="X37" s="883" t="s">
        <v>105</v>
      </c>
      <c r="Y37" s="491">
        <f>SUM(Y7+Y8+Y9+Y10+Y13+Y16+Y17+Y18+Y21+Y23+Y24+Y25+Y26+Y27+Y28+Y29+Y30+Y31+Y32+Y33+Y35+Y36)</f>
        <v>22</v>
      </c>
      <c r="Z37" s="491">
        <f t="shared" ref="Z37:AN37" si="2">SUM(Z7+Z8+Z9+Z10+Z13+Z16+Z17+Z18+Z21+Z23+Z24+Z25+Z26+Z27+Z28+Z29+Z30+Z31+Z32+Z33+Z35+Z36)</f>
        <v>13</v>
      </c>
      <c r="AA37" s="491">
        <f t="shared" si="2"/>
        <v>0</v>
      </c>
      <c r="AB37" s="491">
        <f t="shared" si="2"/>
        <v>9</v>
      </c>
      <c r="AC37" s="501">
        <f t="shared" si="2"/>
        <v>11</v>
      </c>
      <c r="AD37" s="501">
        <f t="shared" si="2"/>
        <v>7</v>
      </c>
      <c r="AE37" s="501">
        <f t="shared" si="2"/>
        <v>0</v>
      </c>
      <c r="AF37" s="501">
        <f t="shared" si="2"/>
        <v>4</v>
      </c>
      <c r="AG37" s="488">
        <f t="shared" si="2"/>
        <v>11</v>
      </c>
      <c r="AH37" s="488">
        <f t="shared" si="2"/>
        <v>6</v>
      </c>
      <c r="AI37" s="488">
        <f t="shared" si="2"/>
        <v>0</v>
      </c>
      <c r="AJ37" s="488">
        <f t="shared" si="2"/>
        <v>5</v>
      </c>
      <c r="AK37" s="491">
        <f t="shared" si="2"/>
        <v>0</v>
      </c>
      <c r="AL37" s="491">
        <f t="shared" si="2"/>
        <v>0</v>
      </c>
      <c r="AM37" s="491">
        <f t="shared" si="2"/>
        <v>0</v>
      </c>
      <c r="AN37" s="491">
        <f t="shared" si="2"/>
        <v>0</v>
      </c>
    </row>
    <row r="38" spans="1:40" ht="14.95" customHeight="1" thickBot="1" x14ac:dyDescent="0.3">
      <c r="A38" s="499"/>
      <c r="B38" s="499"/>
      <c r="C38" s="1000" t="s">
        <v>197</v>
      </c>
      <c r="D38" s="1001"/>
      <c r="E38" s="1002"/>
      <c r="F38" s="491">
        <v>0</v>
      </c>
      <c r="G38" s="491">
        <v>0</v>
      </c>
      <c r="H38" s="492">
        <v>0</v>
      </c>
      <c r="I38" s="492">
        <v>0</v>
      </c>
      <c r="J38" s="491">
        <v>0</v>
      </c>
      <c r="K38" s="491">
        <v>0</v>
      </c>
      <c r="L38" s="491">
        <v>0</v>
      </c>
      <c r="M38" s="491">
        <v>0</v>
      </c>
      <c r="N38" s="491">
        <v>0</v>
      </c>
      <c r="O38" s="491">
        <v>0</v>
      </c>
      <c r="P38" s="492">
        <v>0</v>
      </c>
      <c r="Q38" s="492">
        <v>0</v>
      </c>
      <c r="R38" s="491">
        <v>0</v>
      </c>
      <c r="S38" s="502"/>
      <c r="T38" s="502"/>
      <c r="U38" s="502"/>
      <c r="V38" s="502"/>
      <c r="W38" s="500"/>
      <c r="X38" s="883" t="s">
        <v>197</v>
      </c>
      <c r="Y38" s="491">
        <v>0</v>
      </c>
      <c r="Z38" s="491">
        <v>0</v>
      </c>
      <c r="AA38" s="491">
        <v>0</v>
      </c>
      <c r="AB38" s="491">
        <v>0</v>
      </c>
      <c r="AC38" s="501">
        <v>0</v>
      </c>
      <c r="AD38" s="501">
        <v>0</v>
      </c>
      <c r="AE38" s="501">
        <v>0</v>
      </c>
      <c r="AF38" s="501">
        <v>0</v>
      </c>
      <c r="AG38" s="475">
        <v>0</v>
      </c>
      <c r="AH38" s="475">
        <v>0</v>
      </c>
      <c r="AI38" s="475">
        <v>0</v>
      </c>
      <c r="AJ38" s="475">
        <v>0</v>
      </c>
      <c r="AK38" s="491">
        <v>0</v>
      </c>
      <c r="AL38" s="491">
        <v>0</v>
      </c>
      <c r="AM38" s="491">
        <v>0</v>
      </c>
      <c r="AN38" s="491">
        <v>0</v>
      </c>
    </row>
    <row r="39" spans="1:40" ht="14.95" customHeight="1" thickBot="1" x14ac:dyDescent="0.3">
      <c r="A39" s="499"/>
      <c r="B39" s="499"/>
      <c r="C39" s="1000" t="s">
        <v>219</v>
      </c>
      <c r="D39" s="1001"/>
      <c r="E39" s="1002"/>
      <c r="F39" s="491">
        <f>SUM(F37+F38)</f>
        <v>546</v>
      </c>
      <c r="G39" s="491">
        <f>SUM(G37+G38)-20</f>
        <v>355</v>
      </c>
      <c r="H39" s="491">
        <f t="shared" ref="H39:R39" si="3">SUM(H37+H38)</f>
        <v>7</v>
      </c>
      <c r="I39" s="491">
        <f t="shared" si="3"/>
        <v>5</v>
      </c>
      <c r="J39" s="491">
        <f t="shared" si="3"/>
        <v>69</v>
      </c>
      <c r="K39" s="491">
        <f t="shared" si="3"/>
        <v>47</v>
      </c>
      <c r="L39" s="491">
        <f t="shared" si="3"/>
        <v>2</v>
      </c>
      <c r="M39" s="491">
        <f t="shared" si="3"/>
        <v>33</v>
      </c>
      <c r="N39" s="491">
        <f t="shared" si="3"/>
        <v>11</v>
      </c>
      <c r="O39" s="491">
        <f t="shared" si="3"/>
        <v>1</v>
      </c>
      <c r="P39" s="491">
        <f t="shared" si="3"/>
        <v>4</v>
      </c>
      <c r="Q39" s="491">
        <f t="shared" si="3"/>
        <v>3</v>
      </c>
      <c r="R39" s="491">
        <f t="shared" si="3"/>
        <v>42</v>
      </c>
      <c r="S39" s="502"/>
      <c r="T39" s="502"/>
      <c r="U39" s="502"/>
      <c r="V39" s="502"/>
      <c r="W39" s="500"/>
      <c r="X39" s="883" t="s">
        <v>219</v>
      </c>
      <c r="Y39" s="491">
        <f>SUM(Y37+Y38)-1</f>
        <v>21</v>
      </c>
      <c r="Z39" s="491">
        <f t="shared" ref="Z39:AN39" si="4">SUM(Z37+Z38)</f>
        <v>13</v>
      </c>
      <c r="AA39" s="491">
        <f t="shared" si="4"/>
        <v>0</v>
      </c>
      <c r="AB39" s="491">
        <f>SUM(AB37+AB38)-1</f>
        <v>8</v>
      </c>
      <c r="AC39" s="501">
        <f t="shared" si="4"/>
        <v>11</v>
      </c>
      <c r="AD39" s="501">
        <f t="shared" si="4"/>
        <v>7</v>
      </c>
      <c r="AE39" s="501">
        <f t="shared" si="4"/>
        <v>0</v>
      </c>
      <c r="AF39" s="501">
        <f t="shared" si="4"/>
        <v>4</v>
      </c>
      <c r="AG39" s="488">
        <f>SUM(AG37+AG38)-1</f>
        <v>10</v>
      </c>
      <c r="AH39" s="488">
        <f t="shared" si="4"/>
        <v>6</v>
      </c>
      <c r="AI39" s="488">
        <f t="shared" si="4"/>
        <v>0</v>
      </c>
      <c r="AJ39" s="488">
        <f>SUM(AJ37+AJ38)-1</f>
        <v>4</v>
      </c>
      <c r="AK39" s="491">
        <f t="shared" si="4"/>
        <v>0</v>
      </c>
      <c r="AL39" s="491">
        <f t="shared" si="4"/>
        <v>0</v>
      </c>
      <c r="AM39" s="491">
        <f t="shared" si="4"/>
        <v>0</v>
      </c>
      <c r="AN39" s="491">
        <f t="shared" si="4"/>
        <v>0</v>
      </c>
    </row>
    <row r="40" spans="1:40" ht="15.8" customHeight="1" thickBot="1" x14ac:dyDescent="0.3">
      <c r="A40" s="100"/>
      <c r="C40" s="1004" t="s">
        <v>144</v>
      </c>
      <c r="D40" s="1005"/>
      <c r="E40" s="1006"/>
      <c r="F40" s="410">
        <f t="shared" ref="F40:R40" si="5">SUM(F11+F12+F14+F15+F19+F20)</f>
        <v>92</v>
      </c>
      <c r="G40" s="410">
        <f t="shared" si="5"/>
        <v>160</v>
      </c>
      <c r="H40" s="410">
        <f t="shared" si="5"/>
        <v>0</v>
      </c>
      <c r="I40" s="410">
        <f t="shared" si="5"/>
        <v>3</v>
      </c>
      <c r="J40" s="410">
        <f t="shared" si="5"/>
        <v>11</v>
      </c>
      <c r="K40" s="410">
        <f t="shared" si="5"/>
        <v>7</v>
      </c>
      <c r="L40" s="410">
        <f t="shared" si="5"/>
        <v>0</v>
      </c>
      <c r="M40" s="410">
        <f t="shared" si="5"/>
        <v>7</v>
      </c>
      <c r="N40" s="410">
        <f t="shared" si="5"/>
        <v>4</v>
      </c>
      <c r="O40" s="410">
        <f t="shared" si="5"/>
        <v>1</v>
      </c>
      <c r="P40" s="410">
        <f t="shared" si="5"/>
        <v>3</v>
      </c>
      <c r="Q40" s="410">
        <f t="shared" si="5"/>
        <v>0</v>
      </c>
      <c r="R40" s="410">
        <f t="shared" si="5"/>
        <v>21</v>
      </c>
      <c r="S40" s="171"/>
      <c r="T40" s="171"/>
      <c r="U40" s="171"/>
      <c r="V40" s="171"/>
      <c r="W40" s="403"/>
      <c r="X40" s="399" t="s">
        <v>144</v>
      </c>
      <c r="Y40" s="410">
        <f t="shared" ref="Y40:AN40" si="6">SUM(Y11+Y12+Y14+Y15+Y19+Y20)</f>
        <v>6</v>
      </c>
      <c r="Z40" s="406">
        <f t="shared" si="6"/>
        <v>1</v>
      </c>
      <c r="AA40" s="406">
        <f t="shared" si="6"/>
        <v>0</v>
      </c>
      <c r="AB40" s="406">
        <f t="shared" si="6"/>
        <v>5</v>
      </c>
      <c r="AC40" s="404">
        <f t="shared" si="6"/>
        <v>3</v>
      </c>
      <c r="AD40" s="404">
        <f t="shared" si="6"/>
        <v>1</v>
      </c>
      <c r="AE40" s="404">
        <f t="shared" si="6"/>
        <v>0</v>
      </c>
      <c r="AF40" s="404">
        <f t="shared" si="6"/>
        <v>2</v>
      </c>
      <c r="AG40" s="405">
        <f t="shared" si="6"/>
        <v>3</v>
      </c>
      <c r="AH40" s="405">
        <f t="shared" si="6"/>
        <v>0</v>
      </c>
      <c r="AI40" s="405">
        <f t="shared" si="6"/>
        <v>0</v>
      </c>
      <c r="AJ40" s="405">
        <f t="shared" si="6"/>
        <v>3</v>
      </c>
      <c r="AK40" s="406">
        <f t="shared" si="6"/>
        <v>0</v>
      </c>
      <c r="AL40" s="406">
        <f t="shared" si="6"/>
        <v>0</v>
      </c>
      <c r="AM40" s="406">
        <f t="shared" si="6"/>
        <v>0</v>
      </c>
      <c r="AN40" s="406">
        <f t="shared" si="6"/>
        <v>0</v>
      </c>
    </row>
    <row r="41" spans="1:40" ht="14.95" customHeight="1" thickBot="1" x14ac:dyDescent="0.3">
      <c r="A41" s="100"/>
      <c r="C41" s="1004" t="s">
        <v>195</v>
      </c>
      <c r="D41" s="1007"/>
      <c r="E41" s="1008"/>
      <c r="F41" s="410">
        <v>0</v>
      </c>
      <c r="G41" s="410">
        <v>0</v>
      </c>
      <c r="H41" s="406" t="s">
        <v>77</v>
      </c>
      <c r="I41" s="406" t="s">
        <v>77</v>
      </c>
      <c r="J41" s="410">
        <v>0</v>
      </c>
      <c r="K41" s="410">
        <v>0</v>
      </c>
      <c r="L41" s="410">
        <v>0</v>
      </c>
      <c r="M41" s="410">
        <v>0</v>
      </c>
      <c r="N41" s="410">
        <v>0</v>
      </c>
      <c r="O41" s="410">
        <v>0</v>
      </c>
      <c r="P41" s="406" t="s">
        <v>77</v>
      </c>
      <c r="Q41" s="406" t="s">
        <v>77</v>
      </c>
      <c r="R41" s="410">
        <v>0</v>
      </c>
      <c r="S41" s="171"/>
      <c r="T41" s="171"/>
      <c r="U41" s="171"/>
      <c r="V41" s="171"/>
      <c r="W41" s="403"/>
      <c r="X41" s="399" t="s">
        <v>195</v>
      </c>
      <c r="Y41" s="410">
        <v>0</v>
      </c>
      <c r="Z41" s="410">
        <v>0</v>
      </c>
      <c r="AA41" s="410">
        <v>0</v>
      </c>
      <c r="AB41" s="410">
        <v>0</v>
      </c>
      <c r="AC41" s="408">
        <v>0</v>
      </c>
      <c r="AD41" s="408">
        <v>0</v>
      </c>
      <c r="AE41" s="408">
        <v>0</v>
      </c>
      <c r="AF41" s="408">
        <v>0</v>
      </c>
      <c r="AG41" s="409">
        <v>0</v>
      </c>
      <c r="AH41" s="409">
        <v>0</v>
      </c>
      <c r="AI41" s="409">
        <v>0</v>
      </c>
      <c r="AJ41" s="409">
        <v>0</v>
      </c>
      <c r="AK41" s="410">
        <v>0</v>
      </c>
      <c r="AL41" s="410">
        <v>0</v>
      </c>
      <c r="AM41" s="410">
        <v>0</v>
      </c>
      <c r="AN41" s="410">
        <v>0</v>
      </c>
    </row>
    <row r="42" spans="1:40" ht="14.95" customHeight="1" thickBot="1" x14ac:dyDescent="0.3">
      <c r="A42" s="100"/>
      <c r="C42" s="1009" t="s">
        <v>230</v>
      </c>
      <c r="D42" s="1007"/>
      <c r="E42" s="1008"/>
      <c r="F42" s="384">
        <f>SUM(F40+F41)</f>
        <v>92</v>
      </c>
      <c r="G42" s="384">
        <f t="shared" ref="G42:R42" si="7">SUM(G40+G41)</f>
        <v>160</v>
      </c>
      <c r="H42" s="384">
        <f>SUM(H40)</f>
        <v>0</v>
      </c>
      <c r="I42" s="384">
        <f>SUM(I40)</f>
        <v>3</v>
      </c>
      <c r="J42" s="384">
        <f t="shared" si="7"/>
        <v>11</v>
      </c>
      <c r="K42" s="384">
        <f t="shared" si="7"/>
        <v>7</v>
      </c>
      <c r="L42" s="384">
        <f t="shared" si="7"/>
        <v>0</v>
      </c>
      <c r="M42" s="384">
        <f t="shared" si="7"/>
        <v>7</v>
      </c>
      <c r="N42" s="384">
        <f t="shared" si="7"/>
        <v>4</v>
      </c>
      <c r="O42" s="384">
        <f t="shared" si="7"/>
        <v>1</v>
      </c>
      <c r="P42" s="384">
        <f t="shared" ref="P42:Q42" si="8">SUM(P40)</f>
        <v>3</v>
      </c>
      <c r="Q42" s="384">
        <f t="shared" si="8"/>
        <v>0</v>
      </c>
      <c r="R42" s="384">
        <f t="shared" si="7"/>
        <v>21</v>
      </c>
      <c r="S42" s="171"/>
      <c r="T42" s="171"/>
      <c r="U42" s="171"/>
      <c r="V42" s="171"/>
      <c r="W42" s="172"/>
      <c r="X42" s="887" t="s">
        <v>230</v>
      </c>
      <c r="Y42" s="384">
        <f t="shared" ref="Y42:AN42" si="9">SUM(Y40+Y41)</f>
        <v>6</v>
      </c>
      <c r="Z42" s="384">
        <f t="shared" si="9"/>
        <v>1</v>
      </c>
      <c r="AA42" s="384">
        <f t="shared" si="9"/>
        <v>0</v>
      </c>
      <c r="AB42" s="384">
        <f t="shared" si="9"/>
        <v>5</v>
      </c>
      <c r="AC42" s="92">
        <f t="shared" si="9"/>
        <v>3</v>
      </c>
      <c r="AD42" s="92">
        <f t="shared" si="9"/>
        <v>1</v>
      </c>
      <c r="AE42" s="92">
        <f t="shared" si="9"/>
        <v>0</v>
      </c>
      <c r="AF42" s="92">
        <f t="shared" si="9"/>
        <v>2</v>
      </c>
      <c r="AG42" s="383">
        <f t="shared" si="9"/>
        <v>3</v>
      </c>
      <c r="AH42" s="383">
        <f t="shared" si="9"/>
        <v>0</v>
      </c>
      <c r="AI42" s="383">
        <f t="shared" si="9"/>
        <v>0</v>
      </c>
      <c r="AJ42" s="383">
        <f t="shared" si="9"/>
        <v>3</v>
      </c>
      <c r="AK42" s="384">
        <f t="shared" si="9"/>
        <v>0</v>
      </c>
      <c r="AL42" s="384">
        <f t="shared" si="9"/>
        <v>0</v>
      </c>
      <c r="AM42" s="384">
        <f t="shared" si="9"/>
        <v>0</v>
      </c>
      <c r="AN42" s="384">
        <f t="shared" si="9"/>
        <v>0</v>
      </c>
    </row>
    <row r="43" spans="1:40" ht="15.8" customHeight="1" thickBot="1" x14ac:dyDescent="0.3">
      <c r="A43" s="100"/>
      <c r="C43" s="977" t="s">
        <v>227</v>
      </c>
      <c r="D43" s="978"/>
      <c r="E43" s="979"/>
      <c r="F43" s="541">
        <f t="shared" ref="F43:R43" si="10">SUM(F3+F4+F5+F6)</f>
        <v>126</v>
      </c>
      <c r="G43" s="541">
        <f t="shared" si="10"/>
        <v>77</v>
      </c>
      <c r="H43" s="541">
        <f t="shared" si="10"/>
        <v>3</v>
      </c>
      <c r="I43" s="541">
        <f t="shared" si="10"/>
        <v>0</v>
      </c>
      <c r="J43" s="541">
        <f t="shared" si="10"/>
        <v>18</v>
      </c>
      <c r="K43" s="541">
        <f t="shared" si="10"/>
        <v>11</v>
      </c>
      <c r="L43" s="541">
        <f t="shared" si="10"/>
        <v>0</v>
      </c>
      <c r="M43" s="541">
        <f t="shared" si="10"/>
        <v>4</v>
      </c>
      <c r="N43" s="541">
        <f t="shared" si="10"/>
        <v>2</v>
      </c>
      <c r="O43" s="541">
        <f t="shared" si="10"/>
        <v>0</v>
      </c>
      <c r="P43" s="541">
        <f t="shared" si="10"/>
        <v>9</v>
      </c>
      <c r="Q43" s="541">
        <f t="shared" si="10"/>
        <v>2</v>
      </c>
      <c r="R43" s="541">
        <f t="shared" si="10"/>
        <v>9</v>
      </c>
      <c r="S43" s="534"/>
      <c r="T43" s="534"/>
      <c r="U43" s="534"/>
      <c r="V43" s="535"/>
      <c r="W43" s="535"/>
      <c r="X43" s="888" t="s">
        <v>227</v>
      </c>
      <c r="Y43" s="541">
        <f t="shared" ref="Y43:AN43" si="11">SUM(Y3+Y4+Y5+Y6)</f>
        <v>4</v>
      </c>
      <c r="Z43" s="541">
        <f t="shared" si="11"/>
        <v>4</v>
      </c>
      <c r="AA43" s="541">
        <f t="shared" si="11"/>
        <v>0</v>
      </c>
      <c r="AB43" s="541">
        <f t="shared" si="11"/>
        <v>0</v>
      </c>
      <c r="AC43" s="536">
        <f t="shared" si="11"/>
        <v>2</v>
      </c>
      <c r="AD43" s="536">
        <f t="shared" si="11"/>
        <v>2</v>
      </c>
      <c r="AE43" s="536">
        <f t="shared" si="11"/>
        <v>0</v>
      </c>
      <c r="AF43" s="536">
        <f t="shared" si="11"/>
        <v>0</v>
      </c>
      <c r="AG43" s="537">
        <f t="shared" si="11"/>
        <v>2</v>
      </c>
      <c r="AH43" s="537">
        <f t="shared" si="11"/>
        <v>2</v>
      </c>
      <c r="AI43" s="537">
        <f t="shared" si="11"/>
        <v>0</v>
      </c>
      <c r="AJ43" s="537">
        <f t="shared" si="11"/>
        <v>0</v>
      </c>
      <c r="AK43" s="538">
        <f t="shared" si="11"/>
        <v>0</v>
      </c>
      <c r="AL43" s="538">
        <f t="shared" si="11"/>
        <v>0</v>
      </c>
      <c r="AM43" s="538">
        <f t="shared" si="11"/>
        <v>0</v>
      </c>
      <c r="AN43" s="538">
        <f t="shared" si="11"/>
        <v>0</v>
      </c>
    </row>
    <row r="44" spans="1:40" ht="14.95" customHeight="1" thickBot="1" x14ac:dyDescent="0.3">
      <c r="C44" s="977" t="s">
        <v>228</v>
      </c>
      <c r="D44" s="978"/>
      <c r="E44" s="979"/>
      <c r="F44" s="541">
        <f>SUM(F22+F34)</f>
        <v>55</v>
      </c>
      <c r="G44" s="541">
        <f>SUM(G22+G34)</f>
        <v>26</v>
      </c>
      <c r="H44" s="538" t="s">
        <v>77</v>
      </c>
      <c r="I44" s="538" t="s">
        <v>77</v>
      </c>
      <c r="J44" s="541">
        <f t="shared" ref="J44:O44" si="12">SUM(J22+J34)</f>
        <v>7</v>
      </c>
      <c r="K44" s="541">
        <f t="shared" si="12"/>
        <v>7</v>
      </c>
      <c r="L44" s="541">
        <f t="shared" si="12"/>
        <v>0</v>
      </c>
      <c r="M44" s="541">
        <f t="shared" si="12"/>
        <v>2</v>
      </c>
      <c r="N44" s="541">
        <f t="shared" si="12"/>
        <v>0</v>
      </c>
      <c r="O44" s="541">
        <f t="shared" si="12"/>
        <v>0</v>
      </c>
      <c r="P44" s="538" t="s">
        <v>77</v>
      </c>
      <c r="Q44" s="538" t="s">
        <v>77</v>
      </c>
      <c r="R44" s="541">
        <f>SUM(R22+R34)</f>
        <v>2</v>
      </c>
      <c r="S44" s="534"/>
      <c r="T44" s="534"/>
      <c r="U44" s="534"/>
      <c r="V44" s="534"/>
      <c r="W44" s="535"/>
      <c r="X44" s="888" t="s">
        <v>228</v>
      </c>
      <c r="Y44" s="541">
        <f t="shared" ref="Y44:AN44" si="13">SUM(Y22+Y34)</f>
        <v>2</v>
      </c>
      <c r="Z44" s="541">
        <f t="shared" si="13"/>
        <v>2</v>
      </c>
      <c r="AA44" s="541">
        <f t="shared" si="13"/>
        <v>0</v>
      </c>
      <c r="AB44" s="541">
        <f t="shared" si="13"/>
        <v>0</v>
      </c>
      <c r="AC44" s="539">
        <f t="shared" si="13"/>
        <v>2</v>
      </c>
      <c r="AD44" s="539">
        <f t="shared" si="13"/>
        <v>2</v>
      </c>
      <c r="AE44" s="539">
        <f t="shared" si="13"/>
        <v>0</v>
      </c>
      <c r="AF44" s="539">
        <f t="shared" si="13"/>
        <v>0</v>
      </c>
      <c r="AG44" s="540">
        <f t="shared" si="13"/>
        <v>0</v>
      </c>
      <c r="AH44" s="540">
        <f t="shared" si="13"/>
        <v>0</v>
      </c>
      <c r="AI44" s="540">
        <f t="shared" si="13"/>
        <v>0</v>
      </c>
      <c r="AJ44" s="540">
        <f t="shared" si="13"/>
        <v>0</v>
      </c>
      <c r="AK44" s="541">
        <f t="shared" si="13"/>
        <v>0</v>
      </c>
      <c r="AL44" s="541">
        <f t="shared" si="13"/>
        <v>0</v>
      </c>
      <c r="AM44" s="541">
        <f t="shared" si="13"/>
        <v>0</v>
      </c>
      <c r="AN44" s="541">
        <f t="shared" si="13"/>
        <v>0</v>
      </c>
    </row>
    <row r="45" spans="1:40" ht="14.95" thickBot="1" x14ac:dyDescent="0.3">
      <c r="C45" s="1010" t="s">
        <v>229</v>
      </c>
      <c r="D45" s="978"/>
      <c r="E45" s="979"/>
      <c r="F45" s="545">
        <f>SUM(F43+F44)</f>
        <v>181</v>
      </c>
      <c r="G45" s="545">
        <f t="shared" ref="G45:R45" si="14">SUM(G43+G44)</f>
        <v>103</v>
      </c>
      <c r="H45" s="545">
        <f>H43</f>
        <v>3</v>
      </c>
      <c r="I45" s="545">
        <f>I43</f>
        <v>0</v>
      </c>
      <c r="J45" s="545">
        <f t="shared" si="14"/>
        <v>25</v>
      </c>
      <c r="K45" s="545">
        <f t="shared" si="14"/>
        <v>18</v>
      </c>
      <c r="L45" s="545">
        <f t="shared" si="14"/>
        <v>0</v>
      </c>
      <c r="M45" s="545">
        <f t="shared" si="14"/>
        <v>6</v>
      </c>
      <c r="N45" s="545">
        <f t="shared" si="14"/>
        <v>2</v>
      </c>
      <c r="O45" s="545">
        <f t="shared" si="14"/>
        <v>0</v>
      </c>
      <c r="P45" s="545">
        <f t="shared" ref="P45:Q45" si="15">P43</f>
        <v>9</v>
      </c>
      <c r="Q45" s="545">
        <f t="shared" si="15"/>
        <v>2</v>
      </c>
      <c r="R45" s="545">
        <f t="shared" si="14"/>
        <v>11</v>
      </c>
      <c r="S45" s="534"/>
      <c r="T45" s="534"/>
      <c r="U45" s="534"/>
      <c r="V45" s="534"/>
      <c r="W45" s="542"/>
      <c r="X45" s="885" t="s">
        <v>229</v>
      </c>
      <c r="Y45" s="545">
        <f t="shared" ref="Y45:AN45" si="16">SUM(Y43+Y44)</f>
        <v>6</v>
      </c>
      <c r="Z45" s="545">
        <f t="shared" si="16"/>
        <v>6</v>
      </c>
      <c r="AA45" s="545">
        <f t="shared" si="16"/>
        <v>0</v>
      </c>
      <c r="AB45" s="545">
        <f t="shared" si="16"/>
        <v>0</v>
      </c>
      <c r="AC45" s="543">
        <f t="shared" si="16"/>
        <v>4</v>
      </c>
      <c r="AD45" s="543">
        <f t="shared" si="16"/>
        <v>4</v>
      </c>
      <c r="AE45" s="543">
        <f t="shared" si="16"/>
        <v>0</v>
      </c>
      <c r="AF45" s="543">
        <f t="shared" si="16"/>
        <v>0</v>
      </c>
      <c r="AG45" s="544">
        <f t="shared" si="16"/>
        <v>2</v>
      </c>
      <c r="AH45" s="544">
        <f t="shared" si="16"/>
        <v>2</v>
      </c>
      <c r="AI45" s="544">
        <f t="shared" si="16"/>
        <v>0</v>
      </c>
      <c r="AJ45" s="544">
        <f t="shared" si="16"/>
        <v>0</v>
      </c>
      <c r="AK45" s="545">
        <f t="shared" si="16"/>
        <v>0</v>
      </c>
      <c r="AL45" s="545">
        <f t="shared" si="16"/>
        <v>0</v>
      </c>
      <c r="AM45" s="545">
        <f t="shared" si="16"/>
        <v>0</v>
      </c>
      <c r="AN45" s="545">
        <f t="shared" si="16"/>
        <v>0</v>
      </c>
    </row>
    <row r="46" spans="1:40" ht="15.8" customHeight="1" thickBot="1" x14ac:dyDescent="0.3">
      <c r="A46" s="100"/>
      <c r="C46" s="980" t="s">
        <v>63</v>
      </c>
      <c r="D46" s="981"/>
      <c r="E46" s="982"/>
      <c r="F46" s="378">
        <f t="shared" ref="F46:R46" si="17">SUM(F3:F36)</f>
        <v>819</v>
      </c>
      <c r="G46" s="378">
        <f t="shared" si="17"/>
        <v>638</v>
      </c>
      <c r="H46" s="378">
        <f t="shared" si="17"/>
        <v>10</v>
      </c>
      <c r="I46" s="378">
        <f t="shared" si="17"/>
        <v>8</v>
      </c>
      <c r="J46" s="378">
        <f t="shared" si="17"/>
        <v>105</v>
      </c>
      <c r="K46" s="378">
        <f t="shared" si="17"/>
        <v>72</v>
      </c>
      <c r="L46" s="378">
        <f t="shared" si="17"/>
        <v>2</v>
      </c>
      <c r="M46" s="378">
        <f t="shared" si="17"/>
        <v>46</v>
      </c>
      <c r="N46" s="378">
        <f t="shared" si="17"/>
        <v>17</v>
      </c>
      <c r="O46" s="378">
        <f t="shared" si="17"/>
        <v>2</v>
      </c>
      <c r="P46" s="378">
        <f t="shared" si="17"/>
        <v>16</v>
      </c>
      <c r="Q46" s="378">
        <f t="shared" si="17"/>
        <v>5</v>
      </c>
      <c r="R46" s="378">
        <f t="shared" si="17"/>
        <v>74</v>
      </c>
      <c r="S46" s="168"/>
      <c r="T46" s="168"/>
      <c r="U46" s="168"/>
      <c r="V46" s="169"/>
      <c r="W46" s="169"/>
      <c r="X46" s="886" t="s">
        <v>63</v>
      </c>
      <c r="Y46" s="378">
        <f t="shared" ref="Y46:AN46" si="18">SUM(Y3:Y36)</f>
        <v>34</v>
      </c>
      <c r="Z46" s="378">
        <f t="shared" si="18"/>
        <v>20</v>
      </c>
      <c r="AA46" s="378">
        <f t="shared" si="18"/>
        <v>0</v>
      </c>
      <c r="AB46" s="378">
        <f t="shared" si="18"/>
        <v>14</v>
      </c>
      <c r="AC46" s="66">
        <f t="shared" si="18"/>
        <v>18</v>
      </c>
      <c r="AD46" s="66">
        <f t="shared" si="18"/>
        <v>12</v>
      </c>
      <c r="AE46" s="66">
        <f t="shared" si="18"/>
        <v>0</v>
      </c>
      <c r="AF46" s="66">
        <f t="shared" si="18"/>
        <v>6</v>
      </c>
      <c r="AG46" s="377">
        <f t="shared" si="18"/>
        <v>16</v>
      </c>
      <c r="AH46" s="377">
        <f t="shared" si="18"/>
        <v>8</v>
      </c>
      <c r="AI46" s="377">
        <f t="shared" si="18"/>
        <v>0</v>
      </c>
      <c r="AJ46" s="377">
        <f t="shared" si="18"/>
        <v>8</v>
      </c>
      <c r="AK46" s="378">
        <f t="shared" si="18"/>
        <v>0</v>
      </c>
      <c r="AL46" s="378">
        <f t="shared" si="18"/>
        <v>0</v>
      </c>
      <c r="AM46" s="378">
        <f t="shared" si="18"/>
        <v>0</v>
      </c>
      <c r="AN46" s="378">
        <f t="shared" si="18"/>
        <v>0</v>
      </c>
    </row>
    <row r="47" spans="1:40" x14ac:dyDescent="0.25">
      <c r="A47" s="100"/>
    </row>
    <row r="48" spans="1:40" x14ac:dyDescent="0.25">
      <c r="A48" s="100" t="s">
        <v>971</v>
      </c>
    </row>
    <row r="49" spans="1:27" x14ac:dyDescent="0.25">
      <c r="A49" s="100" t="s">
        <v>107</v>
      </c>
    </row>
    <row r="50" spans="1:27" x14ac:dyDescent="0.25">
      <c r="C50" s="154"/>
      <c r="D50" s="154"/>
      <c r="E50" s="154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99"/>
      <c r="T50" s="99"/>
      <c r="U50" s="99"/>
      <c r="V50" s="99"/>
      <c r="W50" s="84"/>
      <c r="X50" s="84"/>
      <c r="Y50" s="2"/>
      <c r="Z50" s="2"/>
      <c r="AA50" s="2"/>
    </row>
    <row r="51" spans="1:27" x14ac:dyDescent="0.25">
      <c r="A51" s="4" t="s">
        <v>138</v>
      </c>
    </row>
    <row r="52" spans="1:27" x14ac:dyDescent="0.25">
      <c r="D52" s="4"/>
      <c r="E52" s="4"/>
      <c r="F52" s="4" t="s">
        <v>132</v>
      </c>
      <c r="G52" s="4"/>
      <c r="H52" s="4"/>
      <c r="I52" s="4"/>
      <c r="J52" s="4"/>
      <c r="K52" s="4"/>
      <c r="L52" s="4" t="s">
        <v>66</v>
      </c>
      <c r="M52" s="4"/>
      <c r="N52" s="4"/>
      <c r="O52" s="4"/>
      <c r="Q52" s="4" t="s">
        <v>137</v>
      </c>
      <c r="W52" s="4" t="s">
        <v>64</v>
      </c>
    </row>
    <row r="53" spans="1:27" x14ac:dyDescent="0.25">
      <c r="D53" s="4"/>
      <c r="E53" s="119" t="s">
        <v>31</v>
      </c>
      <c r="F53" s="119" t="s">
        <v>32</v>
      </c>
      <c r="G53" s="119" t="s">
        <v>33</v>
      </c>
      <c r="H53" s="119" t="s">
        <v>34</v>
      </c>
      <c r="I53" s="119" t="s">
        <v>3</v>
      </c>
      <c r="J53" s="120"/>
      <c r="K53" s="119" t="s">
        <v>31</v>
      </c>
      <c r="L53" s="119" t="s">
        <v>32</v>
      </c>
      <c r="M53" s="119" t="s">
        <v>33</v>
      </c>
      <c r="N53" s="119" t="s">
        <v>34</v>
      </c>
      <c r="O53" s="119" t="s">
        <v>3</v>
      </c>
      <c r="P53" s="117"/>
      <c r="Q53" s="119" t="s">
        <v>31</v>
      </c>
      <c r="R53" s="119" t="s">
        <v>32</v>
      </c>
      <c r="S53" s="119" t="s">
        <v>33</v>
      </c>
      <c r="T53" s="119" t="s">
        <v>34</v>
      </c>
      <c r="U53" s="119" t="s">
        <v>3</v>
      </c>
      <c r="V53" s="120"/>
      <c r="W53" s="119" t="s">
        <v>31</v>
      </c>
      <c r="X53" s="119" t="s">
        <v>32</v>
      </c>
      <c r="Y53" s="119" t="s">
        <v>33</v>
      </c>
      <c r="Z53" s="119" t="s">
        <v>34</v>
      </c>
      <c r="AA53" s="119" t="s">
        <v>3</v>
      </c>
    </row>
    <row r="54" spans="1:27" x14ac:dyDescent="0.25">
      <c r="C54" s="4" t="s">
        <v>133</v>
      </c>
      <c r="D54" s="4"/>
      <c r="E54">
        <v>11</v>
      </c>
      <c r="F54">
        <v>5</v>
      </c>
      <c r="G54">
        <v>2</v>
      </c>
      <c r="H54">
        <v>4</v>
      </c>
      <c r="I54" s="118">
        <f>SUM(F54+G54*0.5)/E54*100</f>
        <v>54.54545454545454</v>
      </c>
      <c r="J54" s="117"/>
      <c r="K54">
        <v>11</v>
      </c>
      <c r="L54">
        <v>5</v>
      </c>
      <c r="M54">
        <v>0</v>
      </c>
      <c r="N54">
        <v>6</v>
      </c>
      <c r="O54" s="118">
        <f>SUM(L54+M54*0.5)/K54*100</f>
        <v>45.454545454545453</v>
      </c>
      <c r="P54" s="117"/>
      <c r="Q54">
        <v>0</v>
      </c>
      <c r="R54">
        <v>0</v>
      </c>
      <c r="S54">
        <v>0</v>
      </c>
      <c r="T54">
        <v>0</v>
      </c>
      <c r="V54" s="117"/>
      <c r="W54">
        <f>SUM(E54+K54)</f>
        <v>22</v>
      </c>
      <c r="X54">
        <f>SUM(F54+L54)</f>
        <v>10</v>
      </c>
      <c r="Y54">
        <f>SUM(G54+M54)</f>
        <v>2</v>
      </c>
      <c r="Z54">
        <f>SUM(H54+N54)</f>
        <v>10</v>
      </c>
      <c r="AA54" s="118">
        <f>SUM(X54+Y54*0.5)/W54*100</f>
        <v>50</v>
      </c>
    </row>
    <row r="55" spans="1:27" x14ac:dyDescent="0.25">
      <c r="C55" s="4" t="s">
        <v>117</v>
      </c>
      <c r="D55" s="4"/>
      <c r="E55">
        <v>13</v>
      </c>
      <c r="F55">
        <v>6</v>
      </c>
      <c r="G55">
        <v>0</v>
      </c>
      <c r="H55">
        <v>7</v>
      </c>
      <c r="I55" s="118">
        <f t="shared" ref="I55:I76" si="19">SUM(F55+G55*0.5)/E55*100</f>
        <v>46.153846153846153</v>
      </c>
      <c r="J55" s="117"/>
      <c r="K55">
        <v>13</v>
      </c>
      <c r="L55">
        <v>3</v>
      </c>
      <c r="M55">
        <v>1</v>
      </c>
      <c r="N55">
        <v>9</v>
      </c>
      <c r="O55" s="118">
        <f t="shared" ref="O55:O76" si="20">SUM(L55+M55*0.5)/K55*100</f>
        <v>26.923076923076923</v>
      </c>
      <c r="P55" s="117"/>
      <c r="Q55">
        <v>0</v>
      </c>
      <c r="R55">
        <v>0</v>
      </c>
      <c r="S55">
        <v>0</v>
      </c>
      <c r="T55">
        <v>0</v>
      </c>
      <c r="V55" s="117"/>
      <c r="W55">
        <f t="shared" ref="W55:W75" si="21">SUM(E55+K55)</f>
        <v>26</v>
      </c>
      <c r="X55">
        <f t="shared" ref="X55:X75" si="22">SUM(F55+L55)</f>
        <v>9</v>
      </c>
      <c r="Y55">
        <f t="shared" ref="Y55:Y75" si="23">SUM(G55+M55)</f>
        <v>1</v>
      </c>
      <c r="Z55">
        <f t="shared" ref="Z55:Z75" si="24">SUM(H55+N55)</f>
        <v>16</v>
      </c>
      <c r="AA55" s="118">
        <f t="shared" ref="AA55:AA76" si="25">SUM(X55+Y55*0.5)/W55*100</f>
        <v>36.538461538461533</v>
      </c>
    </row>
    <row r="56" spans="1:27" x14ac:dyDescent="0.25">
      <c r="C56" s="4" t="s">
        <v>118</v>
      </c>
      <c r="D56" s="4"/>
      <c r="E56">
        <v>11</v>
      </c>
      <c r="F56">
        <v>5</v>
      </c>
      <c r="G56">
        <v>0</v>
      </c>
      <c r="H56">
        <v>6</v>
      </c>
      <c r="I56" s="118">
        <f t="shared" si="19"/>
        <v>45.454545454545453</v>
      </c>
      <c r="J56" s="117"/>
      <c r="K56">
        <v>11</v>
      </c>
      <c r="L56">
        <v>2</v>
      </c>
      <c r="M56">
        <v>0</v>
      </c>
      <c r="N56">
        <v>9</v>
      </c>
      <c r="O56" s="118">
        <f t="shared" si="20"/>
        <v>18.181818181818183</v>
      </c>
      <c r="P56" s="117"/>
      <c r="Q56">
        <v>0</v>
      </c>
      <c r="R56">
        <v>0</v>
      </c>
      <c r="S56">
        <v>0</v>
      </c>
      <c r="T56">
        <v>0</v>
      </c>
      <c r="V56" s="117"/>
      <c r="W56">
        <f t="shared" si="21"/>
        <v>22</v>
      </c>
      <c r="X56">
        <f t="shared" si="22"/>
        <v>7</v>
      </c>
      <c r="Y56">
        <f t="shared" si="23"/>
        <v>0</v>
      </c>
      <c r="Z56">
        <f t="shared" si="24"/>
        <v>15</v>
      </c>
      <c r="AA56" s="118">
        <f t="shared" si="25"/>
        <v>31.818181818181817</v>
      </c>
    </row>
    <row r="57" spans="1:27" x14ac:dyDescent="0.25">
      <c r="C57" s="4" t="s">
        <v>119</v>
      </c>
      <c r="D57" s="4"/>
      <c r="E57">
        <v>11</v>
      </c>
      <c r="F57">
        <v>5</v>
      </c>
      <c r="G57">
        <v>1</v>
      </c>
      <c r="H57">
        <v>5</v>
      </c>
      <c r="I57" s="118">
        <f t="shared" si="19"/>
        <v>50</v>
      </c>
      <c r="J57" s="117"/>
      <c r="K57">
        <v>11</v>
      </c>
      <c r="L57">
        <v>3</v>
      </c>
      <c r="M57">
        <v>0</v>
      </c>
      <c r="N57">
        <v>8</v>
      </c>
      <c r="O57" s="118">
        <f t="shared" si="20"/>
        <v>27.27272727272727</v>
      </c>
      <c r="P57" s="117"/>
      <c r="Q57">
        <v>0</v>
      </c>
      <c r="R57">
        <v>0</v>
      </c>
      <c r="S57">
        <v>0</v>
      </c>
      <c r="T57">
        <v>0</v>
      </c>
      <c r="V57" s="117"/>
      <c r="W57">
        <f t="shared" si="21"/>
        <v>22</v>
      </c>
      <c r="X57">
        <f t="shared" si="22"/>
        <v>8</v>
      </c>
      <c r="Y57">
        <f t="shared" si="23"/>
        <v>1</v>
      </c>
      <c r="Z57">
        <f t="shared" si="24"/>
        <v>13</v>
      </c>
      <c r="AA57" s="118">
        <f t="shared" si="25"/>
        <v>38.636363636363633</v>
      </c>
    </row>
    <row r="58" spans="1:27" x14ac:dyDescent="0.25">
      <c r="C58" s="4" t="s">
        <v>120</v>
      </c>
      <c r="D58" s="4"/>
      <c r="E58">
        <v>11</v>
      </c>
      <c r="F58">
        <v>8</v>
      </c>
      <c r="G58">
        <v>1</v>
      </c>
      <c r="H58">
        <v>2</v>
      </c>
      <c r="I58" s="118">
        <f t="shared" si="19"/>
        <v>77.272727272727266</v>
      </c>
      <c r="J58" s="117"/>
      <c r="K58">
        <v>11</v>
      </c>
      <c r="L58">
        <v>6</v>
      </c>
      <c r="M58">
        <v>0</v>
      </c>
      <c r="N58">
        <v>5</v>
      </c>
      <c r="O58" s="118">
        <f t="shared" si="20"/>
        <v>54.54545454545454</v>
      </c>
      <c r="P58" s="117"/>
      <c r="Q58">
        <v>0</v>
      </c>
      <c r="R58">
        <v>0</v>
      </c>
      <c r="S58">
        <v>0</v>
      </c>
      <c r="T58">
        <v>0</v>
      </c>
      <c r="V58" s="117"/>
      <c r="W58">
        <f t="shared" si="21"/>
        <v>22</v>
      </c>
      <c r="X58">
        <f t="shared" si="22"/>
        <v>14</v>
      </c>
      <c r="Y58">
        <f t="shared" si="23"/>
        <v>1</v>
      </c>
      <c r="Z58">
        <f t="shared" si="24"/>
        <v>7</v>
      </c>
      <c r="AA58" s="118">
        <f t="shared" si="25"/>
        <v>65.909090909090907</v>
      </c>
    </row>
    <row r="59" spans="1:27" x14ac:dyDescent="0.25">
      <c r="C59" s="4" t="s">
        <v>121</v>
      </c>
      <c r="D59" s="4"/>
      <c r="E59">
        <v>11</v>
      </c>
      <c r="F59">
        <v>9</v>
      </c>
      <c r="G59">
        <v>1</v>
      </c>
      <c r="H59">
        <v>1</v>
      </c>
      <c r="I59" s="118">
        <f t="shared" si="19"/>
        <v>86.36363636363636</v>
      </c>
      <c r="J59" s="117"/>
      <c r="K59">
        <v>11</v>
      </c>
      <c r="L59">
        <v>3</v>
      </c>
      <c r="M59">
        <v>1</v>
      </c>
      <c r="N59">
        <v>7</v>
      </c>
      <c r="O59" s="118">
        <f t="shared" si="20"/>
        <v>31.818181818181817</v>
      </c>
      <c r="P59" s="117"/>
      <c r="Q59">
        <v>0</v>
      </c>
      <c r="R59">
        <v>0</v>
      </c>
      <c r="S59">
        <v>0</v>
      </c>
      <c r="T59">
        <v>0</v>
      </c>
      <c r="V59" s="117"/>
      <c r="W59">
        <f t="shared" si="21"/>
        <v>22</v>
      </c>
      <c r="X59">
        <f t="shared" si="22"/>
        <v>12</v>
      </c>
      <c r="Y59">
        <f t="shared" si="23"/>
        <v>2</v>
      </c>
      <c r="Z59">
        <f t="shared" si="24"/>
        <v>8</v>
      </c>
      <c r="AA59" s="118">
        <f t="shared" si="25"/>
        <v>59.090909090909093</v>
      </c>
    </row>
    <row r="60" spans="1:27" x14ac:dyDescent="0.25">
      <c r="C60" s="4" t="s">
        <v>122</v>
      </c>
      <c r="D60" s="4"/>
      <c r="E60">
        <v>11</v>
      </c>
      <c r="F60">
        <v>5</v>
      </c>
      <c r="G60">
        <v>3</v>
      </c>
      <c r="H60">
        <v>3</v>
      </c>
      <c r="I60" s="118">
        <f t="shared" si="19"/>
        <v>59.090909090909093</v>
      </c>
      <c r="J60" s="117"/>
      <c r="K60">
        <v>11</v>
      </c>
      <c r="L60">
        <v>4</v>
      </c>
      <c r="M60">
        <v>0</v>
      </c>
      <c r="N60">
        <v>7</v>
      </c>
      <c r="O60" s="118">
        <f t="shared" si="20"/>
        <v>36.363636363636367</v>
      </c>
      <c r="P60" s="117"/>
      <c r="Q60">
        <v>0</v>
      </c>
      <c r="R60">
        <v>0</v>
      </c>
      <c r="S60">
        <v>0</v>
      </c>
      <c r="T60">
        <v>0</v>
      </c>
      <c r="V60" s="117"/>
      <c r="W60">
        <f t="shared" si="21"/>
        <v>22</v>
      </c>
      <c r="X60">
        <f t="shared" si="22"/>
        <v>9</v>
      </c>
      <c r="Y60">
        <f t="shared" si="23"/>
        <v>3</v>
      </c>
      <c r="Z60">
        <f t="shared" si="24"/>
        <v>10</v>
      </c>
      <c r="AA60" s="118">
        <f t="shared" si="25"/>
        <v>47.727272727272727</v>
      </c>
    </row>
    <row r="61" spans="1:27" x14ac:dyDescent="0.25">
      <c r="C61" s="4" t="s">
        <v>123</v>
      </c>
      <c r="D61" s="4"/>
      <c r="E61">
        <v>11</v>
      </c>
      <c r="F61">
        <v>8</v>
      </c>
      <c r="G61">
        <v>0</v>
      </c>
      <c r="H61">
        <v>3</v>
      </c>
      <c r="I61" s="118">
        <f t="shared" si="19"/>
        <v>72.727272727272734</v>
      </c>
      <c r="J61" s="117"/>
      <c r="K61">
        <v>12</v>
      </c>
      <c r="L61">
        <v>5</v>
      </c>
      <c r="M61">
        <v>0</v>
      </c>
      <c r="N61">
        <v>7</v>
      </c>
      <c r="O61" s="118">
        <f t="shared" si="20"/>
        <v>41.666666666666671</v>
      </c>
      <c r="P61" s="117"/>
      <c r="Q61">
        <v>0</v>
      </c>
      <c r="R61">
        <v>0</v>
      </c>
      <c r="S61">
        <v>0</v>
      </c>
      <c r="T61">
        <v>0</v>
      </c>
      <c r="V61" s="117"/>
      <c r="W61">
        <f t="shared" si="21"/>
        <v>23</v>
      </c>
      <c r="X61">
        <f t="shared" si="22"/>
        <v>13</v>
      </c>
      <c r="Y61">
        <f t="shared" si="23"/>
        <v>0</v>
      </c>
      <c r="Z61">
        <f t="shared" si="24"/>
        <v>10</v>
      </c>
      <c r="AA61" s="118">
        <f t="shared" si="25"/>
        <v>56.521739130434781</v>
      </c>
    </row>
    <row r="62" spans="1:27" x14ac:dyDescent="0.25">
      <c r="C62" s="4" t="s">
        <v>124</v>
      </c>
      <c r="D62" s="4"/>
      <c r="E62">
        <v>12</v>
      </c>
      <c r="F62">
        <v>11</v>
      </c>
      <c r="G62">
        <v>0</v>
      </c>
      <c r="H62">
        <v>1</v>
      </c>
      <c r="I62" s="118">
        <f t="shared" si="19"/>
        <v>91.666666666666657</v>
      </c>
      <c r="J62" s="117"/>
      <c r="K62">
        <v>11</v>
      </c>
      <c r="L62">
        <v>6</v>
      </c>
      <c r="M62">
        <v>1</v>
      </c>
      <c r="N62">
        <v>4</v>
      </c>
      <c r="O62" s="118">
        <f t="shared" si="20"/>
        <v>59.090909090909093</v>
      </c>
      <c r="P62" s="117"/>
      <c r="Q62">
        <v>1</v>
      </c>
      <c r="R62">
        <v>1</v>
      </c>
      <c r="S62">
        <v>0</v>
      </c>
      <c r="T62">
        <v>0</v>
      </c>
      <c r="U62" s="118">
        <f>SUM(R62+S62*0.5)/Q62*100</f>
        <v>100</v>
      </c>
      <c r="V62" s="117"/>
      <c r="W62">
        <f>SUM(E62+K62+Q62)</f>
        <v>24</v>
      </c>
      <c r="X62">
        <f>SUM(F62+L62+R62)</f>
        <v>18</v>
      </c>
      <c r="Y62">
        <f>SUM(G62+M62=S62)</f>
        <v>0</v>
      </c>
      <c r="Z62">
        <f>SUM(H62+N62+T62)</f>
        <v>5</v>
      </c>
      <c r="AA62" s="118">
        <f t="shared" si="25"/>
        <v>75</v>
      </c>
    </row>
    <row r="63" spans="1:27" x14ac:dyDescent="0.25">
      <c r="C63" s="4" t="s">
        <v>125</v>
      </c>
      <c r="D63" s="4"/>
      <c r="E63">
        <v>11</v>
      </c>
      <c r="F63">
        <v>6</v>
      </c>
      <c r="G63">
        <v>0</v>
      </c>
      <c r="H63">
        <v>5</v>
      </c>
      <c r="I63" s="118">
        <f t="shared" si="19"/>
        <v>54.54545454545454</v>
      </c>
      <c r="J63" s="117"/>
      <c r="K63">
        <v>11</v>
      </c>
      <c r="L63">
        <v>2</v>
      </c>
      <c r="M63">
        <v>1</v>
      </c>
      <c r="N63">
        <v>8</v>
      </c>
      <c r="O63" s="118">
        <f t="shared" si="20"/>
        <v>22.727272727272727</v>
      </c>
      <c r="P63" s="117"/>
      <c r="Q63">
        <v>0</v>
      </c>
      <c r="R63">
        <v>0</v>
      </c>
      <c r="S63">
        <v>0</v>
      </c>
      <c r="T63">
        <v>0</v>
      </c>
      <c r="V63" s="117"/>
      <c r="W63">
        <f t="shared" si="21"/>
        <v>22</v>
      </c>
      <c r="X63">
        <f t="shared" si="22"/>
        <v>8</v>
      </c>
      <c r="Y63">
        <f t="shared" si="23"/>
        <v>1</v>
      </c>
      <c r="Z63">
        <f t="shared" si="24"/>
        <v>13</v>
      </c>
      <c r="AA63" s="118">
        <f t="shared" si="25"/>
        <v>38.636363636363633</v>
      </c>
    </row>
    <row r="64" spans="1:27" x14ac:dyDescent="0.25">
      <c r="C64" s="4" t="s">
        <v>126</v>
      </c>
      <c r="D64" s="4"/>
      <c r="E64">
        <v>11</v>
      </c>
      <c r="F64">
        <v>9</v>
      </c>
      <c r="G64">
        <v>0</v>
      </c>
      <c r="H64">
        <v>2</v>
      </c>
      <c r="I64" s="118">
        <f t="shared" si="19"/>
        <v>81.818181818181827</v>
      </c>
      <c r="J64" s="117"/>
      <c r="K64">
        <v>11</v>
      </c>
      <c r="L64">
        <v>5</v>
      </c>
      <c r="M64">
        <v>0</v>
      </c>
      <c r="N64">
        <v>6</v>
      </c>
      <c r="O64" s="118">
        <f t="shared" si="20"/>
        <v>45.454545454545453</v>
      </c>
      <c r="P64" s="117"/>
      <c r="Q64">
        <v>0</v>
      </c>
      <c r="R64">
        <v>0</v>
      </c>
      <c r="S64">
        <v>0</v>
      </c>
      <c r="T64">
        <v>0</v>
      </c>
      <c r="V64" s="117"/>
      <c r="W64">
        <f t="shared" si="21"/>
        <v>22</v>
      </c>
      <c r="X64">
        <f t="shared" si="22"/>
        <v>14</v>
      </c>
      <c r="Y64">
        <f t="shared" si="23"/>
        <v>0</v>
      </c>
      <c r="Z64">
        <f t="shared" si="24"/>
        <v>8</v>
      </c>
      <c r="AA64" s="118">
        <f t="shared" si="25"/>
        <v>63.636363636363633</v>
      </c>
    </row>
    <row r="65" spans="1:27" x14ac:dyDescent="0.25">
      <c r="C65" s="4" t="s">
        <v>127</v>
      </c>
      <c r="D65" s="4"/>
      <c r="E65">
        <v>11</v>
      </c>
      <c r="F65">
        <v>9</v>
      </c>
      <c r="G65">
        <v>0</v>
      </c>
      <c r="H65">
        <v>2</v>
      </c>
      <c r="I65" s="118">
        <f t="shared" si="19"/>
        <v>81.818181818181827</v>
      </c>
      <c r="J65" s="117"/>
      <c r="K65">
        <v>11</v>
      </c>
      <c r="L65">
        <v>4</v>
      </c>
      <c r="M65">
        <v>0</v>
      </c>
      <c r="N65">
        <v>7</v>
      </c>
      <c r="O65" s="118">
        <f t="shared" si="20"/>
        <v>36.363636363636367</v>
      </c>
      <c r="P65" s="117"/>
      <c r="Q65">
        <v>0</v>
      </c>
      <c r="R65">
        <v>0</v>
      </c>
      <c r="S65">
        <v>0</v>
      </c>
      <c r="T65">
        <v>0</v>
      </c>
      <c r="V65" s="117"/>
      <c r="W65">
        <f t="shared" si="21"/>
        <v>22</v>
      </c>
      <c r="X65">
        <f t="shared" si="22"/>
        <v>13</v>
      </c>
      <c r="Y65">
        <f t="shared" si="23"/>
        <v>0</v>
      </c>
      <c r="Z65">
        <f t="shared" si="24"/>
        <v>9</v>
      </c>
      <c r="AA65" s="118">
        <f t="shared" si="25"/>
        <v>59.090909090909093</v>
      </c>
    </row>
    <row r="66" spans="1:27" x14ac:dyDescent="0.25">
      <c r="C66" s="4" t="s">
        <v>128</v>
      </c>
      <c r="D66" s="4"/>
      <c r="E66">
        <v>11</v>
      </c>
      <c r="F66">
        <v>5</v>
      </c>
      <c r="G66">
        <v>0</v>
      </c>
      <c r="H66">
        <v>6</v>
      </c>
      <c r="I66" s="118">
        <f t="shared" si="19"/>
        <v>45.454545454545453</v>
      </c>
      <c r="J66" s="117"/>
      <c r="K66">
        <v>11</v>
      </c>
      <c r="L66">
        <v>1</v>
      </c>
      <c r="M66">
        <v>1</v>
      </c>
      <c r="N66">
        <v>9</v>
      </c>
      <c r="O66" s="118">
        <f t="shared" si="20"/>
        <v>13.636363636363635</v>
      </c>
      <c r="P66" s="117"/>
      <c r="Q66">
        <v>0</v>
      </c>
      <c r="R66">
        <v>0</v>
      </c>
      <c r="S66">
        <v>0</v>
      </c>
      <c r="T66">
        <v>0</v>
      </c>
      <c r="V66" s="117"/>
      <c r="W66">
        <f t="shared" si="21"/>
        <v>22</v>
      </c>
      <c r="X66">
        <f t="shared" si="22"/>
        <v>6</v>
      </c>
      <c r="Y66">
        <f t="shared" si="23"/>
        <v>1</v>
      </c>
      <c r="Z66">
        <f t="shared" si="24"/>
        <v>15</v>
      </c>
      <c r="AA66" s="118">
        <f t="shared" si="25"/>
        <v>29.545454545454547</v>
      </c>
    </row>
    <row r="67" spans="1:27" x14ac:dyDescent="0.25">
      <c r="C67" s="4" t="s">
        <v>129</v>
      </c>
      <c r="D67" s="4"/>
      <c r="E67">
        <v>11</v>
      </c>
      <c r="F67">
        <v>5</v>
      </c>
      <c r="G67">
        <v>0</v>
      </c>
      <c r="H67">
        <v>6</v>
      </c>
      <c r="I67" s="118">
        <f t="shared" si="19"/>
        <v>45.454545454545453</v>
      </c>
      <c r="J67" s="117"/>
      <c r="K67">
        <v>11</v>
      </c>
      <c r="L67">
        <v>1</v>
      </c>
      <c r="M67">
        <v>1</v>
      </c>
      <c r="N67">
        <v>9</v>
      </c>
      <c r="O67" s="118">
        <f t="shared" si="20"/>
        <v>13.636363636363635</v>
      </c>
      <c r="P67" s="117"/>
      <c r="Q67">
        <v>0</v>
      </c>
      <c r="R67">
        <v>0</v>
      </c>
      <c r="S67">
        <v>0</v>
      </c>
      <c r="T67">
        <v>0</v>
      </c>
      <c r="V67" s="117"/>
      <c r="W67">
        <f t="shared" si="21"/>
        <v>22</v>
      </c>
      <c r="X67">
        <f t="shared" si="22"/>
        <v>6</v>
      </c>
      <c r="Y67">
        <f t="shared" si="23"/>
        <v>1</v>
      </c>
      <c r="Z67">
        <f t="shared" si="24"/>
        <v>15</v>
      </c>
      <c r="AA67" s="118">
        <f t="shared" si="25"/>
        <v>29.545454545454547</v>
      </c>
    </row>
    <row r="68" spans="1:27" x14ac:dyDescent="0.25">
      <c r="C68" s="4" t="s">
        <v>130</v>
      </c>
      <c r="D68" s="4"/>
      <c r="E68">
        <v>11</v>
      </c>
      <c r="F68">
        <v>7</v>
      </c>
      <c r="G68">
        <v>0</v>
      </c>
      <c r="H68">
        <v>4</v>
      </c>
      <c r="I68" s="118">
        <f t="shared" si="19"/>
        <v>63.636363636363633</v>
      </c>
      <c r="J68" s="117"/>
      <c r="K68">
        <v>11</v>
      </c>
      <c r="L68">
        <v>3</v>
      </c>
      <c r="M68">
        <v>0</v>
      </c>
      <c r="N68">
        <v>8</v>
      </c>
      <c r="O68" s="118">
        <f t="shared" si="20"/>
        <v>27.27272727272727</v>
      </c>
      <c r="P68" s="117"/>
      <c r="Q68">
        <v>0</v>
      </c>
      <c r="R68">
        <v>0</v>
      </c>
      <c r="S68">
        <v>0</v>
      </c>
      <c r="T68">
        <v>0</v>
      </c>
      <c r="V68" s="117"/>
      <c r="W68">
        <f t="shared" si="21"/>
        <v>22</v>
      </c>
      <c r="X68">
        <f t="shared" si="22"/>
        <v>10</v>
      </c>
      <c r="Y68">
        <f t="shared" si="23"/>
        <v>0</v>
      </c>
      <c r="Z68">
        <f t="shared" si="24"/>
        <v>12</v>
      </c>
      <c r="AA68" s="118">
        <f t="shared" si="25"/>
        <v>45.454545454545453</v>
      </c>
    </row>
    <row r="69" spans="1:27" x14ac:dyDescent="0.25">
      <c r="C69" s="4" t="s">
        <v>131</v>
      </c>
      <c r="D69" s="4"/>
      <c r="E69">
        <v>11</v>
      </c>
      <c r="F69">
        <v>6</v>
      </c>
      <c r="G69">
        <v>0</v>
      </c>
      <c r="H69">
        <v>5</v>
      </c>
      <c r="I69" s="118">
        <f t="shared" si="19"/>
        <v>54.54545454545454</v>
      </c>
      <c r="J69" s="117"/>
      <c r="K69">
        <v>11</v>
      </c>
      <c r="L69">
        <v>1</v>
      </c>
      <c r="M69">
        <v>1</v>
      </c>
      <c r="N69">
        <v>9</v>
      </c>
      <c r="O69" s="118">
        <f t="shared" si="20"/>
        <v>13.636363636363635</v>
      </c>
      <c r="P69" s="117"/>
      <c r="Q69">
        <v>0</v>
      </c>
      <c r="R69">
        <v>0</v>
      </c>
      <c r="S69">
        <v>0</v>
      </c>
      <c r="T69">
        <v>0</v>
      </c>
      <c r="V69" s="117"/>
      <c r="W69">
        <f t="shared" si="21"/>
        <v>22</v>
      </c>
      <c r="X69">
        <f t="shared" si="22"/>
        <v>7</v>
      </c>
      <c r="Y69">
        <f t="shared" si="23"/>
        <v>1</v>
      </c>
      <c r="Z69">
        <f t="shared" si="24"/>
        <v>14</v>
      </c>
      <c r="AA69" s="118">
        <f t="shared" si="25"/>
        <v>34.090909090909086</v>
      </c>
    </row>
    <row r="70" spans="1:27" x14ac:dyDescent="0.25">
      <c r="A70" s="100"/>
      <c r="C70" s="4" t="s">
        <v>80</v>
      </c>
      <c r="D70" s="4"/>
      <c r="E70">
        <v>11</v>
      </c>
      <c r="F70">
        <v>6</v>
      </c>
      <c r="G70">
        <v>0</v>
      </c>
      <c r="H70">
        <v>5</v>
      </c>
      <c r="I70" s="118">
        <f t="shared" si="19"/>
        <v>54.54545454545454</v>
      </c>
      <c r="J70" s="117"/>
      <c r="K70">
        <v>11</v>
      </c>
      <c r="L70">
        <v>6</v>
      </c>
      <c r="M70">
        <v>0</v>
      </c>
      <c r="N70">
        <v>5</v>
      </c>
      <c r="O70" s="118">
        <f t="shared" si="20"/>
        <v>54.54545454545454</v>
      </c>
      <c r="P70" s="117"/>
      <c r="Q70">
        <v>0</v>
      </c>
      <c r="R70">
        <v>0</v>
      </c>
      <c r="S70">
        <v>0</v>
      </c>
      <c r="T70">
        <v>0</v>
      </c>
      <c r="V70" s="117"/>
      <c r="W70">
        <f t="shared" si="21"/>
        <v>22</v>
      </c>
      <c r="X70">
        <f t="shared" si="22"/>
        <v>12</v>
      </c>
      <c r="Y70">
        <f t="shared" si="23"/>
        <v>0</v>
      </c>
      <c r="Z70">
        <f t="shared" si="24"/>
        <v>10</v>
      </c>
      <c r="AA70" s="118">
        <f t="shared" si="25"/>
        <v>54.54545454545454</v>
      </c>
    </row>
    <row r="71" spans="1:27" x14ac:dyDescent="0.25">
      <c r="C71" s="4" t="s">
        <v>108</v>
      </c>
      <c r="D71" s="4"/>
      <c r="E71">
        <v>11</v>
      </c>
      <c r="F71">
        <v>8</v>
      </c>
      <c r="G71">
        <v>0</v>
      </c>
      <c r="H71">
        <v>3</v>
      </c>
      <c r="I71" s="118">
        <f t="shared" si="19"/>
        <v>72.727272727272734</v>
      </c>
      <c r="J71" s="117"/>
      <c r="K71">
        <v>11</v>
      </c>
      <c r="L71">
        <v>3</v>
      </c>
      <c r="M71">
        <v>0</v>
      </c>
      <c r="N71">
        <v>8</v>
      </c>
      <c r="O71" s="118">
        <f t="shared" si="20"/>
        <v>27.27272727272727</v>
      </c>
      <c r="P71" s="117"/>
      <c r="Q71">
        <v>0</v>
      </c>
      <c r="R71">
        <v>0</v>
      </c>
      <c r="S71">
        <v>0</v>
      </c>
      <c r="T71">
        <v>0</v>
      </c>
      <c r="V71" s="117"/>
      <c r="W71">
        <f t="shared" si="21"/>
        <v>22</v>
      </c>
      <c r="X71">
        <f t="shared" si="22"/>
        <v>11</v>
      </c>
      <c r="Y71">
        <f t="shared" si="23"/>
        <v>0</v>
      </c>
      <c r="Z71">
        <f t="shared" si="24"/>
        <v>11</v>
      </c>
      <c r="AA71" s="118">
        <f t="shared" si="25"/>
        <v>50</v>
      </c>
    </row>
    <row r="72" spans="1:27" x14ac:dyDescent="0.25">
      <c r="C72" s="4" t="s">
        <v>139</v>
      </c>
      <c r="D72" s="4"/>
      <c r="E72">
        <v>11</v>
      </c>
      <c r="F72">
        <v>8</v>
      </c>
      <c r="G72">
        <v>2</v>
      </c>
      <c r="H72">
        <v>1</v>
      </c>
      <c r="I72" s="118">
        <f t="shared" si="19"/>
        <v>81.818181818181827</v>
      </c>
      <c r="J72" s="117"/>
      <c r="K72">
        <v>11</v>
      </c>
      <c r="L72">
        <v>3</v>
      </c>
      <c r="M72">
        <v>0</v>
      </c>
      <c r="N72">
        <v>8</v>
      </c>
      <c r="O72" s="118">
        <f t="shared" si="20"/>
        <v>27.27272727272727</v>
      </c>
      <c r="P72" s="117"/>
      <c r="Q72">
        <v>0</v>
      </c>
      <c r="R72">
        <v>0</v>
      </c>
      <c r="S72">
        <v>0</v>
      </c>
      <c r="T72">
        <v>0</v>
      </c>
      <c r="V72" s="117"/>
      <c r="W72">
        <f t="shared" si="21"/>
        <v>22</v>
      </c>
      <c r="X72">
        <f t="shared" si="22"/>
        <v>11</v>
      </c>
      <c r="Y72">
        <f t="shared" si="23"/>
        <v>2</v>
      </c>
      <c r="Z72">
        <f t="shared" si="24"/>
        <v>9</v>
      </c>
      <c r="AA72" s="118">
        <f t="shared" si="25"/>
        <v>54.54545454545454</v>
      </c>
    </row>
    <row r="73" spans="1:27" x14ac:dyDescent="0.25">
      <c r="C73" s="4" t="s">
        <v>166</v>
      </c>
      <c r="D73" s="4"/>
      <c r="E73">
        <v>11</v>
      </c>
      <c r="F73">
        <v>6</v>
      </c>
      <c r="G73">
        <v>0</v>
      </c>
      <c r="H73">
        <v>5</v>
      </c>
      <c r="I73" s="118">
        <f t="shared" si="19"/>
        <v>54.54545454545454</v>
      </c>
      <c r="J73" s="117"/>
      <c r="K73">
        <v>11</v>
      </c>
      <c r="L73">
        <v>1</v>
      </c>
      <c r="M73">
        <v>1</v>
      </c>
      <c r="N73">
        <v>9</v>
      </c>
      <c r="O73" s="118">
        <f t="shared" si="20"/>
        <v>13.636363636363635</v>
      </c>
      <c r="P73" s="117"/>
      <c r="Q73">
        <v>0</v>
      </c>
      <c r="R73">
        <v>0</v>
      </c>
      <c r="S73">
        <v>0</v>
      </c>
      <c r="T73">
        <v>0</v>
      </c>
      <c r="V73" s="117"/>
      <c r="W73">
        <f t="shared" si="21"/>
        <v>22</v>
      </c>
      <c r="X73">
        <f t="shared" si="22"/>
        <v>7</v>
      </c>
      <c r="Y73">
        <f t="shared" si="23"/>
        <v>1</v>
      </c>
      <c r="Z73">
        <f t="shared" si="24"/>
        <v>14</v>
      </c>
      <c r="AA73" s="118">
        <f t="shared" si="25"/>
        <v>34.090909090909086</v>
      </c>
    </row>
    <row r="74" spans="1:27" x14ac:dyDescent="0.25">
      <c r="C74" s="4" t="s">
        <v>198</v>
      </c>
      <c r="D74" s="4"/>
      <c r="E74">
        <v>11</v>
      </c>
      <c r="F74">
        <v>7</v>
      </c>
      <c r="G74">
        <v>0</v>
      </c>
      <c r="H74">
        <v>4</v>
      </c>
      <c r="I74" s="118">
        <f t="shared" si="19"/>
        <v>63.636363636363633</v>
      </c>
      <c r="J74" s="117"/>
      <c r="K74">
        <v>11</v>
      </c>
      <c r="L74">
        <v>3</v>
      </c>
      <c r="M74">
        <v>0</v>
      </c>
      <c r="N74">
        <v>8</v>
      </c>
      <c r="O74" s="118">
        <f t="shared" si="20"/>
        <v>27.27272727272727</v>
      </c>
      <c r="P74" s="117"/>
      <c r="Q74">
        <v>0</v>
      </c>
      <c r="R74">
        <v>0</v>
      </c>
      <c r="S74">
        <v>0</v>
      </c>
      <c r="T74">
        <v>0</v>
      </c>
      <c r="V74" s="117"/>
      <c r="W74">
        <f t="shared" si="21"/>
        <v>22</v>
      </c>
      <c r="X74">
        <f t="shared" si="22"/>
        <v>10</v>
      </c>
      <c r="Y74">
        <f t="shared" si="23"/>
        <v>0</v>
      </c>
      <c r="Z74">
        <f t="shared" si="24"/>
        <v>12</v>
      </c>
      <c r="AA74" s="118">
        <f t="shared" si="25"/>
        <v>45.454545454545453</v>
      </c>
    </row>
    <row r="75" spans="1:27" x14ac:dyDescent="0.25">
      <c r="C75" s="4" t="s">
        <v>220</v>
      </c>
      <c r="D75" s="4"/>
      <c r="E75">
        <v>11</v>
      </c>
      <c r="F75">
        <v>9</v>
      </c>
      <c r="G75">
        <v>0</v>
      </c>
      <c r="H75">
        <v>2</v>
      </c>
      <c r="I75" s="118">
        <f t="shared" si="19"/>
        <v>81.818181818181827</v>
      </c>
      <c r="J75" s="117"/>
      <c r="K75">
        <v>11</v>
      </c>
      <c r="L75">
        <v>2</v>
      </c>
      <c r="M75">
        <v>2</v>
      </c>
      <c r="N75">
        <v>7</v>
      </c>
      <c r="O75" s="118">
        <f t="shared" si="20"/>
        <v>27.27272727272727</v>
      </c>
      <c r="P75" s="117"/>
      <c r="Q75">
        <v>0</v>
      </c>
      <c r="R75">
        <v>0</v>
      </c>
      <c r="S75">
        <v>0</v>
      </c>
      <c r="T75">
        <v>0</v>
      </c>
      <c r="V75" s="117"/>
      <c r="W75">
        <f t="shared" si="21"/>
        <v>22</v>
      </c>
      <c r="X75">
        <f t="shared" si="22"/>
        <v>11</v>
      </c>
      <c r="Y75">
        <f t="shared" si="23"/>
        <v>2</v>
      </c>
      <c r="Z75">
        <f t="shared" si="24"/>
        <v>9</v>
      </c>
      <c r="AA75" s="118">
        <f t="shared" si="25"/>
        <v>54.54545454545454</v>
      </c>
    </row>
    <row r="76" spans="1:27" x14ac:dyDescent="0.25">
      <c r="E76">
        <f>SUM(F76:H76)</f>
        <v>245</v>
      </c>
      <c r="F76">
        <f>SUM(F54:F75)</f>
        <v>153</v>
      </c>
      <c r="G76">
        <f>SUM(G54:G75)</f>
        <v>10</v>
      </c>
      <c r="H76">
        <f>SUM(H54:H75)</f>
        <v>82</v>
      </c>
      <c r="I76" s="118">
        <f t="shared" si="19"/>
        <v>64.489795918367349</v>
      </c>
      <c r="K76">
        <f>SUM(K54:K75)</f>
        <v>245</v>
      </c>
      <c r="L76">
        <f>SUM(L54:L75)</f>
        <v>72</v>
      </c>
      <c r="M76">
        <f>SUM(M54:M75)</f>
        <v>10</v>
      </c>
      <c r="N76">
        <f>SUM(N54:N75)</f>
        <v>163</v>
      </c>
      <c r="O76" s="118">
        <f t="shared" si="20"/>
        <v>31.428571428571427</v>
      </c>
      <c r="Q76">
        <f>SUM(Q54:Q71)</f>
        <v>1</v>
      </c>
      <c r="R76">
        <f>SUM(R54:R71)</f>
        <v>1</v>
      </c>
      <c r="S76">
        <f>SUM(S54:S71)</f>
        <v>0</v>
      </c>
      <c r="T76">
        <f>SUM(T54:T71)</f>
        <v>0</v>
      </c>
      <c r="U76" s="118">
        <f>SUM(R76+S76*0.5)/Q76*100</f>
        <v>100</v>
      </c>
      <c r="V76" s="117"/>
      <c r="W76">
        <f>SUM(W54:W75)</f>
        <v>491</v>
      </c>
      <c r="X76">
        <f>SUM(F76+L76+Q76)</f>
        <v>226</v>
      </c>
      <c r="Y76">
        <f>SUM(G76+M76)</f>
        <v>20</v>
      </c>
      <c r="Z76">
        <f>SUM(Z54:Z75)</f>
        <v>245</v>
      </c>
      <c r="AA76" s="118">
        <f t="shared" si="25"/>
        <v>48.065173116089618</v>
      </c>
    </row>
    <row r="78" spans="1:27" x14ac:dyDescent="0.25">
      <c r="A78" s="100" t="s">
        <v>107</v>
      </c>
    </row>
  </sheetData>
  <mergeCells count="26">
    <mergeCell ref="P1:R1"/>
    <mergeCell ref="A1:D1"/>
    <mergeCell ref="E1:G1"/>
    <mergeCell ref="H1:I1"/>
    <mergeCell ref="BB4:BC4"/>
    <mergeCell ref="AT2:AU2"/>
    <mergeCell ref="AT4:AU4"/>
    <mergeCell ref="AV4:AW4"/>
    <mergeCell ref="AX4:AY4"/>
    <mergeCell ref="AZ4:BA4"/>
    <mergeCell ref="Y1:AB1"/>
    <mergeCell ref="AC1:AF1"/>
    <mergeCell ref="AG1:AJ1"/>
    <mergeCell ref="AK1:AN1"/>
    <mergeCell ref="C37:E37"/>
    <mergeCell ref="C43:E43"/>
    <mergeCell ref="C46:E46"/>
    <mergeCell ref="J1:M1"/>
    <mergeCell ref="N1:O1"/>
    <mergeCell ref="C38:E38"/>
    <mergeCell ref="C40:E40"/>
    <mergeCell ref="C41:E41"/>
    <mergeCell ref="C44:E44"/>
    <mergeCell ref="C39:E39"/>
    <mergeCell ref="C42:E42"/>
    <mergeCell ref="C45:E4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A52"/>
  <sheetViews>
    <sheetView workbookViewId="0">
      <pane ySplit="2" topLeftCell="A9" activePane="bottomLeft" state="frozen"/>
      <selection pane="bottomLeft" activeCell="T25" sqref="T25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.375" customWidth="1"/>
    <col min="4" max="5" width="3.75" customWidth="1"/>
    <col min="6" max="6" width="4.75" customWidth="1"/>
    <col min="7" max="7" width="4.125" customWidth="1"/>
    <col min="8" max="18" width="3.75" customWidth="1"/>
    <col min="19" max="19" width="6.25" customWidth="1"/>
    <col min="20" max="20" width="5.75" customWidth="1"/>
    <col min="21" max="21" width="21" bestFit="1" customWidth="1"/>
    <col min="22" max="22" width="23.25" customWidth="1"/>
    <col min="23" max="23" width="23.875" customWidth="1"/>
    <col min="24" max="24" width="26.25" bestFit="1" customWidth="1"/>
    <col min="25" max="40" width="3.75" customWidth="1"/>
    <col min="42" max="42" width="13.375" bestFit="1" customWidth="1"/>
    <col min="43" max="43" width="15.75" customWidth="1"/>
    <col min="44" max="44" width="13.375" bestFit="1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</cols>
  <sheetData>
    <row r="1" spans="1:53" ht="14.95" customHeight="1" thickBot="1" x14ac:dyDescent="0.3">
      <c r="A1" s="1155" t="s">
        <v>284</v>
      </c>
      <c r="B1" s="1156"/>
      <c r="C1" s="1156"/>
      <c r="D1" s="1157"/>
      <c r="E1" s="1147" t="s">
        <v>70</v>
      </c>
      <c r="F1" s="1158"/>
      <c r="G1" s="1148"/>
      <c r="H1" s="1147" t="s">
        <v>69</v>
      </c>
      <c r="I1" s="1148"/>
      <c r="J1" s="1149" t="s">
        <v>40</v>
      </c>
      <c r="K1" s="1150"/>
      <c r="L1" s="1150"/>
      <c r="M1" s="1151"/>
      <c r="N1" s="1149" t="s">
        <v>41</v>
      </c>
      <c r="O1" s="1151"/>
      <c r="P1" s="1149" t="s">
        <v>72</v>
      </c>
      <c r="Q1" s="1150"/>
      <c r="R1" s="1151"/>
      <c r="S1" s="699" t="s">
        <v>42</v>
      </c>
      <c r="T1" s="699" t="s">
        <v>43</v>
      </c>
      <c r="U1" s="263" t="s">
        <v>44</v>
      </c>
      <c r="V1" s="263" t="s">
        <v>45</v>
      </c>
      <c r="W1" s="263" t="s">
        <v>101</v>
      </c>
      <c r="X1" s="263" t="s">
        <v>102</v>
      </c>
      <c r="Y1" s="1159" t="s">
        <v>64</v>
      </c>
      <c r="Z1" s="1041"/>
      <c r="AA1" s="1041"/>
      <c r="AB1" s="1042"/>
      <c r="AC1" s="1154" t="s">
        <v>65</v>
      </c>
      <c r="AD1" s="966"/>
      <c r="AE1" s="966"/>
      <c r="AF1" s="967"/>
      <c r="AG1" s="1154" t="s">
        <v>66</v>
      </c>
      <c r="AH1" s="966"/>
      <c r="AI1" s="966"/>
      <c r="AJ1" s="967"/>
      <c r="AK1" s="1154" t="s">
        <v>137</v>
      </c>
      <c r="AL1" s="966"/>
      <c r="AM1" s="966"/>
      <c r="AN1" s="966"/>
    </row>
    <row r="2" spans="1:53" ht="14.95" customHeight="1" thickBot="1" x14ac:dyDescent="0.3">
      <c r="A2" s="264" t="s">
        <v>62</v>
      </c>
      <c r="B2" s="265" t="s">
        <v>61</v>
      </c>
      <c r="C2" s="266" t="s">
        <v>60</v>
      </c>
      <c r="D2" s="266" t="s">
        <v>71</v>
      </c>
      <c r="E2" s="267" t="s">
        <v>50</v>
      </c>
      <c r="F2" s="267" t="s">
        <v>35</v>
      </c>
      <c r="G2" s="267" t="s">
        <v>36</v>
      </c>
      <c r="H2" s="268" t="s">
        <v>67</v>
      </c>
      <c r="I2" s="268" t="s">
        <v>68</v>
      </c>
      <c r="J2" s="268" t="s">
        <v>46</v>
      </c>
      <c r="K2" s="268" t="s">
        <v>47</v>
      </c>
      <c r="L2" s="268" t="s">
        <v>33</v>
      </c>
      <c r="M2" s="268" t="s">
        <v>48</v>
      </c>
      <c r="N2" s="268" t="s">
        <v>49</v>
      </c>
      <c r="O2" s="268" t="s">
        <v>50</v>
      </c>
      <c r="P2" s="268" t="s">
        <v>67</v>
      </c>
      <c r="Q2" s="268" t="s">
        <v>68</v>
      </c>
      <c r="R2" s="268" t="s">
        <v>46</v>
      </c>
      <c r="S2" s="269"/>
      <c r="T2" s="270"/>
      <c r="U2" s="271"/>
      <c r="V2" s="271"/>
      <c r="W2" s="271"/>
      <c r="X2" s="271"/>
      <c r="Y2" s="565" t="s">
        <v>31</v>
      </c>
      <c r="Z2" s="565" t="s">
        <v>32</v>
      </c>
      <c r="AA2" s="565" t="s">
        <v>33</v>
      </c>
      <c r="AB2" s="565" t="s">
        <v>34</v>
      </c>
      <c r="AC2" s="565" t="s">
        <v>31</v>
      </c>
      <c r="AD2" s="565" t="s">
        <v>32</v>
      </c>
      <c r="AE2" s="565" t="s">
        <v>33</v>
      </c>
      <c r="AF2" s="565" t="s">
        <v>34</v>
      </c>
      <c r="AG2" s="565" t="s">
        <v>31</v>
      </c>
      <c r="AH2" s="565" t="s">
        <v>32</v>
      </c>
      <c r="AI2" s="565" t="s">
        <v>33</v>
      </c>
      <c r="AJ2" s="566" t="s">
        <v>34</v>
      </c>
      <c r="AK2" s="565" t="s">
        <v>31</v>
      </c>
      <c r="AL2" s="565" t="s">
        <v>32</v>
      </c>
      <c r="AM2" s="565" t="s">
        <v>33</v>
      </c>
      <c r="AN2" s="566" t="s">
        <v>34</v>
      </c>
      <c r="AQ2" s="261" t="s">
        <v>190</v>
      </c>
      <c r="AR2" s="262"/>
      <c r="AS2" s="190"/>
      <c r="AT2" s="1152" t="s">
        <v>190</v>
      </c>
      <c r="AU2" s="1153"/>
    </row>
    <row r="3" spans="1:53" ht="14.95" customHeight="1" thickBot="1" x14ac:dyDescent="0.3">
      <c r="A3" s="581" t="s">
        <v>231</v>
      </c>
      <c r="B3" s="554" t="s">
        <v>222</v>
      </c>
      <c r="C3" s="555" t="s">
        <v>106</v>
      </c>
      <c r="D3" s="556" t="s">
        <v>36</v>
      </c>
      <c r="E3" s="556" t="s">
        <v>32</v>
      </c>
      <c r="F3" s="556">
        <v>50</v>
      </c>
      <c r="G3" s="556">
        <v>28</v>
      </c>
      <c r="H3" s="556">
        <v>1</v>
      </c>
      <c r="I3" s="556">
        <v>0</v>
      </c>
      <c r="J3" s="556">
        <v>6</v>
      </c>
      <c r="K3" s="556">
        <v>4</v>
      </c>
      <c r="L3" s="556">
        <v>0</v>
      </c>
      <c r="M3" s="556">
        <v>4</v>
      </c>
      <c r="N3" s="556">
        <v>0</v>
      </c>
      <c r="O3" s="556">
        <v>0</v>
      </c>
      <c r="P3" s="556">
        <v>1</v>
      </c>
      <c r="Q3" s="556">
        <v>0</v>
      </c>
      <c r="R3" s="556">
        <v>4</v>
      </c>
      <c r="S3" s="557">
        <v>6341</v>
      </c>
      <c r="T3" s="563" t="s">
        <v>303</v>
      </c>
      <c r="U3" s="559" t="s">
        <v>304</v>
      </c>
      <c r="V3" s="557" t="s">
        <v>331</v>
      </c>
      <c r="W3" s="557" t="s">
        <v>305</v>
      </c>
      <c r="X3" s="558" t="s">
        <v>306</v>
      </c>
      <c r="Y3" s="557">
        <v>1</v>
      </c>
      <c r="Z3" s="557">
        <v>1</v>
      </c>
      <c r="AA3" s="557">
        <v>0</v>
      </c>
      <c r="AB3" s="583">
        <v>0</v>
      </c>
      <c r="AC3" s="557">
        <v>0</v>
      </c>
      <c r="AD3" s="557">
        <v>0</v>
      </c>
      <c r="AE3" s="557">
        <v>0</v>
      </c>
      <c r="AF3" s="583">
        <v>0</v>
      </c>
      <c r="AG3" s="557">
        <v>1</v>
      </c>
      <c r="AH3" s="557">
        <v>1</v>
      </c>
      <c r="AI3" s="557">
        <v>0</v>
      </c>
      <c r="AJ3" s="558">
        <v>0</v>
      </c>
      <c r="AK3" s="557">
        <v>0</v>
      </c>
      <c r="AL3" s="557">
        <v>0</v>
      </c>
      <c r="AM3" s="557">
        <v>0</v>
      </c>
      <c r="AN3" s="558">
        <v>0</v>
      </c>
      <c r="AQ3" s="507" t="s">
        <v>171</v>
      </c>
      <c r="AT3" s="4" t="s">
        <v>177</v>
      </c>
    </row>
    <row r="4" spans="1:53" ht="14.95" customHeight="1" thickBot="1" x14ac:dyDescent="0.3">
      <c r="A4" s="546" t="s">
        <v>232</v>
      </c>
      <c r="B4" s="547" t="s">
        <v>222</v>
      </c>
      <c r="C4" s="548" t="s">
        <v>27</v>
      </c>
      <c r="D4" s="549" t="s">
        <v>299</v>
      </c>
      <c r="E4" s="549" t="s">
        <v>34</v>
      </c>
      <c r="F4" s="549">
        <v>17</v>
      </c>
      <c r="G4" s="549">
        <v>36</v>
      </c>
      <c r="H4" s="549">
        <v>0</v>
      </c>
      <c r="I4" s="549">
        <v>0</v>
      </c>
      <c r="J4" s="549">
        <v>2</v>
      </c>
      <c r="K4" s="549">
        <v>2</v>
      </c>
      <c r="L4" s="549">
        <v>0</v>
      </c>
      <c r="M4" s="549">
        <v>1</v>
      </c>
      <c r="N4" s="549">
        <v>0</v>
      </c>
      <c r="O4" s="549">
        <v>0</v>
      </c>
      <c r="P4" s="549">
        <v>1</v>
      </c>
      <c r="Q4" s="549">
        <v>0</v>
      </c>
      <c r="R4" s="549">
        <v>5</v>
      </c>
      <c r="S4" s="584">
        <v>5398</v>
      </c>
      <c r="T4" s="585" t="s">
        <v>380</v>
      </c>
      <c r="U4" s="586" t="s">
        <v>326</v>
      </c>
      <c r="V4" s="584" t="s">
        <v>331</v>
      </c>
      <c r="W4" s="587" t="s">
        <v>318</v>
      </c>
      <c r="X4" s="587" t="s">
        <v>353</v>
      </c>
      <c r="Y4" s="550">
        <v>1</v>
      </c>
      <c r="Z4" s="550">
        <v>0</v>
      </c>
      <c r="AA4" s="550">
        <v>0</v>
      </c>
      <c r="AB4" s="588">
        <v>1</v>
      </c>
      <c r="AC4" s="550">
        <v>1</v>
      </c>
      <c r="AD4" s="550">
        <v>0</v>
      </c>
      <c r="AE4" s="550">
        <v>0</v>
      </c>
      <c r="AF4" s="588">
        <v>1</v>
      </c>
      <c r="AG4" s="550">
        <v>0</v>
      </c>
      <c r="AH4" s="550">
        <v>0</v>
      </c>
      <c r="AI4" s="550">
        <v>0</v>
      </c>
      <c r="AJ4" s="552">
        <v>0</v>
      </c>
      <c r="AK4" s="550">
        <v>0</v>
      </c>
      <c r="AL4" s="550">
        <v>0</v>
      </c>
      <c r="AM4" s="550">
        <v>0</v>
      </c>
      <c r="AN4" s="552">
        <v>0</v>
      </c>
      <c r="AQ4" s="173" t="s">
        <v>167</v>
      </c>
      <c r="AR4" s="174">
        <f>Sarpremhistplayed</f>
        <v>528</v>
      </c>
      <c r="AT4" s="983" t="s">
        <v>179</v>
      </c>
      <c r="AU4" s="984"/>
      <c r="AV4" s="985" t="s">
        <v>172</v>
      </c>
      <c r="AW4" s="986"/>
      <c r="AX4" s="987" t="s">
        <v>173</v>
      </c>
      <c r="AY4" s="988"/>
      <c r="AZ4" s="989" t="s">
        <v>174</v>
      </c>
      <c r="BA4" s="990"/>
    </row>
    <row r="5" spans="1:53" ht="14.95" customHeight="1" thickBot="1" x14ac:dyDescent="0.3">
      <c r="A5" s="582" t="s">
        <v>358</v>
      </c>
      <c r="B5" s="554" t="s">
        <v>222</v>
      </c>
      <c r="C5" s="589" t="s">
        <v>25</v>
      </c>
      <c r="D5" s="562" t="s">
        <v>36</v>
      </c>
      <c r="E5" s="562" t="s">
        <v>32</v>
      </c>
      <c r="F5" s="562">
        <v>54</v>
      </c>
      <c r="G5" s="562">
        <v>28</v>
      </c>
      <c r="H5" s="562">
        <v>1</v>
      </c>
      <c r="I5" s="562">
        <v>0</v>
      </c>
      <c r="J5" s="562">
        <v>7</v>
      </c>
      <c r="K5" s="562">
        <v>5</v>
      </c>
      <c r="L5" s="562">
        <v>0</v>
      </c>
      <c r="M5" s="562">
        <v>3</v>
      </c>
      <c r="N5" s="562">
        <v>0</v>
      </c>
      <c r="O5" s="562">
        <v>1</v>
      </c>
      <c r="P5" s="562">
        <v>1</v>
      </c>
      <c r="Q5" s="562">
        <v>0</v>
      </c>
      <c r="R5" s="562">
        <v>4</v>
      </c>
      <c r="S5" s="557">
        <v>11631</v>
      </c>
      <c r="T5" s="569" t="s">
        <v>410</v>
      </c>
      <c r="U5" s="559" t="s">
        <v>396</v>
      </c>
      <c r="V5" s="557" t="s">
        <v>403</v>
      </c>
      <c r="W5" s="557" t="s">
        <v>308</v>
      </c>
      <c r="X5" s="557" t="s">
        <v>397</v>
      </c>
      <c r="Y5" s="557">
        <v>1</v>
      </c>
      <c r="Z5" s="557">
        <v>1</v>
      </c>
      <c r="AA5" s="557">
        <v>0</v>
      </c>
      <c r="AB5" s="557">
        <v>0</v>
      </c>
      <c r="AC5" s="557">
        <v>0</v>
      </c>
      <c r="AD5" s="557">
        <v>0</v>
      </c>
      <c r="AE5" s="557">
        <v>0</v>
      </c>
      <c r="AF5" s="557">
        <v>0</v>
      </c>
      <c r="AG5" s="557">
        <v>1</v>
      </c>
      <c r="AH5" s="557">
        <v>1</v>
      </c>
      <c r="AI5" s="557">
        <v>0</v>
      </c>
      <c r="AJ5" s="559">
        <v>0</v>
      </c>
      <c r="AK5" s="557">
        <v>0</v>
      </c>
      <c r="AL5" s="557">
        <v>0</v>
      </c>
      <c r="AM5" s="557">
        <v>0</v>
      </c>
      <c r="AN5" s="559">
        <v>0</v>
      </c>
      <c r="AQ5" s="175" t="s">
        <v>0</v>
      </c>
      <c r="AR5" s="176">
        <f>Sarpremhistwon</f>
        <v>324</v>
      </c>
      <c r="AT5" s="177" t="s">
        <v>167</v>
      </c>
      <c r="AU5" s="189">
        <f>Sareuropeancuphistplayed</f>
        <v>106</v>
      </c>
      <c r="AV5" s="179" t="s">
        <v>167</v>
      </c>
      <c r="AW5" s="180">
        <f>Sarchampscuphistplayed</f>
        <v>50</v>
      </c>
      <c r="AX5" s="181" t="s">
        <v>167</v>
      </c>
      <c r="AY5" s="178">
        <f>Sarchallcuphistplayed</f>
        <v>55</v>
      </c>
      <c r="AZ5" s="182" t="s">
        <v>167</v>
      </c>
      <c r="BA5" s="183">
        <f t="shared" ref="BA5:BA12" si="0">SUM(AU5+AY5)</f>
        <v>161</v>
      </c>
    </row>
    <row r="6" spans="1:53" ht="14.95" customHeight="1" thickBot="1" x14ac:dyDescent="0.3">
      <c r="A6" s="546" t="s">
        <v>241</v>
      </c>
      <c r="B6" s="547" t="s">
        <v>222</v>
      </c>
      <c r="C6" s="590" t="s">
        <v>9</v>
      </c>
      <c r="D6" s="549" t="s">
        <v>299</v>
      </c>
      <c r="E6" s="549" t="s">
        <v>32</v>
      </c>
      <c r="F6" s="549">
        <v>28</v>
      </c>
      <c r="G6" s="549">
        <v>21</v>
      </c>
      <c r="H6" s="549">
        <v>0</v>
      </c>
      <c r="I6" s="549">
        <v>0</v>
      </c>
      <c r="J6" s="549">
        <v>3</v>
      </c>
      <c r="K6" s="549">
        <v>2</v>
      </c>
      <c r="L6" s="549">
        <v>0</v>
      </c>
      <c r="M6" s="549">
        <v>3</v>
      </c>
      <c r="N6" s="549">
        <v>0</v>
      </c>
      <c r="O6" s="549">
        <v>0</v>
      </c>
      <c r="P6" s="549">
        <v>0</v>
      </c>
      <c r="Q6" s="549">
        <v>1</v>
      </c>
      <c r="R6" s="549">
        <v>2</v>
      </c>
      <c r="S6" s="550">
        <v>5761</v>
      </c>
      <c r="T6" s="560" t="s">
        <v>424</v>
      </c>
      <c r="U6" s="551" t="s">
        <v>323</v>
      </c>
      <c r="V6" s="550" t="s">
        <v>331</v>
      </c>
      <c r="W6" s="550" t="s">
        <v>324</v>
      </c>
      <c r="X6" s="552" t="s">
        <v>316</v>
      </c>
      <c r="Y6" s="550">
        <v>1</v>
      </c>
      <c r="Z6" s="550">
        <v>1</v>
      </c>
      <c r="AA6" s="550">
        <v>0</v>
      </c>
      <c r="AB6" s="550">
        <v>0</v>
      </c>
      <c r="AC6" s="550">
        <v>1</v>
      </c>
      <c r="AD6" s="550">
        <v>1</v>
      </c>
      <c r="AE6" s="550">
        <v>0</v>
      </c>
      <c r="AF6" s="550">
        <v>0</v>
      </c>
      <c r="AG6" s="550">
        <v>0</v>
      </c>
      <c r="AH6" s="550">
        <v>0</v>
      </c>
      <c r="AI6" s="550">
        <v>0</v>
      </c>
      <c r="AJ6" s="551">
        <v>0</v>
      </c>
      <c r="AK6" s="550">
        <v>0</v>
      </c>
      <c r="AL6" s="550">
        <v>0</v>
      </c>
      <c r="AM6" s="550">
        <v>0</v>
      </c>
      <c r="AN6" s="551">
        <v>0</v>
      </c>
      <c r="AQ6" s="175" t="s">
        <v>168</v>
      </c>
      <c r="AR6" s="176">
        <f>Sarpremhistdrawn</f>
        <v>15</v>
      </c>
      <c r="AT6" s="177" t="s">
        <v>0</v>
      </c>
      <c r="AU6" s="189">
        <f>Sareuropeancuphistwon</f>
        <v>74</v>
      </c>
      <c r="AV6" s="179" t="s">
        <v>0</v>
      </c>
      <c r="AW6" s="180">
        <f>Sarchampscuphistwon</f>
        <v>39</v>
      </c>
      <c r="AX6" s="181" t="s">
        <v>0</v>
      </c>
      <c r="AY6" s="178">
        <f>Sarchallcuphistwon</f>
        <v>43</v>
      </c>
      <c r="AZ6" s="182" t="s">
        <v>0</v>
      </c>
      <c r="BA6" s="183">
        <f t="shared" si="0"/>
        <v>117</v>
      </c>
    </row>
    <row r="7" spans="1:53" ht="14.95" customHeight="1" thickBot="1" x14ac:dyDescent="0.3">
      <c r="A7" s="468" t="s">
        <v>242</v>
      </c>
      <c r="B7" s="469" t="s">
        <v>199</v>
      </c>
      <c r="C7" s="470" t="s">
        <v>25</v>
      </c>
      <c r="D7" s="471" t="s">
        <v>299</v>
      </c>
      <c r="E7" s="471" t="s">
        <v>34</v>
      </c>
      <c r="F7" s="471">
        <v>25</v>
      </c>
      <c r="G7" s="471">
        <v>27</v>
      </c>
      <c r="H7" s="471">
        <v>0</v>
      </c>
      <c r="I7" s="471">
        <v>1</v>
      </c>
      <c r="J7" s="471">
        <v>1</v>
      </c>
      <c r="K7" s="471">
        <v>1</v>
      </c>
      <c r="L7" s="471">
        <v>0</v>
      </c>
      <c r="M7" s="471">
        <v>6</v>
      </c>
      <c r="N7" s="471">
        <v>0</v>
      </c>
      <c r="O7" s="471">
        <v>0</v>
      </c>
      <c r="P7" s="471">
        <v>0</v>
      </c>
      <c r="Q7" s="471">
        <v>0</v>
      </c>
      <c r="R7" s="471">
        <v>3</v>
      </c>
      <c r="S7" s="472">
        <v>6707</v>
      </c>
      <c r="T7" s="480" t="s">
        <v>472</v>
      </c>
      <c r="U7" s="478" t="s">
        <v>318</v>
      </c>
      <c r="V7" s="472" t="s">
        <v>348</v>
      </c>
      <c r="W7" s="472" t="s">
        <v>395</v>
      </c>
      <c r="X7" s="473" t="s">
        <v>306</v>
      </c>
      <c r="Y7" s="472">
        <v>1</v>
      </c>
      <c r="Z7" s="472">
        <v>0</v>
      </c>
      <c r="AA7" s="472">
        <v>0</v>
      </c>
      <c r="AB7" s="472">
        <v>1</v>
      </c>
      <c r="AC7" s="472">
        <v>1</v>
      </c>
      <c r="AD7" s="472">
        <v>0</v>
      </c>
      <c r="AE7" s="472">
        <v>0</v>
      </c>
      <c r="AF7" s="472">
        <v>1</v>
      </c>
      <c r="AG7" s="472">
        <v>0</v>
      </c>
      <c r="AH7" s="472">
        <v>0</v>
      </c>
      <c r="AI7" s="472">
        <v>0</v>
      </c>
      <c r="AJ7" s="478">
        <v>0</v>
      </c>
      <c r="AK7" s="472">
        <v>0</v>
      </c>
      <c r="AL7" s="472">
        <v>0</v>
      </c>
      <c r="AM7" s="472">
        <v>0</v>
      </c>
      <c r="AN7" s="478">
        <v>0</v>
      </c>
      <c r="AQ7" s="175" t="s">
        <v>1</v>
      </c>
      <c r="AR7" s="176">
        <f>Sarpremhistlost</f>
        <v>189</v>
      </c>
      <c r="AT7" s="177" t="s">
        <v>168</v>
      </c>
      <c r="AU7" s="189">
        <f>Sareuropeancuphistdrawn</f>
        <v>2</v>
      </c>
      <c r="AV7" s="179" t="s">
        <v>168</v>
      </c>
      <c r="AW7" s="180">
        <f>Sarchampscuphistdrawn</f>
        <v>2</v>
      </c>
      <c r="AX7" s="181" t="s">
        <v>168</v>
      </c>
      <c r="AY7" s="178">
        <f>Sarchallcuphistdrawn</f>
        <v>1</v>
      </c>
      <c r="AZ7" s="182" t="s">
        <v>168</v>
      </c>
      <c r="BA7" s="183">
        <f t="shared" si="0"/>
        <v>3</v>
      </c>
    </row>
    <row r="8" spans="1:53" ht="14.95" customHeight="1" thickBot="1" x14ac:dyDescent="0.3">
      <c r="A8" s="479" t="s">
        <v>488</v>
      </c>
      <c r="B8" s="461" t="s">
        <v>199</v>
      </c>
      <c r="C8" s="462" t="s">
        <v>26</v>
      </c>
      <c r="D8" s="463" t="s">
        <v>36</v>
      </c>
      <c r="E8" s="463" t="s">
        <v>32</v>
      </c>
      <c r="F8" s="463">
        <v>24</v>
      </c>
      <c r="G8" s="463">
        <v>10</v>
      </c>
      <c r="H8" s="463">
        <v>0</v>
      </c>
      <c r="I8" s="463">
        <v>0</v>
      </c>
      <c r="J8" s="463">
        <v>3</v>
      </c>
      <c r="K8" s="463">
        <v>3</v>
      </c>
      <c r="L8" s="463">
        <v>0</v>
      </c>
      <c r="M8" s="463">
        <v>1</v>
      </c>
      <c r="N8" s="463">
        <v>0</v>
      </c>
      <c r="O8" s="463">
        <v>0</v>
      </c>
      <c r="P8" s="463">
        <v>0</v>
      </c>
      <c r="Q8" s="463">
        <v>0</v>
      </c>
      <c r="R8" s="463">
        <v>1</v>
      </c>
      <c r="S8" s="464">
        <v>18533</v>
      </c>
      <c r="T8" s="481" t="s">
        <v>516</v>
      </c>
      <c r="U8" s="466" t="s">
        <v>463</v>
      </c>
      <c r="V8" s="464" t="s">
        <v>464</v>
      </c>
      <c r="W8" s="464" t="s">
        <v>393</v>
      </c>
      <c r="X8" s="467" t="s">
        <v>305</v>
      </c>
      <c r="Y8" s="464">
        <v>1</v>
      </c>
      <c r="Z8" s="464">
        <v>1</v>
      </c>
      <c r="AA8" s="464">
        <v>0</v>
      </c>
      <c r="AB8" s="464">
        <v>0</v>
      </c>
      <c r="AC8" s="464">
        <v>0</v>
      </c>
      <c r="AD8" s="464">
        <v>0</v>
      </c>
      <c r="AE8" s="464">
        <v>0</v>
      </c>
      <c r="AF8" s="464">
        <v>0</v>
      </c>
      <c r="AG8" s="464">
        <v>1</v>
      </c>
      <c r="AH8" s="464">
        <v>1</v>
      </c>
      <c r="AI8" s="464">
        <v>0</v>
      </c>
      <c r="AJ8" s="466">
        <v>0</v>
      </c>
      <c r="AK8" s="464">
        <v>0</v>
      </c>
      <c r="AL8" s="464">
        <v>0</v>
      </c>
      <c r="AM8" s="464">
        <v>0</v>
      </c>
      <c r="AN8" s="466">
        <v>0</v>
      </c>
      <c r="AQ8" s="175" t="s">
        <v>169</v>
      </c>
      <c r="AR8" s="176">
        <f>Sarpremhistptsscored</f>
        <v>13173</v>
      </c>
      <c r="AT8" s="177" t="s">
        <v>1</v>
      </c>
      <c r="AU8" s="189">
        <f>Sareuropeancuphistlost</f>
        <v>30</v>
      </c>
      <c r="AV8" s="179" t="s">
        <v>1</v>
      </c>
      <c r="AW8" s="180">
        <f>Sarchampscuphistlost</f>
        <v>9</v>
      </c>
      <c r="AX8" s="181" t="s">
        <v>1</v>
      </c>
      <c r="AY8" s="178">
        <f>Sarchallcuphistlost</f>
        <v>11</v>
      </c>
      <c r="AZ8" s="182" t="s">
        <v>1</v>
      </c>
      <c r="BA8" s="183">
        <f t="shared" si="0"/>
        <v>41</v>
      </c>
    </row>
    <row r="9" spans="1:53" ht="14.95" customHeight="1" thickBot="1" x14ac:dyDescent="0.3">
      <c r="A9" s="468" t="s">
        <v>239</v>
      </c>
      <c r="B9" s="469" t="s">
        <v>199</v>
      </c>
      <c r="C9" s="470" t="s">
        <v>11</v>
      </c>
      <c r="D9" s="471" t="s">
        <v>299</v>
      </c>
      <c r="E9" s="471" t="s">
        <v>32</v>
      </c>
      <c r="F9" s="471">
        <v>16</v>
      </c>
      <c r="G9" s="471">
        <v>13</v>
      </c>
      <c r="H9" s="471">
        <v>0</v>
      </c>
      <c r="I9" s="471">
        <v>0</v>
      </c>
      <c r="J9" s="471">
        <v>2</v>
      </c>
      <c r="K9" s="471">
        <v>0</v>
      </c>
      <c r="L9" s="471">
        <v>0</v>
      </c>
      <c r="M9" s="471">
        <v>2</v>
      </c>
      <c r="N9" s="471">
        <v>0</v>
      </c>
      <c r="O9" s="471">
        <v>0</v>
      </c>
      <c r="P9" s="471">
        <v>0</v>
      </c>
      <c r="Q9" s="471">
        <v>1</v>
      </c>
      <c r="R9" s="471">
        <v>1</v>
      </c>
      <c r="S9" s="472">
        <v>6293</v>
      </c>
      <c r="T9" s="480" t="s">
        <v>530</v>
      </c>
      <c r="U9" s="478" t="s">
        <v>308</v>
      </c>
      <c r="V9" s="472" t="s">
        <v>352</v>
      </c>
      <c r="W9" s="472" t="s">
        <v>396</v>
      </c>
      <c r="X9" s="473" t="s">
        <v>397</v>
      </c>
      <c r="Y9" s="472">
        <v>1</v>
      </c>
      <c r="Z9" s="472">
        <v>1</v>
      </c>
      <c r="AA9" s="472">
        <v>0</v>
      </c>
      <c r="AB9" s="472">
        <v>0</v>
      </c>
      <c r="AC9" s="472">
        <v>1</v>
      </c>
      <c r="AD9" s="472">
        <v>1</v>
      </c>
      <c r="AE9" s="472">
        <v>0</v>
      </c>
      <c r="AF9" s="472">
        <v>0</v>
      </c>
      <c r="AG9" s="472">
        <v>0</v>
      </c>
      <c r="AH9" s="472">
        <v>0</v>
      </c>
      <c r="AI9" s="472">
        <v>0</v>
      </c>
      <c r="AJ9" s="478">
        <v>0</v>
      </c>
      <c r="AK9" s="472">
        <v>0</v>
      </c>
      <c r="AL9" s="472">
        <v>0</v>
      </c>
      <c r="AM9" s="472">
        <v>0</v>
      </c>
      <c r="AN9" s="478">
        <v>0</v>
      </c>
      <c r="AQ9" s="175" t="s">
        <v>170</v>
      </c>
      <c r="AR9" s="176">
        <f>Sarpremhistptsagainst</f>
        <v>10607</v>
      </c>
      <c r="AT9" s="177" t="s">
        <v>169</v>
      </c>
      <c r="AU9" s="189">
        <f>Sareuropeancuphistptsscored</f>
        <v>2921</v>
      </c>
      <c r="AV9" s="179" t="s">
        <v>169</v>
      </c>
      <c r="AW9" s="180">
        <f>Sarchampscuphistptsscored</f>
        <v>1385</v>
      </c>
      <c r="AX9" s="181" t="s">
        <v>169</v>
      </c>
      <c r="AY9" s="178">
        <f>Sarchallcuphistptsscored</f>
        <v>2147</v>
      </c>
      <c r="AZ9" s="182" t="s">
        <v>169</v>
      </c>
      <c r="BA9" s="183">
        <f t="shared" si="0"/>
        <v>5068</v>
      </c>
    </row>
    <row r="10" spans="1:53" ht="14.95" customHeight="1" thickBot="1" x14ac:dyDescent="0.3">
      <c r="A10" s="479" t="s">
        <v>237</v>
      </c>
      <c r="B10" s="461" t="s">
        <v>199</v>
      </c>
      <c r="C10" s="462" t="s">
        <v>24</v>
      </c>
      <c r="D10" s="463" t="s">
        <v>36</v>
      </c>
      <c r="E10" s="463" t="s">
        <v>32</v>
      </c>
      <c r="F10" s="463">
        <v>21</v>
      </c>
      <c r="G10" s="463">
        <v>12</v>
      </c>
      <c r="H10" s="463">
        <v>0</v>
      </c>
      <c r="I10" s="463">
        <v>0</v>
      </c>
      <c r="J10" s="463">
        <v>2</v>
      </c>
      <c r="K10" s="463">
        <v>1</v>
      </c>
      <c r="L10" s="463">
        <v>0</v>
      </c>
      <c r="M10" s="463">
        <v>3</v>
      </c>
      <c r="N10" s="463">
        <v>0</v>
      </c>
      <c r="O10" s="463">
        <v>0</v>
      </c>
      <c r="P10" s="463">
        <v>0</v>
      </c>
      <c r="Q10" s="463">
        <v>0</v>
      </c>
      <c r="R10" s="463">
        <v>2</v>
      </c>
      <c r="S10" s="635">
        <v>13454</v>
      </c>
      <c r="T10" s="481" t="s">
        <v>549</v>
      </c>
      <c r="U10" s="466" t="s">
        <v>396</v>
      </c>
      <c r="V10" s="464" t="s">
        <v>403</v>
      </c>
      <c r="W10" s="464" t="s">
        <v>308</v>
      </c>
      <c r="X10" s="467" t="s">
        <v>475</v>
      </c>
      <c r="Y10" s="464">
        <v>1</v>
      </c>
      <c r="Z10" s="464">
        <v>1</v>
      </c>
      <c r="AA10" s="464">
        <v>0</v>
      </c>
      <c r="AB10" s="464">
        <v>0</v>
      </c>
      <c r="AC10" s="464">
        <v>0</v>
      </c>
      <c r="AD10" s="464">
        <v>0</v>
      </c>
      <c r="AE10" s="464">
        <v>0</v>
      </c>
      <c r="AF10" s="464">
        <v>0</v>
      </c>
      <c r="AG10" s="464">
        <v>1</v>
      </c>
      <c r="AH10" s="464">
        <v>1</v>
      </c>
      <c r="AI10" s="464">
        <v>0</v>
      </c>
      <c r="AJ10" s="466">
        <v>0</v>
      </c>
      <c r="AK10" s="464">
        <v>0</v>
      </c>
      <c r="AL10" s="464">
        <v>0</v>
      </c>
      <c r="AM10" s="464">
        <v>0</v>
      </c>
      <c r="AN10" s="466">
        <v>0</v>
      </c>
      <c r="AQ10" s="175" t="s">
        <v>73</v>
      </c>
      <c r="AR10" s="176">
        <f>Sarpremhisttriesscored</f>
        <v>1341</v>
      </c>
      <c r="AT10" s="177" t="s">
        <v>175</v>
      </c>
      <c r="AU10" s="189">
        <f>Sareuropeancuphistptsagainst</f>
        <v>1892</v>
      </c>
      <c r="AV10" s="179" t="s">
        <v>175</v>
      </c>
      <c r="AW10" s="180">
        <f>Sarchampscuphistptsagainst</f>
        <v>799</v>
      </c>
      <c r="AX10" s="181" t="s">
        <v>175</v>
      </c>
      <c r="AY10" s="178">
        <f>Sarchallcuphistptsagainst</f>
        <v>846</v>
      </c>
      <c r="AZ10" s="182" t="s">
        <v>175</v>
      </c>
      <c r="BA10" s="183">
        <f t="shared" si="0"/>
        <v>2738</v>
      </c>
    </row>
    <row r="11" spans="1:53" ht="14.95" customHeight="1" thickBot="1" x14ac:dyDescent="0.3">
      <c r="A11" s="145" t="s">
        <v>489</v>
      </c>
      <c r="B11" s="139" t="s">
        <v>104</v>
      </c>
      <c r="C11" s="140" t="s">
        <v>490</v>
      </c>
      <c r="D11" s="141" t="s">
        <v>36</v>
      </c>
      <c r="E11" s="141" t="s">
        <v>34</v>
      </c>
      <c r="F11" s="141">
        <v>10</v>
      </c>
      <c r="G11" s="141">
        <v>30</v>
      </c>
      <c r="H11" s="141">
        <v>0</v>
      </c>
      <c r="I11" s="141">
        <v>0</v>
      </c>
      <c r="J11" s="141">
        <v>1</v>
      </c>
      <c r="K11" s="141">
        <v>1</v>
      </c>
      <c r="L11" s="141">
        <v>0</v>
      </c>
      <c r="M11" s="141">
        <v>1</v>
      </c>
      <c r="N11" s="141">
        <v>1</v>
      </c>
      <c r="O11" s="141">
        <v>0</v>
      </c>
      <c r="P11" s="141">
        <v>1</v>
      </c>
      <c r="Q11" s="141">
        <v>0</v>
      </c>
      <c r="R11" s="141">
        <v>4</v>
      </c>
      <c r="S11" s="142">
        <v>20275</v>
      </c>
      <c r="T11" s="421" t="s">
        <v>598</v>
      </c>
      <c r="U11" s="143" t="s">
        <v>594</v>
      </c>
      <c r="V11" s="142" t="s">
        <v>595</v>
      </c>
      <c r="W11" s="142" t="s">
        <v>596</v>
      </c>
      <c r="X11" s="144" t="s">
        <v>597</v>
      </c>
      <c r="Y11" s="142">
        <v>1</v>
      </c>
      <c r="Z11" s="142">
        <v>0</v>
      </c>
      <c r="AA11" s="142">
        <v>0</v>
      </c>
      <c r="AB11" s="142">
        <v>1</v>
      </c>
      <c r="AC11" s="142">
        <v>0</v>
      </c>
      <c r="AD11" s="142">
        <v>0</v>
      </c>
      <c r="AE11" s="142">
        <v>0</v>
      </c>
      <c r="AF11" s="142">
        <v>0</v>
      </c>
      <c r="AG11" s="142">
        <v>1</v>
      </c>
      <c r="AH11" s="142">
        <v>0</v>
      </c>
      <c r="AI11" s="142">
        <v>0</v>
      </c>
      <c r="AJ11" s="143">
        <v>1</v>
      </c>
      <c r="AK11" s="142">
        <v>0</v>
      </c>
      <c r="AL11" s="142">
        <v>0</v>
      </c>
      <c r="AM11" s="142">
        <v>0</v>
      </c>
      <c r="AN11" s="143">
        <v>0</v>
      </c>
      <c r="AQ11" s="175" t="s">
        <v>75</v>
      </c>
      <c r="AR11" s="176">
        <f>Sarpremhisttriesagainst</f>
        <v>1043</v>
      </c>
      <c r="AT11" s="177" t="s">
        <v>73</v>
      </c>
      <c r="AU11" s="189">
        <f>Sareuropeancuphisttriesscored</f>
        <v>304</v>
      </c>
      <c r="AV11" s="179" t="s">
        <v>73</v>
      </c>
      <c r="AW11" s="180">
        <f>Sarchampscuphisttriesscored</f>
        <v>144</v>
      </c>
      <c r="AX11" s="181" t="s">
        <v>73</v>
      </c>
      <c r="AY11" s="178">
        <f>Sarchallcuphisttriesscored</f>
        <v>263</v>
      </c>
      <c r="AZ11" s="182" t="s">
        <v>73</v>
      </c>
      <c r="BA11" s="183">
        <f t="shared" si="0"/>
        <v>567</v>
      </c>
    </row>
    <row r="12" spans="1:53" ht="14.95" customHeight="1" thickBot="1" x14ac:dyDescent="0.3">
      <c r="A12" s="309" t="s">
        <v>235</v>
      </c>
      <c r="B12" s="310" t="s">
        <v>104</v>
      </c>
      <c r="C12" s="93" t="s">
        <v>491</v>
      </c>
      <c r="D12" s="94" t="s">
        <v>299</v>
      </c>
      <c r="E12" s="94" t="s">
        <v>32</v>
      </c>
      <c r="F12" s="94">
        <v>44</v>
      </c>
      <c r="G12" s="94">
        <v>3</v>
      </c>
      <c r="H12" s="94">
        <v>1</v>
      </c>
      <c r="I12" s="94">
        <v>0</v>
      </c>
      <c r="J12" s="94">
        <v>6</v>
      </c>
      <c r="K12" s="94">
        <v>3</v>
      </c>
      <c r="L12" s="94">
        <v>0</v>
      </c>
      <c r="M12" s="94">
        <v>2</v>
      </c>
      <c r="N12" s="94">
        <v>0</v>
      </c>
      <c r="O12" s="94">
        <v>0</v>
      </c>
      <c r="P12" s="94">
        <v>0</v>
      </c>
      <c r="Q12" s="94">
        <v>0</v>
      </c>
      <c r="R12" s="94">
        <v>0</v>
      </c>
      <c r="S12" s="311">
        <v>7531</v>
      </c>
      <c r="T12" s="698" t="s">
        <v>599</v>
      </c>
      <c r="U12" s="636" t="s">
        <v>600</v>
      </c>
      <c r="V12" s="637" t="s">
        <v>601</v>
      </c>
      <c r="W12" s="311" t="s">
        <v>602</v>
      </c>
      <c r="X12" s="88" t="s">
        <v>603</v>
      </c>
      <c r="Y12" s="311">
        <v>1</v>
      </c>
      <c r="Z12" s="311">
        <v>1</v>
      </c>
      <c r="AA12" s="311">
        <v>0</v>
      </c>
      <c r="AB12" s="311">
        <v>0</v>
      </c>
      <c r="AC12" s="311">
        <v>1</v>
      </c>
      <c r="AD12" s="311">
        <v>1</v>
      </c>
      <c r="AE12" s="311">
        <v>0</v>
      </c>
      <c r="AF12" s="311">
        <v>0</v>
      </c>
      <c r="AG12" s="311">
        <v>0</v>
      </c>
      <c r="AH12" s="311">
        <v>0</v>
      </c>
      <c r="AI12" s="311">
        <v>0</v>
      </c>
      <c r="AJ12" s="313">
        <v>0</v>
      </c>
      <c r="AK12" s="311">
        <v>0</v>
      </c>
      <c r="AL12" s="311">
        <v>0</v>
      </c>
      <c r="AM12" s="311">
        <v>0</v>
      </c>
      <c r="AN12" s="313">
        <v>0</v>
      </c>
      <c r="AT12" s="177" t="s">
        <v>176</v>
      </c>
      <c r="AU12" s="189">
        <f>Sareuropeancuphisttriesagainst</f>
        <v>177</v>
      </c>
      <c r="AV12" s="179" t="s">
        <v>176</v>
      </c>
      <c r="AW12" s="180">
        <f>Sarchampscuphisttriesagainst</f>
        <v>79</v>
      </c>
      <c r="AX12" s="181" t="s">
        <v>176</v>
      </c>
      <c r="AY12" s="178">
        <f>Sarchallcuphisttriesagainst</f>
        <v>76</v>
      </c>
      <c r="AZ12" s="182" t="s">
        <v>176</v>
      </c>
      <c r="BA12" s="183">
        <f t="shared" si="0"/>
        <v>253</v>
      </c>
    </row>
    <row r="13" spans="1:53" ht="14.95" customHeight="1" thickBot="1" x14ac:dyDescent="0.3">
      <c r="A13" s="479" t="s">
        <v>428</v>
      </c>
      <c r="B13" s="461" t="s">
        <v>199</v>
      </c>
      <c r="C13" s="462" t="s">
        <v>22</v>
      </c>
      <c r="D13" s="463" t="s">
        <v>36</v>
      </c>
      <c r="E13" s="463" t="s">
        <v>32</v>
      </c>
      <c r="F13" s="463">
        <v>25</v>
      </c>
      <c r="G13" s="463">
        <v>12</v>
      </c>
      <c r="H13" s="463">
        <v>0</v>
      </c>
      <c r="I13" s="463">
        <v>0</v>
      </c>
      <c r="J13" s="463">
        <v>1</v>
      </c>
      <c r="K13" s="463">
        <v>1</v>
      </c>
      <c r="L13" s="463">
        <v>0</v>
      </c>
      <c r="M13" s="463">
        <v>6</v>
      </c>
      <c r="N13" s="463">
        <v>1</v>
      </c>
      <c r="O13" s="463">
        <v>0</v>
      </c>
      <c r="P13" s="463">
        <v>0</v>
      </c>
      <c r="Q13" s="463">
        <v>0</v>
      </c>
      <c r="R13" s="463">
        <v>0</v>
      </c>
      <c r="S13" s="464">
        <v>14509</v>
      </c>
      <c r="T13" s="481" t="s">
        <v>628</v>
      </c>
      <c r="U13" s="466" t="s">
        <v>624</v>
      </c>
      <c r="V13" s="464" t="s">
        <v>625</v>
      </c>
      <c r="W13" s="464" t="s">
        <v>626</v>
      </c>
      <c r="X13" s="467" t="s">
        <v>627</v>
      </c>
      <c r="Y13" s="464">
        <v>1</v>
      </c>
      <c r="Z13" s="464">
        <v>1</v>
      </c>
      <c r="AA13" s="464">
        <v>0</v>
      </c>
      <c r="AB13" s="464">
        <v>0</v>
      </c>
      <c r="AC13" s="464">
        <v>0</v>
      </c>
      <c r="AD13" s="464">
        <v>0</v>
      </c>
      <c r="AE13" s="464">
        <v>0</v>
      </c>
      <c r="AF13" s="464">
        <v>0</v>
      </c>
      <c r="AG13" s="464">
        <v>1</v>
      </c>
      <c r="AH13" s="464">
        <v>1</v>
      </c>
      <c r="AI13" s="464">
        <v>0</v>
      </c>
      <c r="AJ13" s="466">
        <v>0</v>
      </c>
      <c r="AK13" s="464">
        <v>0</v>
      </c>
      <c r="AL13" s="464">
        <v>0</v>
      </c>
      <c r="AM13" s="464">
        <v>0</v>
      </c>
      <c r="AN13" s="466">
        <v>0</v>
      </c>
    </row>
    <row r="14" spans="1:53" ht="14.95" customHeight="1" thickBot="1" x14ac:dyDescent="0.3">
      <c r="A14" s="145" t="s">
        <v>243</v>
      </c>
      <c r="B14" s="139" t="s">
        <v>104</v>
      </c>
      <c r="C14" s="140" t="s">
        <v>492</v>
      </c>
      <c r="D14" s="141" t="s">
        <v>36</v>
      </c>
      <c r="E14" s="141" t="s">
        <v>34</v>
      </c>
      <c r="F14" s="141">
        <v>3</v>
      </c>
      <c r="G14" s="141">
        <v>10</v>
      </c>
      <c r="H14" s="141">
        <v>0</v>
      </c>
      <c r="I14" s="141">
        <v>1</v>
      </c>
      <c r="J14" s="141">
        <v>0</v>
      </c>
      <c r="K14" s="141">
        <v>0</v>
      </c>
      <c r="L14" s="141">
        <v>0</v>
      </c>
      <c r="M14" s="141">
        <v>1</v>
      </c>
      <c r="N14" s="141">
        <v>0</v>
      </c>
      <c r="O14" s="141">
        <v>0</v>
      </c>
      <c r="P14" s="141">
        <v>0</v>
      </c>
      <c r="Q14" s="141">
        <v>0</v>
      </c>
      <c r="R14" s="141">
        <v>1</v>
      </c>
      <c r="S14" s="142">
        <v>25034</v>
      </c>
      <c r="T14" s="421" t="s">
        <v>515</v>
      </c>
      <c r="U14" s="143" t="s">
        <v>643</v>
      </c>
      <c r="V14" s="142" t="s">
        <v>644</v>
      </c>
      <c r="W14" s="142" t="s">
        <v>645</v>
      </c>
      <c r="X14" s="144" t="s">
        <v>603</v>
      </c>
      <c r="Y14" s="142">
        <v>1</v>
      </c>
      <c r="Z14" s="142">
        <v>0</v>
      </c>
      <c r="AA14" s="142">
        <v>0</v>
      </c>
      <c r="AB14" s="142">
        <v>1</v>
      </c>
      <c r="AC14" s="142">
        <v>0</v>
      </c>
      <c r="AD14" s="142">
        <v>0</v>
      </c>
      <c r="AE14" s="142">
        <v>0</v>
      </c>
      <c r="AF14" s="142">
        <v>0</v>
      </c>
      <c r="AG14" s="142">
        <v>1</v>
      </c>
      <c r="AH14" s="142">
        <v>0</v>
      </c>
      <c r="AI14" s="142">
        <v>0</v>
      </c>
      <c r="AJ14" s="143">
        <v>1</v>
      </c>
      <c r="AK14" s="142">
        <v>0</v>
      </c>
      <c r="AL14" s="142">
        <v>0</v>
      </c>
      <c r="AM14" s="142">
        <v>0</v>
      </c>
      <c r="AN14" s="143">
        <v>0</v>
      </c>
    </row>
    <row r="15" spans="1:53" ht="14.95" customHeight="1" thickBot="1" x14ac:dyDescent="0.3">
      <c r="A15" s="309" t="s">
        <v>244</v>
      </c>
      <c r="B15" s="310" t="s">
        <v>104</v>
      </c>
      <c r="C15" s="93" t="s">
        <v>492</v>
      </c>
      <c r="D15" s="94" t="s">
        <v>299</v>
      </c>
      <c r="E15" s="94" t="s">
        <v>32</v>
      </c>
      <c r="F15" s="94">
        <v>15</v>
      </c>
      <c r="G15" s="94">
        <v>6</v>
      </c>
      <c r="H15" s="94">
        <v>0</v>
      </c>
      <c r="I15" s="94">
        <v>0</v>
      </c>
      <c r="J15" s="94">
        <v>2</v>
      </c>
      <c r="K15" s="94">
        <v>1</v>
      </c>
      <c r="L15" s="94">
        <v>0</v>
      </c>
      <c r="M15" s="94">
        <v>1</v>
      </c>
      <c r="N15" s="94">
        <v>0</v>
      </c>
      <c r="O15" s="94">
        <v>0</v>
      </c>
      <c r="P15" s="94">
        <v>0</v>
      </c>
      <c r="Q15" s="94">
        <v>0</v>
      </c>
      <c r="R15" s="94">
        <v>0</v>
      </c>
      <c r="S15" s="85">
        <v>8500</v>
      </c>
      <c r="T15" s="738" t="s">
        <v>691</v>
      </c>
      <c r="U15" s="313" t="s">
        <v>611</v>
      </c>
      <c r="V15" s="311" t="s">
        <v>612</v>
      </c>
      <c r="W15" s="311" t="s">
        <v>661</v>
      </c>
      <c r="X15" s="88" t="s">
        <v>614</v>
      </c>
      <c r="Y15" s="311">
        <v>1</v>
      </c>
      <c r="Z15" s="311">
        <v>1</v>
      </c>
      <c r="AA15" s="311">
        <v>0</v>
      </c>
      <c r="AB15" s="311">
        <v>0</v>
      </c>
      <c r="AC15" s="311">
        <v>1</v>
      </c>
      <c r="AD15" s="311">
        <v>1</v>
      </c>
      <c r="AE15" s="311">
        <v>0</v>
      </c>
      <c r="AF15" s="311">
        <v>0</v>
      </c>
      <c r="AG15" s="311">
        <v>0</v>
      </c>
      <c r="AH15" s="311">
        <v>0</v>
      </c>
      <c r="AI15" s="311">
        <v>0</v>
      </c>
      <c r="AJ15" s="313">
        <v>0</v>
      </c>
      <c r="AK15" s="311">
        <v>0</v>
      </c>
      <c r="AL15" s="311">
        <v>0</v>
      </c>
      <c r="AM15" s="311">
        <v>0</v>
      </c>
      <c r="AN15" s="313">
        <v>0</v>
      </c>
      <c r="AO15" s="127"/>
      <c r="AP15" s="1146"/>
      <c r="AQ15" s="1146"/>
      <c r="AR15" s="1146"/>
      <c r="AS15" s="1146"/>
    </row>
    <row r="16" spans="1:53" ht="14.95" customHeight="1" thickBot="1" x14ac:dyDescent="0.3">
      <c r="A16" s="468" t="s">
        <v>256</v>
      </c>
      <c r="B16" s="469" t="s">
        <v>199</v>
      </c>
      <c r="C16" s="470" t="s">
        <v>165</v>
      </c>
      <c r="D16" s="471" t="s">
        <v>299</v>
      </c>
      <c r="E16" s="471" t="s">
        <v>32</v>
      </c>
      <c r="F16" s="471">
        <v>47</v>
      </c>
      <c r="G16" s="471">
        <v>13</v>
      </c>
      <c r="H16" s="471">
        <v>1</v>
      </c>
      <c r="I16" s="471">
        <v>0</v>
      </c>
      <c r="J16" s="471">
        <v>7</v>
      </c>
      <c r="K16" s="471">
        <v>6</v>
      </c>
      <c r="L16" s="471">
        <v>0</v>
      </c>
      <c r="M16" s="471">
        <v>0</v>
      </c>
      <c r="N16" s="471">
        <v>0</v>
      </c>
      <c r="O16" s="471">
        <v>0</v>
      </c>
      <c r="P16" s="471">
        <v>0</v>
      </c>
      <c r="Q16" s="471">
        <v>0</v>
      </c>
      <c r="R16" s="471">
        <v>1</v>
      </c>
      <c r="S16" s="472">
        <v>8250</v>
      </c>
      <c r="T16" s="480" t="s">
        <v>696</v>
      </c>
      <c r="U16" s="478" t="s">
        <v>463</v>
      </c>
      <c r="V16" s="472" t="s">
        <v>634</v>
      </c>
      <c r="W16" s="472" t="s">
        <v>350</v>
      </c>
      <c r="X16" s="473" t="s">
        <v>394</v>
      </c>
      <c r="Y16" s="472">
        <v>1</v>
      </c>
      <c r="Z16" s="472">
        <v>1</v>
      </c>
      <c r="AA16" s="472">
        <v>0</v>
      </c>
      <c r="AB16" s="472">
        <v>0</v>
      </c>
      <c r="AC16" s="472">
        <v>1</v>
      </c>
      <c r="AD16" s="472">
        <v>1</v>
      </c>
      <c r="AE16" s="472">
        <v>0</v>
      </c>
      <c r="AF16" s="472">
        <v>0</v>
      </c>
      <c r="AG16" s="472">
        <v>0</v>
      </c>
      <c r="AH16" s="472">
        <v>0</v>
      </c>
      <c r="AI16" s="472">
        <v>0</v>
      </c>
      <c r="AJ16" s="478">
        <v>0</v>
      </c>
      <c r="AK16" s="472">
        <v>0</v>
      </c>
      <c r="AL16" s="472">
        <v>0</v>
      </c>
      <c r="AM16" s="472">
        <v>0</v>
      </c>
      <c r="AN16" s="478">
        <v>0</v>
      </c>
      <c r="AO16" s="128"/>
      <c r="AP16" s="127"/>
      <c r="AQ16" s="128"/>
      <c r="AR16" s="127"/>
      <c r="AS16" s="128"/>
    </row>
    <row r="17" spans="1:49" ht="14.95" customHeight="1" thickBot="1" x14ac:dyDescent="0.3">
      <c r="A17" s="479" t="s">
        <v>448</v>
      </c>
      <c r="B17" s="461" t="s">
        <v>199</v>
      </c>
      <c r="C17" s="462" t="s">
        <v>28</v>
      </c>
      <c r="D17" s="463" t="s">
        <v>36</v>
      </c>
      <c r="E17" s="463" t="s">
        <v>34</v>
      </c>
      <c r="F17" s="463">
        <v>7</v>
      </c>
      <c r="G17" s="463">
        <v>14</v>
      </c>
      <c r="H17" s="463">
        <v>0</v>
      </c>
      <c r="I17" s="463">
        <v>1</v>
      </c>
      <c r="J17" s="463">
        <v>1</v>
      </c>
      <c r="K17" s="463">
        <v>0</v>
      </c>
      <c r="L17" s="463">
        <v>0</v>
      </c>
      <c r="M17" s="463">
        <v>0</v>
      </c>
      <c r="N17" s="463">
        <v>0</v>
      </c>
      <c r="O17" s="463">
        <v>0</v>
      </c>
      <c r="P17" s="463">
        <v>0</v>
      </c>
      <c r="Q17" s="463">
        <v>0</v>
      </c>
      <c r="R17" s="463">
        <v>2</v>
      </c>
      <c r="S17" s="639">
        <v>13593</v>
      </c>
      <c r="T17" s="465" t="s">
        <v>722</v>
      </c>
      <c r="U17" s="466" t="s">
        <v>637</v>
      </c>
      <c r="V17" s="464" t="s">
        <v>468</v>
      </c>
      <c r="W17" s="464" t="s">
        <v>326</v>
      </c>
      <c r="X17" s="467" t="s">
        <v>463</v>
      </c>
      <c r="Y17" s="464">
        <v>1</v>
      </c>
      <c r="Z17" s="464">
        <v>0</v>
      </c>
      <c r="AA17" s="464">
        <v>0</v>
      </c>
      <c r="AB17" s="464">
        <v>1</v>
      </c>
      <c r="AC17" s="464">
        <v>0</v>
      </c>
      <c r="AD17" s="464">
        <v>0</v>
      </c>
      <c r="AE17" s="464">
        <v>0</v>
      </c>
      <c r="AF17" s="464">
        <v>0</v>
      </c>
      <c r="AG17" s="464">
        <v>1</v>
      </c>
      <c r="AH17" s="464">
        <v>0</v>
      </c>
      <c r="AI17" s="464">
        <v>0</v>
      </c>
      <c r="AJ17" s="466">
        <v>1</v>
      </c>
      <c r="AK17" s="464">
        <v>0</v>
      </c>
      <c r="AL17" s="464">
        <v>0</v>
      </c>
      <c r="AM17" s="464">
        <v>0</v>
      </c>
      <c r="AN17" s="466">
        <v>0</v>
      </c>
      <c r="AO17" s="128"/>
      <c r="AP17" s="127"/>
      <c r="AQ17" s="128"/>
      <c r="AR17" s="127"/>
      <c r="AS17" s="128"/>
    </row>
    <row r="18" spans="1:49" ht="14.95" customHeight="1" thickBot="1" x14ac:dyDescent="0.3">
      <c r="A18" s="468" t="s">
        <v>258</v>
      </c>
      <c r="B18" s="469" t="s">
        <v>199</v>
      </c>
      <c r="C18" s="470" t="s">
        <v>23</v>
      </c>
      <c r="D18" s="471" t="s">
        <v>299</v>
      </c>
      <c r="E18" s="471" t="s">
        <v>32</v>
      </c>
      <c r="F18" s="471">
        <v>62</v>
      </c>
      <c r="G18" s="471">
        <v>5</v>
      </c>
      <c r="H18" s="471">
        <v>1</v>
      </c>
      <c r="I18" s="471">
        <v>0</v>
      </c>
      <c r="J18" s="471">
        <v>10</v>
      </c>
      <c r="K18" s="471">
        <v>6</v>
      </c>
      <c r="L18" s="471">
        <v>0</v>
      </c>
      <c r="M18" s="471">
        <v>0</v>
      </c>
      <c r="N18" s="471">
        <v>0</v>
      </c>
      <c r="O18" s="471">
        <v>0</v>
      </c>
      <c r="P18" s="471">
        <v>0</v>
      </c>
      <c r="Q18" s="471">
        <v>0</v>
      </c>
      <c r="R18" s="471">
        <v>1</v>
      </c>
      <c r="S18" s="472">
        <v>8250</v>
      </c>
      <c r="T18" s="480" t="s">
        <v>665</v>
      </c>
      <c r="U18" s="478" t="s">
        <v>396</v>
      </c>
      <c r="V18" s="472" t="s">
        <v>403</v>
      </c>
      <c r="W18" s="472" t="s">
        <v>308</v>
      </c>
      <c r="X18" s="473" t="s">
        <v>475</v>
      </c>
      <c r="Y18" s="472">
        <v>1</v>
      </c>
      <c r="Z18" s="472">
        <v>1</v>
      </c>
      <c r="AA18" s="472">
        <v>0</v>
      </c>
      <c r="AB18" s="472">
        <v>0</v>
      </c>
      <c r="AC18" s="472">
        <v>1</v>
      </c>
      <c r="AD18" s="472">
        <v>1</v>
      </c>
      <c r="AE18" s="472">
        <v>0</v>
      </c>
      <c r="AF18" s="472">
        <v>0</v>
      </c>
      <c r="AG18" s="472">
        <v>0</v>
      </c>
      <c r="AH18" s="472">
        <v>0</v>
      </c>
      <c r="AI18" s="472">
        <v>0</v>
      </c>
      <c r="AJ18" s="478">
        <v>0</v>
      </c>
      <c r="AK18" s="472">
        <v>0</v>
      </c>
      <c r="AL18" s="472">
        <v>0</v>
      </c>
      <c r="AM18" s="472">
        <v>0</v>
      </c>
      <c r="AN18" s="478">
        <v>0</v>
      </c>
      <c r="AO18" s="128"/>
      <c r="AP18" s="127"/>
      <c r="AQ18" s="128"/>
      <c r="AR18" s="127"/>
      <c r="AS18" s="128"/>
    </row>
    <row r="19" spans="1:49" ht="14.95" customHeight="1" thickBot="1" x14ac:dyDescent="0.3">
      <c r="A19" s="145" t="s">
        <v>245</v>
      </c>
      <c r="B19" s="139" t="s">
        <v>104</v>
      </c>
      <c r="C19" s="140" t="s">
        <v>491</v>
      </c>
      <c r="D19" s="141" t="s">
        <v>36</v>
      </c>
      <c r="E19" s="141" t="s">
        <v>32</v>
      </c>
      <c r="F19" s="141">
        <v>22</v>
      </c>
      <c r="G19" s="141">
        <v>15</v>
      </c>
      <c r="H19" s="141">
        <v>0</v>
      </c>
      <c r="I19" s="141">
        <v>0</v>
      </c>
      <c r="J19" s="141">
        <v>1</v>
      </c>
      <c r="K19" s="141">
        <v>1</v>
      </c>
      <c r="L19" s="141">
        <v>0</v>
      </c>
      <c r="M19" s="141">
        <v>5</v>
      </c>
      <c r="N19" s="141">
        <v>1</v>
      </c>
      <c r="O19" s="141">
        <v>1</v>
      </c>
      <c r="P19" s="141">
        <v>0</v>
      </c>
      <c r="Q19" s="141">
        <v>1</v>
      </c>
      <c r="R19" s="141">
        <v>2</v>
      </c>
      <c r="S19" s="363">
        <v>7002</v>
      </c>
      <c r="T19" s="272" t="s">
        <v>641</v>
      </c>
      <c r="U19" s="143" t="s">
        <v>569</v>
      </c>
      <c r="V19" s="142" t="s">
        <v>570</v>
      </c>
      <c r="W19" s="142" t="s">
        <v>646</v>
      </c>
      <c r="X19" s="144" t="s">
        <v>572</v>
      </c>
      <c r="Y19" s="142">
        <v>1</v>
      </c>
      <c r="Z19" s="142">
        <v>1</v>
      </c>
      <c r="AA19" s="142">
        <v>0</v>
      </c>
      <c r="AB19" s="142">
        <v>0</v>
      </c>
      <c r="AC19" s="142">
        <v>0</v>
      </c>
      <c r="AD19" s="142">
        <v>0</v>
      </c>
      <c r="AE19" s="142">
        <v>0</v>
      </c>
      <c r="AF19" s="142">
        <v>0</v>
      </c>
      <c r="AG19" s="142">
        <v>1</v>
      </c>
      <c r="AH19" s="142">
        <v>1</v>
      </c>
      <c r="AI19" s="142">
        <v>0</v>
      </c>
      <c r="AJ19" s="143">
        <v>0</v>
      </c>
      <c r="AK19" s="142">
        <v>0</v>
      </c>
      <c r="AL19" s="142">
        <v>0</v>
      </c>
      <c r="AM19" s="142">
        <v>0</v>
      </c>
      <c r="AN19" s="143">
        <v>0</v>
      </c>
      <c r="AO19" s="128"/>
      <c r="AP19" s="127"/>
      <c r="AQ19" s="128"/>
      <c r="AR19" s="127"/>
      <c r="AS19" s="128"/>
    </row>
    <row r="20" spans="1:49" ht="14.95" customHeight="1" thickBot="1" x14ac:dyDescent="0.3">
      <c r="A20" s="309" t="s">
        <v>493</v>
      </c>
      <c r="B20" s="310" t="s">
        <v>104</v>
      </c>
      <c r="C20" s="93" t="s">
        <v>490</v>
      </c>
      <c r="D20" s="94" t="s">
        <v>299</v>
      </c>
      <c r="E20" s="94" t="s">
        <v>32</v>
      </c>
      <c r="F20" s="94">
        <v>27</v>
      </c>
      <c r="G20" s="94">
        <v>24</v>
      </c>
      <c r="H20" s="94">
        <v>0</v>
      </c>
      <c r="I20" s="94">
        <v>0</v>
      </c>
      <c r="J20" s="94">
        <v>3</v>
      </c>
      <c r="K20" s="94">
        <v>3</v>
      </c>
      <c r="L20" s="94">
        <v>0</v>
      </c>
      <c r="M20" s="94">
        <v>2</v>
      </c>
      <c r="N20" s="94">
        <v>0</v>
      </c>
      <c r="O20" s="94">
        <v>1</v>
      </c>
      <c r="P20" s="94">
        <v>0</v>
      </c>
      <c r="Q20" s="94">
        <v>1</v>
      </c>
      <c r="R20" s="94">
        <v>3</v>
      </c>
      <c r="S20" s="311">
        <v>8500</v>
      </c>
      <c r="T20" s="596" t="s">
        <v>761</v>
      </c>
      <c r="U20" s="313" t="s">
        <v>762</v>
      </c>
      <c r="V20" s="311" t="s">
        <v>561</v>
      </c>
      <c r="W20" s="311" t="s">
        <v>562</v>
      </c>
      <c r="X20" s="88" t="s">
        <v>581</v>
      </c>
      <c r="Y20" s="311">
        <v>1</v>
      </c>
      <c r="Z20" s="311">
        <v>1</v>
      </c>
      <c r="AA20" s="311">
        <v>0</v>
      </c>
      <c r="AB20" s="311">
        <v>0</v>
      </c>
      <c r="AC20" s="311">
        <v>1</v>
      </c>
      <c r="AD20" s="311">
        <v>1</v>
      </c>
      <c r="AE20" s="311">
        <v>0</v>
      </c>
      <c r="AF20" s="311">
        <v>0</v>
      </c>
      <c r="AG20" s="311">
        <v>0</v>
      </c>
      <c r="AH20" s="311">
        <v>0</v>
      </c>
      <c r="AI20" s="311">
        <v>0</v>
      </c>
      <c r="AJ20" s="313">
        <v>0</v>
      </c>
      <c r="AK20" s="311">
        <v>0</v>
      </c>
      <c r="AL20" s="311">
        <v>0</v>
      </c>
      <c r="AM20" s="311">
        <v>0</v>
      </c>
      <c r="AN20" s="313">
        <v>0</v>
      </c>
      <c r="AO20" s="128"/>
      <c r="AP20" s="127"/>
      <c r="AQ20" s="128"/>
      <c r="AR20" s="127"/>
      <c r="AS20" s="128"/>
    </row>
    <row r="21" spans="1:49" ht="14.95" customHeight="1" thickBot="1" x14ac:dyDescent="0.3">
      <c r="A21" s="479" t="s">
        <v>709</v>
      </c>
      <c r="B21" s="461" t="s">
        <v>199</v>
      </c>
      <c r="C21" s="462" t="s">
        <v>9</v>
      </c>
      <c r="D21" s="463" t="s">
        <v>36</v>
      </c>
      <c r="E21" s="463" t="s">
        <v>34</v>
      </c>
      <c r="F21" s="463">
        <v>14</v>
      </c>
      <c r="G21" s="463">
        <v>41</v>
      </c>
      <c r="H21" s="463">
        <v>0</v>
      </c>
      <c r="I21" s="463">
        <v>0</v>
      </c>
      <c r="J21" s="463">
        <v>2</v>
      </c>
      <c r="K21" s="463">
        <v>2</v>
      </c>
      <c r="L21" s="463">
        <v>0</v>
      </c>
      <c r="M21" s="463">
        <v>0</v>
      </c>
      <c r="N21" s="463">
        <v>0</v>
      </c>
      <c r="O21" s="463">
        <v>0</v>
      </c>
      <c r="P21" s="463">
        <v>1</v>
      </c>
      <c r="Q21" s="463">
        <v>0</v>
      </c>
      <c r="R21" s="463">
        <v>6</v>
      </c>
      <c r="S21" s="483">
        <v>14258</v>
      </c>
      <c r="T21" s="465" t="s">
        <v>774</v>
      </c>
      <c r="U21" s="466" t="s">
        <v>633</v>
      </c>
      <c r="V21" s="464" t="s">
        <v>634</v>
      </c>
      <c r="W21" s="464" t="s">
        <v>550</v>
      </c>
      <c r="X21" s="467" t="s">
        <v>394</v>
      </c>
      <c r="Y21" s="464">
        <v>1</v>
      </c>
      <c r="Z21" s="464">
        <v>0</v>
      </c>
      <c r="AA21" s="464">
        <v>0</v>
      </c>
      <c r="AB21" s="464">
        <v>1</v>
      </c>
      <c r="AC21" s="464">
        <v>0</v>
      </c>
      <c r="AD21" s="464">
        <v>0</v>
      </c>
      <c r="AE21" s="464">
        <v>0</v>
      </c>
      <c r="AF21" s="464">
        <v>0</v>
      </c>
      <c r="AG21" s="464">
        <v>1</v>
      </c>
      <c r="AH21" s="464">
        <v>0</v>
      </c>
      <c r="AI21" s="464">
        <v>0</v>
      </c>
      <c r="AJ21" s="466">
        <v>1</v>
      </c>
      <c r="AK21" s="464">
        <v>0</v>
      </c>
      <c r="AL21" s="464">
        <v>0</v>
      </c>
      <c r="AM21" s="464">
        <v>0</v>
      </c>
      <c r="AN21" s="466">
        <v>0</v>
      </c>
      <c r="AO21" s="128"/>
      <c r="AP21" s="127"/>
      <c r="AQ21" s="128"/>
      <c r="AR21" s="127"/>
      <c r="AS21" s="128"/>
    </row>
    <row r="22" spans="1:49" ht="14.95" customHeight="1" thickBot="1" x14ac:dyDescent="0.3">
      <c r="A22" s="553" t="s">
        <v>538</v>
      </c>
      <c r="B22" s="554" t="s">
        <v>223</v>
      </c>
      <c r="C22" s="555" t="s">
        <v>27</v>
      </c>
      <c r="D22" s="556" t="s">
        <v>36</v>
      </c>
      <c r="E22" s="556" t="s">
        <v>34</v>
      </c>
      <c r="F22" s="556">
        <v>7</v>
      </c>
      <c r="G22" s="556">
        <v>28</v>
      </c>
      <c r="H22" s="556" t="s">
        <v>77</v>
      </c>
      <c r="I22" s="556" t="s">
        <v>77</v>
      </c>
      <c r="J22" s="556">
        <v>1</v>
      </c>
      <c r="K22" s="556">
        <v>1</v>
      </c>
      <c r="L22" s="556">
        <v>0</v>
      </c>
      <c r="M22" s="556">
        <v>0</v>
      </c>
      <c r="N22" s="556">
        <v>2</v>
      </c>
      <c r="O22" s="556">
        <v>0</v>
      </c>
      <c r="P22" s="556" t="s">
        <v>77</v>
      </c>
      <c r="Q22" s="556" t="s">
        <v>77</v>
      </c>
      <c r="R22" s="556">
        <v>4</v>
      </c>
      <c r="S22" s="557">
        <v>7992</v>
      </c>
      <c r="T22" s="561" t="s">
        <v>309</v>
      </c>
      <c r="U22" s="559" t="s">
        <v>395</v>
      </c>
      <c r="V22" s="557" t="s">
        <v>348</v>
      </c>
      <c r="W22" s="557" t="s">
        <v>306</v>
      </c>
      <c r="X22" s="558" t="s">
        <v>305</v>
      </c>
      <c r="Y22" s="557">
        <v>1</v>
      </c>
      <c r="Z22" s="557">
        <v>0</v>
      </c>
      <c r="AA22" s="557">
        <v>0</v>
      </c>
      <c r="AB22" s="557">
        <v>1</v>
      </c>
      <c r="AC22" s="557">
        <v>0</v>
      </c>
      <c r="AD22" s="557">
        <v>0</v>
      </c>
      <c r="AE22" s="557">
        <v>0</v>
      </c>
      <c r="AF22" s="557">
        <v>0</v>
      </c>
      <c r="AG22" s="557">
        <v>1</v>
      </c>
      <c r="AH22" s="557">
        <v>0</v>
      </c>
      <c r="AI22" s="557">
        <v>0</v>
      </c>
      <c r="AJ22" s="559">
        <v>1</v>
      </c>
      <c r="AK22" s="557">
        <v>0</v>
      </c>
      <c r="AL22" s="557">
        <v>0</v>
      </c>
      <c r="AM22" s="557">
        <v>0</v>
      </c>
      <c r="AN22" s="559">
        <v>0</v>
      </c>
    </row>
    <row r="23" spans="1:49" ht="14.95" customHeight="1" thickBot="1" x14ac:dyDescent="0.3">
      <c r="A23" s="468" t="s">
        <v>259</v>
      </c>
      <c r="B23" s="469" t="s">
        <v>199</v>
      </c>
      <c r="C23" s="470" t="s">
        <v>27</v>
      </c>
      <c r="D23" s="471" t="s">
        <v>299</v>
      </c>
      <c r="E23" s="471" t="s">
        <v>32</v>
      </c>
      <c r="F23" s="471">
        <v>36</v>
      </c>
      <c r="G23" s="471">
        <v>22</v>
      </c>
      <c r="H23" s="471">
        <v>1</v>
      </c>
      <c r="I23" s="471">
        <v>0</v>
      </c>
      <c r="J23" s="471">
        <v>4</v>
      </c>
      <c r="K23" s="471">
        <v>2</v>
      </c>
      <c r="L23" s="471">
        <v>0</v>
      </c>
      <c r="M23" s="471">
        <v>4</v>
      </c>
      <c r="N23" s="471">
        <v>0</v>
      </c>
      <c r="O23" s="471">
        <v>0</v>
      </c>
      <c r="P23" s="471">
        <v>0</v>
      </c>
      <c r="Q23" s="471">
        <v>0</v>
      </c>
      <c r="R23" s="471">
        <v>3</v>
      </c>
      <c r="S23" s="484">
        <v>7500</v>
      </c>
      <c r="T23" s="480" t="s">
        <v>423</v>
      </c>
      <c r="U23" s="478" t="s">
        <v>637</v>
      </c>
      <c r="V23" s="472" t="s">
        <v>795</v>
      </c>
      <c r="W23" s="472" t="s">
        <v>463</v>
      </c>
      <c r="X23" s="473" t="s">
        <v>395</v>
      </c>
      <c r="Y23" s="472">
        <v>1</v>
      </c>
      <c r="Z23" s="472">
        <v>1</v>
      </c>
      <c r="AA23" s="472">
        <v>0</v>
      </c>
      <c r="AB23" s="472">
        <v>0</v>
      </c>
      <c r="AC23" s="472">
        <v>1</v>
      </c>
      <c r="AD23" s="472">
        <v>1</v>
      </c>
      <c r="AE23" s="472">
        <v>0</v>
      </c>
      <c r="AF23" s="472">
        <v>0</v>
      </c>
      <c r="AG23" s="472">
        <v>0</v>
      </c>
      <c r="AH23" s="472">
        <v>0</v>
      </c>
      <c r="AI23" s="472">
        <v>0</v>
      </c>
      <c r="AJ23" s="478">
        <v>0</v>
      </c>
      <c r="AK23" s="472">
        <v>0</v>
      </c>
      <c r="AL23" s="472">
        <v>0</v>
      </c>
      <c r="AM23" s="472">
        <v>0</v>
      </c>
      <c r="AN23" s="478">
        <v>0</v>
      </c>
      <c r="AP23" s="110"/>
    </row>
    <row r="24" spans="1:49" ht="14.95" customHeight="1" thickBot="1" x14ac:dyDescent="0.3">
      <c r="A24" s="479" t="s">
        <v>459</v>
      </c>
      <c r="B24" s="461" t="s">
        <v>199</v>
      </c>
      <c r="C24" s="462" t="s">
        <v>106</v>
      </c>
      <c r="D24" s="463" t="s">
        <v>36</v>
      </c>
      <c r="E24" s="463" t="s">
        <v>34</v>
      </c>
      <c r="F24" s="463">
        <v>10</v>
      </c>
      <c r="G24" s="463">
        <v>60</v>
      </c>
      <c r="H24" s="463">
        <v>0</v>
      </c>
      <c r="I24" s="463">
        <v>0</v>
      </c>
      <c r="J24" s="463">
        <v>2</v>
      </c>
      <c r="K24" s="463">
        <v>0</v>
      </c>
      <c r="L24" s="463">
        <v>0</v>
      </c>
      <c r="M24" s="463">
        <v>0</v>
      </c>
      <c r="N24" s="463">
        <v>1</v>
      </c>
      <c r="O24" s="463">
        <v>0</v>
      </c>
      <c r="P24" s="463">
        <v>1</v>
      </c>
      <c r="Q24" s="463">
        <v>0</v>
      </c>
      <c r="R24" s="463">
        <v>8</v>
      </c>
      <c r="S24" s="464">
        <v>11632</v>
      </c>
      <c r="T24" s="465" t="s">
        <v>803</v>
      </c>
      <c r="U24" s="466" t="s">
        <v>326</v>
      </c>
      <c r="V24" s="464" t="s">
        <v>509</v>
      </c>
      <c r="W24" s="464" t="s">
        <v>350</v>
      </c>
      <c r="X24" s="467" t="s">
        <v>317</v>
      </c>
      <c r="Y24" s="464">
        <v>1</v>
      </c>
      <c r="Z24" s="464">
        <v>0</v>
      </c>
      <c r="AA24" s="464">
        <v>0</v>
      </c>
      <c r="AB24" s="464">
        <v>1</v>
      </c>
      <c r="AC24" s="464">
        <v>0</v>
      </c>
      <c r="AD24" s="464">
        <v>0</v>
      </c>
      <c r="AE24" s="464">
        <v>0</v>
      </c>
      <c r="AF24" s="464">
        <v>0</v>
      </c>
      <c r="AG24" s="464">
        <v>1</v>
      </c>
      <c r="AH24" s="464">
        <v>0</v>
      </c>
      <c r="AI24" s="464">
        <v>0</v>
      </c>
      <c r="AJ24" s="466">
        <v>1</v>
      </c>
      <c r="AK24" s="464">
        <v>0</v>
      </c>
      <c r="AL24" s="464">
        <v>0</v>
      </c>
      <c r="AM24" s="464">
        <v>0</v>
      </c>
      <c r="AN24" s="466">
        <v>0</v>
      </c>
      <c r="AR24" s="99"/>
      <c r="AS24" s="99"/>
      <c r="AT24" s="99"/>
      <c r="AU24" s="99"/>
      <c r="AV24" s="99"/>
      <c r="AW24" s="99"/>
    </row>
    <row r="25" spans="1:49" ht="14.95" customHeight="1" thickBot="1" x14ac:dyDescent="0.3">
      <c r="A25" s="479" t="s">
        <v>294</v>
      </c>
      <c r="B25" s="461" t="s">
        <v>199</v>
      </c>
      <c r="C25" s="462" t="s">
        <v>25</v>
      </c>
      <c r="D25" s="463" t="s">
        <v>36</v>
      </c>
      <c r="E25" s="463" t="s">
        <v>32</v>
      </c>
      <c r="F25" s="463">
        <v>27</v>
      </c>
      <c r="G25" s="463">
        <v>21</v>
      </c>
      <c r="H25" s="463">
        <v>1</v>
      </c>
      <c r="I25" s="463">
        <v>0</v>
      </c>
      <c r="J25" s="463">
        <v>4</v>
      </c>
      <c r="K25" s="463">
        <v>2</v>
      </c>
      <c r="L25" s="463">
        <v>0</v>
      </c>
      <c r="M25" s="463">
        <v>1</v>
      </c>
      <c r="N25" s="463">
        <v>2</v>
      </c>
      <c r="O25" s="463">
        <v>0</v>
      </c>
      <c r="P25" s="463">
        <v>0</v>
      </c>
      <c r="Q25" s="463">
        <v>1</v>
      </c>
      <c r="R25" s="463">
        <v>2</v>
      </c>
      <c r="S25" s="464">
        <v>14978</v>
      </c>
      <c r="T25" s="485" t="s">
        <v>375</v>
      </c>
      <c r="U25" s="466" t="s">
        <v>550</v>
      </c>
      <c r="V25" s="464" t="s">
        <v>329</v>
      </c>
      <c r="W25" s="464" t="s">
        <v>320</v>
      </c>
      <c r="X25" s="467" t="s">
        <v>346</v>
      </c>
      <c r="Y25" s="464">
        <v>1</v>
      </c>
      <c r="Z25" s="464">
        <v>1</v>
      </c>
      <c r="AA25" s="464">
        <v>0</v>
      </c>
      <c r="AB25" s="464">
        <v>0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1</v>
      </c>
      <c r="AI25" s="464">
        <v>0</v>
      </c>
      <c r="AJ25" s="466">
        <v>0</v>
      </c>
      <c r="AK25" s="464">
        <v>0</v>
      </c>
      <c r="AL25" s="464">
        <v>0</v>
      </c>
      <c r="AM25" s="464">
        <v>0</v>
      </c>
      <c r="AN25" s="466">
        <v>0</v>
      </c>
      <c r="AP25" s="1011"/>
      <c r="AQ25" s="1011"/>
      <c r="AR25" s="1146"/>
      <c r="AS25" s="1146"/>
      <c r="AT25" s="1146"/>
      <c r="AU25" s="1146"/>
      <c r="AV25" s="1146"/>
      <c r="AW25" s="1146"/>
    </row>
    <row r="26" spans="1:49" ht="14.95" customHeight="1" thickBot="1" x14ac:dyDescent="0.3">
      <c r="A26" s="468" t="s">
        <v>295</v>
      </c>
      <c r="B26" s="469" t="s">
        <v>199</v>
      </c>
      <c r="C26" s="470" t="s">
        <v>26</v>
      </c>
      <c r="D26" s="471" t="s">
        <v>299</v>
      </c>
      <c r="E26" s="471" t="s">
        <v>32</v>
      </c>
      <c r="F26" s="471">
        <v>24</v>
      </c>
      <c r="G26" s="471">
        <v>13</v>
      </c>
      <c r="H26" s="471">
        <v>0</v>
      </c>
      <c r="I26" s="471">
        <v>0</v>
      </c>
      <c r="J26" s="471">
        <v>3</v>
      </c>
      <c r="K26" s="471">
        <v>3</v>
      </c>
      <c r="L26" s="471">
        <v>0</v>
      </c>
      <c r="M26" s="471">
        <v>1</v>
      </c>
      <c r="N26" s="471">
        <v>0</v>
      </c>
      <c r="O26" s="471">
        <v>0</v>
      </c>
      <c r="P26" s="471">
        <v>0</v>
      </c>
      <c r="Q26" s="471">
        <v>0</v>
      </c>
      <c r="R26" s="471">
        <v>1</v>
      </c>
      <c r="S26" s="472">
        <v>5500</v>
      </c>
      <c r="T26" s="480" t="s">
        <v>818</v>
      </c>
      <c r="U26" s="478" t="s">
        <v>324</v>
      </c>
      <c r="V26" s="472" t="s">
        <v>634</v>
      </c>
      <c r="W26" s="472" t="s">
        <v>819</v>
      </c>
      <c r="X26" s="473" t="s">
        <v>394</v>
      </c>
      <c r="Y26" s="472">
        <v>1</v>
      </c>
      <c r="Z26" s="472">
        <v>1</v>
      </c>
      <c r="AA26" s="472">
        <v>0</v>
      </c>
      <c r="AB26" s="472">
        <v>0</v>
      </c>
      <c r="AC26" s="472">
        <v>1</v>
      </c>
      <c r="AD26" s="472">
        <v>1</v>
      </c>
      <c r="AE26" s="472">
        <v>0</v>
      </c>
      <c r="AF26" s="472">
        <v>0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  <c r="AP26" s="125"/>
      <c r="AQ26" s="126"/>
      <c r="AR26" s="127"/>
      <c r="AS26" s="128"/>
      <c r="AT26" s="127"/>
      <c r="AU26" s="128"/>
      <c r="AV26" s="127"/>
      <c r="AW26" s="128"/>
    </row>
    <row r="27" spans="1:49" ht="14.95" customHeight="1" thickBot="1" x14ac:dyDescent="0.3">
      <c r="A27" s="479" t="s">
        <v>829</v>
      </c>
      <c r="B27" s="461" t="s">
        <v>199</v>
      </c>
      <c r="C27" s="462" t="s">
        <v>165</v>
      </c>
      <c r="D27" s="463" t="s">
        <v>36</v>
      </c>
      <c r="E27" s="463" t="s">
        <v>34</v>
      </c>
      <c r="F27" s="463">
        <v>12</v>
      </c>
      <c r="G27" s="463">
        <v>16</v>
      </c>
      <c r="H27" s="463">
        <v>0</v>
      </c>
      <c r="I27" s="463">
        <v>1</v>
      </c>
      <c r="J27" s="463">
        <v>0</v>
      </c>
      <c r="K27" s="463">
        <v>0</v>
      </c>
      <c r="L27" s="463">
        <v>0</v>
      </c>
      <c r="M27" s="463">
        <v>4</v>
      </c>
      <c r="N27" s="463">
        <v>1</v>
      </c>
      <c r="O27" s="463">
        <v>0</v>
      </c>
      <c r="P27" s="463">
        <v>0</v>
      </c>
      <c r="Q27" s="463">
        <v>0</v>
      </c>
      <c r="R27" s="463">
        <v>1</v>
      </c>
      <c r="S27" s="464">
        <v>0</v>
      </c>
      <c r="T27" s="734" t="s">
        <v>880</v>
      </c>
      <c r="U27" s="466" t="s">
        <v>550</v>
      </c>
      <c r="V27" s="464" t="s">
        <v>403</v>
      </c>
      <c r="W27" s="464" t="s">
        <v>308</v>
      </c>
      <c r="X27" s="467" t="s">
        <v>304</v>
      </c>
      <c r="Y27" s="464">
        <v>1</v>
      </c>
      <c r="Z27" s="464">
        <v>0</v>
      </c>
      <c r="AA27" s="464">
        <v>0</v>
      </c>
      <c r="AB27" s="464">
        <v>1</v>
      </c>
      <c r="AC27" s="464">
        <v>0</v>
      </c>
      <c r="AD27" s="464">
        <v>0</v>
      </c>
      <c r="AE27" s="464">
        <v>0</v>
      </c>
      <c r="AF27" s="464">
        <v>0</v>
      </c>
      <c r="AG27" s="464">
        <v>1</v>
      </c>
      <c r="AH27" s="464">
        <v>0</v>
      </c>
      <c r="AI27" s="464">
        <v>0</v>
      </c>
      <c r="AJ27" s="466">
        <v>1</v>
      </c>
      <c r="AK27" s="464">
        <v>0</v>
      </c>
      <c r="AL27" s="464">
        <v>0</v>
      </c>
      <c r="AM27" s="464">
        <v>0</v>
      </c>
      <c r="AN27" s="466">
        <v>0</v>
      </c>
      <c r="AP27" s="125"/>
      <c r="AQ27" s="126"/>
      <c r="AR27" s="127"/>
      <c r="AS27" s="128"/>
      <c r="AT27" s="127"/>
      <c r="AU27" s="128"/>
      <c r="AV27" s="127"/>
      <c r="AW27" s="128"/>
    </row>
    <row r="28" spans="1:49" ht="14.95" customHeight="1" thickBot="1" x14ac:dyDescent="0.3">
      <c r="A28" s="468" t="s">
        <v>832</v>
      </c>
      <c r="B28" s="469" t="s">
        <v>199</v>
      </c>
      <c r="C28" s="470" t="s">
        <v>9</v>
      </c>
      <c r="D28" s="471" t="s">
        <v>299</v>
      </c>
      <c r="E28" s="471" t="s">
        <v>32</v>
      </c>
      <c r="F28" s="471">
        <v>38</v>
      </c>
      <c r="G28" s="471">
        <v>24</v>
      </c>
      <c r="H28" s="471">
        <v>1</v>
      </c>
      <c r="I28" s="471">
        <v>0</v>
      </c>
      <c r="J28" s="471">
        <v>4</v>
      </c>
      <c r="K28" s="471">
        <v>3</v>
      </c>
      <c r="L28" s="471">
        <v>0</v>
      </c>
      <c r="M28" s="471">
        <v>4</v>
      </c>
      <c r="N28" s="471">
        <v>0</v>
      </c>
      <c r="O28" s="471">
        <v>0</v>
      </c>
      <c r="P28" s="471">
        <v>0</v>
      </c>
      <c r="Q28" s="471">
        <v>0</v>
      </c>
      <c r="R28" s="471">
        <v>3</v>
      </c>
      <c r="S28" s="504">
        <v>0</v>
      </c>
      <c r="T28" s="480" t="s">
        <v>888</v>
      </c>
      <c r="U28" s="478" t="s">
        <v>326</v>
      </c>
      <c r="V28" s="472" t="s">
        <v>468</v>
      </c>
      <c r="W28" s="472" t="s">
        <v>715</v>
      </c>
      <c r="X28" s="473" t="s">
        <v>316</v>
      </c>
      <c r="Y28" s="472">
        <v>1</v>
      </c>
      <c r="Z28" s="472">
        <v>1</v>
      </c>
      <c r="AA28" s="472">
        <v>0</v>
      </c>
      <c r="AB28" s="472">
        <v>0</v>
      </c>
      <c r="AC28" s="472">
        <v>1</v>
      </c>
      <c r="AD28" s="472">
        <v>1</v>
      </c>
      <c r="AE28" s="472">
        <v>0</v>
      </c>
      <c r="AF28" s="472">
        <v>0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49" ht="14.95" customHeight="1" thickBot="1" x14ac:dyDescent="0.3">
      <c r="A29" s="468" t="s">
        <v>836</v>
      </c>
      <c r="B29" s="469" t="s">
        <v>199</v>
      </c>
      <c r="C29" s="470" t="s">
        <v>24</v>
      </c>
      <c r="D29" s="471" t="s">
        <v>299</v>
      </c>
      <c r="E29" s="471" t="s">
        <v>32</v>
      </c>
      <c r="F29" s="471">
        <v>36</v>
      </c>
      <c r="G29" s="471">
        <v>20</v>
      </c>
      <c r="H29" s="471">
        <v>1</v>
      </c>
      <c r="I29" s="471">
        <v>0</v>
      </c>
      <c r="J29" s="471">
        <v>5</v>
      </c>
      <c r="K29" s="471">
        <v>1</v>
      </c>
      <c r="L29" s="471">
        <v>0</v>
      </c>
      <c r="M29" s="471">
        <v>3</v>
      </c>
      <c r="N29" s="471">
        <v>0</v>
      </c>
      <c r="O29" s="471">
        <v>0</v>
      </c>
      <c r="P29" s="471">
        <v>0</v>
      </c>
      <c r="Q29" s="471">
        <v>0</v>
      </c>
      <c r="R29" s="471">
        <v>3</v>
      </c>
      <c r="S29" s="472">
        <v>0</v>
      </c>
      <c r="T29" s="480" t="s">
        <v>423</v>
      </c>
      <c r="U29" s="478" t="s">
        <v>318</v>
      </c>
      <c r="V29" s="472" t="s">
        <v>554</v>
      </c>
      <c r="W29" s="472" t="s">
        <v>308</v>
      </c>
      <c r="X29" s="473" t="s">
        <v>394</v>
      </c>
      <c r="Y29" s="472">
        <v>1</v>
      </c>
      <c r="Z29" s="472">
        <v>1</v>
      </c>
      <c r="AA29" s="472">
        <v>0</v>
      </c>
      <c r="AB29" s="472">
        <v>0</v>
      </c>
      <c r="AC29" s="472">
        <v>1</v>
      </c>
      <c r="AD29" s="472">
        <v>1</v>
      </c>
      <c r="AE29" s="472">
        <v>0</v>
      </c>
      <c r="AF29" s="472">
        <v>0</v>
      </c>
      <c r="AG29" s="472">
        <v>0</v>
      </c>
      <c r="AH29" s="472">
        <v>0</v>
      </c>
      <c r="AI29" s="472">
        <v>0</v>
      </c>
      <c r="AJ29" s="478">
        <v>0</v>
      </c>
      <c r="AK29" s="472">
        <v>0</v>
      </c>
      <c r="AL29" s="472">
        <v>0</v>
      </c>
      <c r="AM29" s="472">
        <v>0</v>
      </c>
      <c r="AN29" s="478">
        <v>0</v>
      </c>
    </row>
    <row r="30" spans="1:49" ht="16.5" thickBot="1" x14ac:dyDescent="0.3">
      <c r="A30" s="479" t="s">
        <v>842</v>
      </c>
      <c r="B30" s="461" t="s">
        <v>199</v>
      </c>
      <c r="C30" s="462" t="s">
        <v>11</v>
      </c>
      <c r="D30" s="463" t="s">
        <v>725</v>
      </c>
      <c r="E30" s="463" t="s">
        <v>32</v>
      </c>
      <c r="F30" s="463">
        <v>40</v>
      </c>
      <c r="G30" s="463">
        <v>12</v>
      </c>
      <c r="H30" s="463">
        <v>1</v>
      </c>
      <c r="I30" s="463">
        <v>0</v>
      </c>
      <c r="J30" s="463">
        <v>6</v>
      </c>
      <c r="K30" s="463">
        <v>5</v>
      </c>
      <c r="L30" s="463">
        <v>0</v>
      </c>
      <c r="M30" s="463">
        <v>0</v>
      </c>
      <c r="N30" s="463">
        <v>0</v>
      </c>
      <c r="O30" s="463">
        <v>0</v>
      </c>
      <c r="P30" s="463">
        <v>0</v>
      </c>
      <c r="Q30" s="463">
        <v>0</v>
      </c>
      <c r="R30" s="463">
        <v>2</v>
      </c>
      <c r="S30" s="464">
        <v>0</v>
      </c>
      <c r="T30" s="481" t="s">
        <v>909</v>
      </c>
      <c r="U30" s="466" t="s">
        <v>463</v>
      </c>
      <c r="V30" s="464" t="s">
        <v>464</v>
      </c>
      <c r="W30" s="464" t="s">
        <v>633</v>
      </c>
      <c r="X30" s="467" t="s">
        <v>350</v>
      </c>
      <c r="Y30" s="464">
        <v>1</v>
      </c>
      <c r="Z30" s="464">
        <v>1</v>
      </c>
      <c r="AA30" s="464">
        <v>0</v>
      </c>
      <c r="AB30" s="464">
        <v>0</v>
      </c>
      <c r="AC30" s="464">
        <v>0</v>
      </c>
      <c r="AD30" s="464">
        <v>0</v>
      </c>
      <c r="AE30" s="464">
        <v>0</v>
      </c>
      <c r="AF30" s="464">
        <v>0</v>
      </c>
      <c r="AG30" s="464">
        <v>1</v>
      </c>
      <c r="AH30" s="464">
        <v>1</v>
      </c>
      <c r="AI30" s="464">
        <v>0</v>
      </c>
      <c r="AJ30" s="466">
        <v>0</v>
      </c>
      <c r="AK30" s="464">
        <v>0</v>
      </c>
      <c r="AL30" s="464">
        <v>0</v>
      </c>
      <c r="AM30" s="464">
        <v>0</v>
      </c>
      <c r="AN30" s="466">
        <v>0</v>
      </c>
    </row>
    <row r="31" spans="1:49" ht="15.8" thickBot="1" x14ac:dyDescent="0.3">
      <c r="A31" s="468" t="s">
        <v>856</v>
      </c>
      <c r="B31" s="469" t="s">
        <v>199</v>
      </c>
      <c r="C31" s="470" t="s">
        <v>106</v>
      </c>
      <c r="D31" s="471" t="s">
        <v>299</v>
      </c>
      <c r="E31" s="471" t="s">
        <v>34</v>
      </c>
      <c r="F31" s="471">
        <v>18</v>
      </c>
      <c r="G31" s="471">
        <v>28</v>
      </c>
      <c r="H31" s="471">
        <v>0</v>
      </c>
      <c r="I31" s="471">
        <v>0</v>
      </c>
      <c r="J31" s="471">
        <v>2</v>
      </c>
      <c r="K31" s="471">
        <v>1</v>
      </c>
      <c r="L31" s="471">
        <v>0</v>
      </c>
      <c r="M31" s="471">
        <v>2</v>
      </c>
      <c r="N31" s="471">
        <v>0</v>
      </c>
      <c r="O31" s="471">
        <v>1</v>
      </c>
      <c r="P31" s="471">
        <v>0</v>
      </c>
      <c r="Q31" s="471">
        <v>0</v>
      </c>
      <c r="R31" s="471">
        <v>1</v>
      </c>
      <c r="S31" s="484">
        <v>0</v>
      </c>
      <c r="T31" s="477" t="s">
        <v>388</v>
      </c>
      <c r="U31" s="478" t="s">
        <v>326</v>
      </c>
      <c r="V31" s="472" t="s">
        <v>352</v>
      </c>
      <c r="W31" s="472" t="s">
        <v>396</v>
      </c>
      <c r="X31" s="473" t="s">
        <v>308</v>
      </c>
      <c r="Y31" s="472">
        <v>1</v>
      </c>
      <c r="Z31" s="472">
        <v>0</v>
      </c>
      <c r="AA31" s="472">
        <v>0</v>
      </c>
      <c r="AB31" s="472">
        <v>1</v>
      </c>
      <c r="AC31" s="472">
        <v>1</v>
      </c>
      <c r="AD31" s="472">
        <v>0</v>
      </c>
      <c r="AE31" s="472">
        <v>0</v>
      </c>
      <c r="AF31" s="472">
        <v>1</v>
      </c>
      <c r="AG31" s="472">
        <v>0</v>
      </c>
      <c r="AH31" s="472">
        <v>0</v>
      </c>
      <c r="AI31" s="472">
        <v>0</v>
      </c>
      <c r="AJ31" s="478">
        <v>0</v>
      </c>
      <c r="AK31" s="472">
        <v>0</v>
      </c>
      <c r="AL31" s="472">
        <v>0</v>
      </c>
      <c r="AM31" s="472">
        <v>0</v>
      </c>
      <c r="AN31" s="478">
        <v>0</v>
      </c>
    </row>
    <row r="32" spans="1:49" ht="15.65" customHeight="1" thickBot="1" x14ac:dyDescent="0.3">
      <c r="A32" s="474" t="s">
        <v>861</v>
      </c>
      <c r="B32" s="474" t="s">
        <v>199</v>
      </c>
      <c r="C32" s="487" t="s">
        <v>27</v>
      </c>
      <c r="D32" s="488" t="s">
        <v>36</v>
      </c>
      <c r="E32" s="488" t="s">
        <v>34</v>
      </c>
      <c r="F32" s="463">
        <v>17</v>
      </c>
      <c r="G32" s="488">
        <v>24</v>
      </c>
      <c r="H32" s="463">
        <v>0</v>
      </c>
      <c r="I32" s="463">
        <v>1</v>
      </c>
      <c r="J32" s="463">
        <v>2</v>
      </c>
      <c r="K32" s="463">
        <v>2</v>
      </c>
      <c r="L32" s="463">
        <v>0</v>
      </c>
      <c r="M32" s="463">
        <v>1</v>
      </c>
      <c r="N32" s="463">
        <v>0</v>
      </c>
      <c r="O32" s="463">
        <v>0</v>
      </c>
      <c r="P32" s="463">
        <v>0</v>
      </c>
      <c r="Q32" s="463">
        <v>0</v>
      </c>
      <c r="R32" s="463">
        <v>3</v>
      </c>
      <c r="S32" s="464">
        <v>0</v>
      </c>
      <c r="T32" s="465" t="s">
        <v>751</v>
      </c>
      <c r="U32" s="464" t="s">
        <v>396</v>
      </c>
      <c r="V32" s="464" t="s">
        <v>348</v>
      </c>
      <c r="W32" s="464" t="s">
        <v>306</v>
      </c>
      <c r="X32" s="464" t="s">
        <v>325</v>
      </c>
      <c r="Y32" s="464">
        <v>1</v>
      </c>
      <c r="Z32" s="464">
        <v>0</v>
      </c>
      <c r="AA32" s="464">
        <v>0</v>
      </c>
      <c r="AB32" s="464">
        <v>1</v>
      </c>
      <c r="AC32" s="464">
        <v>0</v>
      </c>
      <c r="AD32" s="464">
        <v>0</v>
      </c>
      <c r="AE32" s="464">
        <v>0</v>
      </c>
      <c r="AF32" s="464">
        <v>0</v>
      </c>
      <c r="AG32" s="464">
        <v>1</v>
      </c>
      <c r="AH32" s="464">
        <v>0</v>
      </c>
      <c r="AI32" s="464">
        <v>0</v>
      </c>
      <c r="AJ32" s="466">
        <v>1</v>
      </c>
      <c r="AK32" s="464">
        <v>0</v>
      </c>
      <c r="AL32" s="464">
        <v>0</v>
      </c>
      <c r="AM32" s="464">
        <v>0</v>
      </c>
      <c r="AN32" s="466">
        <v>0</v>
      </c>
    </row>
    <row r="33" spans="1:40" ht="15.65" customHeight="1" thickBot="1" x14ac:dyDescent="0.3">
      <c r="A33" s="496" t="s">
        <v>864</v>
      </c>
      <c r="B33" s="496" t="s">
        <v>199</v>
      </c>
      <c r="C33" s="476" t="s">
        <v>28</v>
      </c>
      <c r="D33" s="501" t="s">
        <v>299</v>
      </c>
      <c r="E33" s="471" t="s">
        <v>32</v>
      </c>
      <c r="F33" s="471">
        <v>40</v>
      </c>
      <c r="G33" s="471">
        <v>17</v>
      </c>
      <c r="H33" s="471">
        <v>1</v>
      </c>
      <c r="I33" s="471">
        <v>0</v>
      </c>
      <c r="J33" s="471">
        <v>5</v>
      </c>
      <c r="K33" s="471">
        <v>3</v>
      </c>
      <c r="L33" s="471">
        <v>0</v>
      </c>
      <c r="M33" s="471">
        <v>3</v>
      </c>
      <c r="N33" s="471">
        <v>0</v>
      </c>
      <c r="O33" s="471">
        <v>0</v>
      </c>
      <c r="P33" s="471">
        <v>0</v>
      </c>
      <c r="Q33" s="471">
        <v>0</v>
      </c>
      <c r="R33" s="471">
        <v>3</v>
      </c>
      <c r="S33" s="472">
        <v>0</v>
      </c>
      <c r="T33" s="480" t="s">
        <v>944</v>
      </c>
      <c r="U33" s="472" t="s">
        <v>308</v>
      </c>
      <c r="V33" s="472" t="s">
        <v>329</v>
      </c>
      <c r="W33" s="472" t="s">
        <v>320</v>
      </c>
      <c r="X33" s="472" t="s">
        <v>401</v>
      </c>
      <c r="Y33" s="472">
        <v>1</v>
      </c>
      <c r="Z33" s="472">
        <v>1</v>
      </c>
      <c r="AA33" s="472">
        <v>0</v>
      </c>
      <c r="AB33" s="472">
        <v>0</v>
      </c>
      <c r="AC33" s="472">
        <v>1</v>
      </c>
      <c r="AD33" s="472">
        <v>1</v>
      </c>
      <c r="AE33" s="472">
        <v>0</v>
      </c>
      <c r="AF33" s="472">
        <v>0</v>
      </c>
      <c r="AG33" s="472">
        <v>0</v>
      </c>
      <c r="AH33" s="472">
        <v>0</v>
      </c>
      <c r="AI33" s="472">
        <v>0</v>
      </c>
      <c r="AJ33" s="478">
        <v>0</v>
      </c>
      <c r="AK33" s="472">
        <v>0</v>
      </c>
      <c r="AL33" s="472">
        <v>0</v>
      </c>
      <c r="AM33" s="472">
        <v>0</v>
      </c>
      <c r="AN33" s="478">
        <v>0</v>
      </c>
    </row>
    <row r="34" spans="1:40" ht="15.65" customHeight="1" thickBot="1" x14ac:dyDescent="0.3">
      <c r="A34" s="832" t="s">
        <v>851</v>
      </c>
      <c r="B34" s="832" t="s">
        <v>103</v>
      </c>
      <c r="C34" s="833" t="s">
        <v>500</v>
      </c>
      <c r="D34" s="383" t="s">
        <v>664</v>
      </c>
      <c r="E34" s="383" t="s">
        <v>32</v>
      </c>
      <c r="F34" s="141">
        <v>25</v>
      </c>
      <c r="G34" s="141">
        <v>17</v>
      </c>
      <c r="H34" s="141" t="s">
        <v>77</v>
      </c>
      <c r="I34" s="141" t="s">
        <v>77</v>
      </c>
      <c r="J34" s="141">
        <v>1</v>
      </c>
      <c r="K34" s="141">
        <v>1</v>
      </c>
      <c r="L34" s="141">
        <v>0</v>
      </c>
      <c r="M34" s="141">
        <v>6</v>
      </c>
      <c r="N34" s="141">
        <v>0</v>
      </c>
      <c r="O34" s="141">
        <v>0</v>
      </c>
      <c r="P34" s="141" t="s">
        <v>77</v>
      </c>
      <c r="Q34" s="141" t="s">
        <v>77</v>
      </c>
      <c r="R34" s="141">
        <v>2</v>
      </c>
      <c r="S34" s="142">
        <v>0</v>
      </c>
      <c r="T34" s="272" t="s">
        <v>888</v>
      </c>
      <c r="U34" s="142" t="s">
        <v>611</v>
      </c>
      <c r="V34" s="142" t="s">
        <v>590</v>
      </c>
      <c r="W34" s="142" t="s">
        <v>591</v>
      </c>
      <c r="X34" s="142" t="s">
        <v>685</v>
      </c>
      <c r="Y34" s="142">
        <v>1</v>
      </c>
      <c r="Z34" s="142">
        <v>1</v>
      </c>
      <c r="AA34" s="142">
        <v>0</v>
      </c>
      <c r="AB34" s="142">
        <v>0</v>
      </c>
      <c r="AC34" s="142">
        <v>1</v>
      </c>
      <c r="AD34" s="142">
        <v>1</v>
      </c>
      <c r="AE34" s="142">
        <v>0</v>
      </c>
      <c r="AF34" s="142">
        <v>0</v>
      </c>
      <c r="AG34" s="142">
        <v>0</v>
      </c>
      <c r="AH34" s="142">
        <v>0</v>
      </c>
      <c r="AI34" s="142">
        <v>0</v>
      </c>
      <c r="AJ34" s="143">
        <v>0</v>
      </c>
      <c r="AK34" s="142">
        <v>0</v>
      </c>
      <c r="AL34" s="142">
        <v>0</v>
      </c>
      <c r="AM34" s="142">
        <v>0</v>
      </c>
      <c r="AN34" s="143">
        <v>0</v>
      </c>
    </row>
    <row r="35" spans="1:40" ht="15.65" customHeight="1" thickBot="1" x14ac:dyDescent="0.3">
      <c r="A35" s="872" t="s">
        <v>952</v>
      </c>
      <c r="B35" s="832" t="s">
        <v>225</v>
      </c>
      <c r="C35" s="833" t="s">
        <v>490</v>
      </c>
      <c r="D35" s="383" t="s">
        <v>36</v>
      </c>
      <c r="E35" s="871" t="s">
        <v>34</v>
      </c>
      <c r="F35" s="141">
        <v>15</v>
      </c>
      <c r="G35" s="141">
        <v>19</v>
      </c>
      <c r="H35" s="141" t="s">
        <v>77</v>
      </c>
      <c r="I35" s="141" t="s">
        <v>77</v>
      </c>
      <c r="J35" s="141">
        <v>0</v>
      </c>
      <c r="K35" s="141">
        <v>0</v>
      </c>
      <c r="L35" s="141">
        <v>0</v>
      </c>
      <c r="M35" s="141">
        <v>5</v>
      </c>
      <c r="N35" s="141">
        <v>0</v>
      </c>
      <c r="O35" s="141">
        <v>0</v>
      </c>
      <c r="P35" s="141" t="s">
        <v>77</v>
      </c>
      <c r="Q35" s="141" t="s">
        <v>77</v>
      </c>
      <c r="R35" s="141">
        <v>1</v>
      </c>
      <c r="S35" s="142">
        <v>5000</v>
      </c>
      <c r="T35" s="421" t="s">
        <v>507</v>
      </c>
      <c r="U35" s="142" t="s">
        <v>762</v>
      </c>
      <c r="V35" s="142" t="s">
        <v>674</v>
      </c>
      <c r="W35" s="142" t="s">
        <v>611</v>
      </c>
      <c r="X35" s="142" t="s">
        <v>600</v>
      </c>
      <c r="Y35" s="142">
        <v>1</v>
      </c>
      <c r="Z35" s="142">
        <v>0</v>
      </c>
      <c r="AA35" s="142">
        <v>0</v>
      </c>
      <c r="AB35" s="142">
        <v>1</v>
      </c>
      <c r="AC35" s="142">
        <v>0</v>
      </c>
      <c r="AD35" s="142">
        <v>0</v>
      </c>
      <c r="AE35" s="142">
        <v>0</v>
      </c>
      <c r="AF35" s="142">
        <v>0</v>
      </c>
      <c r="AG35" s="142">
        <v>1</v>
      </c>
      <c r="AH35" s="142">
        <v>0</v>
      </c>
      <c r="AI35" s="142">
        <v>0</v>
      </c>
      <c r="AJ35" s="143">
        <v>1</v>
      </c>
      <c r="AK35" s="142">
        <v>0</v>
      </c>
      <c r="AL35" s="142">
        <v>0</v>
      </c>
      <c r="AM35" s="142">
        <v>0</v>
      </c>
      <c r="AN35" s="143">
        <v>0</v>
      </c>
    </row>
    <row r="36" spans="1:40" ht="15.65" customHeight="1" thickBot="1" x14ac:dyDescent="0.3">
      <c r="A36" s="474" t="s">
        <v>950</v>
      </c>
      <c r="B36" s="474" t="s">
        <v>199</v>
      </c>
      <c r="C36" s="487" t="s">
        <v>23</v>
      </c>
      <c r="D36" s="488" t="s">
        <v>36</v>
      </c>
      <c r="E36" s="475" t="s">
        <v>34</v>
      </c>
      <c r="F36" s="463">
        <v>27</v>
      </c>
      <c r="G36" s="463">
        <v>40</v>
      </c>
      <c r="H36" s="463">
        <v>1</v>
      </c>
      <c r="I36" s="463">
        <v>0</v>
      </c>
      <c r="J36" s="463">
        <v>4</v>
      </c>
      <c r="K36" s="463">
        <v>2</v>
      </c>
      <c r="L36" s="463">
        <v>0</v>
      </c>
      <c r="M36" s="463">
        <v>1</v>
      </c>
      <c r="N36" s="463">
        <v>2</v>
      </c>
      <c r="O36" s="463">
        <v>0</v>
      </c>
      <c r="P36" s="463">
        <v>1</v>
      </c>
      <c r="Q36" s="463">
        <v>0</v>
      </c>
      <c r="R36" s="463">
        <v>6</v>
      </c>
      <c r="S36" s="464">
        <v>0</v>
      </c>
      <c r="T36" s="465" t="s">
        <v>981</v>
      </c>
      <c r="U36" s="464" t="s">
        <v>554</v>
      </c>
      <c r="V36" s="464" t="s">
        <v>345</v>
      </c>
      <c r="W36" s="464" t="s">
        <v>356</v>
      </c>
      <c r="X36" s="464" t="s">
        <v>980</v>
      </c>
      <c r="Y36" s="464">
        <v>1</v>
      </c>
      <c r="Z36" s="464">
        <v>0</v>
      </c>
      <c r="AA36" s="464">
        <v>0</v>
      </c>
      <c r="AB36" s="464">
        <v>1</v>
      </c>
      <c r="AC36" s="464">
        <v>0</v>
      </c>
      <c r="AD36" s="464">
        <v>0</v>
      </c>
      <c r="AE36" s="464">
        <v>0</v>
      </c>
      <c r="AF36" s="464">
        <v>0</v>
      </c>
      <c r="AG36" s="464">
        <v>1</v>
      </c>
      <c r="AH36" s="464">
        <v>0</v>
      </c>
      <c r="AI36" s="464">
        <v>0</v>
      </c>
      <c r="AJ36" s="466">
        <v>1</v>
      </c>
      <c r="AK36" s="464">
        <v>0</v>
      </c>
      <c r="AL36" s="464">
        <v>0</v>
      </c>
      <c r="AM36" s="464">
        <v>0</v>
      </c>
      <c r="AN36" s="466">
        <v>0</v>
      </c>
    </row>
    <row r="37" spans="1:40" ht="15.65" customHeight="1" thickBot="1" x14ac:dyDescent="0.3">
      <c r="A37" s="835" t="s">
        <v>357</v>
      </c>
      <c r="B37" s="496" t="s">
        <v>199</v>
      </c>
      <c r="C37" s="476" t="s">
        <v>22</v>
      </c>
      <c r="D37" s="501" t="s">
        <v>299</v>
      </c>
      <c r="E37" s="497" t="s">
        <v>33</v>
      </c>
      <c r="F37" s="471">
        <v>17</v>
      </c>
      <c r="G37" s="471">
        <v>17</v>
      </c>
      <c r="H37" s="471">
        <v>0</v>
      </c>
      <c r="I37" s="471">
        <v>0</v>
      </c>
      <c r="J37" s="471">
        <v>2</v>
      </c>
      <c r="K37" s="471">
        <v>1</v>
      </c>
      <c r="L37" s="471">
        <v>0</v>
      </c>
      <c r="M37" s="471">
        <v>1</v>
      </c>
      <c r="N37" s="471">
        <v>0</v>
      </c>
      <c r="O37" s="471">
        <v>0</v>
      </c>
      <c r="P37" s="471">
        <v>0</v>
      </c>
      <c r="Q37" s="471">
        <v>0</v>
      </c>
      <c r="R37" s="471">
        <v>2</v>
      </c>
      <c r="S37" s="472">
        <v>0</v>
      </c>
      <c r="T37" s="732" t="s">
        <v>1000</v>
      </c>
      <c r="U37" s="472" t="s">
        <v>637</v>
      </c>
      <c r="V37" s="472" t="s">
        <v>633</v>
      </c>
      <c r="W37" s="472" t="s">
        <v>396</v>
      </c>
      <c r="X37" s="472" t="s">
        <v>316</v>
      </c>
      <c r="Y37" s="472">
        <v>1</v>
      </c>
      <c r="Z37" s="472">
        <v>0</v>
      </c>
      <c r="AA37" s="472">
        <v>1</v>
      </c>
      <c r="AB37" s="472">
        <v>0</v>
      </c>
      <c r="AC37" s="472">
        <v>1</v>
      </c>
      <c r="AD37" s="472">
        <v>0</v>
      </c>
      <c r="AE37" s="472">
        <v>1</v>
      </c>
      <c r="AF37" s="472">
        <v>0</v>
      </c>
      <c r="AG37" s="472">
        <v>0</v>
      </c>
      <c r="AH37" s="472">
        <v>0</v>
      </c>
      <c r="AI37" s="472">
        <v>0</v>
      </c>
      <c r="AJ37" s="478">
        <v>0</v>
      </c>
      <c r="AK37" s="472">
        <v>0</v>
      </c>
      <c r="AL37" s="472">
        <v>0</v>
      </c>
      <c r="AM37" s="472">
        <v>0</v>
      </c>
      <c r="AN37" s="478">
        <v>0</v>
      </c>
    </row>
    <row r="38" spans="1:40" ht="14.95" customHeight="1" thickBot="1" x14ac:dyDescent="0.3">
      <c r="A38" s="505"/>
      <c r="B38" s="506"/>
      <c r="C38" s="1000" t="s">
        <v>105</v>
      </c>
      <c r="D38" s="1001"/>
      <c r="E38" s="1002"/>
      <c r="F38" s="491">
        <f t="shared" ref="F38:R38" si="1">SUM(F7+F8+F9+F10+F13+F16+F17+F18+F21+F23+F24+F25+F26+F27+F28+F29+F30+F31+F32+F33+F36+F37)</f>
        <v>583</v>
      </c>
      <c r="G38" s="491">
        <f t="shared" si="1"/>
        <v>461</v>
      </c>
      <c r="H38" s="491">
        <f t="shared" si="1"/>
        <v>9</v>
      </c>
      <c r="I38" s="491">
        <f t="shared" si="1"/>
        <v>4</v>
      </c>
      <c r="J38" s="491">
        <f t="shared" si="1"/>
        <v>72</v>
      </c>
      <c r="K38" s="491">
        <f t="shared" si="1"/>
        <v>45</v>
      </c>
      <c r="L38" s="491">
        <f t="shared" si="1"/>
        <v>0</v>
      </c>
      <c r="M38" s="491">
        <f t="shared" si="1"/>
        <v>43</v>
      </c>
      <c r="N38" s="491">
        <f t="shared" si="1"/>
        <v>7</v>
      </c>
      <c r="O38" s="491">
        <f t="shared" si="1"/>
        <v>1</v>
      </c>
      <c r="P38" s="491">
        <f t="shared" si="1"/>
        <v>3</v>
      </c>
      <c r="Q38" s="491">
        <f t="shared" si="1"/>
        <v>2</v>
      </c>
      <c r="R38" s="491">
        <f t="shared" si="1"/>
        <v>55</v>
      </c>
      <c r="S38" s="502"/>
      <c r="T38" s="502"/>
      <c r="U38" s="502"/>
      <c r="V38" s="500"/>
      <c r="W38" s="500"/>
      <c r="X38" s="883" t="s">
        <v>105</v>
      </c>
      <c r="Y38" s="491">
        <f t="shared" ref="Y38:AN38" si="2">SUM(Y7+Y8+Y9+Y10+Y13+Y16+Y17+Y18+Y21+Y23+Y24+Y25+Y26+Y27+Y28+Y29+Y30+Y31+Y32+Y33+Y36+Y37)</f>
        <v>22</v>
      </c>
      <c r="Z38" s="491">
        <f t="shared" si="2"/>
        <v>13</v>
      </c>
      <c r="AA38" s="491">
        <f t="shared" si="2"/>
        <v>1</v>
      </c>
      <c r="AB38" s="491">
        <f t="shared" si="2"/>
        <v>8</v>
      </c>
      <c r="AC38" s="491">
        <f t="shared" si="2"/>
        <v>11</v>
      </c>
      <c r="AD38" s="491">
        <f t="shared" si="2"/>
        <v>8</v>
      </c>
      <c r="AE38" s="491">
        <f t="shared" si="2"/>
        <v>1</v>
      </c>
      <c r="AF38" s="491">
        <f t="shared" si="2"/>
        <v>2</v>
      </c>
      <c r="AG38" s="491">
        <f t="shared" si="2"/>
        <v>11</v>
      </c>
      <c r="AH38" s="491">
        <f t="shared" si="2"/>
        <v>5</v>
      </c>
      <c r="AI38" s="491">
        <f t="shared" si="2"/>
        <v>0</v>
      </c>
      <c r="AJ38" s="491">
        <f t="shared" si="2"/>
        <v>6</v>
      </c>
      <c r="AK38" s="491">
        <f t="shared" si="2"/>
        <v>0</v>
      </c>
      <c r="AL38" s="491">
        <f t="shared" si="2"/>
        <v>0</v>
      </c>
      <c r="AM38" s="491">
        <f t="shared" si="2"/>
        <v>0</v>
      </c>
      <c r="AN38" s="491">
        <f t="shared" si="2"/>
        <v>0</v>
      </c>
    </row>
    <row r="39" spans="1:40" ht="14.95" customHeight="1" thickBot="1" x14ac:dyDescent="0.3">
      <c r="A39" s="499"/>
      <c r="B39" s="499"/>
      <c r="C39" s="1000" t="s">
        <v>197</v>
      </c>
      <c r="D39" s="1001"/>
      <c r="E39" s="1002"/>
      <c r="F39" s="491">
        <v>0</v>
      </c>
      <c r="G39" s="491">
        <v>0</v>
      </c>
      <c r="H39" s="492">
        <v>0</v>
      </c>
      <c r="I39" s="492">
        <v>0</v>
      </c>
      <c r="J39" s="491">
        <v>0</v>
      </c>
      <c r="K39" s="491">
        <v>0</v>
      </c>
      <c r="L39" s="491">
        <v>0</v>
      </c>
      <c r="M39" s="491">
        <v>0</v>
      </c>
      <c r="N39" s="491">
        <v>0</v>
      </c>
      <c r="O39" s="491">
        <v>0</v>
      </c>
      <c r="P39" s="492">
        <v>0</v>
      </c>
      <c r="Q39" s="492">
        <v>0</v>
      </c>
      <c r="R39" s="491">
        <v>0</v>
      </c>
      <c r="S39" s="502"/>
      <c r="T39" s="502"/>
      <c r="U39" s="502"/>
      <c r="V39" s="502"/>
      <c r="W39" s="500"/>
      <c r="X39" s="883" t="s">
        <v>197</v>
      </c>
      <c r="Y39" s="491">
        <v>0</v>
      </c>
      <c r="Z39" s="491">
        <v>0</v>
      </c>
      <c r="AA39" s="491">
        <v>0</v>
      </c>
      <c r="AB39" s="491">
        <v>0</v>
      </c>
      <c r="AC39" s="491">
        <v>0</v>
      </c>
      <c r="AD39" s="491">
        <v>0</v>
      </c>
      <c r="AE39" s="491">
        <v>0</v>
      </c>
      <c r="AF39" s="491">
        <v>0</v>
      </c>
      <c r="AG39" s="492">
        <v>0</v>
      </c>
      <c r="AH39" s="492">
        <v>0</v>
      </c>
      <c r="AI39" s="492">
        <v>0</v>
      </c>
      <c r="AJ39" s="492">
        <v>0</v>
      </c>
      <c r="AK39" s="491">
        <v>0</v>
      </c>
      <c r="AL39" s="491">
        <v>0</v>
      </c>
      <c r="AM39" s="491">
        <v>0</v>
      </c>
      <c r="AN39" s="491">
        <v>0</v>
      </c>
    </row>
    <row r="40" spans="1:40" ht="14.95" customHeight="1" thickBot="1" x14ac:dyDescent="0.3">
      <c r="A40" s="499"/>
      <c r="B40" s="499"/>
      <c r="C40" s="1000" t="s">
        <v>219</v>
      </c>
      <c r="D40" s="1001"/>
      <c r="E40" s="1002"/>
      <c r="F40" s="491">
        <f>SUM(F38+F39)</f>
        <v>583</v>
      </c>
      <c r="G40" s="491">
        <f t="shared" ref="G40:R40" si="3">SUM(G38+G39)</f>
        <v>461</v>
      </c>
      <c r="H40" s="491">
        <f t="shared" si="3"/>
        <v>9</v>
      </c>
      <c r="I40" s="491">
        <f t="shared" si="3"/>
        <v>4</v>
      </c>
      <c r="J40" s="491">
        <f t="shared" si="3"/>
        <v>72</v>
      </c>
      <c r="K40" s="491">
        <f t="shared" si="3"/>
        <v>45</v>
      </c>
      <c r="L40" s="491">
        <f t="shared" si="3"/>
        <v>0</v>
      </c>
      <c r="M40" s="491">
        <f t="shared" si="3"/>
        <v>43</v>
      </c>
      <c r="N40" s="491">
        <f t="shared" si="3"/>
        <v>7</v>
      </c>
      <c r="O40" s="491">
        <f t="shared" si="3"/>
        <v>1</v>
      </c>
      <c r="P40" s="491">
        <f t="shared" si="3"/>
        <v>3</v>
      </c>
      <c r="Q40" s="491">
        <f t="shared" si="3"/>
        <v>2</v>
      </c>
      <c r="R40" s="491">
        <f t="shared" si="3"/>
        <v>55</v>
      </c>
      <c r="S40" s="502"/>
      <c r="T40" s="502"/>
      <c r="U40" s="502"/>
      <c r="V40" s="502"/>
      <c r="W40" s="500"/>
      <c r="X40" s="883" t="s">
        <v>219</v>
      </c>
      <c r="Y40" s="491">
        <f t="shared" ref="Y40:AN40" si="4">SUM(Y38+Y39)</f>
        <v>22</v>
      </c>
      <c r="Z40" s="491">
        <f t="shared" si="4"/>
        <v>13</v>
      </c>
      <c r="AA40" s="491">
        <f t="shared" si="4"/>
        <v>1</v>
      </c>
      <c r="AB40" s="491">
        <f t="shared" si="4"/>
        <v>8</v>
      </c>
      <c r="AC40" s="491">
        <f t="shared" si="4"/>
        <v>11</v>
      </c>
      <c r="AD40" s="491">
        <f t="shared" si="4"/>
        <v>8</v>
      </c>
      <c r="AE40" s="491">
        <f t="shared" si="4"/>
        <v>1</v>
      </c>
      <c r="AF40" s="491">
        <f t="shared" si="4"/>
        <v>2</v>
      </c>
      <c r="AG40" s="491">
        <f t="shared" si="4"/>
        <v>11</v>
      </c>
      <c r="AH40" s="491">
        <f t="shared" si="4"/>
        <v>5</v>
      </c>
      <c r="AI40" s="491">
        <f t="shared" si="4"/>
        <v>0</v>
      </c>
      <c r="AJ40" s="491">
        <f t="shared" si="4"/>
        <v>6</v>
      </c>
      <c r="AK40" s="491">
        <f t="shared" si="4"/>
        <v>0</v>
      </c>
      <c r="AL40" s="491">
        <f t="shared" si="4"/>
        <v>0</v>
      </c>
      <c r="AM40" s="491">
        <f t="shared" si="4"/>
        <v>0</v>
      </c>
      <c r="AN40" s="491">
        <f t="shared" si="4"/>
        <v>0</v>
      </c>
    </row>
    <row r="41" spans="1:40" ht="14.95" customHeight="1" thickBot="1" x14ac:dyDescent="0.3">
      <c r="A41" s="100"/>
      <c r="C41" s="1141" t="s">
        <v>144</v>
      </c>
      <c r="D41" s="1142"/>
      <c r="E41" s="1143"/>
      <c r="F41" s="876">
        <f t="shared" ref="F41:R41" si="5">SUM(F11+F12+F14+F15+F19+F20)</f>
        <v>121</v>
      </c>
      <c r="G41" s="876">
        <f t="shared" si="5"/>
        <v>88</v>
      </c>
      <c r="H41" s="876">
        <f t="shared" si="5"/>
        <v>1</v>
      </c>
      <c r="I41" s="876">
        <f t="shared" si="5"/>
        <v>1</v>
      </c>
      <c r="J41" s="876">
        <f t="shared" si="5"/>
        <v>13</v>
      </c>
      <c r="K41" s="876">
        <f t="shared" si="5"/>
        <v>9</v>
      </c>
      <c r="L41" s="876">
        <f t="shared" si="5"/>
        <v>0</v>
      </c>
      <c r="M41" s="876">
        <f t="shared" si="5"/>
        <v>12</v>
      </c>
      <c r="N41" s="876">
        <f t="shared" si="5"/>
        <v>2</v>
      </c>
      <c r="O41" s="876">
        <f t="shared" si="5"/>
        <v>2</v>
      </c>
      <c r="P41" s="876">
        <f t="shared" si="5"/>
        <v>1</v>
      </c>
      <c r="Q41" s="876">
        <f t="shared" si="5"/>
        <v>2</v>
      </c>
      <c r="R41" s="876">
        <f t="shared" si="5"/>
        <v>10</v>
      </c>
      <c r="S41" s="878"/>
      <c r="T41" s="878"/>
      <c r="U41" s="878"/>
      <c r="V41" s="878"/>
      <c r="W41" s="875"/>
      <c r="X41" s="884" t="s">
        <v>144</v>
      </c>
      <c r="Y41" s="876">
        <f t="shared" ref="Y41:AN41" si="6">SUM(Y11+Y12+Y14+Y15+Y19+Y20)</f>
        <v>6</v>
      </c>
      <c r="Z41" s="879">
        <f t="shared" si="6"/>
        <v>4</v>
      </c>
      <c r="AA41" s="879">
        <f t="shared" si="6"/>
        <v>0</v>
      </c>
      <c r="AB41" s="879">
        <f t="shared" si="6"/>
        <v>2</v>
      </c>
      <c r="AC41" s="879">
        <f t="shared" si="6"/>
        <v>3</v>
      </c>
      <c r="AD41" s="879">
        <f t="shared" si="6"/>
        <v>3</v>
      </c>
      <c r="AE41" s="879">
        <f t="shared" si="6"/>
        <v>0</v>
      </c>
      <c r="AF41" s="879">
        <f t="shared" si="6"/>
        <v>0</v>
      </c>
      <c r="AG41" s="879">
        <f t="shared" si="6"/>
        <v>3</v>
      </c>
      <c r="AH41" s="879">
        <f t="shared" si="6"/>
        <v>1</v>
      </c>
      <c r="AI41" s="879">
        <f t="shared" si="6"/>
        <v>0</v>
      </c>
      <c r="AJ41" s="879">
        <f t="shared" si="6"/>
        <v>2</v>
      </c>
      <c r="AK41" s="879">
        <f t="shared" si="6"/>
        <v>0</v>
      </c>
      <c r="AL41" s="879">
        <f t="shared" si="6"/>
        <v>0</v>
      </c>
      <c r="AM41" s="879">
        <f t="shared" si="6"/>
        <v>0</v>
      </c>
      <c r="AN41" s="879">
        <f t="shared" si="6"/>
        <v>0</v>
      </c>
    </row>
    <row r="42" spans="1:40" ht="14.95" customHeight="1" thickBot="1" x14ac:dyDescent="0.3">
      <c r="A42" s="100"/>
      <c r="C42" s="1141" t="s">
        <v>195</v>
      </c>
      <c r="D42" s="1142"/>
      <c r="E42" s="1143"/>
      <c r="F42" s="876">
        <f>SUM(F34+F35)</f>
        <v>40</v>
      </c>
      <c r="G42" s="876">
        <f>SUM(G34+G35)</f>
        <v>36</v>
      </c>
      <c r="H42" s="879" t="s">
        <v>77</v>
      </c>
      <c r="I42" s="879" t="s">
        <v>77</v>
      </c>
      <c r="J42" s="876">
        <f t="shared" ref="J42:O42" si="7">SUM(J34+J35)</f>
        <v>1</v>
      </c>
      <c r="K42" s="876">
        <f t="shared" si="7"/>
        <v>1</v>
      </c>
      <c r="L42" s="876">
        <f t="shared" si="7"/>
        <v>0</v>
      </c>
      <c r="M42" s="876">
        <f t="shared" si="7"/>
        <v>11</v>
      </c>
      <c r="N42" s="876">
        <f t="shared" si="7"/>
        <v>0</v>
      </c>
      <c r="O42" s="876">
        <f t="shared" si="7"/>
        <v>0</v>
      </c>
      <c r="P42" s="879" t="s">
        <v>77</v>
      </c>
      <c r="Q42" s="879" t="s">
        <v>77</v>
      </c>
      <c r="R42" s="876">
        <f t="shared" ref="R42" si="8">SUM(R34+R35)</f>
        <v>3</v>
      </c>
      <c r="S42" s="878"/>
      <c r="T42" s="878"/>
      <c r="U42" s="878"/>
      <c r="V42" s="878"/>
      <c r="W42" s="875"/>
      <c r="X42" s="884" t="s">
        <v>195</v>
      </c>
      <c r="Y42" s="876">
        <f t="shared" ref="Y42:AN42" si="9">SUM(Y34+Y35)</f>
        <v>2</v>
      </c>
      <c r="Z42" s="876">
        <f t="shared" si="9"/>
        <v>1</v>
      </c>
      <c r="AA42" s="876">
        <f t="shared" si="9"/>
        <v>0</v>
      </c>
      <c r="AB42" s="876">
        <f t="shared" si="9"/>
        <v>1</v>
      </c>
      <c r="AC42" s="876">
        <f t="shared" si="9"/>
        <v>1</v>
      </c>
      <c r="AD42" s="876">
        <f t="shared" si="9"/>
        <v>1</v>
      </c>
      <c r="AE42" s="876">
        <f t="shared" si="9"/>
        <v>0</v>
      </c>
      <c r="AF42" s="876">
        <f t="shared" si="9"/>
        <v>0</v>
      </c>
      <c r="AG42" s="876">
        <f t="shared" si="9"/>
        <v>1</v>
      </c>
      <c r="AH42" s="876">
        <f t="shared" si="9"/>
        <v>0</v>
      </c>
      <c r="AI42" s="876">
        <f t="shared" si="9"/>
        <v>0</v>
      </c>
      <c r="AJ42" s="876">
        <f t="shared" si="9"/>
        <v>1</v>
      </c>
      <c r="AK42" s="876">
        <f t="shared" si="9"/>
        <v>0</v>
      </c>
      <c r="AL42" s="876">
        <f t="shared" si="9"/>
        <v>0</v>
      </c>
      <c r="AM42" s="876">
        <f t="shared" si="9"/>
        <v>0</v>
      </c>
      <c r="AN42" s="876">
        <f t="shared" si="9"/>
        <v>0</v>
      </c>
    </row>
    <row r="43" spans="1:40" ht="14.95" customHeight="1" thickBot="1" x14ac:dyDescent="0.3">
      <c r="A43" s="100"/>
      <c r="C43" s="1141" t="s">
        <v>230</v>
      </c>
      <c r="D43" s="1142"/>
      <c r="E43" s="1143"/>
      <c r="F43" s="876">
        <f>SUM(F41+F42)</f>
        <v>161</v>
      </c>
      <c r="G43" s="876">
        <f>SUM(G41+G42)</f>
        <v>124</v>
      </c>
      <c r="H43" s="876">
        <f>SUM(H41)</f>
        <v>1</v>
      </c>
      <c r="I43" s="876">
        <f>SUM(I41)</f>
        <v>1</v>
      </c>
      <c r="J43" s="876">
        <f t="shared" ref="J43:R43" si="10">SUM(J41+J42)</f>
        <v>14</v>
      </c>
      <c r="K43" s="876">
        <f t="shared" si="10"/>
        <v>10</v>
      </c>
      <c r="L43" s="876">
        <f t="shared" si="10"/>
        <v>0</v>
      </c>
      <c r="M43" s="876">
        <f t="shared" si="10"/>
        <v>23</v>
      </c>
      <c r="N43" s="876">
        <f t="shared" si="10"/>
        <v>2</v>
      </c>
      <c r="O43" s="876">
        <f t="shared" si="10"/>
        <v>2</v>
      </c>
      <c r="P43" s="876">
        <f t="shared" ref="P43:Q43" si="11">SUM(P41)</f>
        <v>1</v>
      </c>
      <c r="Q43" s="876">
        <f t="shared" si="11"/>
        <v>2</v>
      </c>
      <c r="R43" s="876">
        <f t="shared" si="10"/>
        <v>13</v>
      </c>
      <c r="S43" s="878"/>
      <c r="T43" s="878"/>
      <c r="U43" s="878"/>
      <c r="V43" s="878"/>
      <c r="W43" s="875"/>
      <c r="X43" s="884" t="s">
        <v>230</v>
      </c>
      <c r="Y43" s="876">
        <f t="shared" ref="Y43:AN43" si="12">SUM(Y41+Y42)</f>
        <v>8</v>
      </c>
      <c r="Z43" s="876">
        <f t="shared" si="12"/>
        <v>5</v>
      </c>
      <c r="AA43" s="876">
        <f t="shared" si="12"/>
        <v>0</v>
      </c>
      <c r="AB43" s="876">
        <f t="shared" si="12"/>
        <v>3</v>
      </c>
      <c r="AC43" s="876">
        <f t="shared" si="12"/>
        <v>4</v>
      </c>
      <c r="AD43" s="876">
        <f t="shared" si="12"/>
        <v>4</v>
      </c>
      <c r="AE43" s="876">
        <f t="shared" si="12"/>
        <v>0</v>
      </c>
      <c r="AF43" s="876">
        <f t="shared" si="12"/>
        <v>0</v>
      </c>
      <c r="AG43" s="876">
        <f t="shared" si="12"/>
        <v>4</v>
      </c>
      <c r="AH43" s="876">
        <f t="shared" si="12"/>
        <v>1</v>
      </c>
      <c r="AI43" s="876">
        <f t="shared" si="12"/>
        <v>0</v>
      </c>
      <c r="AJ43" s="876">
        <f t="shared" si="12"/>
        <v>3</v>
      </c>
      <c r="AK43" s="876">
        <f t="shared" si="12"/>
        <v>0</v>
      </c>
      <c r="AL43" s="876">
        <f t="shared" si="12"/>
        <v>0</v>
      </c>
      <c r="AM43" s="876">
        <f t="shared" si="12"/>
        <v>0</v>
      </c>
      <c r="AN43" s="876">
        <f t="shared" si="12"/>
        <v>0</v>
      </c>
    </row>
    <row r="44" spans="1:40" ht="14.95" thickBot="1" x14ac:dyDescent="0.3">
      <c r="A44" s="100"/>
      <c r="C44" s="1010" t="s">
        <v>227</v>
      </c>
      <c r="D44" s="1144"/>
      <c r="E44" s="1145"/>
      <c r="F44" s="545">
        <f t="shared" ref="F44:R44" si="13">SUM(F3+F4+F5+F6)</f>
        <v>149</v>
      </c>
      <c r="G44" s="545">
        <f t="shared" si="13"/>
        <v>113</v>
      </c>
      <c r="H44" s="545">
        <f t="shared" si="13"/>
        <v>2</v>
      </c>
      <c r="I44" s="545">
        <f t="shared" si="13"/>
        <v>0</v>
      </c>
      <c r="J44" s="545">
        <f t="shared" si="13"/>
        <v>18</v>
      </c>
      <c r="K44" s="545">
        <f t="shared" si="13"/>
        <v>13</v>
      </c>
      <c r="L44" s="545">
        <f t="shared" si="13"/>
        <v>0</v>
      </c>
      <c r="M44" s="545">
        <f t="shared" si="13"/>
        <v>11</v>
      </c>
      <c r="N44" s="545">
        <f t="shared" si="13"/>
        <v>0</v>
      </c>
      <c r="O44" s="545">
        <f t="shared" si="13"/>
        <v>1</v>
      </c>
      <c r="P44" s="545">
        <f t="shared" si="13"/>
        <v>3</v>
      </c>
      <c r="Q44" s="545">
        <f t="shared" si="13"/>
        <v>1</v>
      </c>
      <c r="R44" s="545">
        <f t="shared" si="13"/>
        <v>15</v>
      </c>
      <c r="S44" s="880"/>
      <c r="T44" s="880"/>
      <c r="U44" s="880"/>
      <c r="V44" s="542"/>
      <c r="W44" s="542"/>
      <c r="X44" s="885" t="s">
        <v>227</v>
      </c>
      <c r="Y44" s="545">
        <f t="shared" ref="Y44:AN44" si="14">SUM(Y3+Y4+Y5+Y6)</f>
        <v>4</v>
      </c>
      <c r="Z44" s="545">
        <f t="shared" si="14"/>
        <v>3</v>
      </c>
      <c r="AA44" s="545">
        <f t="shared" si="14"/>
        <v>0</v>
      </c>
      <c r="AB44" s="545">
        <f t="shared" si="14"/>
        <v>1</v>
      </c>
      <c r="AC44" s="881">
        <f t="shared" si="14"/>
        <v>2</v>
      </c>
      <c r="AD44" s="881">
        <f t="shared" si="14"/>
        <v>1</v>
      </c>
      <c r="AE44" s="881">
        <f t="shared" si="14"/>
        <v>0</v>
      </c>
      <c r="AF44" s="881">
        <f t="shared" si="14"/>
        <v>1</v>
      </c>
      <c r="AG44" s="881">
        <f t="shared" si="14"/>
        <v>2</v>
      </c>
      <c r="AH44" s="881">
        <f t="shared" si="14"/>
        <v>2</v>
      </c>
      <c r="AI44" s="881">
        <f t="shared" si="14"/>
        <v>0</v>
      </c>
      <c r="AJ44" s="881">
        <f t="shared" si="14"/>
        <v>0</v>
      </c>
      <c r="AK44" s="881">
        <f t="shared" si="14"/>
        <v>0</v>
      </c>
      <c r="AL44" s="881">
        <f t="shared" si="14"/>
        <v>0</v>
      </c>
      <c r="AM44" s="881">
        <f t="shared" si="14"/>
        <v>0</v>
      </c>
      <c r="AN44" s="881">
        <f t="shared" si="14"/>
        <v>0</v>
      </c>
    </row>
    <row r="45" spans="1:40" ht="14.95" thickBot="1" x14ac:dyDescent="0.3">
      <c r="C45" s="1010" t="s">
        <v>228</v>
      </c>
      <c r="D45" s="1144"/>
      <c r="E45" s="1145"/>
      <c r="F45" s="545">
        <f>SUM(F22)</f>
        <v>7</v>
      </c>
      <c r="G45" s="545">
        <f>SUM(G22)</f>
        <v>28</v>
      </c>
      <c r="H45" s="881" t="s">
        <v>77</v>
      </c>
      <c r="I45" s="881" t="s">
        <v>77</v>
      </c>
      <c r="J45" s="545">
        <f t="shared" ref="J45:O45" si="15">SUM(J22)</f>
        <v>1</v>
      </c>
      <c r="K45" s="545">
        <f t="shared" si="15"/>
        <v>1</v>
      </c>
      <c r="L45" s="545">
        <f t="shared" si="15"/>
        <v>0</v>
      </c>
      <c r="M45" s="545">
        <f t="shared" si="15"/>
        <v>0</v>
      </c>
      <c r="N45" s="545">
        <f t="shared" si="15"/>
        <v>2</v>
      </c>
      <c r="O45" s="545">
        <f t="shared" si="15"/>
        <v>0</v>
      </c>
      <c r="P45" s="881" t="s">
        <v>77</v>
      </c>
      <c r="Q45" s="881" t="s">
        <v>77</v>
      </c>
      <c r="R45" s="545">
        <f>SUM(R22)</f>
        <v>4</v>
      </c>
      <c r="S45" s="880"/>
      <c r="T45" s="880"/>
      <c r="U45" s="880"/>
      <c r="V45" s="880"/>
      <c r="W45" s="542"/>
      <c r="X45" s="885" t="s">
        <v>228</v>
      </c>
      <c r="Y45" s="545">
        <f t="shared" ref="Y45:AN45" si="16">SUM(Y22)</f>
        <v>1</v>
      </c>
      <c r="Z45" s="545">
        <f t="shared" si="16"/>
        <v>0</v>
      </c>
      <c r="AA45" s="545">
        <f t="shared" si="16"/>
        <v>0</v>
      </c>
      <c r="AB45" s="545">
        <f t="shared" si="16"/>
        <v>1</v>
      </c>
      <c r="AC45" s="545">
        <f t="shared" si="16"/>
        <v>0</v>
      </c>
      <c r="AD45" s="545">
        <f t="shared" si="16"/>
        <v>0</v>
      </c>
      <c r="AE45" s="545">
        <f t="shared" si="16"/>
        <v>0</v>
      </c>
      <c r="AF45" s="545">
        <f t="shared" si="16"/>
        <v>0</v>
      </c>
      <c r="AG45" s="545">
        <f t="shared" si="16"/>
        <v>1</v>
      </c>
      <c r="AH45" s="545">
        <f t="shared" si="16"/>
        <v>0</v>
      </c>
      <c r="AI45" s="545">
        <f t="shared" si="16"/>
        <v>0</v>
      </c>
      <c r="AJ45" s="545">
        <f t="shared" si="16"/>
        <v>1</v>
      </c>
      <c r="AK45" s="545">
        <f t="shared" si="16"/>
        <v>0</v>
      </c>
      <c r="AL45" s="545">
        <f t="shared" si="16"/>
        <v>0</v>
      </c>
      <c r="AM45" s="545">
        <f t="shared" si="16"/>
        <v>0</v>
      </c>
      <c r="AN45" s="545">
        <f t="shared" si="16"/>
        <v>0</v>
      </c>
    </row>
    <row r="46" spans="1:40" ht="14.95" customHeight="1" thickBot="1" x14ac:dyDescent="0.3">
      <c r="C46" s="1010" t="s">
        <v>229</v>
      </c>
      <c r="D46" s="1144"/>
      <c r="E46" s="1145"/>
      <c r="F46" s="545">
        <f t="shared" ref="F46:R46" si="17">SUM(F44+F45)</f>
        <v>156</v>
      </c>
      <c r="G46" s="545">
        <f t="shared" si="17"/>
        <v>141</v>
      </c>
      <c r="H46" s="545">
        <f>H44</f>
        <v>2</v>
      </c>
      <c r="I46" s="545">
        <f>I44</f>
        <v>0</v>
      </c>
      <c r="J46" s="545">
        <f t="shared" si="17"/>
        <v>19</v>
      </c>
      <c r="K46" s="545">
        <f t="shared" si="17"/>
        <v>14</v>
      </c>
      <c r="L46" s="545">
        <f t="shared" si="17"/>
        <v>0</v>
      </c>
      <c r="M46" s="545">
        <f t="shared" si="17"/>
        <v>11</v>
      </c>
      <c r="N46" s="545">
        <f t="shared" si="17"/>
        <v>2</v>
      </c>
      <c r="O46" s="545">
        <f t="shared" si="17"/>
        <v>1</v>
      </c>
      <c r="P46" s="545">
        <f t="shared" ref="P46:Q46" si="18">P44</f>
        <v>3</v>
      </c>
      <c r="Q46" s="545">
        <f t="shared" si="18"/>
        <v>1</v>
      </c>
      <c r="R46" s="545">
        <f t="shared" si="17"/>
        <v>19</v>
      </c>
      <c r="S46" s="880"/>
      <c r="T46" s="880"/>
      <c r="U46" s="880"/>
      <c r="V46" s="880"/>
      <c r="W46" s="542"/>
      <c r="X46" s="885" t="s">
        <v>229</v>
      </c>
      <c r="Y46" s="545">
        <f t="shared" ref="Y46:AN46" si="19">SUM(Y44+Y45)</f>
        <v>5</v>
      </c>
      <c r="Z46" s="545">
        <f t="shared" si="19"/>
        <v>3</v>
      </c>
      <c r="AA46" s="545">
        <f t="shared" si="19"/>
        <v>0</v>
      </c>
      <c r="AB46" s="545">
        <f t="shared" si="19"/>
        <v>2</v>
      </c>
      <c r="AC46" s="545">
        <f t="shared" si="19"/>
        <v>2</v>
      </c>
      <c r="AD46" s="545">
        <f t="shared" si="19"/>
        <v>1</v>
      </c>
      <c r="AE46" s="545">
        <f t="shared" si="19"/>
        <v>0</v>
      </c>
      <c r="AF46" s="545">
        <f t="shared" si="19"/>
        <v>1</v>
      </c>
      <c r="AG46" s="545">
        <f t="shared" si="19"/>
        <v>3</v>
      </c>
      <c r="AH46" s="545">
        <f t="shared" si="19"/>
        <v>2</v>
      </c>
      <c r="AI46" s="545">
        <f t="shared" si="19"/>
        <v>0</v>
      </c>
      <c r="AJ46" s="545">
        <f t="shared" si="19"/>
        <v>1</v>
      </c>
      <c r="AK46" s="545">
        <f t="shared" si="19"/>
        <v>0</v>
      </c>
      <c r="AL46" s="545">
        <f t="shared" si="19"/>
        <v>0</v>
      </c>
      <c r="AM46" s="545">
        <f t="shared" si="19"/>
        <v>0</v>
      </c>
      <c r="AN46" s="545">
        <f t="shared" si="19"/>
        <v>0</v>
      </c>
    </row>
    <row r="47" spans="1:40" ht="14.95" thickBot="1" x14ac:dyDescent="0.3">
      <c r="A47" s="100"/>
      <c r="C47" s="980" t="s">
        <v>63</v>
      </c>
      <c r="D47" s="981"/>
      <c r="E47" s="982"/>
      <c r="F47" s="378">
        <f t="shared" ref="F47:R47" si="20">SUM(F3:F37)</f>
        <v>900</v>
      </c>
      <c r="G47" s="378">
        <f t="shared" si="20"/>
        <v>726</v>
      </c>
      <c r="H47" s="378">
        <f t="shared" si="20"/>
        <v>12</v>
      </c>
      <c r="I47" s="378">
        <f t="shared" si="20"/>
        <v>5</v>
      </c>
      <c r="J47" s="378">
        <f t="shared" si="20"/>
        <v>105</v>
      </c>
      <c r="K47" s="378">
        <f t="shared" si="20"/>
        <v>69</v>
      </c>
      <c r="L47" s="378">
        <f t="shared" si="20"/>
        <v>0</v>
      </c>
      <c r="M47" s="378">
        <f t="shared" si="20"/>
        <v>77</v>
      </c>
      <c r="N47" s="378">
        <f t="shared" si="20"/>
        <v>11</v>
      </c>
      <c r="O47" s="378">
        <f t="shared" si="20"/>
        <v>4</v>
      </c>
      <c r="P47" s="378">
        <f t="shared" si="20"/>
        <v>7</v>
      </c>
      <c r="Q47" s="378">
        <f t="shared" si="20"/>
        <v>5</v>
      </c>
      <c r="R47" s="378">
        <f t="shared" si="20"/>
        <v>87</v>
      </c>
      <c r="S47" s="882"/>
      <c r="T47" s="882"/>
      <c r="U47" s="882"/>
      <c r="V47" s="169"/>
      <c r="W47" s="169"/>
      <c r="X47" s="886" t="s">
        <v>63</v>
      </c>
      <c r="Y47" s="378">
        <f t="shared" ref="Y47:AN47" si="21">SUM(Y3:Y37)</f>
        <v>35</v>
      </c>
      <c r="Z47" s="378">
        <f t="shared" si="21"/>
        <v>21</v>
      </c>
      <c r="AA47" s="378">
        <f t="shared" si="21"/>
        <v>1</v>
      </c>
      <c r="AB47" s="378">
        <f t="shared" si="21"/>
        <v>13</v>
      </c>
      <c r="AC47" s="378">
        <f t="shared" si="21"/>
        <v>17</v>
      </c>
      <c r="AD47" s="378">
        <f t="shared" si="21"/>
        <v>13</v>
      </c>
      <c r="AE47" s="378">
        <f t="shared" si="21"/>
        <v>1</v>
      </c>
      <c r="AF47" s="378">
        <f t="shared" si="21"/>
        <v>3</v>
      </c>
      <c r="AG47" s="378">
        <f t="shared" si="21"/>
        <v>18</v>
      </c>
      <c r="AH47" s="378">
        <f t="shared" si="21"/>
        <v>8</v>
      </c>
      <c r="AI47" s="378">
        <f t="shared" si="21"/>
        <v>0</v>
      </c>
      <c r="AJ47" s="378">
        <f t="shared" si="21"/>
        <v>10</v>
      </c>
      <c r="AK47" s="378">
        <f t="shared" si="21"/>
        <v>0</v>
      </c>
      <c r="AL47" s="378">
        <f t="shared" si="21"/>
        <v>0</v>
      </c>
      <c r="AM47" s="378">
        <f t="shared" si="21"/>
        <v>0</v>
      </c>
      <c r="AN47" s="378">
        <f t="shared" si="21"/>
        <v>0</v>
      </c>
    </row>
    <row r="48" spans="1:40" x14ac:dyDescent="0.25">
      <c r="A48" s="100" t="s">
        <v>721</v>
      </c>
    </row>
    <row r="49" spans="1:1" x14ac:dyDescent="0.25">
      <c r="A49" s="100" t="s">
        <v>804</v>
      </c>
    </row>
    <row r="50" spans="1:1" x14ac:dyDescent="0.25">
      <c r="A50" s="100" t="s">
        <v>843</v>
      </c>
    </row>
    <row r="51" spans="1:1" x14ac:dyDescent="0.25">
      <c r="A51" s="100" t="s">
        <v>1002</v>
      </c>
    </row>
    <row r="52" spans="1:1" x14ac:dyDescent="0.25">
      <c r="A52" s="100" t="s">
        <v>107</v>
      </c>
    </row>
  </sheetData>
  <mergeCells count="31">
    <mergeCell ref="AX4:AY4"/>
    <mergeCell ref="AZ4:BA4"/>
    <mergeCell ref="A1:D1"/>
    <mergeCell ref="E1:G1"/>
    <mergeCell ref="AK1:AN1"/>
    <mergeCell ref="Y1:AB1"/>
    <mergeCell ref="AT25:AU25"/>
    <mergeCell ref="H1:I1"/>
    <mergeCell ref="AV25:AW25"/>
    <mergeCell ref="AP25:AQ25"/>
    <mergeCell ref="J1:M1"/>
    <mergeCell ref="N1:O1"/>
    <mergeCell ref="P1:R1"/>
    <mergeCell ref="AP15:AQ15"/>
    <mergeCell ref="AR15:AS15"/>
    <mergeCell ref="AR25:AS25"/>
    <mergeCell ref="AT2:AU2"/>
    <mergeCell ref="AT4:AU4"/>
    <mergeCell ref="AV4:AW4"/>
    <mergeCell ref="AC1:AF1"/>
    <mergeCell ref="AG1:AJ1"/>
    <mergeCell ref="C38:E38"/>
    <mergeCell ref="C39:E39"/>
    <mergeCell ref="C41:E41"/>
    <mergeCell ref="C42:E42"/>
    <mergeCell ref="C47:E47"/>
    <mergeCell ref="C44:E44"/>
    <mergeCell ref="C45:E45"/>
    <mergeCell ref="C40:E40"/>
    <mergeCell ref="C43:E43"/>
    <mergeCell ref="C46:E46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50"/>
  <sheetViews>
    <sheetView workbookViewId="0">
      <pane ySplit="2" topLeftCell="A3" activePane="bottomLeft" state="frozen"/>
      <selection pane="bottomLeft" activeCell="U40" sqref="U40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5" width="3.75" customWidth="1"/>
    <col min="6" max="6" width="5" customWidth="1"/>
    <col min="7" max="18" width="3.75" customWidth="1"/>
    <col min="19" max="19" width="6.25" customWidth="1"/>
    <col min="20" max="20" width="5.75" customWidth="1"/>
    <col min="21" max="21" width="22.125" bestFit="1" customWidth="1"/>
    <col min="22" max="22" width="24.125" bestFit="1" customWidth="1"/>
    <col min="23" max="23" width="26.25" customWidth="1"/>
    <col min="24" max="24" width="25.125" bestFit="1" customWidth="1"/>
    <col min="25" max="40" width="3.75" customWidth="1"/>
    <col min="42" max="42" width="13.375" bestFit="1" customWidth="1"/>
    <col min="43" max="43" width="15.75" customWidth="1"/>
    <col min="44" max="44" width="13.375" bestFit="1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  <col min="54" max="54" width="10.875" bestFit="1" customWidth="1"/>
  </cols>
  <sheetData>
    <row r="1" spans="1:63" ht="14.95" customHeight="1" thickBot="1" x14ac:dyDescent="0.3">
      <c r="A1" s="1045" t="s">
        <v>285</v>
      </c>
      <c r="B1" s="1046"/>
      <c r="C1" s="1046"/>
      <c r="D1" s="1047"/>
      <c r="E1" s="1048" t="s">
        <v>70</v>
      </c>
      <c r="F1" s="1049"/>
      <c r="G1" s="1050"/>
      <c r="H1" s="1048" t="s">
        <v>69</v>
      </c>
      <c r="I1" s="1050"/>
      <c r="J1" s="1037" t="s">
        <v>40</v>
      </c>
      <c r="K1" s="1038"/>
      <c r="L1" s="1038"/>
      <c r="M1" s="1039"/>
      <c r="N1" s="1037" t="s">
        <v>41</v>
      </c>
      <c r="O1" s="1039"/>
      <c r="P1" s="1037" t="s">
        <v>72</v>
      </c>
      <c r="Q1" s="1038"/>
      <c r="R1" s="1039"/>
      <c r="S1" s="390" t="s">
        <v>42</v>
      </c>
      <c r="T1" s="390" t="s">
        <v>43</v>
      </c>
      <c r="U1" s="86" t="s">
        <v>44</v>
      </c>
      <c r="V1" s="85" t="s">
        <v>45</v>
      </c>
      <c r="W1" s="87" t="s">
        <v>101</v>
      </c>
      <c r="X1" s="88" t="s">
        <v>102</v>
      </c>
      <c r="Y1" s="1040" t="s">
        <v>64</v>
      </c>
      <c r="Z1" s="1041"/>
      <c r="AA1" s="1041"/>
      <c r="AB1" s="1042"/>
      <c r="AC1" s="1043" t="s">
        <v>65</v>
      </c>
      <c r="AD1" s="966"/>
      <c r="AE1" s="966"/>
      <c r="AF1" s="967"/>
      <c r="AG1" s="1043" t="s">
        <v>66</v>
      </c>
      <c r="AH1" s="966"/>
      <c r="AI1" s="966"/>
      <c r="AJ1" s="967"/>
      <c r="AK1" s="1043" t="s">
        <v>137</v>
      </c>
      <c r="AL1" s="966"/>
      <c r="AM1" s="966"/>
      <c r="AN1" s="966"/>
    </row>
    <row r="2" spans="1:63" ht="14.95" customHeight="1" thickBot="1" x14ac:dyDescent="0.3">
      <c r="A2" s="89" t="s">
        <v>62</v>
      </c>
      <c r="B2" s="90" t="s">
        <v>61</v>
      </c>
      <c r="C2" s="91" t="s">
        <v>60</v>
      </c>
      <c r="D2" s="91" t="s">
        <v>71</v>
      </c>
      <c r="E2" s="92" t="s">
        <v>50</v>
      </c>
      <c r="F2" s="92" t="s">
        <v>35</v>
      </c>
      <c r="G2" s="92" t="s">
        <v>36</v>
      </c>
      <c r="H2" s="93" t="s">
        <v>67</v>
      </c>
      <c r="I2" s="94" t="s">
        <v>68</v>
      </c>
      <c r="J2" s="94" t="s">
        <v>46</v>
      </c>
      <c r="K2" s="94" t="s">
        <v>47</v>
      </c>
      <c r="L2" s="94" t="s">
        <v>33</v>
      </c>
      <c r="M2" s="94" t="s">
        <v>48</v>
      </c>
      <c r="N2" s="94" t="s">
        <v>49</v>
      </c>
      <c r="O2" s="94" t="s">
        <v>50</v>
      </c>
      <c r="P2" s="94" t="s">
        <v>67</v>
      </c>
      <c r="Q2" s="94" t="s">
        <v>68</v>
      </c>
      <c r="R2" s="94" t="s">
        <v>46</v>
      </c>
      <c r="S2" s="95"/>
      <c r="T2" s="96"/>
      <c r="U2" s="97"/>
      <c r="V2" s="95"/>
      <c r="W2" s="98"/>
      <c r="X2" s="98"/>
      <c r="Y2" s="533" t="s">
        <v>31</v>
      </c>
      <c r="Z2" s="533" t="s">
        <v>32</v>
      </c>
      <c r="AA2" s="533" t="s">
        <v>33</v>
      </c>
      <c r="AB2" s="533" t="s">
        <v>34</v>
      </c>
      <c r="AC2" s="533" t="s">
        <v>31</v>
      </c>
      <c r="AD2" s="533" t="s">
        <v>32</v>
      </c>
      <c r="AE2" s="533" t="s">
        <v>33</v>
      </c>
      <c r="AF2" s="533" t="s">
        <v>34</v>
      </c>
      <c r="AG2" s="533" t="s">
        <v>31</v>
      </c>
      <c r="AH2" s="533" t="s">
        <v>32</v>
      </c>
      <c r="AI2" s="533" t="s">
        <v>33</v>
      </c>
      <c r="AJ2" s="533" t="s">
        <v>34</v>
      </c>
      <c r="AK2" s="533" t="s">
        <v>31</v>
      </c>
      <c r="AL2" s="533" t="s">
        <v>32</v>
      </c>
      <c r="AM2" s="533" t="s">
        <v>33</v>
      </c>
      <c r="AN2" s="533" t="s">
        <v>34</v>
      </c>
      <c r="AQ2" s="257" t="s">
        <v>191</v>
      </c>
      <c r="AR2" s="258"/>
      <c r="AS2" s="190"/>
      <c r="AT2" s="1169" t="s">
        <v>191</v>
      </c>
      <c r="AU2" s="1170"/>
    </row>
    <row r="3" spans="1:63" ht="14.95" customHeight="1" thickBot="1" x14ac:dyDescent="0.3">
      <c r="A3" s="619" t="s">
        <v>231</v>
      </c>
      <c r="B3" s="547" t="s">
        <v>222</v>
      </c>
      <c r="C3" s="548" t="s">
        <v>19</v>
      </c>
      <c r="D3" s="549" t="s">
        <v>299</v>
      </c>
      <c r="E3" s="549" t="s">
        <v>34</v>
      </c>
      <c r="F3" s="549">
        <v>28</v>
      </c>
      <c r="G3" s="549">
        <v>50</v>
      </c>
      <c r="H3" s="549">
        <v>1</v>
      </c>
      <c r="I3" s="549">
        <v>0</v>
      </c>
      <c r="J3" s="549">
        <v>4</v>
      </c>
      <c r="K3" s="549">
        <v>4</v>
      </c>
      <c r="L3" s="549">
        <v>0</v>
      </c>
      <c r="M3" s="549">
        <v>0</v>
      </c>
      <c r="N3" s="549">
        <v>0</v>
      </c>
      <c r="O3" s="549">
        <v>0</v>
      </c>
      <c r="P3" s="549">
        <v>1</v>
      </c>
      <c r="Q3" s="549">
        <v>0</v>
      </c>
      <c r="R3" s="549">
        <v>6</v>
      </c>
      <c r="S3" s="550">
        <v>6341</v>
      </c>
      <c r="T3" s="560" t="s">
        <v>302</v>
      </c>
      <c r="U3" s="551" t="s">
        <v>304</v>
      </c>
      <c r="V3" s="550" t="s">
        <v>202</v>
      </c>
      <c r="W3" s="550" t="s">
        <v>305</v>
      </c>
      <c r="X3" s="552" t="s">
        <v>306</v>
      </c>
      <c r="Y3" s="550">
        <v>1</v>
      </c>
      <c r="Z3" s="550">
        <v>0</v>
      </c>
      <c r="AA3" s="550">
        <v>0</v>
      </c>
      <c r="AB3" s="588">
        <v>1</v>
      </c>
      <c r="AC3" s="550">
        <v>1</v>
      </c>
      <c r="AD3" s="550">
        <v>0</v>
      </c>
      <c r="AE3" s="550">
        <v>0</v>
      </c>
      <c r="AF3" s="588">
        <v>1</v>
      </c>
      <c r="AG3" s="550">
        <v>0</v>
      </c>
      <c r="AH3" s="550">
        <v>0</v>
      </c>
      <c r="AI3" s="550">
        <v>0</v>
      </c>
      <c r="AJ3" s="552">
        <v>0</v>
      </c>
      <c r="AK3" s="550">
        <v>0</v>
      </c>
      <c r="AL3" s="550">
        <v>0</v>
      </c>
      <c r="AM3" s="550">
        <v>0</v>
      </c>
      <c r="AN3" s="552">
        <v>0</v>
      </c>
      <c r="AQ3" s="507" t="s">
        <v>171</v>
      </c>
      <c r="AT3" s="4" t="s">
        <v>177</v>
      </c>
    </row>
    <row r="4" spans="1:63" ht="14.95" customHeight="1" thickBot="1" x14ac:dyDescent="0.3">
      <c r="A4" s="553" t="s">
        <v>232</v>
      </c>
      <c r="B4" s="554" t="s">
        <v>222</v>
      </c>
      <c r="C4" s="555" t="s">
        <v>25</v>
      </c>
      <c r="D4" s="556" t="s">
        <v>36</v>
      </c>
      <c r="E4" s="556" t="s">
        <v>32</v>
      </c>
      <c r="F4" s="556">
        <v>36</v>
      </c>
      <c r="G4" s="556">
        <v>32</v>
      </c>
      <c r="H4" s="556">
        <v>1</v>
      </c>
      <c r="I4" s="556">
        <v>0</v>
      </c>
      <c r="J4" s="556">
        <v>6</v>
      </c>
      <c r="K4" s="556">
        <v>2</v>
      </c>
      <c r="L4" s="556">
        <v>0</v>
      </c>
      <c r="M4" s="556">
        <v>0</v>
      </c>
      <c r="N4" s="556">
        <v>1</v>
      </c>
      <c r="O4" s="556">
        <v>0</v>
      </c>
      <c r="P4" s="556">
        <v>1</v>
      </c>
      <c r="Q4" s="556">
        <v>1</v>
      </c>
      <c r="R4" s="556">
        <v>5</v>
      </c>
      <c r="S4" s="620">
        <v>12000</v>
      </c>
      <c r="T4" s="621" t="s">
        <v>379</v>
      </c>
      <c r="U4" s="622" t="s">
        <v>350</v>
      </c>
      <c r="V4" s="620" t="s">
        <v>352</v>
      </c>
      <c r="W4" s="623" t="s">
        <v>351</v>
      </c>
      <c r="X4" s="623" t="s">
        <v>306</v>
      </c>
      <c r="Y4" s="557">
        <v>1</v>
      </c>
      <c r="Z4" s="557">
        <v>1</v>
      </c>
      <c r="AA4" s="557">
        <v>0</v>
      </c>
      <c r="AB4" s="583">
        <v>0</v>
      </c>
      <c r="AC4" s="557">
        <v>0</v>
      </c>
      <c r="AD4" s="557">
        <v>0</v>
      </c>
      <c r="AE4" s="557">
        <v>0</v>
      </c>
      <c r="AF4" s="583">
        <v>0</v>
      </c>
      <c r="AG4" s="557">
        <v>1</v>
      </c>
      <c r="AH4" s="557">
        <v>1</v>
      </c>
      <c r="AI4" s="557">
        <v>0</v>
      </c>
      <c r="AJ4" s="558">
        <v>0</v>
      </c>
      <c r="AK4" s="557">
        <v>0</v>
      </c>
      <c r="AL4" s="557">
        <v>0</v>
      </c>
      <c r="AM4" s="557">
        <v>0</v>
      </c>
      <c r="AN4" s="558">
        <v>0</v>
      </c>
      <c r="AQ4" s="173" t="s">
        <v>167</v>
      </c>
      <c r="AR4" s="174">
        <f>Waspspremhistplayed</f>
        <v>525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989" t="s">
        <v>174</v>
      </c>
      <c r="BC4" s="990"/>
    </row>
    <row r="5" spans="1:63" ht="14.95" customHeight="1" thickBot="1" x14ac:dyDescent="0.3">
      <c r="A5" s="582" t="s">
        <v>233</v>
      </c>
      <c r="B5" s="554" t="s">
        <v>222</v>
      </c>
      <c r="C5" s="589" t="s">
        <v>27</v>
      </c>
      <c r="D5" s="562" t="s">
        <v>36</v>
      </c>
      <c r="E5" s="562" t="s">
        <v>34</v>
      </c>
      <c r="F5" s="562">
        <v>20</v>
      </c>
      <c r="G5" s="562">
        <v>24</v>
      </c>
      <c r="H5" s="562">
        <v>0</v>
      </c>
      <c r="I5" s="562">
        <v>1</v>
      </c>
      <c r="J5" s="562">
        <v>2</v>
      </c>
      <c r="K5" s="562">
        <v>2</v>
      </c>
      <c r="L5" s="562">
        <v>0</v>
      </c>
      <c r="M5" s="562">
        <v>2</v>
      </c>
      <c r="N5" s="562">
        <v>0</v>
      </c>
      <c r="O5" s="562">
        <v>0</v>
      </c>
      <c r="P5" s="562">
        <v>0</v>
      </c>
      <c r="Q5" s="562">
        <v>0</v>
      </c>
      <c r="R5" s="562">
        <v>3</v>
      </c>
      <c r="S5" s="557">
        <v>6809</v>
      </c>
      <c r="T5" s="569" t="s">
        <v>392</v>
      </c>
      <c r="U5" s="559" t="s">
        <v>308</v>
      </c>
      <c r="V5" s="557" t="s">
        <v>202</v>
      </c>
      <c r="W5" s="557" t="s">
        <v>404</v>
      </c>
      <c r="X5" s="557" t="s">
        <v>322</v>
      </c>
      <c r="Y5" s="557">
        <v>1</v>
      </c>
      <c r="Z5" s="557">
        <v>0</v>
      </c>
      <c r="AA5" s="557">
        <v>0</v>
      </c>
      <c r="AB5" s="557">
        <v>1</v>
      </c>
      <c r="AC5" s="557">
        <v>0</v>
      </c>
      <c r="AD5" s="557">
        <v>0</v>
      </c>
      <c r="AE5" s="557">
        <v>0</v>
      </c>
      <c r="AF5" s="557">
        <v>0</v>
      </c>
      <c r="AG5" s="557">
        <v>1</v>
      </c>
      <c r="AH5" s="557">
        <v>0</v>
      </c>
      <c r="AI5" s="557">
        <v>0</v>
      </c>
      <c r="AJ5" s="559">
        <v>1</v>
      </c>
      <c r="AK5" s="557">
        <v>0</v>
      </c>
      <c r="AL5" s="557">
        <v>0</v>
      </c>
      <c r="AM5" s="557">
        <v>0</v>
      </c>
      <c r="AN5" s="559">
        <v>0</v>
      </c>
      <c r="AQ5" s="175" t="s">
        <v>0</v>
      </c>
      <c r="AR5" s="176">
        <f>Waspspremhistwon</f>
        <v>292</v>
      </c>
      <c r="AT5" s="177" t="s">
        <v>167</v>
      </c>
      <c r="AU5" s="189">
        <f>Waspremhistplayed</f>
        <v>112</v>
      </c>
      <c r="AV5" s="179" t="s">
        <v>167</v>
      </c>
      <c r="AW5" s="180">
        <f>Waschampscuphistplayed</f>
        <v>33</v>
      </c>
      <c r="AX5" s="187" t="s">
        <v>167</v>
      </c>
      <c r="AY5" s="188">
        <f>Waschampscuppohistplayed</f>
        <v>2</v>
      </c>
      <c r="AZ5" s="181" t="s">
        <v>167</v>
      </c>
      <c r="BA5" s="178">
        <f>Waschallcuphistplayed</f>
        <v>46</v>
      </c>
      <c r="BB5" s="182" t="s">
        <v>167</v>
      </c>
      <c r="BC5" s="183">
        <f>SUM(AU5+AY5+BA5)</f>
        <v>160</v>
      </c>
    </row>
    <row r="6" spans="1:63" ht="14.95" customHeight="1" thickBot="1" x14ac:dyDescent="0.3">
      <c r="A6" s="546" t="s">
        <v>241</v>
      </c>
      <c r="B6" s="547" t="s">
        <v>222</v>
      </c>
      <c r="C6" s="590" t="s">
        <v>23</v>
      </c>
      <c r="D6" s="549" t="s">
        <v>299</v>
      </c>
      <c r="E6" s="549" t="s">
        <v>32</v>
      </c>
      <c r="F6" s="549">
        <v>39</v>
      </c>
      <c r="G6" s="549">
        <v>6</v>
      </c>
      <c r="H6" s="549">
        <v>1</v>
      </c>
      <c r="I6" s="549">
        <v>0</v>
      </c>
      <c r="J6" s="549">
        <v>5</v>
      </c>
      <c r="K6" s="549">
        <v>4</v>
      </c>
      <c r="L6" s="549">
        <v>0</v>
      </c>
      <c r="M6" s="549">
        <v>2</v>
      </c>
      <c r="N6" s="549">
        <v>0</v>
      </c>
      <c r="O6" s="549">
        <v>0</v>
      </c>
      <c r="P6" s="549">
        <v>0</v>
      </c>
      <c r="Q6" s="549">
        <v>0</v>
      </c>
      <c r="R6" s="549">
        <v>0</v>
      </c>
      <c r="S6" s="550">
        <v>6104</v>
      </c>
      <c r="T6" s="560" t="s">
        <v>418</v>
      </c>
      <c r="U6" s="551" t="s">
        <v>463</v>
      </c>
      <c r="V6" s="550" t="s">
        <v>202</v>
      </c>
      <c r="W6" s="550" t="s">
        <v>321</v>
      </c>
      <c r="X6" s="552" t="s">
        <v>319</v>
      </c>
      <c r="Y6" s="550">
        <v>1</v>
      </c>
      <c r="Z6" s="550">
        <v>1</v>
      </c>
      <c r="AA6" s="550">
        <v>0</v>
      </c>
      <c r="AB6" s="550">
        <v>0</v>
      </c>
      <c r="AC6" s="550">
        <v>1</v>
      </c>
      <c r="AD6" s="550">
        <v>1</v>
      </c>
      <c r="AE6" s="550">
        <v>0</v>
      </c>
      <c r="AF6" s="550">
        <v>0</v>
      </c>
      <c r="AG6" s="550">
        <v>0</v>
      </c>
      <c r="AH6" s="550">
        <v>0</v>
      </c>
      <c r="AI6" s="550">
        <v>0</v>
      </c>
      <c r="AJ6" s="551">
        <v>0</v>
      </c>
      <c r="AK6" s="550">
        <v>0</v>
      </c>
      <c r="AL6" s="550">
        <v>0</v>
      </c>
      <c r="AM6" s="550">
        <v>0</v>
      </c>
      <c r="AN6" s="551">
        <v>0</v>
      </c>
      <c r="AQ6" s="175" t="s">
        <v>168</v>
      </c>
      <c r="AR6" s="176">
        <f>Waspspremhistdrawn</f>
        <v>17</v>
      </c>
      <c r="AT6" s="177" t="s">
        <v>0</v>
      </c>
      <c r="AU6" s="189">
        <f>Waspremhistwon</f>
        <v>66</v>
      </c>
      <c r="AV6" s="179" t="s">
        <v>0</v>
      </c>
      <c r="AW6" s="180">
        <f>Waschampscuphistwon</f>
        <v>15</v>
      </c>
      <c r="AX6" s="187" t="s">
        <v>0</v>
      </c>
      <c r="AY6" s="188">
        <f>Waschampscuppohistwon</f>
        <v>2</v>
      </c>
      <c r="AZ6" s="181" t="s">
        <v>0</v>
      </c>
      <c r="BA6" s="178">
        <f>Waschallcuphistwon</f>
        <v>34</v>
      </c>
      <c r="BB6" s="182" t="s">
        <v>0</v>
      </c>
      <c r="BC6" s="183">
        <f t="shared" ref="BC6:BC12" si="0">SUM(AU6+AY6+BA6)</f>
        <v>102</v>
      </c>
    </row>
    <row r="7" spans="1:63" ht="14.95" customHeight="1" thickBot="1" x14ac:dyDescent="0.3">
      <c r="A7" s="468" t="s">
        <v>479</v>
      </c>
      <c r="B7" s="469" t="s">
        <v>199</v>
      </c>
      <c r="C7" s="470" t="s">
        <v>11</v>
      </c>
      <c r="D7" s="471" t="s">
        <v>299</v>
      </c>
      <c r="E7" s="471" t="s">
        <v>34</v>
      </c>
      <c r="F7" s="471">
        <v>26</v>
      </c>
      <c r="G7" s="471">
        <v>29</v>
      </c>
      <c r="H7" s="471">
        <v>0</v>
      </c>
      <c r="I7" s="471">
        <v>1</v>
      </c>
      <c r="J7" s="471">
        <v>3</v>
      </c>
      <c r="K7" s="471">
        <v>1</v>
      </c>
      <c r="L7" s="471">
        <v>0</v>
      </c>
      <c r="M7" s="471">
        <v>3</v>
      </c>
      <c r="N7" s="471">
        <v>0</v>
      </c>
      <c r="O7" s="471">
        <v>0</v>
      </c>
      <c r="P7" s="471">
        <v>0</v>
      </c>
      <c r="Q7" s="471">
        <v>0</v>
      </c>
      <c r="R7" s="471">
        <v>3</v>
      </c>
      <c r="S7" s="472">
        <v>12401</v>
      </c>
      <c r="T7" s="480" t="s">
        <v>477</v>
      </c>
      <c r="U7" s="478" t="s">
        <v>324</v>
      </c>
      <c r="V7" s="472" t="s">
        <v>399</v>
      </c>
      <c r="W7" s="472" t="s">
        <v>323</v>
      </c>
      <c r="X7" s="473" t="s">
        <v>316</v>
      </c>
      <c r="Y7" s="472">
        <v>1</v>
      </c>
      <c r="Z7" s="472">
        <v>0</v>
      </c>
      <c r="AA7" s="472">
        <v>0</v>
      </c>
      <c r="AB7" s="472">
        <v>1</v>
      </c>
      <c r="AC7" s="472">
        <v>1</v>
      </c>
      <c r="AD7" s="472">
        <v>0</v>
      </c>
      <c r="AE7" s="472">
        <v>0</v>
      </c>
      <c r="AF7" s="472">
        <v>1</v>
      </c>
      <c r="AG7" s="472">
        <v>0</v>
      </c>
      <c r="AH7" s="472">
        <v>0</v>
      </c>
      <c r="AI7" s="472">
        <v>0</v>
      </c>
      <c r="AJ7" s="478">
        <v>0</v>
      </c>
      <c r="AK7" s="472">
        <v>0</v>
      </c>
      <c r="AL7" s="472">
        <v>0</v>
      </c>
      <c r="AM7" s="472">
        <v>0</v>
      </c>
      <c r="AN7" s="478">
        <v>0</v>
      </c>
      <c r="AQ7" s="175" t="s">
        <v>1</v>
      </c>
      <c r="AR7" s="176">
        <f>Waspspremhistlost</f>
        <v>216</v>
      </c>
      <c r="AT7" s="177" t="s">
        <v>168</v>
      </c>
      <c r="AU7" s="189">
        <f>Waspremhistdrawn</f>
        <v>4</v>
      </c>
      <c r="AV7" s="179" t="s">
        <v>168</v>
      </c>
      <c r="AW7" s="180">
        <f>Waschampscuphistdrawn</f>
        <v>3</v>
      </c>
      <c r="AX7" s="187" t="s">
        <v>168</v>
      </c>
      <c r="AY7" s="188">
        <f>Waschampscuppohistdrawn</f>
        <v>0</v>
      </c>
      <c r="AZ7" s="181" t="s">
        <v>168</v>
      </c>
      <c r="BA7" s="178">
        <f>Waschallcuphistdrawn</f>
        <v>1</v>
      </c>
      <c r="BB7" s="182" t="s">
        <v>168</v>
      </c>
      <c r="BC7" s="183">
        <f t="shared" si="0"/>
        <v>5</v>
      </c>
    </row>
    <row r="8" spans="1:63" ht="14.95" customHeight="1" thickBot="1" x14ac:dyDescent="0.3">
      <c r="A8" s="479" t="s">
        <v>238</v>
      </c>
      <c r="B8" s="461" t="s">
        <v>199</v>
      </c>
      <c r="C8" s="462" t="s">
        <v>24</v>
      </c>
      <c r="D8" s="463" t="s">
        <v>36</v>
      </c>
      <c r="E8" s="463" t="s">
        <v>34</v>
      </c>
      <c r="F8" s="463">
        <v>9</v>
      </c>
      <c r="G8" s="463">
        <v>25</v>
      </c>
      <c r="H8" s="463">
        <v>0</v>
      </c>
      <c r="I8" s="463">
        <v>0</v>
      </c>
      <c r="J8" s="463">
        <v>0</v>
      </c>
      <c r="K8" s="463">
        <v>0</v>
      </c>
      <c r="L8" s="463">
        <v>0</v>
      </c>
      <c r="M8" s="463">
        <v>3</v>
      </c>
      <c r="N8" s="463">
        <v>1</v>
      </c>
      <c r="O8" s="463">
        <v>0</v>
      </c>
      <c r="P8" s="463">
        <v>1</v>
      </c>
      <c r="Q8" s="463">
        <v>0</v>
      </c>
      <c r="R8" s="463">
        <v>4</v>
      </c>
      <c r="S8" s="464">
        <v>12844</v>
      </c>
      <c r="T8" s="485" t="s">
        <v>511</v>
      </c>
      <c r="U8" s="466" t="s">
        <v>326</v>
      </c>
      <c r="V8" s="464" t="s">
        <v>330</v>
      </c>
      <c r="W8" s="464" t="s">
        <v>343</v>
      </c>
      <c r="X8" s="467" t="s">
        <v>394</v>
      </c>
      <c r="Y8" s="464">
        <v>1</v>
      </c>
      <c r="Z8" s="464">
        <v>0</v>
      </c>
      <c r="AA8" s="464">
        <v>0</v>
      </c>
      <c r="AB8" s="464">
        <v>1</v>
      </c>
      <c r="AC8" s="464">
        <v>0</v>
      </c>
      <c r="AD8" s="464">
        <v>0</v>
      </c>
      <c r="AE8" s="464">
        <v>0</v>
      </c>
      <c r="AF8" s="464">
        <v>0</v>
      </c>
      <c r="AG8" s="464">
        <v>1</v>
      </c>
      <c r="AH8" s="464">
        <v>0</v>
      </c>
      <c r="AI8" s="464">
        <v>0</v>
      </c>
      <c r="AJ8" s="466">
        <v>1</v>
      </c>
      <c r="AK8" s="464">
        <v>0</v>
      </c>
      <c r="AL8" s="464">
        <v>0</v>
      </c>
      <c r="AM8" s="464">
        <v>0</v>
      </c>
      <c r="AN8" s="466">
        <v>0</v>
      </c>
      <c r="AQ8" s="175" t="s">
        <v>169</v>
      </c>
      <c r="AR8" s="176">
        <f>Waspspremhistptsscored</f>
        <v>13069</v>
      </c>
      <c r="AT8" s="177" t="s">
        <v>1</v>
      </c>
      <c r="AU8" s="189">
        <f>Waspremhistlost</f>
        <v>42</v>
      </c>
      <c r="AV8" s="179" t="s">
        <v>1</v>
      </c>
      <c r="AW8" s="180">
        <f>Waschampscuphistlost</f>
        <v>15</v>
      </c>
      <c r="AX8" s="187" t="s">
        <v>1</v>
      </c>
      <c r="AY8" s="188">
        <f>Waschampscuppohistlost</f>
        <v>0</v>
      </c>
      <c r="AZ8" s="181" t="s">
        <v>1</v>
      </c>
      <c r="BA8" s="178">
        <f>Waschallcuphistlost</f>
        <v>11</v>
      </c>
      <c r="BB8" s="182" t="s">
        <v>1</v>
      </c>
      <c r="BC8" s="183">
        <f t="shared" si="0"/>
        <v>53</v>
      </c>
    </row>
    <row r="9" spans="1:63" ht="14.95" customHeight="1" thickBot="1" x14ac:dyDescent="0.3">
      <c r="A9" s="468" t="s">
        <v>239</v>
      </c>
      <c r="B9" s="469" t="s">
        <v>199</v>
      </c>
      <c r="C9" s="470" t="s">
        <v>274</v>
      </c>
      <c r="D9" s="471" t="s">
        <v>299</v>
      </c>
      <c r="E9" s="471" t="s">
        <v>32</v>
      </c>
      <c r="F9" s="471">
        <v>30</v>
      </c>
      <c r="G9" s="471">
        <v>22</v>
      </c>
      <c r="H9" s="471">
        <v>0</v>
      </c>
      <c r="I9" s="471">
        <v>0</v>
      </c>
      <c r="J9" s="471">
        <v>3</v>
      </c>
      <c r="K9" s="471">
        <v>3</v>
      </c>
      <c r="L9" s="471">
        <v>0</v>
      </c>
      <c r="M9" s="471">
        <v>3</v>
      </c>
      <c r="N9" s="471">
        <v>0</v>
      </c>
      <c r="O9" s="471">
        <v>0</v>
      </c>
      <c r="P9" s="471">
        <v>0</v>
      </c>
      <c r="Q9" s="471">
        <v>0</v>
      </c>
      <c r="R9" s="471">
        <v>1</v>
      </c>
      <c r="S9" s="472">
        <v>10322</v>
      </c>
      <c r="T9" s="480" t="s">
        <v>532</v>
      </c>
      <c r="U9" s="478" t="s">
        <v>323</v>
      </c>
      <c r="V9" s="472" t="s">
        <v>468</v>
      </c>
      <c r="W9" s="472" t="s">
        <v>324</v>
      </c>
      <c r="X9" s="473" t="s">
        <v>316</v>
      </c>
      <c r="Y9" s="472">
        <v>1</v>
      </c>
      <c r="Z9" s="472">
        <v>1</v>
      </c>
      <c r="AA9" s="472">
        <v>0</v>
      </c>
      <c r="AB9" s="472">
        <v>0</v>
      </c>
      <c r="AC9" s="472">
        <v>1</v>
      </c>
      <c r="AD9" s="472">
        <v>1</v>
      </c>
      <c r="AE9" s="472">
        <v>0</v>
      </c>
      <c r="AF9" s="472">
        <v>0</v>
      </c>
      <c r="AG9" s="472">
        <v>0</v>
      </c>
      <c r="AH9" s="472">
        <v>0</v>
      </c>
      <c r="AI9" s="472">
        <v>0</v>
      </c>
      <c r="AJ9" s="478">
        <v>0</v>
      </c>
      <c r="AK9" s="472">
        <v>0</v>
      </c>
      <c r="AL9" s="472">
        <v>0</v>
      </c>
      <c r="AM9" s="472">
        <v>0</v>
      </c>
      <c r="AN9" s="478">
        <v>0</v>
      </c>
      <c r="AQ9" s="175" t="s">
        <v>170</v>
      </c>
      <c r="AR9" s="176">
        <f>Waspspremhistptsagainst</f>
        <v>11307</v>
      </c>
      <c r="AT9" s="177" t="s">
        <v>169</v>
      </c>
      <c r="AU9" s="189">
        <f>Waspremhistptsscored</f>
        <v>3122</v>
      </c>
      <c r="AV9" s="179" t="s">
        <v>169</v>
      </c>
      <c r="AW9" s="180">
        <f>Waschampscuphistptsscored</f>
        <v>881</v>
      </c>
      <c r="AX9" s="187" t="s">
        <v>169</v>
      </c>
      <c r="AY9" s="188">
        <f>Waschampscuppohistptsscored</f>
        <v>50</v>
      </c>
      <c r="AZ9" s="181" t="s">
        <v>169</v>
      </c>
      <c r="BA9" s="178">
        <f>Waschallcuphistptsscored</f>
        <v>1541</v>
      </c>
      <c r="BB9" s="182" t="s">
        <v>169</v>
      </c>
      <c r="BC9" s="183">
        <f t="shared" si="0"/>
        <v>4713</v>
      </c>
    </row>
    <row r="10" spans="1:63" ht="14.95" customHeight="1" thickBot="1" x14ac:dyDescent="0.3">
      <c r="A10" s="479" t="s">
        <v>480</v>
      </c>
      <c r="B10" s="461" t="s">
        <v>199</v>
      </c>
      <c r="C10" s="462" t="s">
        <v>27</v>
      </c>
      <c r="D10" s="463" t="s">
        <v>36</v>
      </c>
      <c r="E10" s="463" t="s">
        <v>34</v>
      </c>
      <c r="F10" s="463">
        <v>18</v>
      </c>
      <c r="G10" s="463">
        <v>28</v>
      </c>
      <c r="H10" s="463">
        <v>0</v>
      </c>
      <c r="I10" s="463">
        <v>0</v>
      </c>
      <c r="J10" s="463">
        <v>2</v>
      </c>
      <c r="K10" s="463">
        <v>1</v>
      </c>
      <c r="L10" s="463">
        <v>0</v>
      </c>
      <c r="M10" s="463">
        <v>2</v>
      </c>
      <c r="N10" s="463">
        <v>0</v>
      </c>
      <c r="O10" s="463">
        <v>1</v>
      </c>
      <c r="P10" s="463">
        <v>0</v>
      </c>
      <c r="Q10" s="463">
        <v>0</v>
      </c>
      <c r="R10" s="463">
        <v>1</v>
      </c>
      <c r="S10" s="635">
        <v>5951</v>
      </c>
      <c r="T10" s="465" t="s">
        <v>543</v>
      </c>
      <c r="U10" s="466" t="s">
        <v>463</v>
      </c>
      <c r="V10" s="464" t="s">
        <v>464</v>
      </c>
      <c r="W10" s="464" t="s">
        <v>304</v>
      </c>
      <c r="X10" s="467" t="s">
        <v>320</v>
      </c>
      <c r="Y10" s="464">
        <v>1</v>
      </c>
      <c r="Z10" s="464">
        <v>0</v>
      </c>
      <c r="AA10" s="464">
        <v>0</v>
      </c>
      <c r="AB10" s="464">
        <v>1</v>
      </c>
      <c r="AC10" s="464">
        <v>0</v>
      </c>
      <c r="AD10" s="464">
        <v>0</v>
      </c>
      <c r="AE10" s="464">
        <v>0</v>
      </c>
      <c r="AF10" s="464">
        <v>0</v>
      </c>
      <c r="AG10" s="464">
        <v>1</v>
      </c>
      <c r="AH10" s="464">
        <v>0</v>
      </c>
      <c r="AI10" s="464">
        <v>0</v>
      </c>
      <c r="AJ10" s="466">
        <v>1</v>
      </c>
      <c r="AK10" s="464">
        <v>0</v>
      </c>
      <c r="AL10" s="464">
        <v>0</v>
      </c>
      <c r="AM10" s="464">
        <v>0</v>
      </c>
      <c r="AN10" s="466">
        <v>0</v>
      </c>
      <c r="AQ10" s="175" t="s">
        <v>73</v>
      </c>
      <c r="AR10" s="176">
        <f>Waspspremhisttriesscored</f>
        <v>1390</v>
      </c>
      <c r="AT10" s="177" t="s">
        <v>175</v>
      </c>
      <c r="AU10" s="189">
        <f>Waspremhistptsagainst</f>
        <v>2285</v>
      </c>
      <c r="AV10" s="179" t="s">
        <v>175</v>
      </c>
      <c r="AW10" s="180">
        <f>Waschampscuphistptsagainst</f>
        <v>698</v>
      </c>
      <c r="AX10" s="187" t="s">
        <v>175</v>
      </c>
      <c r="AY10" s="188">
        <f>Waschampscuppohistptsagainst</f>
        <v>35</v>
      </c>
      <c r="AZ10" s="181" t="s">
        <v>175</v>
      </c>
      <c r="BA10" s="178">
        <f>Waschallcuphistptsagainst</f>
        <v>813</v>
      </c>
      <c r="BB10" s="182" t="s">
        <v>175</v>
      </c>
      <c r="BC10" s="183">
        <f t="shared" si="0"/>
        <v>3133</v>
      </c>
    </row>
    <row r="11" spans="1:63" ht="14.95" customHeight="1" thickBot="1" x14ac:dyDescent="0.3">
      <c r="A11" s="784" t="s">
        <v>234</v>
      </c>
      <c r="B11" s="785" t="s">
        <v>142</v>
      </c>
      <c r="C11" s="786" t="s">
        <v>481</v>
      </c>
      <c r="D11" s="787" t="s">
        <v>36</v>
      </c>
      <c r="E11" s="787" t="s">
        <v>34</v>
      </c>
      <c r="F11" s="787">
        <v>30</v>
      </c>
      <c r="G11" s="787">
        <v>40</v>
      </c>
      <c r="H11" s="787">
        <v>0</v>
      </c>
      <c r="I11" s="787">
        <v>0</v>
      </c>
      <c r="J11" s="787">
        <v>3</v>
      </c>
      <c r="K11" s="787">
        <v>3</v>
      </c>
      <c r="L11" s="787">
        <v>0</v>
      </c>
      <c r="M11" s="787">
        <v>3</v>
      </c>
      <c r="N11" s="787">
        <v>0</v>
      </c>
      <c r="O11" s="787">
        <v>0</v>
      </c>
      <c r="P11" s="787">
        <v>1</v>
      </c>
      <c r="Q11" s="787">
        <v>0</v>
      </c>
      <c r="R11" s="787">
        <v>4</v>
      </c>
      <c r="S11" s="788">
        <v>13908</v>
      </c>
      <c r="T11" s="789" t="s">
        <v>781</v>
      </c>
      <c r="U11" s="790" t="s">
        <v>756</v>
      </c>
      <c r="V11" s="788" t="s">
        <v>782</v>
      </c>
      <c r="W11" s="788" t="s">
        <v>783</v>
      </c>
      <c r="X11" s="791" t="s">
        <v>757</v>
      </c>
      <c r="Y11" s="788">
        <v>1</v>
      </c>
      <c r="Z11" s="788">
        <v>0</v>
      </c>
      <c r="AA11" s="788">
        <v>0</v>
      </c>
      <c r="AB11" s="788">
        <v>1</v>
      </c>
      <c r="AC11" s="788">
        <v>0</v>
      </c>
      <c r="AD11" s="788">
        <v>0</v>
      </c>
      <c r="AE11" s="788">
        <v>0</v>
      </c>
      <c r="AF11" s="788">
        <v>0</v>
      </c>
      <c r="AG11" s="788">
        <v>1</v>
      </c>
      <c r="AH11" s="788">
        <v>0</v>
      </c>
      <c r="AI11" s="788">
        <v>0</v>
      </c>
      <c r="AJ11" s="790">
        <v>1</v>
      </c>
      <c r="AK11" s="788">
        <v>0</v>
      </c>
      <c r="AL11" s="788">
        <v>0</v>
      </c>
      <c r="AM11" s="788">
        <v>0</v>
      </c>
      <c r="AN11" s="790">
        <v>0</v>
      </c>
      <c r="AQ11" s="175" t="s">
        <v>75</v>
      </c>
      <c r="AR11" s="176">
        <f>Waspspremhisttriesagainst</f>
        <v>1113</v>
      </c>
      <c r="AT11" s="177" t="s">
        <v>73</v>
      </c>
      <c r="AU11" s="189">
        <f>Waspremhisttriesscored</f>
        <v>353</v>
      </c>
      <c r="AV11" s="179" t="s">
        <v>73</v>
      </c>
      <c r="AW11" s="180">
        <f>Waschampscuphisttriesscored</f>
        <v>106</v>
      </c>
      <c r="AX11" s="187" t="s">
        <v>73</v>
      </c>
      <c r="AY11" s="188">
        <f>Waschampscuppohisttriesscored</f>
        <v>5</v>
      </c>
      <c r="AZ11" s="181" t="s">
        <v>73</v>
      </c>
      <c r="BA11" s="178">
        <f>Waschallcuphisttriesscored</f>
        <v>188</v>
      </c>
      <c r="BB11" s="182" t="s">
        <v>73</v>
      </c>
      <c r="BC11" s="183">
        <f t="shared" si="0"/>
        <v>546</v>
      </c>
    </row>
    <row r="12" spans="1:63" ht="14.95" customHeight="1" thickBot="1" x14ac:dyDescent="0.3">
      <c r="A12" s="597" t="s">
        <v>235</v>
      </c>
      <c r="B12" s="598" t="s">
        <v>142</v>
      </c>
      <c r="C12" s="599" t="s">
        <v>482</v>
      </c>
      <c r="D12" s="600" t="s">
        <v>299</v>
      </c>
      <c r="E12" s="600" t="s">
        <v>32</v>
      </c>
      <c r="F12" s="600">
        <v>32</v>
      </c>
      <c r="G12" s="600">
        <v>14</v>
      </c>
      <c r="H12" s="600">
        <v>1</v>
      </c>
      <c r="I12" s="600">
        <v>0</v>
      </c>
      <c r="J12" s="600">
        <v>4</v>
      </c>
      <c r="K12" s="600">
        <v>3</v>
      </c>
      <c r="L12" s="600">
        <v>0</v>
      </c>
      <c r="M12" s="600">
        <v>2</v>
      </c>
      <c r="N12" s="600">
        <v>1</v>
      </c>
      <c r="O12" s="600">
        <v>0</v>
      </c>
      <c r="P12" s="600">
        <v>0</v>
      </c>
      <c r="Q12" s="600">
        <v>0</v>
      </c>
      <c r="R12" s="600">
        <v>2</v>
      </c>
      <c r="S12" s="601">
        <v>7594</v>
      </c>
      <c r="T12" s="728" t="s">
        <v>711</v>
      </c>
      <c r="U12" s="653" t="s">
        <v>586</v>
      </c>
      <c r="V12" s="654" t="s">
        <v>202</v>
      </c>
      <c r="W12" s="601" t="s">
        <v>784</v>
      </c>
      <c r="X12" s="604" t="s">
        <v>588</v>
      </c>
      <c r="Y12" s="601">
        <v>1</v>
      </c>
      <c r="Z12" s="601">
        <v>1</v>
      </c>
      <c r="AA12" s="601">
        <v>0</v>
      </c>
      <c r="AB12" s="601">
        <v>0</v>
      </c>
      <c r="AC12" s="601">
        <v>1</v>
      </c>
      <c r="AD12" s="601">
        <v>1</v>
      </c>
      <c r="AE12" s="601">
        <v>0</v>
      </c>
      <c r="AF12" s="601">
        <v>0</v>
      </c>
      <c r="AG12" s="601">
        <v>0</v>
      </c>
      <c r="AH12" s="601">
        <v>0</v>
      </c>
      <c r="AI12" s="601">
        <v>0</v>
      </c>
      <c r="AJ12" s="603">
        <v>0</v>
      </c>
      <c r="AK12" s="601">
        <v>0</v>
      </c>
      <c r="AL12" s="601">
        <v>0</v>
      </c>
      <c r="AM12" s="601">
        <v>0</v>
      </c>
      <c r="AN12" s="603">
        <v>0</v>
      </c>
      <c r="AT12" s="177" t="s">
        <v>176</v>
      </c>
      <c r="AU12" s="189">
        <f>Waspremhisttriesagainst</f>
        <v>222</v>
      </c>
      <c r="AV12" s="179" t="s">
        <v>176</v>
      </c>
      <c r="AW12" s="180">
        <f>Waschampscuphisttriesagainst</f>
        <v>81</v>
      </c>
      <c r="AX12" s="187" t="s">
        <v>176</v>
      </c>
      <c r="AY12" s="188">
        <f>Waschampscuppohisttriesagainst</f>
        <v>4</v>
      </c>
      <c r="AZ12" s="181" t="s">
        <v>176</v>
      </c>
      <c r="BA12" s="178">
        <f>Waschallcuphisttriesagainst</f>
        <v>78</v>
      </c>
      <c r="BB12" s="182" t="s">
        <v>176</v>
      </c>
      <c r="BC12" s="183">
        <f t="shared" si="0"/>
        <v>304</v>
      </c>
    </row>
    <row r="13" spans="1:63" ht="14.95" customHeight="1" thickBot="1" x14ac:dyDescent="0.3">
      <c r="A13" s="479" t="s">
        <v>236</v>
      </c>
      <c r="B13" s="461" t="s">
        <v>199</v>
      </c>
      <c r="C13" s="462" t="s">
        <v>28</v>
      </c>
      <c r="D13" s="463" t="s">
        <v>36</v>
      </c>
      <c r="E13" s="463" t="s">
        <v>34</v>
      </c>
      <c r="F13" s="463">
        <v>3</v>
      </c>
      <c r="G13" s="463">
        <v>38</v>
      </c>
      <c r="H13" s="463">
        <v>0</v>
      </c>
      <c r="I13" s="463">
        <v>0</v>
      </c>
      <c r="J13" s="463">
        <v>0</v>
      </c>
      <c r="K13" s="463">
        <v>0</v>
      </c>
      <c r="L13" s="463">
        <v>0</v>
      </c>
      <c r="M13" s="463">
        <v>1</v>
      </c>
      <c r="N13" s="463">
        <v>1</v>
      </c>
      <c r="O13" s="463">
        <v>0</v>
      </c>
      <c r="P13" s="463">
        <v>1</v>
      </c>
      <c r="Q13" s="463">
        <v>0</v>
      </c>
      <c r="R13" s="463">
        <v>5</v>
      </c>
      <c r="S13" s="464">
        <v>13320</v>
      </c>
      <c r="T13" s="465" t="s">
        <v>515</v>
      </c>
      <c r="U13" s="466" t="s">
        <v>630</v>
      </c>
      <c r="V13" s="464" t="s">
        <v>468</v>
      </c>
      <c r="W13" s="464" t="s">
        <v>319</v>
      </c>
      <c r="X13" s="467" t="s">
        <v>305</v>
      </c>
      <c r="Y13" s="464">
        <v>1</v>
      </c>
      <c r="Z13" s="464">
        <v>0</v>
      </c>
      <c r="AA13" s="464">
        <v>0</v>
      </c>
      <c r="AB13" s="464">
        <v>1</v>
      </c>
      <c r="AC13" s="464">
        <v>0</v>
      </c>
      <c r="AD13" s="464">
        <v>0</v>
      </c>
      <c r="AE13" s="464">
        <v>0</v>
      </c>
      <c r="AF13" s="464">
        <v>0</v>
      </c>
      <c r="AG13" s="464">
        <v>1</v>
      </c>
      <c r="AH13" s="464">
        <v>0</v>
      </c>
      <c r="AI13" s="464">
        <v>0</v>
      </c>
      <c r="AJ13" s="466">
        <v>1</v>
      </c>
      <c r="AK13" s="464">
        <v>0</v>
      </c>
      <c r="AL13" s="464">
        <v>0</v>
      </c>
      <c r="AM13" s="464">
        <v>0</v>
      </c>
      <c r="AN13" s="466">
        <v>0</v>
      </c>
    </row>
    <row r="14" spans="1:63" ht="14.95" customHeight="1" thickBot="1" x14ac:dyDescent="0.3">
      <c r="A14" s="784" t="s">
        <v>429</v>
      </c>
      <c r="B14" s="785" t="s">
        <v>142</v>
      </c>
      <c r="C14" s="786" t="s">
        <v>483</v>
      </c>
      <c r="D14" s="787" t="s">
        <v>36</v>
      </c>
      <c r="E14" s="787" t="s">
        <v>34</v>
      </c>
      <c r="F14" s="787">
        <v>20</v>
      </c>
      <c r="G14" s="787">
        <v>31</v>
      </c>
      <c r="H14" s="787">
        <v>0</v>
      </c>
      <c r="I14" s="787">
        <v>0</v>
      </c>
      <c r="J14" s="787">
        <v>2</v>
      </c>
      <c r="K14" s="787">
        <v>2</v>
      </c>
      <c r="L14" s="787">
        <v>0</v>
      </c>
      <c r="M14" s="787">
        <v>2</v>
      </c>
      <c r="N14" s="787">
        <v>1</v>
      </c>
      <c r="O14" s="787">
        <v>0</v>
      </c>
      <c r="P14" s="787">
        <v>1</v>
      </c>
      <c r="Q14" s="787">
        <v>0</v>
      </c>
      <c r="R14" s="787">
        <v>4</v>
      </c>
      <c r="S14" s="788">
        <v>6387</v>
      </c>
      <c r="T14" s="789" t="s">
        <v>787</v>
      </c>
      <c r="U14" s="790" t="s">
        <v>591</v>
      </c>
      <c r="V14" s="788" t="s">
        <v>202</v>
      </c>
      <c r="W14" s="788" t="s">
        <v>621</v>
      </c>
      <c r="X14" s="791" t="s">
        <v>744</v>
      </c>
      <c r="Y14" s="788">
        <v>1</v>
      </c>
      <c r="Z14" s="788">
        <v>0</v>
      </c>
      <c r="AA14" s="788">
        <v>0</v>
      </c>
      <c r="AB14" s="788">
        <v>1</v>
      </c>
      <c r="AC14" s="788">
        <v>0</v>
      </c>
      <c r="AD14" s="788">
        <v>0</v>
      </c>
      <c r="AE14" s="788">
        <v>0</v>
      </c>
      <c r="AF14" s="788">
        <v>0</v>
      </c>
      <c r="AG14" s="788">
        <v>1</v>
      </c>
      <c r="AH14" s="788">
        <v>0</v>
      </c>
      <c r="AI14" s="788">
        <v>0</v>
      </c>
      <c r="AJ14" s="790">
        <v>1</v>
      </c>
      <c r="AK14" s="788">
        <v>0</v>
      </c>
      <c r="AL14" s="788">
        <v>0</v>
      </c>
      <c r="AM14" s="788">
        <v>0</v>
      </c>
      <c r="AN14" s="790">
        <v>0</v>
      </c>
      <c r="AT14" s="125" t="s">
        <v>217</v>
      </c>
    </row>
    <row r="15" spans="1:63" ht="14.95" customHeight="1" thickBot="1" x14ac:dyDescent="0.3">
      <c r="A15" s="597" t="s">
        <v>244</v>
      </c>
      <c r="B15" s="598" t="s">
        <v>142</v>
      </c>
      <c r="C15" s="599" t="s">
        <v>483</v>
      </c>
      <c r="D15" s="600" t="s">
        <v>299</v>
      </c>
      <c r="E15" s="600" t="s">
        <v>34</v>
      </c>
      <c r="F15" s="600">
        <v>7</v>
      </c>
      <c r="G15" s="600">
        <v>9</v>
      </c>
      <c r="H15" s="600">
        <v>0</v>
      </c>
      <c r="I15" s="600">
        <v>1</v>
      </c>
      <c r="J15" s="600">
        <v>1</v>
      </c>
      <c r="K15" s="600">
        <v>1</v>
      </c>
      <c r="L15" s="600">
        <v>0</v>
      </c>
      <c r="M15" s="600">
        <v>0</v>
      </c>
      <c r="N15" s="600">
        <v>1</v>
      </c>
      <c r="O15" s="600">
        <v>0</v>
      </c>
      <c r="P15" s="600">
        <v>0</v>
      </c>
      <c r="Q15" s="600">
        <v>0</v>
      </c>
      <c r="R15" s="600">
        <v>0</v>
      </c>
      <c r="S15" s="655">
        <v>7146</v>
      </c>
      <c r="T15" s="783" t="s">
        <v>638</v>
      </c>
      <c r="U15" s="603" t="s">
        <v>600</v>
      </c>
      <c r="V15" s="601" t="s">
        <v>202</v>
      </c>
      <c r="W15" s="601" t="s">
        <v>785</v>
      </c>
      <c r="X15" s="604" t="s">
        <v>786</v>
      </c>
      <c r="Y15" s="655">
        <v>1</v>
      </c>
      <c r="Z15" s="655">
        <v>0</v>
      </c>
      <c r="AA15" s="655">
        <v>0</v>
      </c>
      <c r="AB15" s="655">
        <v>1</v>
      </c>
      <c r="AC15" s="655">
        <v>1</v>
      </c>
      <c r="AD15" s="655">
        <v>0</v>
      </c>
      <c r="AE15" s="655">
        <v>0</v>
      </c>
      <c r="AF15" s="655">
        <v>1</v>
      </c>
      <c r="AG15" s="655">
        <v>0</v>
      </c>
      <c r="AH15" s="655">
        <v>0</v>
      </c>
      <c r="AI15" s="655">
        <v>0</v>
      </c>
      <c r="AJ15" s="656">
        <v>0</v>
      </c>
      <c r="AK15" s="655">
        <v>0</v>
      </c>
      <c r="AL15" s="655">
        <v>0</v>
      </c>
      <c r="AM15" s="655">
        <v>0</v>
      </c>
      <c r="AN15" s="656">
        <v>0</v>
      </c>
      <c r="AT15" s="391"/>
      <c r="AU15" s="1160" t="s">
        <v>178</v>
      </c>
      <c r="AV15" s="1161"/>
      <c r="AW15" s="1161"/>
      <c r="AX15" s="1162"/>
      <c r="AY15" s="1163" t="s">
        <v>172</v>
      </c>
      <c r="AZ15" s="1164"/>
      <c r="BA15" s="1164"/>
      <c r="BB15" s="1165"/>
      <c r="BC15" s="1166" t="s">
        <v>251</v>
      </c>
      <c r="BD15" s="1167"/>
      <c r="BE15" s="1167"/>
      <c r="BF15" s="1168"/>
      <c r="BG15" s="1037" t="s">
        <v>64</v>
      </c>
      <c r="BH15" s="1038"/>
      <c r="BI15" s="1038"/>
      <c r="BJ15" s="1039"/>
      <c r="BK15" s="391"/>
    </row>
    <row r="16" spans="1:63" ht="14.95" customHeight="1" thickBot="1" x14ac:dyDescent="0.3">
      <c r="A16" s="468" t="s">
        <v>256</v>
      </c>
      <c r="B16" s="469" t="s">
        <v>199</v>
      </c>
      <c r="C16" s="470" t="s">
        <v>9</v>
      </c>
      <c r="D16" s="471" t="s">
        <v>299</v>
      </c>
      <c r="E16" s="471" t="s">
        <v>34</v>
      </c>
      <c r="F16" s="471">
        <v>22</v>
      </c>
      <c r="G16" s="471">
        <v>28</v>
      </c>
      <c r="H16" s="471">
        <v>0</v>
      </c>
      <c r="I16" s="471">
        <v>1</v>
      </c>
      <c r="J16" s="471">
        <v>3</v>
      </c>
      <c r="K16" s="471">
        <v>2</v>
      </c>
      <c r="L16" s="471">
        <v>0</v>
      </c>
      <c r="M16" s="471">
        <v>1</v>
      </c>
      <c r="N16" s="471">
        <v>0</v>
      </c>
      <c r="O16" s="471">
        <v>0</v>
      </c>
      <c r="P16" s="471">
        <v>1</v>
      </c>
      <c r="Q16" s="471">
        <v>0</v>
      </c>
      <c r="R16" s="471">
        <v>4</v>
      </c>
      <c r="S16" s="472">
        <v>24842</v>
      </c>
      <c r="T16" s="638" t="s">
        <v>698</v>
      </c>
      <c r="U16" s="478" t="s">
        <v>637</v>
      </c>
      <c r="V16" s="472" t="s">
        <v>468</v>
      </c>
      <c r="W16" s="472" t="s">
        <v>326</v>
      </c>
      <c r="X16" s="473" t="s">
        <v>316</v>
      </c>
      <c r="Y16" s="472">
        <v>1</v>
      </c>
      <c r="Z16" s="472">
        <v>0</v>
      </c>
      <c r="AA16" s="472">
        <v>0</v>
      </c>
      <c r="AB16" s="472">
        <v>1</v>
      </c>
      <c r="AC16" s="472">
        <v>1</v>
      </c>
      <c r="AD16" s="472">
        <v>0</v>
      </c>
      <c r="AE16" s="472">
        <v>0</v>
      </c>
      <c r="AF16" s="472">
        <v>1</v>
      </c>
      <c r="AG16" s="472">
        <v>0</v>
      </c>
      <c r="AH16" s="472">
        <v>0</v>
      </c>
      <c r="AI16" s="472">
        <v>0</v>
      </c>
      <c r="AJ16" s="478">
        <v>0</v>
      </c>
      <c r="AK16" s="472">
        <v>0</v>
      </c>
      <c r="AL16" s="472">
        <v>0</v>
      </c>
      <c r="AM16" s="472">
        <v>0</v>
      </c>
      <c r="AN16" s="478">
        <v>0</v>
      </c>
      <c r="AT16" s="392"/>
      <c r="AU16" s="380" t="s">
        <v>48</v>
      </c>
      <c r="AV16" s="380" t="s">
        <v>32</v>
      </c>
      <c r="AW16" s="380" t="s">
        <v>33</v>
      </c>
      <c r="AX16" s="380" t="s">
        <v>34</v>
      </c>
      <c r="AY16" s="382" t="s">
        <v>48</v>
      </c>
      <c r="AZ16" s="382" t="s">
        <v>32</v>
      </c>
      <c r="BA16" s="382" t="s">
        <v>33</v>
      </c>
      <c r="BB16" s="382" t="s">
        <v>34</v>
      </c>
      <c r="BC16" s="387" t="s">
        <v>48</v>
      </c>
      <c r="BD16" s="387" t="s">
        <v>32</v>
      </c>
      <c r="BE16" s="387" t="s">
        <v>33</v>
      </c>
      <c r="BF16" s="387" t="s">
        <v>34</v>
      </c>
      <c r="BG16" s="94" t="s">
        <v>48</v>
      </c>
      <c r="BH16" s="94" t="s">
        <v>32</v>
      </c>
      <c r="BI16" s="94" t="s">
        <v>33</v>
      </c>
      <c r="BJ16" s="94" t="s">
        <v>34</v>
      </c>
      <c r="BK16" s="392"/>
    </row>
    <row r="17" spans="1:63" ht="14.95" customHeight="1" thickBot="1" x14ac:dyDescent="0.3">
      <c r="A17" s="479" t="s">
        <v>441</v>
      </c>
      <c r="B17" s="461" t="s">
        <v>199</v>
      </c>
      <c r="C17" s="462" t="s">
        <v>165</v>
      </c>
      <c r="D17" s="463" t="s">
        <v>36</v>
      </c>
      <c r="E17" s="463" t="s">
        <v>32</v>
      </c>
      <c r="F17" s="463">
        <v>26</v>
      </c>
      <c r="G17" s="463">
        <v>21</v>
      </c>
      <c r="H17" s="463">
        <v>1</v>
      </c>
      <c r="I17" s="463">
        <v>0</v>
      </c>
      <c r="J17" s="463">
        <v>4</v>
      </c>
      <c r="K17" s="463">
        <v>3</v>
      </c>
      <c r="L17" s="463">
        <v>0</v>
      </c>
      <c r="M17" s="463">
        <v>0</v>
      </c>
      <c r="N17" s="463">
        <v>0</v>
      </c>
      <c r="O17" s="463">
        <v>0</v>
      </c>
      <c r="P17" s="463">
        <v>0</v>
      </c>
      <c r="Q17" s="463">
        <v>0</v>
      </c>
      <c r="R17" s="463">
        <v>2</v>
      </c>
      <c r="S17" s="639">
        <v>23078</v>
      </c>
      <c r="T17" s="465" t="s">
        <v>710</v>
      </c>
      <c r="U17" s="466" t="s">
        <v>633</v>
      </c>
      <c r="V17" s="464" t="s">
        <v>348</v>
      </c>
      <c r="W17" s="464" t="s">
        <v>304</v>
      </c>
      <c r="X17" s="467" t="s">
        <v>328</v>
      </c>
      <c r="Y17" s="464">
        <v>1</v>
      </c>
      <c r="Z17" s="464">
        <v>1</v>
      </c>
      <c r="AA17" s="464">
        <v>0</v>
      </c>
      <c r="AB17" s="464">
        <v>0</v>
      </c>
      <c r="AC17" s="464">
        <v>0</v>
      </c>
      <c r="AD17" s="464">
        <v>0</v>
      </c>
      <c r="AE17" s="464">
        <v>0</v>
      </c>
      <c r="AF17" s="464">
        <v>0</v>
      </c>
      <c r="AG17" s="464">
        <v>1</v>
      </c>
      <c r="AH17" s="464">
        <v>1</v>
      </c>
      <c r="AI17" s="464">
        <v>0</v>
      </c>
      <c r="AJ17" s="466">
        <v>0</v>
      </c>
      <c r="AK17" s="464">
        <v>0</v>
      </c>
      <c r="AL17" s="464">
        <v>0</v>
      </c>
      <c r="AM17" s="464">
        <v>0</v>
      </c>
      <c r="AN17" s="466">
        <v>0</v>
      </c>
      <c r="AT17" s="392" t="s">
        <v>108</v>
      </c>
      <c r="AU17" s="379">
        <v>7</v>
      </c>
      <c r="AV17" s="379">
        <v>5</v>
      </c>
      <c r="AW17" s="379">
        <v>0</v>
      </c>
      <c r="AX17" s="379">
        <v>2</v>
      </c>
      <c r="AY17" s="381">
        <v>1</v>
      </c>
      <c r="AZ17" s="381">
        <v>0</v>
      </c>
      <c r="BA17" s="381">
        <v>1</v>
      </c>
      <c r="BB17" s="381">
        <v>0</v>
      </c>
      <c r="BC17" s="388">
        <v>1</v>
      </c>
      <c r="BD17" s="388">
        <v>0</v>
      </c>
      <c r="BE17" s="388">
        <v>0</v>
      </c>
      <c r="BF17" s="388">
        <v>1</v>
      </c>
      <c r="BG17" s="390">
        <f t="shared" ref="BG17:BG19" si="1">SUM(AU17+AY17+BC17)</f>
        <v>9</v>
      </c>
      <c r="BH17" s="390">
        <f t="shared" ref="BH17:BH19" si="2">SUM(AV17+AZ17+BD17)</f>
        <v>5</v>
      </c>
      <c r="BI17" s="390">
        <f t="shared" ref="BI17:BI19" si="3">SUM(AW17+BA17+BE17)</f>
        <v>1</v>
      </c>
      <c r="BJ17" s="390">
        <f t="shared" ref="BJ17:BJ19" si="4">SUM(AX17+BB17+BF17)</f>
        <v>3</v>
      </c>
      <c r="BK17" s="392" t="s">
        <v>108</v>
      </c>
    </row>
    <row r="18" spans="1:63" ht="14.95" customHeight="1" thickBot="1" x14ac:dyDescent="0.3">
      <c r="A18" s="468" t="s">
        <v>449</v>
      </c>
      <c r="B18" s="469" t="s">
        <v>199</v>
      </c>
      <c r="C18" s="470" t="s">
        <v>25</v>
      </c>
      <c r="D18" s="471" t="s">
        <v>299</v>
      </c>
      <c r="E18" s="471" t="s">
        <v>34</v>
      </c>
      <c r="F18" s="471">
        <v>31</v>
      </c>
      <c r="G18" s="471">
        <v>35</v>
      </c>
      <c r="H18" s="471">
        <v>1</v>
      </c>
      <c r="I18" s="471">
        <v>1</v>
      </c>
      <c r="J18" s="471">
        <v>4</v>
      </c>
      <c r="K18" s="471">
        <v>3</v>
      </c>
      <c r="L18" s="471">
        <v>0</v>
      </c>
      <c r="M18" s="471">
        <v>1</v>
      </c>
      <c r="N18" s="471">
        <v>0</v>
      </c>
      <c r="O18" s="471">
        <v>0</v>
      </c>
      <c r="P18" s="471">
        <v>1</v>
      </c>
      <c r="Q18" s="471">
        <v>0</v>
      </c>
      <c r="R18" s="471">
        <v>5</v>
      </c>
      <c r="S18" s="472">
        <v>12715</v>
      </c>
      <c r="T18" s="477" t="s">
        <v>422</v>
      </c>
      <c r="U18" s="478" t="s">
        <v>550</v>
      </c>
      <c r="V18" s="472" t="s">
        <v>634</v>
      </c>
      <c r="W18" s="472" t="s">
        <v>304</v>
      </c>
      <c r="X18" s="473" t="s">
        <v>395</v>
      </c>
      <c r="Y18" s="472">
        <v>1</v>
      </c>
      <c r="Z18" s="472">
        <v>0</v>
      </c>
      <c r="AA18" s="472">
        <v>0</v>
      </c>
      <c r="AB18" s="472">
        <v>1</v>
      </c>
      <c r="AC18" s="472">
        <v>1</v>
      </c>
      <c r="AD18" s="472">
        <v>0</v>
      </c>
      <c r="AE18" s="472">
        <v>0</v>
      </c>
      <c r="AF18" s="472">
        <v>1</v>
      </c>
      <c r="AG18" s="472">
        <v>0</v>
      </c>
      <c r="AH18" s="472">
        <v>0</v>
      </c>
      <c r="AI18" s="472">
        <v>0</v>
      </c>
      <c r="AJ18" s="478">
        <v>0</v>
      </c>
      <c r="AK18" s="472">
        <v>0</v>
      </c>
      <c r="AL18" s="472">
        <v>0</v>
      </c>
      <c r="AM18" s="472">
        <v>0</v>
      </c>
      <c r="AN18" s="478">
        <v>0</v>
      </c>
      <c r="AT18" s="392" t="s">
        <v>139</v>
      </c>
      <c r="AU18" s="379">
        <v>11</v>
      </c>
      <c r="AV18" s="379">
        <v>9</v>
      </c>
      <c r="AW18" s="379">
        <v>0</v>
      </c>
      <c r="AX18" s="379">
        <v>2</v>
      </c>
      <c r="AY18" s="381">
        <v>4</v>
      </c>
      <c r="AZ18" s="381">
        <v>3</v>
      </c>
      <c r="BA18" s="381">
        <v>0</v>
      </c>
      <c r="BB18" s="381">
        <v>1</v>
      </c>
      <c r="BC18" s="388" t="s">
        <v>218</v>
      </c>
      <c r="BD18" s="388" t="s">
        <v>218</v>
      </c>
      <c r="BE18" s="388" t="s">
        <v>218</v>
      </c>
      <c r="BF18" s="388" t="s">
        <v>218</v>
      </c>
      <c r="BG18" s="390">
        <f>SUM(AU18+AY18)</f>
        <v>15</v>
      </c>
      <c r="BH18" s="390">
        <f t="shared" ref="BH18:BJ18" si="5">SUM(AV18+AZ18)</f>
        <v>12</v>
      </c>
      <c r="BI18" s="390">
        <f t="shared" si="5"/>
        <v>0</v>
      </c>
      <c r="BJ18" s="390">
        <f t="shared" si="5"/>
        <v>3</v>
      </c>
      <c r="BK18" s="392" t="s">
        <v>139</v>
      </c>
    </row>
    <row r="19" spans="1:63" ht="14.95" customHeight="1" thickBot="1" x14ac:dyDescent="0.3">
      <c r="A19" s="784" t="s">
        <v>245</v>
      </c>
      <c r="B19" s="785" t="s">
        <v>142</v>
      </c>
      <c r="C19" s="786" t="s">
        <v>482</v>
      </c>
      <c r="D19" s="787" t="s">
        <v>36</v>
      </c>
      <c r="E19" s="787" t="s">
        <v>32</v>
      </c>
      <c r="F19" s="787">
        <v>52</v>
      </c>
      <c r="G19" s="787">
        <v>24</v>
      </c>
      <c r="H19" s="787">
        <v>1</v>
      </c>
      <c r="I19" s="787">
        <v>0</v>
      </c>
      <c r="J19" s="787">
        <v>8</v>
      </c>
      <c r="K19" s="787">
        <v>6</v>
      </c>
      <c r="L19" s="787">
        <v>0</v>
      </c>
      <c r="M19" s="787">
        <v>0</v>
      </c>
      <c r="N19" s="787">
        <v>1</v>
      </c>
      <c r="O19" s="787">
        <v>0</v>
      </c>
      <c r="P19" s="787">
        <v>0</v>
      </c>
      <c r="Q19" s="787">
        <v>0</v>
      </c>
      <c r="R19" s="787">
        <v>3</v>
      </c>
      <c r="S19" s="792">
        <v>2013</v>
      </c>
      <c r="T19" s="793" t="s">
        <v>788</v>
      </c>
      <c r="U19" s="790" t="s">
        <v>619</v>
      </c>
      <c r="V19" s="788" t="s">
        <v>202</v>
      </c>
      <c r="W19" s="788" t="s">
        <v>621</v>
      </c>
      <c r="X19" s="791" t="s">
        <v>789</v>
      </c>
      <c r="Y19" s="788">
        <v>1</v>
      </c>
      <c r="Z19" s="788">
        <v>1</v>
      </c>
      <c r="AA19" s="788">
        <v>0</v>
      </c>
      <c r="AB19" s="788">
        <v>0</v>
      </c>
      <c r="AC19" s="788">
        <v>0</v>
      </c>
      <c r="AD19" s="788">
        <v>0</v>
      </c>
      <c r="AE19" s="788">
        <v>0</v>
      </c>
      <c r="AF19" s="788">
        <v>0</v>
      </c>
      <c r="AG19" s="788">
        <v>1</v>
      </c>
      <c r="AH19" s="788">
        <v>1</v>
      </c>
      <c r="AI19" s="788">
        <v>0</v>
      </c>
      <c r="AJ19" s="790">
        <v>0</v>
      </c>
      <c r="AK19" s="788">
        <v>0</v>
      </c>
      <c r="AL19" s="788">
        <v>0</v>
      </c>
      <c r="AM19" s="788">
        <v>0</v>
      </c>
      <c r="AN19" s="790">
        <v>0</v>
      </c>
      <c r="AT19" s="392" t="s">
        <v>166</v>
      </c>
      <c r="AU19" s="379">
        <v>12</v>
      </c>
      <c r="AV19" s="379">
        <v>12</v>
      </c>
      <c r="AW19" s="379">
        <v>0</v>
      </c>
      <c r="AX19" s="379">
        <v>0</v>
      </c>
      <c r="AY19" s="381">
        <v>3</v>
      </c>
      <c r="AZ19" s="381">
        <v>3</v>
      </c>
      <c r="BA19" s="381">
        <v>0</v>
      </c>
      <c r="BB19" s="381">
        <v>0</v>
      </c>
      <c r="BC19" s="388">
        <v>2</v>
      </c>
      <c r="BD19" s="388">
        <v>1</v>
      </c>
      <c r="BE19" s="388">
        <v>0</v>
      </c>
      <c r="BF19" s="388">
        <v>1</v>
      </c>
      <c r="BG19" s="390">
        <f t="shared" si="1"/>
        <v>17</v>
      </c>
      <c r="BH19" s="390">
        <f t="shared" si="2"/>
        <v>16</v>
      </c>
      <c r="BI19" s="390">
        <f t="shared" si="3"/>
        <v>0</v>
      </c>
      <c r="BJ19" s="390">
        <f t="shared" si="4"/>
        <v>1</v>
      </c>
      <c r="BK19" s="392" t="s">
        <v>166</v>
      </c>
    </row>
    <row r="20" spans="1:63" ht="14.95" customHeight="1" thickBot="1" x14ac:dyDescent="0.3">
      <c r="A20" s="597" t="s">
        <v>246</v>
      </c>
      <c r="B20" s="598" t="s">
        <v>142</v>
      </c>
      <c r="C20" s="599" t="s">
        <v>481</v>
      </c>
      <c r="D20" s="600" t="s">
        <v>299</v>
      </c>
      <c r="E20" s="600" t="s">
        <v>34</v>
      </c>
      <c r="F20" s="600">
        <v>0</v>
      </c>
      <c r="G20" s="600">
        <v>27</v>
      </c>
      <c r="H20" s="600">
        <v>0</v>
      </c>
      <c r="I20" s="600">
        <v>0</v>
      </c>
      <c r="J20" s="600">
        <v>0</v>
      </c>
      <c r="K20" s="600">
        <v>0</v>
      </c>
      <c r="L20" s="600">
        <v>0</v>
      </c>
      <c r="M20" s="600">
        <v>0</v>
      </c>
      <c r="N20" s="600">
        <v>0</v>
      </c>
      <c r="O20" s="600">
        <v>0</v>
      </c>
      <c r="P20" s="600">
        <v>0</v>
      </c>
      <c r="Q20" s="600">
        <v>0</v>
      </c>
      <c r="R20" s="600">
        <v>3</v>
      </c>
      <c r="S20" s="601">
        <v>6107</v>
      </c>
      <c r="T20" s="634" t="s">
        <v>722</v>
      </c>
      <c r="U20" s="603" t="s">
        <v>565</v>
      </c>
      <c r="V20" s="601" t="s">
        <v>202</v>
      </c>
      <c r="W20" s="601" t="s">
        <v>567</v>
      </c>
      <c r="X20" s="604" t="s">
        <v>790</v>
      </c>
      <c r="Y20" s="601">
        <v>1</v>
      </c>
      <c r="Z20" s="601">
        <v>0</v>
      </c>
      <c r="AA20" s="601">
        <v>0</v>
      </c>
      <c r="AB20" s="601">
        <v>1</v>
      </c>
      <c r="AC20" s="601">
        <v>1</v>
      </c>
      <c r="AD20" s="601">
        <v>0</v>
      </c>
      <c r="AE20" s="601">
        <v>0</v>
      </c>
      <c r="AF20" s="601">
        <v>1</v>
      </c>
      <c r="AG20" s="601">
        <v>0</v>
      </c>
      <c r="AH20" s="601">
        <v>0</v>
      </c>
      <c r="AI20" s="601">
        <v>0</v>
      </c>
      <c r="AJ20" s="603">
        <v>0</v>
      </c>
      <c r="AK20" s="601">
        <v>0</v>
      </c>
      <c r="AL20" s="601">
        <v>0</v>
      </c>
      <c r="AM20" s="601">
        <v>0</v>
      </c>
      <c r="AN20" s="603">
        <v>0</v>
      </c>
      <c r="AT20" s="392" t="s">
        <v>198</v>
      </c>
      <c r="AU20" s="379">
        <v>11</v>
      </c>
      <c r="AV20" s="379">
        <v>8</v>
      </c>
      <c r="AW20" s="379">
        <v>0</v>
      </c>
      <c r="AX20" s="379">
        <v>3</v>
      </c>
      <c r="AY20" s="381">
        <v>3</v>
      </c>
      <c r="AZ20" s="381">
        <v>3</v>
      </c>
      <c r="BA20" s="381">
        <v>0</v>
      </c>
      <c r="BB20" s="381">
        <v>0</v>
      </c>
      <c r="BC20" s="388">
        <v>2</v>
      </c>
      <c r="BD20" s="388">
        <v>1</v>
      </c>
      <c r="BE20" s="388">
        <v>0</v>
      </c>
      <c r="BF20" s="388">
        <v>1</v>
      </c>
      <c r="BG20" s="390">
        <f t="shared" ref="BG20" si="6">SUM(AU20+AY20+BC20)</f>
        <v>16</v>
      </c>
      <c r="BH20" s="390">
        <f t="shared" ref="BH20" si="7">SUM(AV20+AZ20+BD20)</f>
        <v>12</v>
      </c>
      <c r="BI20" s="390">
        <f t="shared" ref="BI20" si="8">SUM(AW20+BA20+BE20)</f>
        <v>0</v>
      </c>
      <c r="BJ20" s="390">
        <f t="shared" ref="BJ20" si="9">SUM(AX20+BB20+BF20)</f>
        <v>4</v>
      </c>
      <c r="BK20" s="392" t="s">
        <v>198</v>
      </c>
    </row>
    <row r="21" spans="1:63" ht="14.95" customHeight="1" thickBot="1" x14ac:dyDescent="0.3">
      <c r="A21" s="479" t="s">
        <v>293</v>
      </c>
      <c r="B21" s="461" t="s">
        <v>199</v>
      </c>
      <c r="C21" s="462" t="s">
        <v>23</v>
      </c>
      <c r="D21" s="463" t="s">
        <v>36</v>
      </c>
      <c r="E21" s="463" t="s">
        <v>32</v>
      </c>
      <c r="F21" s="463">
        <v>30</v>
      </c>
      <c r="G21" s="463">
        <v>26</v>
      </c>
      <c r="H21" s="463">
        <v>1</v>
      </c>
      <c r="I21" s="463">
        <v>0</v>
      </c>
      <c r="J21" s="463">
        <v>4</v>
      </c>
      <c r="K21" s="463">
        <v>2</v>
      </c>
      <c r="L21" s="463">
        <v>0</v>
      </c>
      <c r="M21" s="463">
        <v>2</v>
      </c>
      <c r="N21" s="463">
        <v>0</v>
      </c>
      <c r="O21" s="463">
        <v>0</v>
      </c>
      <c r="P21" s="463">
        <v>0</v>
      </c>
      <c r="Q21" s="463">
        <v>1</v>
      </c>
      <c r="R21" s="463">
        <v>2</v>
      </c>
      <c r="S21" s="483">
        <v>8846</v>
      </c>
      <c r="T21" s="465" t="s">
        <v>361</v>
      </c>
      <c r="U21" s="466" t="s">
        <v>396</v>
      </c>
      <c r="V21" s="464" t="s">
        <v>403</v>
      </c>
      <c r="W21" s="464" t="s">
        <v>308</v>
      </c>
      <c r="X21" s="467" t="s">
        <v>404</v>
      </c>
      <c r="Y21" s="464">
        <v>1</v>
      </c>
      <c r="Z21" s="464">
        <v>1</v>
      </c>
      <c r="AA21" s="464">
        <v>0</v>
      </c>
      <c r="AB21" s="464">
        <v>0</v>
      </c>
      <c r="AC21" s="464">
        <v>0</v>
      </c>
      <c r="AD21" s="464">
        <v>0</v>
      </c>
      <c r="AE21" s="464">
        <v>0</v>
      </c>
      <c r="AF21" s="464">
        <v>0</v>
      </c>
      <c r="AG21" s="464">
        <v>1</v>
      </c>
      <c r="AH21" s="464">
        <v>1</v>
      </c>
      <c r="AI21" s="464">
        <v>0</v>
      </c>
      <c r="AJ21" s="466">
        <v>0</v>
      </c>
      <c r="AK21" s="464">
        <v>0</v>
      </c>
      <c r="AL21" s="464">
        <v>0</v>
      </c>
      <c r="AM21" s="464">
        <v>0</v>
      </c>
      <c r="AN21" s="466">
        <v>0</v>
      </c>
      <c r="AT21" s="392" t="s">
        <v>220</v>
      </c>
      <c r="AU21" s="379">
        <v>11</v>
      </c>
      <c r="AV21" s="379">
        <v>5</v>
      </c>
      <c r="AW21" s="379">
        <v>0</v>
      </c>
      <c r="AX21" s="379">
        <v>6</v>
      </c>
      <c r="AY21" s="381">
        <v>3</v>
      </c>
      <c r="AZ21" s="381">
        <v>0</v>
      </c>
      <c r="BA21" s="381">
        <v>1</v>
      </c>
      <c r="BB21" s="381">
        <v>2</v>
      </c>
      <c r="BC21" s="388">
        <v>2</v>
      </c>
      <c r="BD21" s="388">
        <v>0</v>
      </c>
      <c r="BE21" s="388">
        <v>0</v>
      </c>
      <c r="BF21" s="388">
        <v>2</v>
      </c>
      <c r="BG21" s="390">
        <v>16</v>
      </c>
      <c r="BH21" s="390">
        <v>5</v>
      </c>
      <c r="BI21" s="390">
        <v>1</v>
      </c>
      <c r="BJ21" s="390">
        <v>10</v>
      </c>
      <c r="BK21" s="392" t="s">
        <v>220</v>
      </c>
    </row>
    <row r="22" spans="1:63" ht="14.95" customHeight="1" thickBot="1" x14ac:dyDescent="0.3">
      <c r="A22" s="479" t="s">
        <v>259</v>
      </c>
      <c r="B22" s="461" t="s">
        <v>199</v>
      </c>
      <c r="C22" s="462" t="s">
        <v>26</v>
      </c>
      <c r="D22" s="463" t="s">
        <v>36</v>
      </c>
      <c r="E22" s="463" t="s">
        <v>34</v>
      </c>
      <c r="F22" s="463">
        <v>9</v>
      </c>
      <c r="G22" s="463">
        <v>18</v>
      </c>
      <c r="H22" s="463">
        <v>0</v>
      </c>
      <c r="I22" s="463">
        <v>0</v>
      </c>
      <c r="J22" s="463">
        <v>0</v>
      </c>
      <c r="K22" s="463">
        <v>0</v>
      </c>
      <c r="L22" s="463">
        <v>0</v>
      </c>
      <c r="M22" s="463">
        <v>3</v>
      </c>
      <c r="N22" s="463">
        <v>0</v>
      </c>
      <c r="O22" s="463">
        <v>0</v>
      </c>
      <c r="P22" s="463">
        <v>0</v>
      </c>
      <c r="Q22" s="463">
        <v>0</v>
      </c>
      <c r="R22" s="463">
        <v>2</v>
      </c>
      <c r="S22" s="486">
        <v>23353</v>
      </c>
      <c r="T22" s="465" t="s">
        <v>794</v>
      </c>
      <c r="U22" s="466" t="s">
        <v>554</v>
      </c>
      <c r="V22" s="464" t="s">
        <v>348</v>
      </c>
      <c r="W22" s="464" t="s">
        <v>343</v>
      </c>
      <c r="X22" s="467" t="s">
        <v>328</v>
      </c>
      <c r="Y22" s="464">
        <v>1</v>
      </c>
      <c r="Z22" s="464">
        <v>0</v>
      </c>
      <c r="AA22" s="464">
        <v>0</v>
      </c>
      <c r="AB22" s="464">
        <v>1</v>
      </c>
      <c r="AC22" s="464">
        <v>0</v>
      </c>
      <c r="AD22" s="464">
        <v>0</v>
      </c>
      <c r="AE22" s="464">
        <v>0</v>
      </c>
      <c r="AF22" s="464">
        <v>0</v>
      </c>
      <c r="AG22" s="464">
        <v>1</v>
      </c>
      <c r="AH22" s="464">
        <v>0</v>
      </c>
      <c r="AI22" s="464">
        <v>0</v>
      </c>
      <c r="AJ22" s="466">
        <v>1</v>
      </c>
      <c r="AK22" s="464">
        <v>0</v>
      </c>
      <c r="AL22" s="464">
        <v>0</v>
      </c>
      <c r="AM22" s="464">
        <v>0</v>
      </c>
      <c r="AN22" s="466">
        <v>0</v>
      </c>
      <c r="AT22" s="91" t="s">
        <v>59</v>
      </c>
      <c r="AU22" s="385">
        <f t="shared" ref="AU22:BF22" si="10">SUM(AU17:AU21)</f>
        <v>52</v>
      </c>
      <c r="AV22" s="385">
        <f t="shared" si="10"/>
        <v>39</v>
      </c>
      <c r="AW22" s="385">
        <f t="shared" si="10"/>
        <v>0</v>
      </c>
      <c r="AX22" s="385">
        <f t="shared" si="10"/>
        <v>13</v>
      </c>
      <c r="AY22" s="386">
        <f t="shared" si="10"/>
        <v>14</v>
      </c>
      <c r="AZ22" s="386">
        <f t="shared" si="10"/>
        <v>9</v>
      </c>
      <c r="BA22" s="386">
        <f t="shared" si="10"/>
        <v>2</v>
      </c>
      <c r="BB22" s="386">
        <f t="shared" si="10"/>
        <v>3</v>
      </c>
      <c r="BC22" s="389">
        <f t="shared" si="10"/>
        <v>7</v>
      </c>
      <c r="BD22" s="389">
        <f t="shared" si="10"/>
        <v>2</v>
      </c>
      <c r="BE22" s="389">
        <f t="shared" si="10"/>
        <v>0</v>
      </c>
      <c r="BF22" s="389">
        <f t="shared" si="10"/>
        <v>5</v>
      </c>
      <c r="BG22" s="390">
        <f>SUM(AU22+AY22+BC22)</f>
        <v>73</v>
      </c>
      <c r="BH22" s="390">
        <f t="shared" ref="BH22:BJ22" si="11">SUM(AV22+AZ22+BD22)</f>
        <v>50</v>
      </c>
      <c r="BI22" s="390">
        <f t="shared" si="11"/>
        <v>2</v>
      </c>
      <c r="BJ22" s="390">
        <f t="shared" si="11"/>
        <v>21</v>
      </c>
      <c r="BK22" s="91" t="s">
        <v>59</v>
      </c>
    </row>
    <row r="23" spans="1:63" ht="14.95" customHeight="1" thickBot="1" x14ac:dyDescent="0.3">
      <c r="A23" s="468" t="s">
        <v>459</v>
      </c>
      <c r="B23" s="469" t="s">
        <v>199</v>
      </c>
      <c r="C23" s="470" t="s">
        <v>19</v>
      </c>
      <c r="D23" s="471" t="s">
        <v>299</v>
      </c>
      <c r="E23" s="471" t="s">
        <v>32</v>
      </c>
      <c r="F23" s="471">
        <v>60</v>
      </c>
      <c r="G23" s="471">
        <v>10</v>
      </c>
      <c r="H23" s="471">
        <v>1</v>
      </c>
      <c r="I23" s="471">
        <v>0</v>
      </c>
      <c r="J23" s="471">
        <v>8</v>
      </c>
      <c r="K23" s="471">
        <v>7</v>
      </c>
      <c r="L23" s="471">
        <v>0</v>
      </c>
      <c r="M23" s="471">
        <v>2</v>
      </c>
      <c r="N23" s="471">
        <v>0</v>
      </c>
      <c r="O23" s="471">
        <v>0</v>
      </c>
      <c r="P23" s="471">
        <v>0</v>
      </c>
      <c r="Q23" s="471">
        <v>0</v>
      </c>
      <c r="R23" s="471">
        <v>2</v>
      </c>
      <c r="S23" s="472">
        <v>11632</v>
      </c>
      <c r="T23" s="480" t="s">
        <v>802</v>
      </c>
      <c r="U23" s="478" t="s">
        <v>326</v>
      </c>
      <c r="V23" s="472" t="s">
        <v>509</v>
      </c>
      <c r="W23" s="472" t="s">
        <v>350</v>
      </c>
      <c r="X23" s="473" t="s">
        <v>317</v>
      </c>
      <c r="Y23" s="472">
        <v>1</v>
      </c>
      <c r="Z23" s="472">
        <v>1</v>
      </c>
      <c r="AA23" s="472">
        <v>0</v>
      </c>
      <c r="AB23" s="472">
        <v>0</v>
      </c>
      <c r="AC23" s="472">
        <v>1</v>
      </c>
      <c r="AD23" s="472">
        <v>1</v>
      </c>
      <c r="AE23" s="472">
        <v>0</v>
      </c>
      <c r="AF23" s="472">
        <v>0</v>
      </c>
      <c r="AG23" s="472">
        <v>0</v>
      </c>
      <c r="AH23" s="472">
        <v>0</v>
      </c>
      <c r="AI23" s="472">
        <v>0</v>
      </c>
      <c r="AJ23" s="478">
        <v>0</v>
      </c>
      <c r="AK23" s="472">
        <v>0</v>
      </c>
      <c r="AL23" s="472">
        <v>0</v>
      </c>
      <c r="AM23" s="472">
        <v>0</v>
      </c>
      <c r="AN23" s="478">
        <v>0</v>
      </c>
    </row>
    <row r="24" spans="1:63" ht="14.95" customHeight="1" thickBot="1" x14ac:dyDescent="0.3">
      <c r="A24" s="479" t="s">
        <v>497</v>
      </c>
      <c r="B24" s="461" t="s">
        <v>199</v>
      </c>
      <c r="C24" s="462" t="s">
        <v>11</v>
      </c>
      <c r="D24" s="463" t="s">
        <v>36</v>
      </c>
      <c r="E24" s="463" t="s">
        <v>32</v>
      </c>
      <c r="F24" s="463">
        <v>36</v>
      </c>
      <c r="G24" s="463">
        <v>26</v>
      </c>
      <c r="H24" s="463">
        <v>1</v>
      </c>
      <c r="I24" s="463">
        <v>0</v>
      </c>
      <c r="J24" s="463">
        <v>5</v>
      </c>
      <c r="K24" s="463">
        <v>4</v>
      </c>
      <c r="L24" s="463">
        <v>0</v>
      </c>
      <c r="M24" s="463">
        <v>1</v>
      </c>
      <c r="N24" s="463">
        <v>0</v>
      </c>
      <c r="O24" s="463">
        <v>0</v>
      </c>
      <c r="P24" s="463">
        <v>1</v>
      </c>
      <c r="Q24" s="463">
        <v>0</v>
      </c>
      <c r="R24" s="463">
        <v>4</v>
      </c>
      <c r="S24" s="464">
        <v>5447</v>
      </c>
      <c r="T24" s="465" t="s">
        <v>422</v>
      </c>
      <c r="U24" s="466" t="s">
        <v>463</v>
      </c>
      <c r="V24" s="464" t="s">
        <v>468</v>
      </c>
      <c r="W24" s="464" t="s">
        <v>395</v>
      </c>
      <c r="X24" s="467" t="s">
        <v>401</v>
      </c>
      <c r="Y24" s="464">
        <v>1</v>
      </c>
      <c r="Z24" s="464">
        <v>1</v>
      </c>
      <c r="AA24" s="464">
        <v>0</v>
      </c>
      <c r="AB24" s="464">
        <v>0</v>
      </c>
      <c r="AC24" s="464">
        <v>0</v>
      </c>
      <c r="AD24" s="464">
        <v>0</v>
      </c>
      <c r="AE24" s="464">
        <v>0</v>
      </c>
      <c r="AF24" s="464">
        <v>0</v>
      </c>
      <c r="AG24" s="464">
        <v>1</v>
      </c>
      <c r="AH24" s="464">
        <v>1</v>
      </c>
      <c r="AI24" s="464">
        <v>0</v>
      </c>
      <c r="AJ24" s="466">
        <v>0</v>
      </c>
      <c r="AK24" s="464">
        <v>0</v>
      </c>
      <c r="AL24" s="464">
        <v>0</v>
      </c>
      <c r="AM24" s="464">
        <v>0</v>
      </c>
      <c r="AN24" s="466">
        <v>0</v>
      </c>
      <c r="AT24" s="1011" t="s">
        <v>252</v>
      </c>
      <c r="AU24" s="1012"/>
    </row>
    <row r="25" spans="1:63" ht="14.95" customHeight="1" thickBot="1" x14ac:dyDescent="0.3">
      <c r="A25" s="468" t="s">
        <v>295</v>
      </c>
      <c r="B25" s="469" t="s">
        <v>199</v>
      </c>
      <c r="C25" s="470" t="s">
        <v>24</v>
      </c>
      <c r="D25" s="471" t="s">
        <v>299</v>
      </c>
      <c r="E25" s="471" t="s">
        <v>32</v>
      </c>
      <c r="F25" s="471">
        <v>39</v>
      </c>
      <c r="G25" s="471">
        <v>22</v>
      </c>
      <c r="H25" s="471">
        <v>1</v>
      </c>
      <c r="I25" s="471">
        <v>0</v>
      </c>
      <c r="J25" s="471">
        <v>5</v>
      </c>
      <c r="K25" s="471">
        <v>4</v>
      </c>
      <c r="L25" s="471">
        <v>1</v>
      </c>
      <c r="M25" s="471">
        <v>1</v>
      </c>
      <c r="N25" s="471">
        <v>1</v>
      </c>
      <c r="O25" s="471">
        <v>0</v>
      </c>
      <c r="P25" s="471">
        <v>1</v>
      </c>
      <c r="Q25" s="471">
        <v>0</v>
      </c>
      <c r="R25" s="471">
        <v>4</v>
      </c>
      <c r="S25" s="472">
        <v>9503</v>
      </c>
      <c r="T25" s="480" t="s">
        <v>822</v>
      </c>
      <c r="U25" s="478" t="s">
        <v>630</v>
      </c>
      <c r="V25" s="472" t="s">
        <v>348</v>
      </c>
      <c r="W25" s="472" t="s">
        <v>326</v>
      </c>
      <c r="X25" s="473" t="s">
        <v>401</v>
      </c>
      <c r="Y25" s="472">
        <v>1</v>
      </c>
      <c r="Z25" s="472">
        <v>1</v>
      </c>
      <c r="AA25" s="472">
        <v>0</v>
      </c>
      <c r="AB25" s="472">
        <v>0</v>
      </c>
      <c r="AC25" s="472">
        <v>1</v>
      </c>
      <c r="AD25" s="472">
        <v>1</v>
      </c>
      <c r="AE25" s="472">
        <v>0</v>
      </c>
      <c r="AF25" s="472">
        <v>0</v>
      </c>
      <c r="AG25" s="472">
        <v>0</v>
      </c>
      <c r="AH25" s="472">
        <v>0</v>
      </c>
      <c r="AI25" s="472">
        <v>0</v>
      </c>
      <c r="AJ25" s="478">
        <v>0</v>
      </c>
      <c r="AK25" s="472">
        <v>0</v>
      </c>
      <c r="AL25" s="472">
        <v>0</v>
      </c>
      <c r="AM25" s="472">
        <v>0</v>
      </c>
      <c r="AN25" s="478">
        <v>0</v>
      </c>
      <c r="AT25" t="s">
        <v>292</v>
      </c>
    </row>
    <row r="26" spans="1:63" ht="14.95" customHeight="1" thickBot="1" x14ac:dyDescent="0.3">
      <c r="A26" s="479" t="s">
        <v>830</v>
      </c>
      <c r="B26" s="461" t="s">
        <v>199</v>
      </c>
      <c r="C26" s="462" t="s">
        <v>25</v>
      </c>
      <c r="D26" s="463" t="s">
        <v>36</v>
      </c>
      <c r="E26" s="463" t="s">
        <v>32</v>
      </c>
      <c r="F26" s="463">
        <v>34</v>
      </c>
      <c r="G26" s="463">
        <v>21</v>
      </c>
      <c r="H26" s="463">
        <v>1</v>
      </c>
      <c r="I26" s="463">
        <v>0</v>
      </c>
      <c r="J26" s="463">
        <v>4</v>
      </c>
      <c r="K26" s="463">
        <v>4</v>
      </c>
      <c r="L26" s="463">
        <v>0</v>
      </c>
      <c r="M26" s="463">
        <v>2</v>
      </c>
      <c r="N26" s="463">
        <v>2</v>
      </c>
      <c r="O26" s="463">
        <v>0</v>
      </c>
      <c r="P26" s="463">
        <v>0</v>
      </c>
      <c r="Q26" s="463">
        <v>0</v>
      </c>
      <c r="R26" s="463">
        <v>2</v>
      </c>
      <c r="S26" s="464">
        <v>0</v>
      </c>
      <c r="T26" s="481" t="s">
        <v>881</v>
      </c>
      <c r="U26" s="466" t="s">
        <v>554</v>
      </c>
      <c r="V26" s="464" t="s">
        <v>634</v>
      </c>
      <c r="W26" s="464" t="s">
        <v>323</v>
      </c>
      <c r="X26" s="467" t="s">
        <v>395</v>
      </c>
      <c r="Y26" s="464">
        <v>1</v>
      </c>
      <c r="Z26" s="464">
        <v>1</v>
      </c>
      <c r="AA26" s="464">
        <v>0</v>
      </c>
      <c r="AB26" s="464">
        <v>0</v>
      </c>
      <c r="AC26" s="464">
        <v>0</v>
      </c>
      <c r="AD26" s="464">
        <v>0</v>
      </c>
      <c r="AE26" s="464">
        <v>0</v>
      </c>
      <c r="AF26" s="464">
        <v>0</v>
      </c>
      <c r="AG26" s="464">
        <v>1</v>
      </c>
      <c r="AH26" s="464">
        <v>1</v>
      </c>
      <c r="AI26" s="464">
        <v>0</v>
      </c>
      <c r="AJ26" s="466">
        <v>0</v>
      </c>
      <c r="AK26" s="464">
        <v>0</v>
      </c>
      <c r="AL26" s="464">
        <v>0</v>
      </c>
      <c r="AM26" s="464">
        <v>0</v>
      </c>
      <c r="AN26" s="466">
        <v>0</v>
      </c>
    </row>
    <row r="27" spans="1:63" ht="15.8" thickBot="1" x14ac:dyDescent="0.3">
      <c r="A27" s="468" t="s">
        <v>831</v>
      </c>
      <c r="B27" s="469" t="s">
        <v>199</v>
      </c>
      <c r="C27" s="470" t="s">
        <v>23</v>
      </c>
      <c r="D27" s="471" t="s">
        <v>299</v>
      </c>
      <c r="E27" s="471" t="s">
        <v>32</v>
      </c>
      <c r="F27" s="471">
        <v>32</v>
      </c>
      <c r="G27" s="471">
        <v>17</v>
      </c>
      <c r="H27" s="471">
        <v>1</v>
      </c>
      <c r="I27" s="471">
        <v>0</v>
      </c>
      <c r="J27" s="471">
        <v>4</v>
      </c>
      <c r="K27" s="471">
        <v>3</v>
      </c>
      <c r="L27" s="471">
        <v>0</v>
      </c>
      <c r="M27" s="471">
        <v>2</v>
      </c>
      <c r="N27" s="471">
        <v>0</v>
      </c>
      <c r="O27" s="471">
        <v>0</v>
      </c>
      <c r="P27" s="471">
        <v>0</v>
      </c>
      <c r="Q27" s="471">
        <v>0</v>
      </c>
      <c r="R27" s="471">
        <v>2</v>
      </c>
      <c r="S27" s="504">
        <v>0</v>
      </c>
      <c r="T27" s="498" t="s">
        <v>466</v>
      </c>
      <c r="U27" s="478" t="s">
        <v>396</v>
      </c>
      <c r="V27" s="472" t="s">
        <v>399</v>
      </c>
      <c r="W27" s="472" t="s">
        <v>308</v>
      </c>
      <c r="X27" s="473" t="s">
        <v>328</v>
      </c>
      <c r="Y27" s="472">
        <v>1</v>
      </c>
      <c r="Z27" s="472">
        <v>1</v>
      </c>
      <c r="AA27" s="472">
        <v>0</v>
      </c>
      <c r="AB27" s="472">
        <v>0</v>
      </c>
      <c r="AC27" s="472">
        <v>1</v>
      </c>
      <c r="AD27" s="472">
        <v>1</v>
      </c>
      <c r="AE27" s="472">
        <v>0</v>
      </c>
      <c r="AF27" s="472">
        <v>0</v>
      </c>
      <c r="AG27" s="472">
        <v>0</v>
      </c>
      <c r="AH27" s="472">
        <v>0</v>
      </c>
      <c r="AI27" s="472">
        <v>0</v>
      </c>
      <c r="AJ27" s="478">
        <v>0</v>
      </c>
      <c r="AK27" s="472">
        <v>0</v>
      </c>
      <c r="AL27" s="472">
        <v>0</v>
      </c>
      <c r="AM27" s="472">
        <v>0</v>
      </c>
      <c r="AN27" s="478">
        <v>0</v>
      </c>
    </row>
    <row r="28" spans="1:63" ht="15.8" thickBot="1" x14ac:dyDescent="0.3">
      <c r="A28" s="468" t="s">
        <v>833</v>
      </c>
      <c r="B28" s="469" t="s">
        <v>199</v>
      </c>
      <c r="C28" s="470" t="s">
        <v>27</v>
      </c>
      <c r="D28" s="471" t="s">
        <v>299</v>
      </c>
      <c r="E28" s="471" t="s">
        <v>34</v>
      </c>
      <c r="F28" s="471">
        <v>11</v>
      </c>
      <c r="G28" s="471">
        <v>20</v>
      </c>
      <c r="H28" s="471">
        <v>0</v>
      </c>
      <c r="I28" s="471">
        <v>0</v>
      </c>
      <c r="J28" s="471">
        <v>1</v>
      </c>
      <c r="K28" s="471">
        <v>0</v>
      </c>
      <c r="L28" s="471">
        <v>0</v>
      </c>
      <c r="M28" s="471">
        <v>2</v>
      </c>
      <c r="N28" s="471">
        <v>0</v>
      </c>
      <c r="O28" s="471">
        <v>0</v>
      </c>
      <c r="P28" s="471">
        <v>0</v>
      </c>
      <c r="Q28" s="471">
        <v>0</v>
      </c>
      <c r="R28" s="471">
        <v>1</v>
      </c>
      <c r="S28" s="472">
        <v>0</v>
      </c>
      <c r="T28" s="477" t="s">
        <v>507</v>
      </c>
      <c r="U28" s="478" t="s">
        <v>396</v>
      </c>
      <c r="V28" s="472" t="s">
        <v>509</v>
      </c>
      <c r="W28" s="472" t="s">
        <v>894</v>
      </c>
      <c r="X28" s="473" t="s">
        <v>346</v>
      </c>
      <c r="Y28" s="472">
        <v>1</v>
      </c>
      <c r="Z28" s="472">
        <v>0</v>
      </c>
      <c r="AA28" s="472">
        <v>0</v>
      </c>
      <c r="AB28" s="472">
        <v>1</v>
      </c>
      <c r="AC28" s="472">
        <v>1</v>
      </c>
      <c r="AD28" s="472">
        <v>0</v>
      </c>
      <c r="AE28" s="472">
        <v>0</v>
      </c>
      <c r="AF28" s="472">
        <v>1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63" ht="15.65" customHeight="1" thickBot="1" x14ac:dyDescent="0.3">
      <c r="A29" s="479" t="s">
        <v>842</v>
      </c>
      <c r="B29" s="461" t="s">
        <v>199</v>
      </c>
      <c r="C29" s="462" t="s">
        <v>274</v>
      </c>
      <c r="D29" s="463" t="s">
        <v>36</v>
      </c>
      <c r="E29" s="463" t="s">
        <v>32</v>
      </c>
      <c r="F29" s="463">
        <v>27</v>
      </c>
      <c r="G29" s="463">
        <v>23</v>
      </c>
      <c r="H29" s="463">
        <v>0</v>
      </c>
      <c r="I29" s="463">
        <v>0</v>
      </c>
      <c r="J29" s="463">
        <v>3</v>
      </c>
      <c r="K29" s="463">
        <v>2</v>
      </c>
      <c r="L29" s="463">
        <v>0</v>
      </c>
      <c r="M29" s="463">
        <v>2</v>
      </c>
      <c r="N29" s="463">
        <v>0</v>
      </c>
      <c r="O29" s="463">
        <v>0</v>
      </c>
      <c r="P29" s="463">
        <v>0</v>
      </c>
      <c r="Q29" s="463">
        <v>1</v>
      </c>
      <c r="R29" s="463">
        <v>2</v>
      </c>
      <c r="S29" s="464">
        <v>0</v>
      </c>
      <c r="T29" s="640" t="s">
        <v>618</v>
      </c>
      <c r="U29" s="466" t="s">
        <v>637</v>
      </c>
      <c r="V29" s="464" t="s">
        <v>632</v>
      </c>
      <c r="W29" s="464" t="s">
        <v>326</v>
      </c>
      <c r="X29" s="467" t="s">
        <v>345</v>
      </c>
      <c r="Y29" s="464">
        <v>1</v>
      </c>
      <c r="Z29" s="464">
        <v>1</v>
      </c>
      <c r="AA29" s="464">
        <v>0</v>
      </c>
      <c r="AB29" s="464">
        <v>0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1</v>
      </c>
      <c r="AI29" s="464">
        <v>0</v>
      </c>
      <c r="AJ29" s="466">
        <v>0</v>
      </c>
      <c r="AK29" s="464">
        <v>0</v>
      </c>
      <c r="AL29" s="464">
        <v>0</v>
      </c>
      <c r="AM29" s="464">
        <v>0</v>
      </c>
      <c r="AN29" s="466">
        <v>0</v>
      </c>
    </row>
    <row r="30" spans="1:63" ht="15.65" customHeight="1" thickBot="1" x14ac:dyDescent="0.3">
      <c r="A30" s="479" t="s">
        <v>856</v>
      </c>
      <c r="B30" s="461" t="s">
        <v>199</v>
      </c>
      <c r="C30" s="462" t="s">
        <v>19</v>
      </c>
      <c r="D30" s="463" t="s">
        <v>36</v>
      </c>
      <c r="E30" s="463" t="s">
        <v>32</v>
      </c>
      <c r="F30" s="463">
        <v>28</v>
      </c>
      <c r="G30" s="463">
        <v>18</v>
      </c>
      <c r="H30" s="463">
        <v>0</v>
      </c>
      <c r="I30" s="463">
        <v>0</v>
      </c>
      <c r="J30" s="463">
        <v>1</v>
      </c>
      <c r="K30" s="463">
        <v>1</v>
      </c>
      <c r="L30" s="463">
        <v>0</v>
      </c>
      <c r="M30" s="463">
        <v>7</v>
      </c>
      <c r="N30" s="463">
        <v>0</v>
      </c>
      <c r="O30" s="463">
        <v>0</v>
      </c>
      <c r="P30" s="463">
        <v>0</v>
      </c>
      <c r="Q30" s="463">
        <v>0</v>
      </c>
      <c r="R30" s="463">
        <v>2</v>
      </c>
      <c r="S30" s="486">
        <v>0</v>
      </c>
      <c r="T30" s="481" t="s">
        <v>387</v>
      </c>
      <c r="U30" s="466" t="s">
        <v>326</v>
      </c>
      <c r="V30" s="464" t="s">
        <v>352</v>
      </c>
      <c r="W30" s="464" t="s">
        <v>396</v>
      </c>
      <c r="X30" s="467" t="s">
        <v>308</v>
      </c>
      <c r="Y30" s="464">
        <v>1</v>
      </c>
      <c r="Z30" s="464">
        <v>1</v>
      </c>
      <c r="AA30" s="464">
        <v>0</v>
      </c>
      <c r="AB30" s="464">
        <v>0</v>
      </c>
      <c r="AC30" s="464">
        <v>0</v>
      </c>
      <c r="AD30" s="464">
        <v>0</v>
      </c>
      <c r="AE30" s="464">
        <v>0</v>
      </c>
      <c r="AF30" s="464">
        <v>0</v>
      </c>
      <c r="AG30" s="464">
        <v>0</v>
      </c>
      <c r="AH30" s="464">
        <v>1</v>
      </c>
      <c r="AI30" s="464">
        <v>1</v>
      </c>
      <c r="AJ30" s="466">
        <v>0</v>
      </c>
      <c r="AK30" s="464">
        <v>0</v>
      </c>
      <c r="AL30" s="464">
        <v>0</v>
      </c>
      <c r="AM30" s="464">
        <v>0</v>
      </c>
      <c r="AN30" s="466">
        <v>0</v>
      </c>
    </row>
    <row r="31" spans="1:63" ht="15.65" customHeight="1" thickBot="1" x14ac:dyDescent="0.3">
      <c r="A31" s="496" t="s">
        <v>861</v>
      </c>
      <c r="B31" s="496" t="s">
        <v>199</v>
      </c>
      <c r="C31" s="476" t="s">
        <v>26</v>
      </c>
      <c r="D31" s="501" t="s">
        <v>299</v>
      </c>
      <c r="E31" s="501" t="s">
        <v>32</v>
      </c>
      <c r="F31" s="471">
        <v>54</v>
      </c>
      <c r="G31" s="501">
        <v>7</v>
      </c>
      <c r="H31" s="471">
        <v>1</v>
      </c>
      <c r="I31" s="471">
        <v>0</v>
      </c>
      <c r="J31" s="471">
        <v>8</v>
      </c>
      <c r="K31" s="471">
        <v>7</v>
      </c>
      <c r="L31" s="471">
        <v>0</v>
      </c>
      <c r="M31" s="471">
        <v>0</v>
      </c>
      <c r="N31" s="471">
        <v>0</v>
      </c>
      <c r="O31" s="471">
        <v>0</v>
      </c>
      <c r="P31" s="471">
        <v>0</v>
      </c>
      <c r="Q31" s="471">
        <v>0</v>
      </c>
      <c r="R31" s="471">
        <v>1</v>
      </c>
      <c r="S31" s="472">
        <v>0</v>
      </c>
      <c r="T31" s="508" t="s">
        <v>884</v>
      </c>
      <c r="U31" s="472" t="s">
        <v>554</v>
      </c>
      <c r="V31" s="472" t="s">
        <v>509</v>
      </c>
      <c r="W31" s="472" t="s">
        <v>318</v>
      </c>
      <c r="X31" s="472" t="s">
        <v>395</v>
      </c>
      <c r="Y31" s="472">
        <v>1</v>
      </c>
      <c r="Z31" s="472">
        <v>1</v>
      </c>
      <c r="AA31" s="472">
        <v>0</v>
      </c>
      <c r="AB31" s="472">
        <v>0</v>
      </c>
      <c r="AC31" s="472">
        <v>1</v>
      </c>
      <c r="AD31" s="472">
        <v>1</v>
      </c>
      <c r="AE31" s="472">
        <v>0</v>
      </c>
      <c r="AF31" s="472">
        <v>0</v>
      </c>
      <c r="AG31" s="472">
        <v>0</v>
      </c>
      <c r="AH31" s="472">
        <v>0</v>
      </c>
      <c r="AI31" s="472">
        <v>0</v>
      </c>
      <c r="AJ31" s="478">
        <v>0</v>
      </c>
      <c r="AK31" s="472">
        <v>0</v>
      </c>
      <c r="AL31" s="472">
        <v>0</v>
      </c>
      <c r="AM31" s="472">
        <v>0</v>
      </c>
      <c r="AN31" s="478">
        <v>0</v>
      </c>
    </row>
    <row r="32" spans="1:63" ht="15.65" customHeight="1" thickBot="1" x14ac:dyDescent="0.3">
      <c r="A32" s="496" t="s">
        <v>864</v>
      </c>
      <c r="B32" s="496" t="s">
        <v>199</v>
      </c>
      <c r="C32" s="476" t="s">
        <v>165</v>
      </c>
      <c r="D32" s="501" t="s">
        <v>299</v>
      </c>
      <c r="E32" s="471" t="s">
        <v>32</v>
      </c>
      <c r="F32" s="471">
        <v>59</v>
      </c>
      <c r="G32" s="471">
        <v>35</v>
      </c>
      <c r="H32" s="471">
        <v>1</v>
      </c>
      <c r="I32" s="471">
        <v>0</v>
      </c>
      <c r="J32" s="471">
        <v>9</v>
      </c>
      <c r="K32" s="471">
        <v>6</v>
      </c>
      <c r="L32" s="471">
        <v>0</v>
      </c>
      <c r="M32" s="471">
        <v>0</v>
      </c>
      <c r="N32" s="471">
        <v>1</v>
      </c>
      <c r="O32" s="471">
        <v>0</v>
      </c>
      <c r="P32" s="471">
        <v>1</v>
      </c>
      <c r="Q32" s="471">
        <v>0</v>
      </c>
      <c r="R32" s="471">
        <v>5</v>
      </c>
      <c r="S32" s="472">
        <v>0</v>
      </c>
      <c r="T32" s="480" t="s">
        <v>935</v>
      </c>
      <c r="U32" s="472" t="s">
        <v>630</v>
      </c>
      <c r="V32" s="472" t="s">
        <v>634</v>
      </c>
      <c r="W32" s="472" t="s">
        <v>326</v>
      </c>
      <c r="X32" s="472" t="s">
        <v>319</v>
      </c>
      <c r="Y32" s="472">
        <v>1</v>
      </c>
      <c r="Z32" s="472">
        <v>1</v>
      </c>
      <c r="AA32" s="472">
        <v>0</v>
      </c>
      <c r="AB32" s="472">
        <v>0</v>
      </c>
      <c r="AC32" s="472">
        <v>1</v>
      </c>
      <c r="AD32" s="472">
        <v>1</v>
      </c>
      <c r="AE32" s="472">
        <v>0</v>
      </c>
      <c r="AF32" s="472">
        <v>0</v>
      </c>
      <c r="AG32" s="472">
        <v>0</v>
      </c>
      <c r="AH32" s="472">
        <v>0</v>
      </c>
      <c r="AI32" s="472">
        <v>0</v>
      </c>
      <c r="AJ32" s="478">
        <v>0</v>
      </c>
      <c r="AK32" s="472">
        <v>0</v>
      </c>
      <c r="AL32" s="472">
        <v>0</v>
      </c>
      <c r="AM32" s="472">
        <v>0</v>
      </c>
      <c r="AN32" s="478">
        <v>0</v>
      </c>
    </row>
    <row r="33" spans="1:40" ht="15.65" customHeight="1" thickBot="1" x14ac:dyDescent="0.3">
      <c r="A33" s="474" t="s">
        <v>232</v>
      </c>
      <c r="B33" s="474" t="s">
        <v>199</v>
      </c>
      <c r="C33" s="487" t="s">
        <v>9</v>
      </c>
      <c r="D33" s="488" t="s">
        <v>36</v>
      </c>
      <c r="E33" s="475" t="s">
        <v>32</v>
      </c>
      <c r="F33" s="463">
        <v>32</v>
      </c>
      <c r="G33" s="463">
        <v>23</v>
      </c>
      <c r="H33" s="463">
        <v>1</v>
      </c>
      <c r="I33" s="463">
        <v>0</v>
      </c>
      <c r="J33" s="463">
        <v>4</v>
      </c>
      <c r="K33" s="463">
        <v>3</v>
      </c>
      <c r="L33" s="463">
        <v>0</v>
      </c>
      <c r="M33" s="463">
        <v>2</v>
      </c>
      <c r="N33" s="463">
        <v>0</v>
      </c>
      <c r="O33" s="463">
        <v>0</v>
      </c>
      <c r="P33" s="463">
        <v>0</v>
      </c>
      <c r="Q33" s="463">
        <v>0</v>
      </c>
      <c r="R33" s="463">
        <v>3</v>
      </c>
      <c r="S33" s="464">
        <v>0</v>
      </c>
      <c r="T33" s="485" t="s">
        <v>375</v>
      </c>
      <c r="U33" s="464" t="s">
        <v>633</v>
      </c>
      <c r="V33" s="464" t="s">
        <v>550</v>
      </c>
      <c r="W33" s="464" t="s">
        <v>343</v>
      </c>
      <c r="X33" s="464" t="s">
        <v>328</v>
      </c>
      <c r="Y33" s="464">
        <v>1</v>
      </c>
      <c r="Z33" s="464">
        <v>1</v>
      </c>
      <c r="AA33" s="464">
        <v>0</v>
      </c>
      <c r="AB33" s="464">
        <v>0</v>
      </c>
      <c r="AC33" s="464">
        <v>0</v>
      </c>
      <c r="AD33" s="464">
        <v>0</v>
      </c>
      <c r="AE33" s="464">
        <v>0</v>
      </c>
      <c r="AF33" s="464">
        <v>0</v>
      </c>
      <c r="AG33" s="464">
        <v>1</v>
      </c>
      <c r="AH33" s="464">
        <v>1</v>
      </c>
      <c r="AI33" s="464">
        <v>0</v>
      </c>
      <c r="AJ33" s="466">
        <v>0</v>
      </c>
      <c r="AK33" s="464">
        <v>0</v>
      </c>
      <c r="AL33" s="464">
        <v>0</v>
      </c>
      <c r="AM33" s="464">
        <v>0</v>
      </c>
      <c r="AN33" s="466">
        <v>0</v>
      </c>
    </row>
    <row r="34" spans="1:40" ht="15.65" customHeight="1" thickBot="1" x14ac:dyDescent="0.35">
      <c r="A34" s="496" t="s">
        <v>357</v>
      </c>
      <c r="B34" s="496" t="s">
        <v>199</v>
      </c>
      <c r="C34" s="476" t="s">
        <v>28</v>
      </c>
      <c r="D34" s="501" t="s">
        <v>299</v>
      </c>
      <c r="E34" s="497" t="s">
        <v>32</v>
      </c>
      <c r="F34" s="471">
        <v>46</v>
      </c>
      <c r="G34" s="471">
        <v>5</v>
      </c>
      <c r="H34" s="471">
        <v>1</v>
      </c>
      <c r="I34" s="471">
        <v>0</v>
      </c>
      <c r="J34" s="471">
        <v>6</v>
      </c>
      <c r="K34" s="471">
        <v>5</v>
      </c>
      <c r="L34" s="471">
        <v>0</v>
      </c>
      <c r="M34" s="471">
        <v>2</v>
      </c>
      <c r="N34" s="471">
        <v>0</v>
      </c>
      <c r="O34" s="471">
        <v>0</v>
      </c>
      <c r="P34" s="471">
        <v>0</v>
      </c>
      <c r="Q34" s="471">
        <v>0</v>
      </c>
      <c r="R34" s="471">
        <v>1</v>
      </c>
      <c r="S34" s="472">
        <v>0</v>
      </c>
      <c r="T34" s="480" t="s">
        <v>1003</v>
      </c>
      <c r="U34" s="472" t="s">
        <v>463</v>
      </c>
      <c r="V34" s="472" t="s">
        <v>348</v>
      </c>
      <c r="W34" s="472" t="s">
        <v>395</v>
      </c>
      <c r="X34" s="472" t="s">
        <v>346</v>
      </c>
      <c r="Y34" s="472">
        <v>1</v>
      </c>
      <c r="Z34" s="472">
        <v>1</v>
      </c>
      <c r="AA34" s="472">
        <v>0</v>
      </c>
      <c r="AB34" s="472">
        <v>0</v>
      </c>
      <c r="AC34" s="472">
        <v>1</v>
      </c>
      <c r="AD34" s="472">
        <v>1</v>
      </c>
      <c r="AE34" s="472">
        <v>0</v>
      </c>
      <c r="AF34" s="472">
        <v>0</v>
      </c>
      <c r="AG34" s="472">
        <v>0</v>
      </c>
      <c r="AH34" s="472">
        <v>0</v>
      </c>
      <c r="AI34" s="472">
        <v>0</v>
      </c>
      <c r="AJ34" s="478">
        <v>0</v>
      </c>
      <c r="AK34" s="472">
        <v>0</v>
      </c>
      <c r="AL34" s="472">
        <v>0</v>
      </c>
      <c r="AM34" s="472">
        <v>0</v>
      </c>
      <c r="AN34" s="478">
        <v>0</v>
      </c>
    </row>
    <row r="35" spans="1:40" ht="15.65" customHeight="1" thickBot="1" x14ac:dyDescent="0.35">
      <c r="A35" s="496" t="s">
        <v>872</v>
      </c>
      <c r="B35" s="496" t="s">
        <v>200</v>
      </c>
      <c r="C35" s="476" t="s">
        <v>165</v>
      </c>
      <c r="D35" s="501" t="s">
        <v>299</v>
      </c>
      <c r="E35" s="497" t="s">
        <v>32</v>
      </c>
      <c r="F35" s="471">
        <v>47</v>
      </c>
      <c r="G35" s="471">
        <v>24</v>
      </c>
      <c r="H35" s="471" t="s">
        <v>77</v>
      </c>
      <c r="I35" s="471" t="s">
        <v>77</v>
      </c>
      <c r="J35" s="471">
        <v>5</v>
      </c>
      <c r="K35" s="471">
        <v>5</v>
      </c>
      <c r="L35" s="471">
        <v>0</v>
      </c>
      <c r="M35" s="471">
        <v>4</v>
      </c>
      <c r="N35" s="471">
        <v>0</v>
      </c>
      <c r="O35" s="471">
        <v>0</v>
      </c>
      <c r="P35" s="471" t="s">
        <v>77</v>
      </c>
      <c r="Q35" s="471" t="s">
        <v>77</v>
      </c>
      <c r="R35" s="471">
        <v>4</v>
      </c>
      <c r="S35" s="472">
        <v>0</v>
      </c>
      <c r="T35" s="480" t="s">
        <v>1023</v>
      </c>
      <c r="U35" s="472" t="s">
        <v>550</v>
      </c>
      <c r="V35" s="472" t="s">
        <v>463</v>
      </c>
      <c r="W35" s="472" t="s">
        <v>554</v>
      </c>
      <c r="X35" s="472" t="s">
        <v>318</v>
      </c>
      <c r="Y35" s="472">
        <v>1</v>
      </c>
      <c r="Z35" s="472">
        <v>1</v>
      </c>
      <c r="AA35" s="472">
        <v>0</v>
      </c>
      <c r="AB35" s="472">
        <v>0</v>
      </c>
      <c r="AC35" s="472">
        <v>1</v>
      </c>
      <c r="AD35" s="472">
        <v>1</v>
      </c>
      <c r="AE35" s="472">
        <v>0</v>
      </c>
      <c r="AF35" s="472">
        <v>0</v>
      </c>
      <c r="AG35" s="472">
        <v>0</v>
      </c>
      <c r="AH35" s="472">
        <v>0</v>
      </c>
      <c r="AI35" s="472">
        <v>0</v>
      </c>
      <c r="AJ35" s="478">
        <v>0</v>
      </c>
      <c r="AK35" s="472">
        <v>0</v>
      </c>
      <c r="AL35" s="472">
        <v>0</v>
      </c>
      <c r="AM35" s="472">
        <v>0</v>
      </c>
      <c r="AN35" s="478">
        <v>0</v>
      </c>
    </row>
    <row r="36" spans="1:40" ht="15.65" customHeight="1" thickBot="1" x14ac:dyDescent="0.3">
      <c r="A36" s="489" t="s">
        <v>849</v>
      </c>
      <c r="B36" s="489" t="s">
        <v>201</v>
      </c>
      <c r="C36" s="490" t="s">
        <v>28</v>
      </c>
      <c r="D36" s="491" t="s">
        <v>1022</v>
      </c>
      <c r="E36" s="492" t="s">
        <v>34</v>
      </c>
      <c r="F36" s="493">
        <v>13</v>
      </c>
      <c r="G36" s="493">
        <v>19</v>
      </c>
      <c r="H36" s="493" t="s">
        <v>77</v>
      </c>
      <c r="I36" s="493" t="s">
        <v>77</v>
      </c>
      <c r="J36" s="493">
        <v>1</v>
      </c>
      <c r="K36" s="493">
        <v>1</v>
      </c>
      <c r="L36" s="493">
        <v>0</v>
      </c>
      <c r="M36" s="493">
        <v>2</v>
      </c>
      <c r="N36" s="493">
        <v>0</v>
      </c>
      <c r="O36" s="493">
        <v>0</v>
      </c>
      <c r="P36" s="493" t="s">
        <v>77</v>
      </c>
      <c r="Q36" s="493" t="s">
        <v>77</v>
      </c>
      <c r="R36" s="493">
        <v>1</v>
      </c>
      <c r="S36" s="494">
        <v>0</v>
      </c>
      <c r="T36" s="907" t="s">
        <v>543</v>
      </c>
      <c r="U36" s="494" t="s">
        <v>396</v>
      </c>
      <c r="V36" s="494" t="s">
        <v>632</v>
      </c>
      <c r="W36" s="494" t="s">
        <v>343</v>
      </c>
      <c r="X36" s="494" t="s">
        <v>316</v>
      </c>
      <c r="Y36" s="494">
        <v>1</v>
      </c>
      <c r="Z36" s="494">
        <v>0</v>
      </c>
      <c r="AA36" s="494">
        <v>0</v>
      </c>
      <c r="AB36" s="494">
        <v>1</v>
      </c>
      <c r="AC36" s="494">
        <v>0</v>
      </c>
      <c r="AD36" s="494">
        <v>0</v>
      </c>
      <c r="AE36" s="494">
        <v>0</v>
      </c>
      <c r="AF36" s="494">
        <v>0</v>
      </c>
      <c r="AG36" s="494">
        <v>0</v>
      </c>
      <c r="AH36" s="494">
        <v>0</v>
      </c>
      <c r="AI36" s="494">
        <v>0</v>
      </c>
      <c r="AJ36" s="495">
        <v>0</v>
      </c>
      <c r="AK36" s="494">
        <v>0</v>
      </c>
      <c r="AL36" s="494">
        <v>0</v>
      </c>
      <c r="AM36" s="494">
        <v>0</v>
      </c>
      <c r="AN36" s="495">
        <v>0</v>
      </c>
    </row>
    <row r="37" spans="1:40" ht="14.95" customHeight="1" thickBot="1" x14ac:dyDescent="0.3">
      <c r="A37" s="505"/>
      <c r="B37" s="506"/>
      <c r="C37" s="1022" t="s">
        <v>105</v>
      </c>
      <c r="D37" s="1023"/>
      <c r="E37" s="1024"/>
      <c r="F37" s="743">
        <f t="shared" ref="F37:R37" si="12">SUM(F7+F8+F9+F10+F13+F16+F17+F18+F21+F22+F23+F24+F25+F26+F27+F28+F29+F30+F31+F32+F33+F34)</f>
        <v>662</v>
      </c>
      <c r="G37" s="743">
        <f t="shared" si="12"/>
        <v>497</v>
      </c>
      <c r="H37" s="743">
        <f t="shared" si="12"/>
        <v>12</v>
      </c>
      <c r="I37" s="743">
        <f t="shared" si="12"/>
        <v>3</v>
      </c>
      <c r="J37" s="743">
        <f t="shared" si="12"/>
        <v>81</v>
      </c>
      <c r="K37" s="743">
        <f t="shared" si="12"/>
        <v>61</v>
      </c>
      <c r="L37" s="743">
        <f t="shared" si="12"/>
        <v>1</v>
      </c>
      <c r="M37" s="743">
        <f t="shared" si="12"/>
        <v>42</v>
      </c>
      <c r="N37" s="743">
        <f t="shared" si="12"/>
        <v>6</v>
      </c>
      <c r="O37" s="743">
        <f t="shared" si="12"/>
        <v>1</v>
      </c>
      <c r="P37" s="743">
        <f t="shared" si="12"/>
        <v>7</v>
      </c>
      <c r="Q37" s="743">
        <f t="shared" si="12"/>
        <v>2</v>
      </c>
      <c r="R37" s="743">
        <f t="shared" si="12"/>
        <v>58</v>
      </c>
      <c r="S37" s="739"/>
      <c r="T37" s="739"/>
      <c r="U37" s="739"/>
      <c r="V37" s="740"/>
      <c r="W37" s="740"/>
      <c r="X37" s="890" t="s">
        <v>105</v>
      </c>
      <c r="Y37" s="743">
        <f t="shared" ref="Y37:AN37" si="13">SUM(Y7+Y8+Y9+Y10+Y13+Y16+Y17+Y18+Y21+Y22+Y23+Y24+Y25+Y26+Y27+Y28+Y29+Y30+Y31+Y32+Y33+Y34)</f>
        <v>22</v>
      </c>
      <c r="Z37" s="743">
        <f t="shared" si="13"/>
        <v>14</v>
      </c>
      <c r="AA37" s="743">
        <f t="shared" si="13"/>
        <v>0</v>
      </c>
      <c r="AB37" s="743">
        <f t="shared" si="13"/>
        <v>8</v>
      </c>
      <c r="AC37" s="741">
        <f>SUM(AC7+AC9+AC16+AC18+AC23+AC25+AC27+AC28+AC31+AC32+AC34)</f>
        <v>11</v>
      </c>
      <c r="AD37" s="741">
        <f t="shared" ref="AD37:AF37" si="14">SUM(AD7+AD9+AD16+AD18+AD23+AD25+AD27+AD28+AD31+AD32+AD34)</f>
        <v>7</v>
      </c>
      <c r="AE37" s="741">
        <f t="shared" si="14"/>
        <v>0</v>
      </c>
      <c r="AF37" s="741">
        <f t="shared" si="14"/>
        <v>4</v>
      </c>
      <c r="AG37" s="742">
        <f t="shared" si="13"/>
        <v>10</v>
      </c>
      <c r="AH37" s="742">
        <f t="shared" si="13"/>
        <v>7</v>
      </c>
      <c r="AI37" s="742">
        <f t="shared" si="13"/>
        <v>1</v>
      </c>
      <c r="AJ37" s="742">
        <f t="shared" si="13"/>
        <v>4</v>
      </c>
      <c r="AK37" s="743">
        <f t="shared" si="13"/>
        <v>0</v>
      </c>
      <c r="AL37" s="743">
        <f t="shared" si="13"/>
        <v>0</v>
      </c>
      <c r="AM37" s="743">
        <f t="shared" si="13"/>
        <v>0</v>
      </c>
      <c r="AN37" s="491">
        <f t="shared" si="13"/>
        <v>0</v>
      </c>
    </row>
    <row r="38" spans="1:40" ht="14.95" customHeight="1" thickBot="1" x14ac:dyDescent="0.3">
      <c r="A38" s="499"/>
      <c r="B38" s="499"/>
      <c r="C38" s="1022" t="s">
        <v>197</v>
      </c>
      <c r="D38" s="1023"/>
      <c r="E38" s="1024"/>
      <c r="F38" s="743">
        <f>SUM(F35+F36)</f>
        <v>60</v>
      </c>
      <c r="G38" s="743">
        <f t="shared" ref="G38:R38" si="15">SUM(G35+G36)</f>
        <v>43</v>
      </c>
      <c r="H38" s="889" t="s">
        <v>77</v>
      </c>
      <c r="I38" s="889" t="s">
        <v>77</v>
      </c>
      <c r="J38" s="743">
        <f t="shared" si="15"/>
        <v>6</v>
      </c>
      <c r="K38" s="743">
        <f t="shared" si="15"/>
        <v>6</v>
      </c>
      <c r="L38" s="743">
        <f t="shared" si="15"/>
        <v>0</v>
      </c>
      <c r="M38" s="743">
        <f t="shared" si="15"/>
        <v>6</v>
      </c>
      <c r="N38" s="743">
        <f t="shared" si="15"/>
        <v>0</v>
      </c>
      <c r="O38" s="743">
        <f t="shared" si="15"/>
        <v>0</v>
      </c>
      <c r="P38" s="889" t="s">
        <v>77</v>
      </c>
      <c r="Q38" s="889" t="s">
        <v>77</v>
      </c>
      <c r="R38" s="743">
        <f t="shared" si="15"/>
        <v>5</v>
      </c>
      <c r="S38" s="739"/>
      <c r="T38" s="739"/>
      <c r="U38" s="739"/>
      <c r="V38" s="739"/>
      <c r="W38" s="740"/>
      <c r="X38" s="890" t="s">
        <v>197</v>
      </c>
      <c r="Y38" s="743">
        <f t="shared" ref="Y38:AN38" si="16">SUM(Y35+Y36)</f>
        <v>2</v>
      </c>
      <c r="Z38" s="743">
        <f t="shared" si="16"/>
        <v>1</v>
      </c>
      <c r="AA38" s="743">
        <f t="shared" si="16"/>
        <v>0</v>
      </c>
      <c r="AB38" s="743">
        <f t="shared" si="16"/>
        <v>1</v>
      </c>
      <c r="AC38" s="741">
        <f t="shared" si="16"/>
        <v>1</v>
      </c>
      <c r="AD38" s="741">
        <f t="shared" si="16"/>
        <v>1</v>
      </c>
      <c r="AE38" s="741">
        <f t="shared" si="16"/>
        <v>0</v>
      </c>
      <c r="AF38" s="741">
        <f t="shared" si="16"/>
        <v>0</v>
      </c>
      <c r="AG38" s="744">
        <f t="shared" si="16"/>
        <v>0</v>
      </c>
      <c r="AH38" s="744">
        <f t="shared" si="16"/>
        <v>0</v>
      </c>
      <c r="AI38" s="744">
        <f t="shared" si="16"/>
        <v>0</v>
      </c>
      <c r="AJ38" s="744">
        <f t="shared" si="16"/>
        <v>0</v>
      </c>
      <c r="AK38" s="743">
        <f t="shared" si="16"/>
        <v>0</v>
      </c>
      <c r="AL38" s="743">
        <f t="shared" si="16"/>
        <v>0</v>
      </c>
      <c r="AM38" s="743">
        <f t="shared" si="16"/>
        <v>0</v>
      </c>
      <c r="AN38" s="491">
        <f t="shared" si="16"/>
        <v>0</v>
      </c>
    </row>
    <row r="39" spans="1:40" ht="14.95" customHeight="1" thickBot="1" x14ac:dyDescent="0.3">
      <c r="A39" s="499"/>
      <c r="B39" s="499"/>
      <c r="C39" s="1022" t="s">
        <v>219</v>
      </c>
      <c r="D39" s="1023"/>
      <c r="E39" s="1024"/>
      <c r="F39" s="743">
        <f>SUM(F37+F38)</f>
        <v>722</v>
      </c>
      <c r="G39" s="743">
        <f t="shared" ref="G39:R39" si="17">SUM(G37+G38)</f>
        <v>540</v>
      </c>
      <c r="H39" s="743">
        <f>H37</f>
        <v>12</v>
      </c>
      <c r="I39" s="743">
        <f>I37</f>
        <v>3</v>
      </c>
      <c r="J39" s="743">
        <f t="shared" si="17"/>
        <v>87</v>
      </c>
      <c r="K39" s="743">
        <f t="shared" si="17"/>
        <v>67</v>
      </c>
      <c r="L39" s="743">
        <f t="shared" si="17"/>
        <v>1</v>
      </c>
      <c r="M39" s="743">
        <f t="shared" si="17"/>
        <v>48</v>
      </c>
      <c r="N39" s="743">
        <f t="shared" si="17"/>
        <v>6</v>
      </c>
      <c r="O39" s="743">
        <f t="shared" si="17"/>
        <v>1</v>
      </c>
      <c r="P39" s="743">
        <f t="shared" ref="P39:Q39" si="18">P37</f>
        <v>7</v>
      </c>
      <c r="Q39" s="743">
        <f t="shared" si="18"/>
        <v>2</v>
      </c>
      <c r="R39" s="743">
        <f t="shared" si="17"/>
        <v>63</v>
      </c>
      <c r="S39" s="739"/>
      <c r="T39" s="739"/>
      <c r="U39" s="739"/>
      <c r="V39" s="739"/>
      <c r="W39" s="740"/>
      <c r="X39" s="890" t="s">
        <v>219</v>
      </c>
      <c r="Y39" s="743">
        <f t="shared" ref="Y39:AN39" si="19">SUM(Y37+Y38)</f>
        <v>24</v>
      </c>
      <c r="Z39" s="743">
        <f t="shared" si="19"/>
        <v>15</v>
      </c>
      <c r="AA39" s="743">
        <f t="shared" si="19"/>
        <v>0</v>
      </c>
      <c r="AB39" s="743">
        <f t="shared" si="19"/>
        <v>9</v>
      </c>
      <c r="AC39" s="741">
        <f t="shared" si="19"/>
        <v>12</v>
      </c>
      <c r="AD39" s="741">
        <f t="shared" si="19"/>
        <v>8</v>
      </c>
      <c r="AE39" s="741">
        <f t="shared" si="19"/>
        <v>0</v>
      </c>
      <c r="AF39" s="741">
        <f t="shared" si="19"/>
        <v>4</v>
      </c>
      <c r="AG39" s="742">
        <f t="shared" si="19"/>
        <v>10</v>
      </c>
      <c r="AH39" s="742">
        <f t="shared" si="19"/>
        <v>7</v>
      </c>
      <c r="AI39" s="742">
        <f t="shared" si="19"/>
        <v>1</v>
      </c>
      <c r="AJ39" s="742">
        <f t="shared" si="19"/>
        <v>4</v>
      </c>
      <c r="AK39" s="743">
        <f t="shared" si="19"/>
        <v>0</v>
      </c>
      <c r="AL39" s="743">
        <f t="shared" si="19"/>
        <v>0</v>
      </c>
      <c r="AM39" s="743">
        <f t="shared" si="19"/>
        <v>0</v>
      </c>
      <c r="AN39" s="491">
        <f t="shared" si="19"/>
        <v>0</v>
      </c>
    </row>
    <row r="40" spans="1:40" ht="14.95" customHeight="1" thickBot="1" x14ac:dyDescent="0.3">
      <c r="A40" s="100"/>
      <c r="C40" s="1025" t="s">
        <v>261</v>
      </c>
      <c r="D40" s="1026"/>
      <c r="E40" s="1027"/>
      <c r="F40" s="419">
        <f t="shared" ref="F40:R40" si="20">SUM(F11+F12+F14+F15+F19+F20)</f>
        <v>141</v>
      </c>
      <c r="G40" s="419">
        <f t="shared" si="20"/>
        <v>145</v>
      </c>
      <c r="H40" s="419">
        <f t="shared" si="20"/>
        <v>2</v>
      </c>
      <c r="I40" s="419">
        <f t="shared" si="20"/>
        <v>1</v>
      </c>
      <c r="J40" s="419">
        <f t="shared" si="20"/>
        <v>18</v>
      </c>
      <c r="K40" s="419">
        <f t="shared" si="20"/>
        <v>15</v>
      </c>
      <c r="L40" s="419">
        <f t="shared" si="20"/>
        <v>0</v>
      </c>
      <c r="M40" s="419">
        <f t="shared" si="20"/>
        <v>7</v>
      </c>
      <c r="N40" s="419">
        <f t="shared" si="20"/>
        <v>4</v>
      </c>
      <c r="O40" s="419">
        <f t="shared" si="20"/>
        <v>0</v>
      </c>
      <c r="P40" s="419">
        <f t="shared" si="20"/>
        <v>2</v>
      </c>
      <c r="Q40" s="419">
        <f t="shared" si="20"/>
        <v>0</v>
      </c>
      <c r="R40" s="419">
        <f t="shared" si="20"/>
        <v>16</v>
      </c>
      <c r="S40" s="159"/>
      <c r="T40" s="159"/>
      <c r="U40" s="159"/>
      <c r="V40" s="159"/>
      <c r="W40" s="407"/>
      <c r="X40" s="891" t="s">
        <v>261</v>
      </c>
      <c r="Y40" s="419">
        <f t="shared" ref="Y40:AN40" si="21">SUM(Y11+Y12+Y14+Y15+Y19+Y20)</f>
        <v>6</v>
      </c>
      <c r="Z40" s="416">
        <f t="shared" si="21"/>
        <v>2</v>
      </c>
      <c r="AA40" s="416">
        <f t="shared" si="21"/>
        <v>0</v>
      </c>
      <c r="AB40" s="416">
        <f t="shared" si="21"/>
        <v>4</v>
      </c>
      <c r="AC40" s="414">
        <f t="shared" si="21"/>
        <v>3</v>
      </c>
      <c r="AD40" s="414">
        <f t="shared" si="21"/>
        <v>1</v>
      </c>
      <c r="AE40" s="414">
        <f t="shared" si="21"/>
        <v>0</v>
      </c>
      <c r="AF40" s="414">
        <f t="shared" si="21"/>
        <v>2</v>
      </c>
      <c r="AG40" s="415">
        <f t="shared" si="21"/>
        <v>3</v>
      </c>
      <c r="AH40" s="415">
        <f t="shared" si="21"/>
        <v>1</v>
      </c>
      <c r="AI40" s="415">
        <f t="shared" si="21"/>
        <v>0</v>
      </c>
      <c r="AJ40" s="415">
        <f t="shared" si="21"/>
        <v>2</v>
      </c>
      <c r="AK40" s="416">
        <f t="shared" si="21"/>
        <v>0</v>
      </c>
      <c r="AL40" s="416">
        <f t="shared" si="21"/>
        <v>0</v>
      </c>
      <c r="AM40" s="416">
        <f t="shared" si="21"/>
        <v>0</v>
      </c>
      <c r="AN40" s="416">
        <f t="shared" si="21"/>
        <v>0</v>
      </c>
    </row>
    <row r="41" spans="1:40" ht="14.95" customHeight="1" thickBot="1" x14ac:dyDescent="0.3">
      <c r="A41" s="100"/>
      <c r="C41" s="1025" t="s">
        <v>262</v>
      </c>
      <c r="D41" s="1026"/>
      <c r="E41" s="1027"/>
      <c r="F41" s="419">
        <v>0</v>
      </c>
      <c r="G41" s="419">
        <v>0</v>
      </c>
      <c r="H41" s="416" t="s">
        <v>77</v>
      </c>
      <c r="I41" s="416" t="s">
        <v>77</v>
      </c>
      <c r="J41" s="419">
        <v>0</v>
      </c>
      <c r="K41" s="419">
        <v>0</v>
      </c>
      <c r="L41" s="419">
        <v>0</v>
      </c>
      <c r="M41" s="419">
        <v>0</v>
      </c>
      <c r="N41" s="419">
        <v>0</v>
      </c>
      <c r="O41" s="419">
        <v>0</v>
      </c>
      <c r="P41" s="416" t="s">
        <v>77</v>
      </c>
      <c r="Q41" s="416" t="s">
        <v>77</v>
      </c>
      <c r="R41" s="419">
        <v>0</v>
      </c>
      <c r="S41" s="159"/>
      <c r="T41" s="159"/>
      <c r="U41" s="159"/>
      <c r="V41" s="159"/>
      <c r="W41" s="407"/>
      <c r="X41" s="891" t="s">
        <v>262</v>
      </c>
      <c r="Y41" s="419">
        <v>0</v>
      </c>
      <c r="Z41" s="419">
        <v>0</v>
      </c>
      <c r="AA41" s="419">
        <v>0</v>
      </c>
      <c r="AB41" s="419">
        <v>0</v>
      </c>
      <c r="AC41" s="417">
        <v>0</v>
      </c>
      <c r="AD41" s="417">
        <v>0</v>
      </c>
      <c r="AE41" s="417">
        <v>0</v>
      </c>
      <c r="AF41" s="417">
        <v>0</v>
      </c>
      <c r="AG41" s="418">
        <v>0</v>
      </c>
      <c r="AH41" s="418">
        <v>0</v>
      </c>
      <c r="AI41" s="418">
        <v>0</v>
      </c>
      <c r="AJ41" s="418">
        <v>0</v>
      </c>
      <c r="AK41" s="419">
        <v>0</v>
      </c>
      <c r="AL41" s="419">
        <v>0</v>
      </c>
      <c r="AM41" s="419">
        <v>0</v>
      </c>
      <c r="AN41" s="419">
        <v>0</v>
      </c>
    </row>
    <row r="42" spans="1:40" ht="14.95" customHeight="1" thickBot="1" x14ac:dyDescent="0.3">
      <c r="A42" s="100"/>
      <c r="C42" s="1028" t="s">
        <v>263</v>
      </c>
      <c r="D42" s="1026"/>
      <c r="E42" s="1027"/>
      <c r="F42" s="396">
        <f>SUM(F40+F41)</f>
        <v>141</v>
      </c>
      <c r="G42" s="396">
        <f t="shared" ref="G42:R42" si="22">SUM(G40+G41)</f>
        <v>145</v>
      </c>
      <c r="H42" s="396">
        <f>SUM(H40)</f>
        <v>2</v>
      </c>
      <c r="I42" s="396">
        <f>SUM(I40)</f>
        <v>1</v>
      </c>
      <c r="J42" s="396">
        <f t="shared" si="22"/>
        <v>18</v>
      </c>
      <c r="K42" s="396">
        <f t="shared" si="22"/>
        <v>15</v>
      </c>
      <c r="L42" s="396">
        <f t="shared" si="22"/>
        <v>0</v>
      </c>
      <c r="M42" s="396">
        <f t="shared" si="22"/>
        <v>7</v>
      </c>
      <c r="N42" s="396">
        <f t="shared" si="22"/>
        <v>4</v>
      </c>
      <c r="O42" s="396">
        <f t="shared" si="22"/>
        <v>0</v>
      </c>
      <c r="P42" s="396">
        <f t="shared" ref="P42:Q42" si="23">SUM(P40)</f>
        <v>2</v>
      </c>
      <c r="Q42" s="396">
        <f t="shared" si="23"/>
        <v>0</v>
      </c>
      <c r="R42" s="396">
        <f t="shared" si="22"/>
        <v>16</v>
      </c>
      <c r="S42" s="159"/>
      <c r="T42" s="159"/>
      <c r="U42" s="159"/>
      <c r="V42" s="159"/>
      <c r="W42" s="160"/>
      <c r="X42" s="892" t="s">
        <v>263</v>
      </c>
      <c r="Y42" s="396">
        <f t="shared" ref="Y42:AN42" si="24">SUM(Y40+Y41)</f>
        <v>6</v>
      </c>
      <c r="Z42" s="396">
        <f t="shared" si="24"/>
        <v>2</v>
      </c>
      <c r="AA42" s="396">
        <f t="shared" si="24"/>
        <v>0</v>
      </c>
      <c r="AB42" s="396">
        <f t="shared" si="24"/>
        <v>4</v>
      </c>
      <c r="AC42" s="394">
        <f t="shared" si="24"/>
        <v>3</v>
      </c>
      <c r="AD42" s="394">
        <f t="shared" si="24"/>
        <v>1</v>
      </c>
      <c r="AE42" s="394">
        <f t="shared" si="24"/>
        <v>0</v>
      </c>
      <c r="AF42" s="394">
        <f t="shared" si="24"/>
        <v>2</v>
      </c>
      <c r="AG42" s="395">
        <f t="shared" si="24"/>
        <v>3</v>
      </c>
      <c r="AH42" s="395">
        <f t="shared" si="24"/>
        <v>1</v>
      </c>
      <c r="AI42" s="395">
        <f t="shared" si="24"/>
        <v>0</v>
      </c>
      <c r="AJ42" s="395">
        <f t="shared" si="24"/>
        <v>2</v>
      </c>
      <c r="AK42" s="396">
        <f t="shared" si="24"/>
        <v>0</v>
      </c>
      <c r="AL42" s="396">
        <f t="shared" si="24"/>
        <v>0</v>
      </c>
      <c r="AM42" s="396">
        <f t="shared" si="24"/>
        <v>0</v>
      </c>
      <c r="AN42" s="396">
        <f t="shared" si="24"/>
        <v>0</v>
      </c>
    </row>
    <row r="43" spans="1:40" ht="14.95" customHeight="1" thickBot="1" x14ac:dyDescent="0.3">
      <c r="A43" s="100"/>
      <c r="C43" s="977" t="s">
        <v>227</v>
      </c>
      <c r="D43" s="978"/>
      <c r="E43" s="979"/>
      <c r="F43" s="541">
        <f t="shared" ref="F43:R43" si="25">SUM(F3+F4+F5+F6)</f>
        <v>123</v>
      </c>
      <c r="G43" s="541">
        <f t="shared" si="25"/>
        <v>112</v>
      </c>
      <c r="H43" s="541">
        <f t="shared" si="25"/>
        <v>3</v>
      </c>
      <c r="I43" s="541">
        <f t="shared" si="25"/>
        <v>1</v>
      </c>
      <c r="J43" s="541">
        <f t="shared" si="25"/>
        <v>17</v>
      </c>
      <c r="K43" s="541">
        <f t="shared" si="25"/>
        <v>12</v>
      </c>
      <c r="L43" s="541">
        <f t="shared" si="25"/>
        <v>0</v>
      </c>
      <c r="M43" s="541">
        <f t="shared" si="25"/>
        <v>4</v>
      </c>
      <c r="N43" s="541">
        <f t="shared" si="25"/>
        <v>1</v>
      </c>
      <c r="O43" s="541">
        <f t="shared" si="25"/>
        <v>0</v>
      </c>
      <c r="P43" s="541">
        <f t="shared" si="25"/>
        <v>2</v>
      </c>
      <c r="Q43" s="541">
        <f t="shared" si="25"/>
        <v>1</v>
      </c>
      <c r="R43" s="541">
        <f t="shared" si="25"/>
        <v>14</v>
      </c>
      <c r="S43" s="534"/>
      <c r="T43" s="534"/>
      <c r="U43" s="534"/>
      <c r="V43" s="535"/>
      <c r="W43" s="535"/>
      <c r="X43" s="888" t="s">
        <v>227</v>
      </c>
      <c r="Y43" s="541">
        <f t="shared" ref="Y43:AN43" si="26">SUM(Y3+Y4+Y5+Y6)</f>
        <v>4</v>
      </c>
      <c r="Z43" s="541">
        <f t="shared" si="26"/>
        <v>2</v>
      </c>
      <c r="AA43" s="541">
        <f t="shared" si="26"/>
        <v>0</v>
      </c>
      <c r="AB43" s="541">
        <f t="shared" si="26"/>
        <v>2</v>
      </c>
      <c r="AC43" s="536">
        <f t="shared" si="26"/>
        <v>2</v>
      </c>
      <c r="AD43" s="536">
        <f t="shared" si="26"/>
        <v>1</v>
      </c>
      <c r="AE43" s="536">
        <f t="shared" si="26"/>
        <v>0</v>
      </c>
      <c r="AF43" s="536">
        <f t="shared" si="26"/>
        <v>1</v>
      </c>
      <c r="AG43" s="537">
        <f t="shared" si="26"/>
        <v>2</v>
      </c>
      <c r="AH43" s="537">
        <f t="shared" si="26"/>
        <v>1</v>
      </c>
      <c r="AI43" s="537">
        <f t="shared" si="26"/>
        <v>0</v>
      </c>
      <c r="AJ43" s="537">
        <f t="shared" si="26"/>
        <v>1</v>
      </c>
      <c r="AK43" s="538">
        <f t="shared" si="26"/>
        <v>0</v>
      </c>
      <c r="AL43" s="538">
        <f t="shared" si="26"/>
        <v>0</v>
      </c>
      <c r="AM43" s="538">
        <f t="shared" si="26"/>
        <v>0</v>
      </c>
      <c r="AN43" s="538">
        <f t="shared" si="26"/>
        <v>0</v>
      </c>
    </row>
    <row r="44" spans="1:40" ht="14.95" thickBot="1" x14ac:dyDescent="0.3">
      <c r="C44" s="977" t="s">
        <v>228</v>
      </c>
      <c r="D44" s="978"/>
      <c r="E44" s="979"/>
      <c r="F44" s="541">
        <v>0</v>
      </c>
      <c r="G44" s="541">
        <v>0</v>
      </c>
      <c r="H44" s="538" t="s">
        <v>77</v>
      </c>
      <c r="I44" s="538" t="s">
        <v>77</v>
      </c>
      <c r="J44" s="541">
        <v>0</v>
      </c>
      <c r="K44" s="541">
        <v>0</v>
      </c>
      <c r="L44" s="541">
        <v>0</v>
      </c>
      <c r="M44" s="541">
        <v>0</v>
      </c>
      <c r="N44" s="541">
        <v>0</v>
      </c>
      <c r="O44" s="541">
        <v>0</v>
      </c>
      <c r="P44" s="538" t="s">
        <v>77</v>
      </c>
      <c r="Q44" s="538" t="s">
        <v>77</v>
      </c>
      <c r="R44" s="541">
        <v>0</v>
      </c>
      <c r="S44" s="534"/>
      <c r="T44" s="534"/>
      <c r="U44" s="534"/>
      <c r="V44" s="534"/>
      <c r="W44" s="535"/>
      <c r="X44" s="888" t="s">
        <v>228</v>
      </c>
      <c r="Y44" s="541">
        <v>0</v>
      </c>
      <c r="Z44" s="541">
        <v>0</v>
      </c>
      <c r="AA44" s="541">
        <v>0</v>
      </c>
      <c r="AB44" s="541">
        <v>0</v>
      </c>
      <c r="AC44" s="539">
        <v>0</v>
      </c>
      <c r="AD44" s="539">
        <v>0</v>
      </c>
      <c r="AE44" s="539">
        <v>0</v>
      </c>
      <c r="AF44" s="539">
        <v>0</v>
      </c>
      <c r="AG44" s="540">
        <v>0</v>
      </c>
      <c r="AH44" s="540">
        <v>0</v>
      </c>
      <c r="AI44" s="540">
        <v>0</v>
      </c>
      <c r="AJ44" s="540">
        <v>0</v>
      </c>
      <c r="AK44" s="541">
        <v>0</v>
      </c>
      <c r="AL44" s="541">
        <v>0</v>
      </c>
      <c r="AM44" s="541">
        <v>0</v>
      </c>
      <c r="AN44" s="541">
        <v>0</v>
      </c>
    </row>
    <row r="45" spans="1:40" ht="14.95" customHeight="1" thickBot="1" x14ac:dyDescent="0.3">
      <c r="C45" s="1010" t="s">
        <v>229</v>
      </c>
      <c r="D45" s="978"/>
      <c r="E45" s="979"/>
      <c r="F45" s="545">
        <f>SUM(F43+F44)</f>
        <v>123</v>
      </c>
      <c r="G45" s="545">
        <f t="shared" ref="G45:R45" si="27">SUM(G43+G44)</f>
        <v>112</v>
      </c>
      <c r="H45" s="545">
        <f>H43</f>
        <v>3</v>
      </c>
      <c r="I45" s="545">
        <f>I43</f>
        <v>1</v>
      </c>
      <c r="J45" s="545">
        <f t="shared" si="27"/>
        <v>17</v>
      </c>
      <c r="K45" s="545">
        <f t="shared" si="27"/>
        <v>12</v>
      </c>
      <c r="L45" s="545">
        <f t="shared" si="27"/>
        <v>0</v>
      </c>
      <c r="M45" s="545">
        <f t="shared" si="27"/>
        <v>4</v>
      </c>
      <c r="N45" s="545">
        <f t="shared" si="27"/>
        <v>1</v>
      </c>
      <c r="O45" s="545">
        <f t="shared" si="27"/>
        <v>0</v>
      </c>
      <c r="P45" s="545">
        <f t="shared" ref="P45:Q45" si="28">P43</f>
        <v>2</v>
      </c>
      <c r="Q45" s="545">
        <f t="shared" si="28"/>
        <v>1</v>
      </c>
      <c r="R45" s="545">
        <f t="shared" si="27"/>
        <v>14</v>
      </c>
      <c r="S45" s="534"/>
      <c r="T45" s="534"/>
      <c r="U45" s="534"/>
      <c r="V45" s="534"/>
      <c r="W45" s="542"/>
      <c r="X45" s="885" t="s">
        <v>229</v>
      </c>
      <c r="Y45" s="545">
        <f t="shared" ref="Y45:AN45" si="29">SUM(Y43+Y44)</f>
        <v>4</v>
      </c>
      <c r="Z45" s="545">
        <f t="shared" si="29"/>
        <v>2</v>
      </c>
      <c r="AA45" s="545">
        <f t="shared" si="29"/>
        <v>0</v>
      </c>
      <c r="AB45" s="545">
        <f t="shared" si="29"/>
        <v>2</v>
      </c>
      <c r="AC45" s="543">
        <f t="shared" si="29"/>
        <v>2</v>
      </c>
      <c r="AD45" s="543">
        <f t="shared" si="29"/>
        <v>1</v>
      </c>
      <c r="AE45" s="543">
        <f t="shared" si="29"/>
        <v>0</v>
      </c>
      <c r="AF45" s="543">
        <f t="shared" si="29"/>
        <v>1</v>
      </c>
      <c r="AG45" s="544">
        <f t="shared" si="29"/>
        <v>2</v>
      </c>
      <c r="AH45" s="544">
        <f t="shared" si="29"/>
        <v>1</v>
      </c>
      <c r="AI45" s="544">
        <f t="shared" si="29"/>
        <v>0</v>
      </c>
      <c r="AJ45" s="544">
        <f t="shared" si="29"/>
        <v>1</v>
      </c>
      <c r="AK45" s="545">
        <f t="shared" si="29"/>
        <v>0</v>
      </c>
      <c r="AL45" s="545">
        <f t="shared" si="29"/>
        <v>0</v>
      </c>
      <c r="AM45" s="545">
        <f t="shared" si="29"/>
        <v>0</v>
      </c>
      <c r="AN45" s="545">
        <f t="shared" si="29"/>
        <v>0</v>
      </c>
    </row>
    <row r="46" spans="1:40" ht="14.95" thickBot="1" x14ac:dyDescent="0.3">
      <c r="A46" s="100"/>
      <c r="C46" s="980" t="s">
        <v>63</v>
      </c>
      <c r="D46" s="981"/>
      <c r="E46" s="982"/>
      <c r="F46" s="378">
        <f t="shared" ref="F46:R46" si="30">SUM(F3:F36)</f>
        <v>986</v>
      </c>
      <c r="G46" s="378">
        <f t="shared" si="30"/>
        <v>797</v>
      </c>
      <c r="H46" s="378">
        <f t="shared" si="30"/>
        <v>17</v>
      </c>
      <c r="I46" s="378">
        <f t="shared" si="30"/>
        <v>5</v>
      </c>
      <c r="J46" s="378">
        <f t="shared" si="30"/>
        <v>122</v>
      </c>
      <c r="K46" s="378">
        <f t="shared" si="30"/>
        <v>94</v>
      </c>
      <c r="L46" s="378">
        <f t="shared" si="30"/>
        <v>1</v>
      </c>
      <c r="M46" s="378">
        <f t="shared" si="30"/>
        <v>59</v>
      </c>
      <c r="N46" s="378">
        <f t="shared" si="30"/>
        <v>11</v>
      </c>
      <c r="O46" s="378">
        <f t="shared" si="30"/>
        <v>1</v>
      </c>
      <c r="P46" s="378">
        <f t="shared" si="30"/>
        <v>11</v>
      </c>
      <c r="Q46" s="378">
        <f t="shared" si="30"/>
        <v>3</v>
      </c>
      <c r="R46" s="378">
        <f t="shared" si="30"/>
        <v>93</v>
      </c>
      <c r="S46" s="168"/>
      <c r="T46" s="168"/>
      <c r="U46" s="168"/>
      <c r="V46" s="169"/>
      <c r="W46" s="169"/>
      <c r="X46" s="886" t="s">
        <v>63</v>
      </c>
      <c r="Y46" s="378">
        <f t="shared" ref="Y46:AN46" si="31">SUM(Y3:Y36)</f>
        <v>34</v>
      </c>
      <c r="Z46" s="378">
        <f t="shared" si="31"/>
        <v>19</v>
      </c>
      <c r="AA46" s="378">
        <f t="shared" si="31"/>
        <v>0</v>
      </c>
      <c r="AB46" s="378">
        <f t="shared" si="31"/>
        <v>15</v>
      </c>
      <c r="AC46" s="66">
        <f t="shared" si="31"/>
        <v>17</v>
      </c>
      <c r="AD46" s="66">
        <f t="shared" si="31"/>
        <v>10</v>
      </c>
      <c r="AE46" s="66">
        <f t="shared" si="31"/>
        <v>0</v>
      </c>
      <c r="AF46" s="66">
        <f t="shared" si="31"/>
        <v>7</v>
      </c>
      <c r="AG46" s="377">
        <f t="shared" si="31"/>
        <v>15</v>
      </c>
      <c r="AH46" s="377">
        <f t="shared" si="31"/>
        <v>9</v>
      </c>
      <c r="AI46" s="377">
        <f t="shared" si="31"/>
        <v>1</v>
      </c>
      <c r="AJ46" s="377">
        <f t="shared" si="31"/>
        <v>7</v>
      </c>
      <c r="AK46" s="378">
        <f t="shared" si="31"/>
        <v>0</v>
      </c>
      <c r="AL46" s="378">
        <f t="shared" si="31"/>
        <v>0</v>
      </c>
      <c r="AM46" s="378">
        <f t="shared" si="31"/>
        <v>0</v>
      </c>
      <c r="AN46" s="378">
        <f t="shared" si="31"/>
        <v>0</v>
      </c>
    </row>
    <row r="47" spans="1:40" x14ac:dyDescent="0.25">
      <c r="A47" s="100" t="s">
        <v>683</v>
      </c>
    </row>
    <row r="48" spans="1:40" x14ac:dyDescent="0.25">
      <c r="A48" s="100" t="s">
        <v>1041</v>
      </c>
    </row>
    <row r="49" spans="1:1" x14ac:dyDescent="0.25">
      <c r="A49" s="100" t="s">
        <v>107</v>
      </c>
    </row>
    <row r="50" spans="1:1" x14ac:dyDescent="0.25">
      <c r="A50" s="100" t="s">
        <v>87</v>
      </c>
    </row>
  </sheetData>
  <mergeCells count="31">
    <mergeCell ref="BG15:BJ15"/>
    <mergeCell ref="AU15:AX15"/>
    <mergeCell ref="AY15:BB15"/>
    <mergeCell ref="BC15:BF15"/>
    <mergeCell ref="H1:I1"/>
    <mergeCell ref="J1:M1"/>
    <mergeCell ref="N1:O1"/>
    <mergeCell ref="P1:R1"/>
    <mergeCell ref="AT2:AU2"/>
    <mergeCell ref="Y1:AB1"/>
    <mergeCell ref="AC1:AF1"/>
    <mergeCell ref="AG1:AJ1"/>
    <mergeCell ref="AK1:AN1"/>
    <mergeCell ref="A1:D1"/>
    <mergeCell ref="E1:G1"/>
    <mergeCell ref="C37:E37"/>
    <mergeCell ref="C38:E38"/>
    <mergeCell ref="C40:E40"/>
    <mergeCell ref="C39:E39"/>
    <mergeCell ref="C41:E41"/>
    <mergeCell ref="C46:E46"/>
    <mergeCell ref="C43:E43"/>
    <mergeCell ref="C44:E44"/>
    <mergeCell ref="BB4:BC4"/>
    <mergeCell ref="AT4:AU4"/>
    <mergeCell ref="AV4:AW4"/>
    <mergeCell ref="AX4:AY4"/>
    <mergeCell ref="AZ4:BA4"/>
    <mergeCell ref="C42:E42"/>
    <mergeCell ref="C45:E45"/>
    <mergeCell ref="AT24:AU2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workbookViewId="0">
      <selection activeCell="O10" sqref="O10"/>
    </sheetView>
  </sheetViews>
  <sheetFormatPr defaultColWidth="8.875" defaultRowHeight="14.3" x14ac:dyDescent="0.25"/>
  <sheetData>
    <row r="1" spans="1:12" x14ac:dyDescent="0.25">
      <c r="A1" s="4"/>
      <c r="B1" s="4"/>
      <c r="C1" s="4" t="s">
        <v>135</v>
      </c>
      <c r="D1" s="4"/>
      <c r="E1" s="4"/>
      <c r="F1" s="4"/>
      <c r="G1" s="4"/>
      <c r="H1" s="4"/>
      <c r="I1" s="4" t="s">
        <v>136</v>
      </c>
      <c r="J1" s="4"/>
      <c r="K1" s="4"/>
      <c r="L1" s="4"/>
    </row>
    <row r="2" spans="1:12" x14ac:dyDescent="0.25">
      <c r="A2" s="4"/>
      <c r="B2" s="62" t="s">
        <v>31</v>
      </c>
      <c r="C2" s="62" t="s">
        <v>32</v>
      </c>
      <c r="D2" s="62" t="s">
        <v>33</v>
      </c>
      <c r="E2" s="62" t="s">
        <v>34</v>
      </c>
      <c r="F2" s="62" t="s">
        <v>134</v>
      </c>
      <c r="G2" s="509"/>
      <c r="H2" s="62" t="s">
        <v>31</v>
      </c>
      <c r="I2" s="62" t="s">
        <v>32</v>
      </c>
      <c r="J2" s="62" t="s">
        <v>33</v>
      </c>
      <c r="K2" s="62" t="s">
        <v>34</v>
      </c>
      <c r="L2" s="62" t="s">
        <v>134</v>
      </c>
    </row>
    <row r="3" spans="1:12" x14ac:dyDescent="0.25">
      <c r="A3" s="4" t="s">
        <v>133</v>
      </c>
      <c r="B3">
        <v>132</v>
      </c>
      <c r="C3">
        <v>82</v>
      </c>
      <c r="D3">
        <v>4</v>
      </c>
      <c r="E3">
        <v>46</v>
      </c>
      <c r="F3" s="118">
        <f>SUM(C3+D3*0.5)/B3*100</f>
        <v>63.636363636363633</v>
      </c>
      <c r="G3" s="117"/>
      <c r="H3">
        <v>132</v>
      </c>
      <c r="I3">
        <v>46</v>
      </c>
      <c r="J3">
        <v>4</v>
      </c>
      <c r="K3">
        <v>82</v>
      </c>
      <c r="L3" s="118">
        <f>SUM(I3+J3*0.5)/H3*100</f>
        <v>36.363636363636367</v>
      </c>
    </row>
    <row r="4" spans="1:12" x14ac:dyDescent="0.25">
      <c r="A4" s="4" t="s">
        <v>117</v>
      </c>
      <c r="B4">
        <v>182</v>
      </c>
      <c r="C4">
        <v>109</v>
      </c>
      <c r="D4">
        <v>4</v>
      </c>
      <c r="E4">
        <v>69</v>
      </c>
      <c r="F4" s="118">
        <f t="shared" ref="F4:F26" si="0">SUM(C4+D4*0.5)/B4*100</f>
        <v>60.989010989010993</v>
      </c>
      <c r="G4" s="117"/>
      <c r="H4">
        <v>182</v>
      </c>
      <c r="I4">
        <v>69</v>
      </c>
      <c r="J4">
        <v>4</v>
      </c>
      <c r="K4">
        <v>109</v>
      </c>
      <c r="L4" s="118">
        <f t="shared" ref="L4:L26" si="1">SUM(I4+J4*0.5)/H4*100</f>
        <v>39.010989010989015</v>
      </c>
    </row>
    <row r="5" spans="1:12" x14ac:dyDescent="0.25">
      <c r="A5" s="4" t="s">
        <v>118</v>
      </c>
      <c r="B5">
        <v>132</v>
      </c>
      <c r="C5">
        <v>79</v>
      </c>
      <c r="D5">
        <v>4</v>
      </c>
      <c r="E5">
        <v>49</v>
      </c>
      <c r="F5" s="118">
        <f t="shared" si="0"/>
        <v>61.363636363636367</v>
      </c>
      <c r="G5" s="117"/>
      <c r="H5">
        <v>132</v>
      </c>
      <c r="I5">
        <v>49</v>
      </c>
      <c r="J5">
        <v>4</v>
      </c>
      <c r="K5">
        <v>79</v>
      </c>
      <c r="L5" s="118">
        <f t="shared" si="1"/>
        <v>38.636363636363633</v>
      </c>
    </row>
    <row r="6" spans="1:12" x14ac:dyDescent="0.25">
      <c r="A6" s="4" t="s">
        <v>119</v>
      </c>
      <c r="B6">
        <v>132</v>
      </c>
      <c r="C6">
        <v>89</v>
      </c>
      <c r="D6">
        <v>2</v>
      </c>
      <c r="E6">
        <v>41</v>
      </c>
      <c r="F6" s="118">
        <f t="shared" si="0"/>
        <v>68.181818181818173</v>
      </c>
      <c r="G6" s="117"/>
      <c r="H6">
        <v>132</v>
      </c>
      <c r="I6">
        <v>41</v>
      </c>
      <c r="J6">
        <v>2</v>
      </c>
      <c r="K6">
        <v>89</v>
      </c>
      <c r="L6" s="118">
        <f t="shared" si="1"/>
        <v>31.818181818181817</v>
      </c>
    </row>
    <row r="7" spans="1:12" x14ac:dyDescent="0.25">
      <c r="A7" s="4" t="s">
        <v>120</v>
      </c>
      <c r="B7">
        <v>132</v>
      </c>
      <c r="C7">
        <v>87</v>
      </c>
      <c r="D7">
        <v>5</v>
      </c>
      <c r="E7">
        <v>40</v>
      </c>
      <c r="F7" s="118">
        <f t="shared" si="0"/>
        <v>67.803030303030297</v>
      </c>
      <c r="G7" s="117"/>
      <c r="H7">
        <v>132</v>
      </c>
      <c r="I7">
        <v>40</v>
      </c>
      <c r="J7">
        <v>5</v>
      </c>
      <c r="K7">
        <v>87</v>
      </c>
      <c r="L7" s="118">
        <f t="shared" si="1"/>
        <v>32.196969696969695</v>
      </c>
    </row>
    <row r="8" spans="1:12" x14ac:dyDescent="0.25">
      <c r="A8" s="4" t="s">
        <v>121</v>
      </c>
      <c r="B8">
        <v>133</v>
      </c>
      <c r="C8">
        <v>89</v>
      </c>
      <c r="D8">
        <v>6</v>
      </c>
      <c r="E8">
        <v>38</v>
      </c>
      <c r="F8" s="118">
        <f t="shared" si="0"/>
        <v>69.172932330827066</v>
      </c>
      <c r="G8" s="117"/>
      <c r="H8">
        <v>133</v>
      </c>
      <c r="I8">
        <v>38</v>
      </c>
      <c r="J8">
        <v>6</v>
      </c>
      <c r="K8">
        <v>89</v>
      </c>
      <c r="L8" s="118">
        <f t="shared" si="1"/>
        <v>30.82706766917293</v>
      </c>
    </row>
    <row r="9" spans="1:12" x14ac:dyDescent="0.25">
      <c r="A9" s="4" t="s">
        <v>122</v>
      </c>
      <c r="B9">
        <v>133</v>
      </c>
      <c r="C9">
        <v>77</v>
      </c>
      <c r="D9">
        <v>7</v>
      </c>
      <c r="E9">
        <v>49</v>
      </c>
      <c r="F9" s="118">
        <f t="shared" si="0"/>
        <v>60.526315789473685</v>
      </c>
      <c r="G9" s="117"/>
      <c r="H9">
        <v>133</v>
      </c>
      <c r="I9">
        <v>49</v>
      </c>
      <c r="J9">
        <v>7</v>
      </c>
      <c r="K9">
        <v>77</v>
      </c>
      <c r="L9" s="118">
        <f t="shared" si="1"/>
        <v>39.473684210526315</v>
      </c>
    </row>
    <row r="10" spans="1:12" x14ac:dyDescent="0.25">
      <c r="A10" s="4" t="s">
        <v>123</v>
      </c>
      <c r="B10">
        <v>133</v>
      </c>
      <c r="C10">
        <v>75</v>
      </c>
      <c r="D10">
        <v>6</v>
      </c>
      <c r="E10">
        <v>52</v>
      </c>
      <c r="F10" s="118">
        <f t="shared" si="0"/>
        <v>58.646616541353382</v>
      </c>
      <c r="G10" s="117"/>
      <c r="H10">
        <v>133</v>
      </c>
      <c r="I10">
        <v>52</v>
      </c>
      <c r="J10">
        <v>6</v>
      </c>
      <c r="K10">
        <v>75</v>
      </c>
      <c r="L10" s="118">
        <f t="shared" si="1"/>
        <v>41.353383458646611</v>
      </c>
    </row>
    <row r="11" spans="1:12" x14ac:dyDescent="0.25">
      <c r="A11" s="4" t="s">
        <v>124</v>
      </c>
      <c r="B11">
        <v>134</v>
      </c>
      <c r="C11">
        <v>79</v>
      </c>
      <c r="D11">
        <v>7</v>
      </c>
      <c r="E11">
        <v>48</v>
      </c>
      <c r="F11" s="118">
        <f t="shared" si="0"/>
        <v>61.567164179104473</v>
      </c>
      <c r="G11" s="117"/>
      <c r="H11">
        <v>134</v>
      </c>
      <c r="I11">
        <v>48</v>
      </c>
      <c r="J11">
        <v>7</v>
      </c>
      <c r="K11">
        <v>79</v>
      </c>
      <c r="L11" s="118">
        <f t="shared" si="1"/>
        <v>38.432835820895519</v>
      </c>
    </row>
    <row r="12" spans="1:12" x14ac:dyDescent="0.25">
      <c r="A12" s="4" t="s">
        <v>125</v>
      </c>
      <c r="B12">
        <v>134</v>
      </c>
      <c r="C12">
        <v>92</v>
      </c>
      <c r="D12">
        <v>6</v>
      </c>
      <c r="E12">
        <v>36</v>
      </c>
      <c r="F12" s="118">
        <f t="shared" si="0"/>
        <v>70.895522388059703</v>
      </c>
      <c r="G12" s="117"/>
      <c r="H12">
        <v>134</v>
      </c>
      <c r="I12">
        <v>36</v>
      </c>
      <c r="J12">
        <v>6</v>
      </c>
      <c r="K12">
        <v>92</v>
      </c>
      <c r="L12" s="118">
        <f t="shared" si="1"/>
        <v>29.1044776119403</v>
      </c>
    </row>
    <row r="13" spans="1:12" x14ac:dyDescent="0.25">
      <c r="A13" s="4" t="s">
        <v>126</v>
      </c>
      <c r="B13">
        <v>134</v>
      </c>
      <c r="C13">
        <v>87</v>
      </c>
      <c r="D13">
        <v>3</v>
      </c>
      <c r="E13">
        <v>44</v>
      </c>
      <c r="F13" s="118">
        <f t="shared" si="0"/>
        <v>66.044776119402982</v>
      </c>
      <c r="G13" s="117"/>
      <c r="H13">
        <v>134</v>
      </c>
      <c r="I13">
        <v>44</v>
      </c>
      <c r="J13">
        <v>3</v>
      </c>
      <c r="K13">
        <v>87</v>
      </c>
      <c r="L13" s="118">
        <f t="shared" si="1"/>
        <v>33.955223880597011</v>
      </c>
    </row>
    <row r="14" spans="1:12" x14ac:dyDescent="0.25">
      <c r="A14" s="4" t="s">
        <v>127</v>
      </c>
      <c r="B14">
        <v>134</v>
      </c>
      <c r="C14">
        <v>91</v>
      </c>
      <c r="D14">
        <v>5</v>
      </c>
      <c r="E14">
        <v>38</v>
      </c>
      <c r="F14" s="118">
        <f t="shared" si="0"/>
        <v>69.776119402985074</v>
      </c>
      <c r="G14" s="117"/>
      <c r="H14">
        <v>134</v>
      </c>
      <c r="I14">
        <v>38</v>
      </c>
      <c r="J14">
        <v>5</v>
      </c>
      <c r="K14">
        <v>91</v>
      </c>
      <c r="L14" s="118">
        <f t="shared" si="1"/>
        <v>30.223880597014922</v>
      </c>
    </row>
    <row r="15" spans="1:12" x14ac:dyDescent="0.25">
      <c r="A15" s="4" t="s">
        <v>128</v>
      </c>
      <c r="B15">
        <v>134</v>
      </c>
      <c r="C15">
        <v>78</v>
      </c>
      <c r="D15">
        <v>10</v>
      </c>
      <c r="E15">
        <v>46</v>
      </c>
      <c r="F15" s="118">
        <f t="shared" si="0"/>
        <v>61.940298507462686</v>
      </c>
      <c r="G15" s="117"/>
      <c r="H15">
        <v>134</v>
      </c>
      <c r="I15">
        <v>46</v>
      </c>
      <c r="J15">
        <v>10</v>
      </c>
      <c r="K15">
        <v>78</v>
      </c>
      <c r="L15" s="118">
        <f t="shared" si="1"/>
        <v>38.059701492537314</v>
      </c>
    </row>
    <row r="16" spans="1:12" x14ac:dyDescent="0.25">
      <c r="A16" s="4" t="s">
        <v>129</v>
      </c>
      <c r="B16">
        <v>134</v>
      </c>
      <c r="C16">
        <v>86</v>
      </c>
      <c r="D16">
        <v>4</v>
      </c>
      <c r="E16">
        <v>44</v>
      </c>
      <c r="F16" s="118">
        <f t="shared" si="0"/>
        <v>65.671641791044777</v>
      </c>
      <c r="G16" s="117"/>
      <c r="H16">
        <v>134</v>
      </c>
      <c r="I16">
        <v>44</v>
      </c>
      <c r="J16">
        <v>4</v>
      </c>
      <c r="K16">
        <v>86</v>
      </c>
      <c r="L16" s="118">
        <f t="shared" si="1"/>
        <v>34.328358208955223</v>
      </c>
    </row>
    <row r="17" spans="1:12" x14ac:dyDescent="0.25">
      <c r="A17" s="4" t="s">
        <v>130</v>
      </c>
      <c r="B17">
        <v>134</v>
      </c>
      <c r="C17">
        <v>79</v>
      </c>
      <c r="D17">
        <v>4</v>
      </c>
      <c r="E17">
        <v>51</v>
      </c>
      <c r="F17" s="118">
        <f t="shared" si="0"/>
        <v>60.447761194029844</v>
      </c>
      <c r="G17" s="117"/>
      <c r="H17">
        <v>134</v>
      </c>
      <c r="I17">
        <v>51</v>
      </c>
      <c r="J17">
        <v>4</v>
      </c>
      <c r="K17">
        <v>79</v>
      </c>
      <c r="L17" s="118">
        <f t="shared" si="1"/>
        <v>39.552238805970148</v>
      </c>
    </row>
    <row r="18" spans="1:12" x14ac:dyDescent="0.25">
      <c r="A18" s="4" t="s">
        <v>131</v>
      </c>
      <c r="B18">
        <v>134</v>
      </c>
      <c r="C18">
        <v>89</v>
      </c>
      <c r="D18">
        <v>4</v>
      </c>
      <c r="E18">
        <v>41</v>
      </c>
      <c r="F18" s="118">
        <f t="shared" si="0"/>
        <v>67.910447761194021</v>
      </c>
      <c r="G18" s="117"/>
      <c r="H18">
        <v>134</v>
      </c>
      <c r="I18">
        <v>41</v>
      </c>
      <c r="J18">
        <v>4</v>
      </c>
      <c r="K18">
        <v>89</v>
      </c>
      <c r="L18" s="118">
        <f t="shared" si="1"/>
        <v>32.089552238805972</v>
      </c>
    </row>
    <row r="19" spans="1:12" x14ac:dyDescent="0.25">
      <c r="A19" s="4" t="s">
        <v>80</v>
      </c>
      <c r="B19">
        <v>134</v>
      </c>
      <c r="C19">
        <v>73</v>
      </c>
      <c r="D19">
        <v>3</v>
      </c>
      <c r="E19">
        <v>58</v>
      </c>
      <c r="F19" s="118">
        <f t="shared" si="0"/>
        <v>55.597014925373131</v>
      </c>
      <c r="G19" s="117"/>
      <c r="H19">
        <v>134</v>
      </c>
      <c r="I19">
        <v>58</v>
      </c>
      <c r="J19">
        <v>3</v>
      </c>
      <c r="K19">
        <v>73</v>
      </c>
      <c r="L19" s="118">
        <f t="shared" si="1"/>
        <v>44.402985074626869</v>
      </c>
    </row>
    <row r="20" spans="1:12" x14ac:dyDescent="0.25">
      <c r="A20" s="4" t="s">
        <v>108</v>
      </c>
      <c r="B20">
        <v>134</v>
      </c>
      <c r="C20">
        <v>85</v>
      </c>
      <c r="D20">
        <v>4</v>
      </c>
      <c r="E20">
        <v>45</v>
      </c>
      <c r="F20" s="118">
        <f t="shared" si="0"/>
        <v>64.925373134328353</v>
      </c>
      <c r="G20" s="117"/>
      <c r="H20">
        <v>134</v>
      </c>
      <c r="I20">
        <v>45</v>
      </c>
      <c r="J20">
        <v>4</v>
      </c>
      <c r="K20">
        <v>85</v>
      </c>
      <c r="L20" s="118">
        <f t="shared" si="1"/>
        <v>35.074626865671647</v>
      </c>
    </row>
    <row r="21" spans="1:12" x14ac:dyDescent="0.25">
      <c r="A21" s="4" t="s">
        <v>139</v>
      </c>
      <c r="B21">
        <v>134</v>
      </c>
      <c r="C21">
        <v>90</v>
      </c>
      <c r="D21">
        <v>3</v>
      </c>
      <c r="E21">
        <v>41</v>
      </c>
      <c r="F21" s="118">
        <f t="shared" si="0"/>
        <v>68.28358208955224</v>
      </c>
      <c r="G21" s="117"/>
      <c r="H21">
        <v>134</v>
      </c>
      <c r="I21">
        <v>41</v>
      </c>
      <c r="J21">
        <v>3</v>
      </c>
      <c r="K21">
        <v>90</v>
      </c>
      <c r="L21" s="118">
        <f t="shared" si="1"/>
        <v>31.716417910447763</v>
      </c>
    </row>
    <row r="22" spans="1:12" x14ac:dyDescent="0.25">
      <c r="A22" s="4" t="s">
        <v>166</v>
      </c>
      <c r="B22">
        <v>134</v>
      </c>
      <c r="C22">
        <v>87</v>
      </c>
      <c r="D22">
        <v>5</v>
      </c>
      <c r="E22">
        <v>42</v>
      </c>
      <c r="F22" s="118">
        <f t="shared" si="0"/>
        <v>66.791044776119406</v>
      </c>
      <c r="G22" s="117"/>
      <c r="H22">
        <v>134</v>
      </c>
      <c r="I22">
        <v>42</v>
      </c>
      <c r="J22">
        <v>5</v>
      </c>
      <c r="K22">
        <v>87</v>
      </c>
      <c r="L22" s="118">
        <f t="shared" si="1"/>
        <v>33.208955223880601</v>
      </c>
    </row>
    <row r="23" spans="1:12" x14ac:dyDescent="0.25">
      <c r="A23" s="4" t="s">
        <v>198</v>
      </c>
      <c r="B23">
        <v>134</v>
      </c>
      <c r="C23">
        <v>82</v>
      </c>
      <c r="D23">
        <v>1</v>
      </c>
      <c r="E23">
        <v>51</v>
      </c>
      <c r="F23" s="118">
        <f t="shared" si="0"/>
        <v>61.567164179104473</v>
      </c>
      <c r="G23" s="117"/>
      <c r="H23">
        <v>134</v>
      </c>
      <c r="I23">
        <v>51</v>
      </c>
      <c r="J23">
        <v>1</v>
      </c>
      <c r="K23">
        <v>82</v>
      </c>
      <c r="L23" s="118">
        <f t="shared" si="1"/>
        <v>38.432835820895519</v>
      </c>
    </row>
    <row r="24" spans="1:12" x14ac:dyDescent="0.25">
      <c r="A24" s="4" t="s">
        <v>220</v>
      </c>
      <c r="B24">
        <v>134</v>
      </c>
      <c r="C24">
        <v>87</v>
      </c>
      <c r="D24">
        <v>3</v>
      </c>
      <c r="E24">
        <v>44</v>
      </c>
      <c r="F24" s="118">
        <f t="shared" si="0"/>
        <v>66.044776119402982</v>
      </c>
      <c r="G24" s="117"/>
      <c r="H24">
        <v>134</v>
      </c>
      <c r="I24">
        <v>44</v>
      </c>
      <c r="J24">
        <v>3</v>
      </c>
      <c r="K24">
        <v>87</v>
      </c>
      <c r="L24" s="118">
        <f t="shared" si="1"/>
        <v>33.955223880597011</v>
      </c>
    </row>
    <row r="25" spans="1:12" x14ac:dyDescent="0.25">
      <c r="A25" s="4" t="s">
        <v>269</v>
      </c>
      <c r="B25">
        <v>134</v>
      </c>
      <c r="C25">
        <v>77</v>
      </c>
      <c r="D25">
        <v>3</v>
      </c>
      <c r="E25">
        <v>54</v>
      </c>
      <c r="F25" s="118">
        <f t="shared" si="0"/>
        <v>58.582089552238806</v>
      </c>
      <c r="G25" s="117"/>
      <c r="H25">
        <v>134</v>
      </c>
      <c r="I25">
        <v>54</v>
      </c>
      <c r="J25">
        <v>3</v>
      </c>
      <c r="K25">
        <v>77</v>
      </c>
      <c r="L25" s="118">
        <f t="shared" si="1"/>
        <v>41.417910447761194</v>
      </c>
    </row>
    <row r="26" spans="1:12" x14ac:dyDescent="0.25">
      <c r="A26" s="4" t="s">
        <v>96</v>
      </c>
      <c r="B26">
        <f>SUM(B3:B25)</f>
        <v>3119</v>
      </c>
      <c r="C26">
        <f>SUM(C3:C25)</f>
        <v>1949</v>
      </c>
      <c r="D26">
        <f>SUM(D3:D25)</f>
        <v>103</v>
      </c>
      <c r="E26">
        <f>SUM(E3:E25)</f>
        <v>1067</v>
      </c>
      <c r="F26" s="118">
        <f t="shared" si="0"/>
        <v>64.139147162552106</v>
      </c>
      <c r="G26" s="117"/>
      <c r="H26">
        <f>SUM(H3:H25)</f>
        <v>3119</v>
      </c>
      <c r="I26">
        <f>SUM(I3:I25)</f>
        <v>1067</v>
      </c>
      <c r="J26">
        <f>SUM(J3:J25)</f>
        <v>103</v>
      </c>
      <c r="K26">
        <f>SUM(K3:K25)</f>
        <v>1949</v>
      </c>
      <c r="L26" s="118">
        <f t="shared" si="1"/>
        <v>35.860852837447901</v>
      </c>
    </row>
    <row r="27" spans="1:12" x14ac:dyDescent="0.25">
      <c r="A27" s="83" t="s">
        <v>1034</v>
      </c>
    </row>
    <row r="28" spans="1:12" x14ac:dyDescent="0.25">
      <c r="A28" s="4" t="s">
        <v>268</v>
      </c>
    </row>
    <row r="29" spans="1:12" x14ac:dyDescent="0.25">
      <c r="A29" s="908" t="s">
        <v>107</v>
      </c>
      <c r="H29" s="273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E47"/>
  <sheetViews>
    <sheetView workbookViewId="0">
      <pane ySplit="2" topLeftCell="A3" activePane="bottomLeft" state="frozen"/>
      <selection pane="bottomLeft" activeCell="AD38" sqref="AD38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18" width="3.75" customWidth="1"/>
    <col min="19" max="19" width="6.25" customWidth="1"/>
    <col min="20" max="20" width="5.75" customWidth="1"/>
    <col min="21" max="21" width="21.125" customWidth="1"/>
    <col min="22" max="22" width="22.375" bestFit="1" customWidth="1"/>
    <col min="23" max="23" width="26.25" customWidth="1"/>
    <col min="24" max="24" width="25.625" bestFit="1" customWidth="1"/>
    <col min="25" max="40" width="3.75" customWidth="1"/>
    <col min="43" max="43" width="15.75" customWidth="1"/>
    <col min="46" max="46" width="10.875" bestFit="1" customWidth="1"/>
    <col min="48" max="48" width="10.875" bestFit="1" customWidth="1"/>
    <col min="50" max="50" width="10.875" bestFit="1" customWidth="1"/>
    <col min="52" max="52" width="10.875" bestFit="1" customWidth="1"/>
    <col min="54" max="54" width="10.875" bestFit="1" customWidth="1"/>
    <col min="56" max="56" width="10.875" bestFit="1" customWidth="1"/>
  </cols>
  <sheetData>
    <row r="1" spans="1:57" ht="14.95" customHeight="1" thickBot="1" x14ac:dyDescent="0.3">
      <c r="A1" s="1179" t="s">
        <v>286</v>
      </c>
      <c r="B1" s="1180"/>
      <c r="C1" s="1180"/>
      <c r="D1" s="1181"/>
      <c r="E1" s="1182" t="s">
        <v>70</v>
      </c>
      <c r="F1" s="1183"/>
      <c r="G1" s="1184"/>
      <c r="H1" s="1182" t="s">
        <v>69</v>
      </c>
      <c r="I1" s="1184"/>
      <c r="J1" s="1176" t="s">
        <v>40</v>
      </c>
      <c r="K1" s="1177"/>
      <c r="L1" s="1177"/>
      <c r="M1" s="1178"/>
      <c r="N1" s="1176" t="s">
        <v>41</v>
      </c>
      <c r="O1" s="1178"/>
      <c r="P1" s="1176" t="s">
        <v>72</v>
      </c>
      <c r="Q1" s="1177"/>
      <c r="R1" s="1178"/>
      <c r="S1" s="713" t="s">
        <v>42</v>
      </c>
      <c r="T1" s="713" t="s">
        <v>43</v>
      </c>
      <c r="U1" s="511" t="s">
        <v>44</v>
      </c>
      <c r="V1" s="510" t="s">
        <v>45</v>
      </c>
      <c r="W1" s="512" t="s">
        <v>101</v>
      </c>
      <c r="X1" s="512" t="s">
        <v>102</v>
      </c>
      <c r="Y1" s="1173" t="s">
        <v>64</v>
      </c>
      <c r="Z1" s="966"/>
      <c r="AA1" s="966"/>
      <c r="AB1" s="967"/>
      <c r="AC1" s="1173" t="s">
        <v>65</v>
      </c>
      <c r="AD1" s="966"/>
      <c r="AE1" s="966"/>
      <c r="AF1" s="967"/>
      <c r="AG1" s="1173" t="s">
        <v>66</v>
      </c>
      <c r="AH1" s="966"/>
      <c r="AI1" s="966"/>
      <c r="AJ1" s="967"/>
      <c r="AK1" s="1173" t="s">
        <v>137</v>
      </c>
      <c r="AL1" s="966"/>
      <c r="AM1" s="966"/>
      <c r="AN1" s="966"/>
    </row>
    <row r="2" spans="1:57" ht="14.95" customHeight="1" thickBot="1" x14ac:dyDescent="0.3">
      <c r="A2" s="514" t="s">
        <v>62</v>
      </c>
      <c r="B2" s="515" t="s">
        <v>61</v>
      </c>
      <c r="C2" s="516" t="s">
        <v>81</v>
      </c>
      <c r="D2" s="516" t="s">
        <v>71</v>
      </c>
      <c r="E2" s="517" t="s">
        <v>50</v>
      </c>
      <c r="F2" s="517" t="s">
        <v>35</v>
      </c>
      <c r="G2" s="517" t="s">
        <v>36</v>
      </c>
      <c r="H2" s="518" t="s">
        <v>67</v>
      </c>
      <c r="I2" s="518" t="s">
        <v>68</v>
      </c>
      <c r="J2" s="518" t="s">
        <v>46</v>
      </c>
      <c r="K2" s="518" t="s">
        <v>47</v>
      </c>
      <c r="L2" s="518" t="s">
        <v>33</v>
      </c>
      <c r="M2" s="518" t="s">
        <v>48</v>
      </c>
      <c r="N2" s="518" t="s">
        <v>49</v>
      </c>
      <c r="O2" s="518" t="s">
        <v>50</v>
      </c>
      <c r="P2" s="518" t="s">
        <v>67</v>
      </c>
      <c r="Q2" s="518" t="s">
        <v>68</v>
      </c>
      <c r="R2" s="518" t="s">
        <v>46</v>
      </c>
      <c r="S2" s="519"/>
      <c r="T2" s="520"/>
      <c r="U2" s="521"/>
      <c r="V2" s="519"/>
      <c r="W2" s="522"/>
      <c r="X2" s="858"/>
      <c r="Y2" s="523" t="s">
        <v>31</v>
      </c>
      <c r="Z2" s="523" t="s">
        <v>32</v>
      </c>
      <c r="AA2" s="523" t="s">
        <v>33</v>
      </c>
      <c r="AB2" s="523" t="s">
        <v>34</v>
      </c>
      <c r="AC2" s="523" t="s">
        <v>31</v>
      </c>
      <c r="AD2" s="523" t="s">
        <v>32</v>
      </c>
      <c r="AE2" s="523" t="s">
        <v>33</v>
      </c>
      <c r="AF2" s="523" t="s">
        <v>34</v>
      </c>
      <c r="AG2" s="523" t="s">
        <v>31</v>
      </c>
      <c r="AH2" s="523" t="s">
        <v>32</v>
      </c>
      <c r="AI2" s="523" t="s">
        <v>33</v>
      </c>
      <c r="AJ2" s="523" t="s">
        <v>34</v>
      </c>
      <c r="AK2" s="523" t="s">
        <v>31</v>
      </c>
      <c r="AL2" s="523" t="s">
        <v>32</v>
      </c>
      <c r="AM2" s="523" t="s">
        <v>33</v>
      </c>
      <c r="AN2" s="523" t="s">
        <v>34</v>
      </c>
      <c r="AQ2" s="524" t="s">
        <v>192</v>
      </c>
      <c r="AR2" s="513"/>
      <c r="AS2" s="190"/>
      <c r="AT2" s="1174" t="s">
        <v>192</v>
      </c>
      <c r="AU2" s="1175"/>
    </row>
    <row r="3" spans="1:57" ht="14.95" customHeight="1" thickBot="1" x14ac:dyDescent="0.3">
      <c r="A3" s="619" t="s">
        <v>231</v>
      </c>
      <c r="B3" s="547" t="s">
        <v>222</v>
      </c>
      <c r="C3" s="548" t="s">
        <v>26</v>
      </c>
      <c r="D3" s="549" t="s">
        <v>299</v>
      </c>
      <c r="E3" s="549" t="s">
        <v>32</v>
      </c>
      <c r="F3" s="549">
        <v>57</v>
      </c>
      <c r="G3" s="549">
        <v>23</v>
      </c>
      <c r="H3" s="549">
        <v>1</v>
      </c>
      <c r="I3" s="549">
        <v>0</v>
      </c>
      <c r="J3" s="549">
        <v>8</v>
      </c>
      <c r="K3" s="549">
        <v>6</v>
      </c>
      <c r="L3" s="549">
        <v>0</v>
      </c>
      <c r="M3" s="549">
        <v>1</v>
      </c>
      <c r="N3" s="549">
        <v>0</v>
      </c>
      <c r="O3" s="549">
        <v>0</v>
      </c>
      <c r="P3" s="549">
        <v>0</v>
      </c>
      <c r="Q3" s="549">
        <v>0</v>
      </c>
      <c r="R3" s="549">
        <v>2</v>
      </c>
      <c r="S3" s="550">
        <v>6037</v>
      </c>
      <c r="T3" s="560" t="s">
        <v>314</v>
      </c>
      <c r="U3" s="551" t="s">
        <v>326</v>
      </c>
      <c r="V3" s="550" t="s">
        <v>202</v>
      </c>
      <c r="W3" s="550" t="s">
        <v>327</v>
      </c>
      <c r="X3" s="552" t="s">
        <v>328</v>
      </c>
      <c r="Y3" s="550">
        <v>1</v>
      </c>
      <c r="Z3" s="550">
        <v>1</v>
      </c>
      <c r="AA3" s="550">
        <v>0</v>
      </c>
      <c r="AB3" s="588">
        <v>0</v>
      </c>
      <c r="AC3" s="550">
        <v>1</v>
      </c>
      <c r="AD3" s="550">
        <v>1</v>
      </c>
      <c r="AE3" s="550">
        <v>0</v>
      </c>
      <c r="AF3" s="588">
        <v>0</v>
      </c>
      <c r="AG3" s="550">
        <v>0</v>
      </c>
      <c r="AH3" s="550">
        <v>0</v>
      </c>
      <c r="AI3" s="550">
        <v>0</v>
      </c>
      <c r="AJ3" s="552">
        <v>0</v>
      </c>
      <c r="AK3" s="550">
        <v>0</v>
      </c>
      <c r="AL3" s="550">
        <v>0</v>
      </c>
      <c r="AM3" s="550">
        <v>0</v>
      </c>
      <c r="AN3" s="552">
        <v>0</v>
      </c>
      <c r="AQ3" s="507" t="s">
        <v>171</v>
      </c>
      <c r="AT3" s="4" t="s">
        <v>177</v>
      </c>
    </row>
    <row r="4" spans="1:57" ht="14.95" customHeight="1" thickBot="1" x14ac:dyDescent="0.3">
      <c r="A4" s="553" t="s">
        <v>232</v>
      </c>
      <c r="B4" s="554" t="s">
        <v>222</v>
      </c>
      <c r="C4" s="555" t="s">
        <v>274</v>
      </c>
      <c r="D4" s="556" t="s">
        <v>36</v>
      </c>
      <c r="E4" s="556" t="s">
        <v>34</v>
      </c>
      <c r="F4" s="556">
        <v>28</v>
      </c>
      <c r="G4" s="556">
        <v>36</v>
      </c>
      <c r="H4" s="556">
        <v>1</v>
      </c>
      <c r="I4" s="556">
        <v>0</v>
      </c>
      <c r="J4" s="556">
        <v>4</v>
      </c>
      <c r="K4" s="556">
        <v>4</v>
      </c>
      <c r="L4" s="556">
        <v>0</v>
      </c>
      <c r="M4" s="556">
        <v>0</v>
      </c>
      <c r="N4" s="556">
        <v>1</v>
      </c>
      <c r="O4" s="556">
        <v>0</v>
      </c>
      <c r="P4" s="556">
        <v>1</v>
      </c>
      <c r="Q4" s="556">
        <v>0</v>
      </c>
      <c r="R4" s="556">
        <v>5</v>
      </c>
      <c r="S4" s="620">
        <v>12666</v>
      </c>
      <c r="T4" s="621" t="s">
        <v>369</v>
      </c>
      <c r="U4" s="622" t="s">
        <v>343</v>
      </c>
      <c r="V4" s="620" t="s">
        <v>202</v>
      </c>
      <c r="W4" s="623" t="s">
        <v>344</v>
      </c>
      <c r="X4" s="623" t="s">
        <v>345</v>
      </c>
      <c r="Y4" s="557">
        <v>1</v>
      </c>
      <c r="Z4" s="557">
        <v>0</v>
      </c>
      <c r="AA4" s="557">
        <v>0</v>
      </c>
      <c r="AB4" s="583">
        <v>1</v>
      </c>
      <c r="AC4" s="557">
        <v>0</v>
      </c>
      <c r="AD4" s="557">
        <v>0</v>
      </c>
      <c r="AE4" s="557">
        <v>0</v>
      </c>
      <c r="AF4" s="583">
        <v>0</v>
      </c>
      <c r="AG4" s="557">
        <v>1</v>
      </c>
      <c r="AH4" s="557">
        <v>0</v>
      </c>
      <c r="AI4" s="557">
        <v>0</v>
      </c>
      <c r="AJ4" s="558">
        <v>1</v>
      </c>
      <c r="AK4" s="557">
        <v>0</v>
      </c>
      <c r="AL4" s="557">
        <v>0</v>
      </c>
      <c r="AM4" s="557">
        <v>0</v>
      </c>
      <c r="AN4" s="558">
        <v>0</v>
      </c>
      <c r="AQ4" s="173" t="s">
        <v>167</v>
      </c>
      <c r="AR4" s="174">
        <f>Worcesterpremhistoryplayed</f>
        <v>307</v>
      </c>
      <c r="AT4" s="983" t="s">
        <v>179</v>
      </c>
      <c r="AU4" s="984"/>
      <c r="AV4" s="985" t="s">
        <v>172</v>
      </c>
      <c r="AW4" s="986"/>
      <c r="AX4" s="1032" t="s">
        <v>187</v>
      </c>
      <c r="AY4" s="1033"/>
      <c r="AZ4" s="987" t="s">
        <v>173</v>
      </c>
      <c r="BA4" s="988"/>
      <c r="BB4" s="1171" t="s">
        <v>193</v>
      </c>
      <c r="BC4" s="1172"/>
      <c r="BD4" s="989" t="s">
        <v>174</v>
      </c>
      <c r="BE4" s="990"/>
    </row>
    <row r="5" spans="1:57" ht="14.95" customHeight="1" thickBot="1" x14ac:dyDescent="0.3">
      <c r="A5" s="626" t="s">
        <v>357</v>
      </c>
      <c r="B5" s="547" t="s">
        <v>222</v>
      </c>
      <c r="C5" s="627" t="s">
        <v>28</v>
      </c>
      <c r="D5" s="628" t="s">
        <v>299</v>
      </c>
      <c r="E5" s="628" t="s">
        <v>34</v>
      </c>
      <c r="F5" s="628">
        <v>19</v>
      </c>
      <c r="G5" s="628">
        <v>34</v>
      </c>
      <c r="H5" s="628">
        <v>0</v>
      </c>
      <c r="I5" s="628">
        <v>0</v>
      </c>
      <c r="J5" s="628">
        <v>3</v>
      </c>
      <c r="K5" s="628">
        <v>2</v>
      </c>
      <c r="L5" s="628">
        <v>0</v>
      </c>
      <c r="M5" s="628">
        <v>0</v>
      </c>
      <c r="N5" s="628">
        <v>2</v>
      </c>
      <c r="O5" s="628">
        <v>0</v>
      </c>
      <c r="P5" s="628">
        <v>1</v>
      </c>
      <c r="Q5" s="628">
        <v>0</v>
      </c>
      <c r="R5" s="628">
        <v>4</v>
      </c>
      <c r="S5" s="550">
        <v>6743</v>
      </c>
      <c r="T5" s="629" t="s">
        <v>387</v>
      </c>
      <c r="U5" s="551" t="s">
        <v>324</v>
      </c>
      <c r="V5" s="550" t="s">
        <v>399</v>
      </c>
      <c r="W5" s="550" t="s">
        <v>323</v>
      </c>
      <c r="X5" s="550" t="s">
        <v>316</v>
      </c>
      <c r="Y5" s="550">
        <v>1</v>
      </c>
      <c r="Z5" s="550">
        <v>0</v>
      </c>
      <c r="AA5" s="550">
        <v>0</v>
      </c>
      <c r="AB5" s="550">
        <v>1</v>
      </c>
      <c r="AC5" s="550">
        <v>1</v>
      </c>
      <c r="AD5" s="550">
        <v>0</v>
      </c>
      <c r="AE5" s="550">
        <v>0</v>
      </c>
      <c r="AF5" s="550">
        <v>1</v>
      </c>
      <c r="AG5" s="550">
        <v>0</v>
      </c>
      <c r="AH5" s="550">
        <v>0</v>
      </c>
      <c r="AI5" s="550">
        <v>0</v>
      </c>
      <c r="AJ5" s="551">
        <v>0</v>
      </c>
      <c r="AK5" s="550">
        <v>0</v>
      </c>
      <c r="AL5" s="550">
        <v>0</v>
      </c>
      <c r="AM5" s="550">
        <v>0</v>
      </c>
      <c r="AN5" s="551">
        <v>0</v>
      </c>
      <c r="AQ5" s="175" t="s">
        <v>0</v>
      </c>
      <c r="AR5" s="176">
        <f>Worcesterpremhistorywon</f>
        <v>89</v>
      </c>
      <c r="AT5" s="177" t="s">
        <v>167</v>
      </c>
      <c r="AU5" s="189">
        <f>Woreuropeancuphistplayed</f>
        <v>0</v>
      </c>
      <c r="AV5" s="179" t="s">
        <v>167</v>
      </c>
      <c r="AW5" s="180">
        <f>Worchampscuphistplayed</f>
        <v>0</v>
      </c>
      <c r="AX5" s="187" t="s">
        <v>167</v>
      </c>
      <c r="AY5" s="188">
        <f>Worchampscuppohistplayed</f>
        <v>0</v>
      </c>
      <c r="AZ5" s="181" t="s">
        <v>167</v>
      </c>
      <c r="BA5" s="178">
        <f>Worchallcuphistplayed</f>
        <v>88</v>
      </c>
      <c r="BB5" s="259" t="s">
        <v>167</v>
      </c>
      <c r="BC5" s="260">
        <v>7</v>
      </c>
      <c r="BD5" s="182" t="s">
        <v>167</v>
      </c>
      <c r="BE5" s="183">
        <f>SUM(AU5+AY5+BA5+BC5)</f>
        <v>95</v>
      </c>
    </row>
    <row r="6" spans="1:57" ht="14.95" customHeight="1" thickBot="1" x14ac:dyDescent="0.3">
      <c r="A6" s="553" t="s">
        <v>241</v>
      </c>
      <c r="B6" s="554" t="s">
        <v>222</v>
      </c>
      <c r="C6" s="625" t="s">
        <v>106</v>
      </c>
      <c r="D6" s="556" t="s">
        <v>36</v>
      </c>
      <c r="E6" s="556" t="s">
        <v>34</v>
      </c>
      <c r="F6" s="556">
        <v>6</v>
      </c>
      <c r="G6" s="556">
        <v>39</v>
      </c>
      <c r="H6" s="556">
        <v>0</v>
      </c>
      <c r="I6" s="556">
        <v>0</v>
      </c>
      <c r="J6" s="556">
        <v>0</v>
      </c>
      <c r="K6" s="556">
        <v>0</v>
      </c>
      <c r="L6" s="556">
        <v>0</v>
      </c>
      <c r="M6" s="556">
        <v>2</v>
      </c>
      <c r="N6" s="556">
        <v>0</v>
      </c>
      <c r="O6" s="556">
        <v>0</v>
      </c>
      <c r="P6" s="556">
        <v>1</v>
      </c>
      <c r="Q6" s="556">
        <v>0</v>
      </c>
      <c r="R6" s="556">
        <v>5</v>
      </c>
      <c r="S6" s="557">
        <v>6104</v>
      </c>
      <c r="T6" s="563" t="s">
        <v>419</v>
      </c>
      <c r="U6" s="559" t="s">
        <v>463</v>
      </c>
      <c r="V6" s="557" t="s">
        <v>202</v>
      </c>
      <c r="W6" s="557" t="s">
        <v>321</v>
      </c>
      <c r="X6" s="558" t="s">
        <v>319</v>
      </c>
      <c r="Y6" s="557">
        <v>1</v>
      </c>
      <c r="Z6" s="557">
        <v>0</v>
      </c>
      <c r="AA6" s="557">
        <v>0</v>
      </c>
      <c r="AB6" s="557">
        <v>1</v>
      </c>
      <c r="AC6" s="557">
        <v>0</v>
      </c>
      <c r="AD6" s="557">
        <v>0</v>
      </c>
      <c r="AE6" s="557">
        <v>0</v>
      </c>
      <c r="AF6" s="557">
        <v>0</v>
      </c>
      <c r="AG6" s="557">
        <v>1</v>
      </c>
      <c r="AH6" s="557">
        <v>0</v>
      </c>
      <c r="AI6" s="557">
        <v>0</v>
      </c>
      <c r="AJ6" s="559">
        <v>1</v>
      </c>
      <c r="AK6" s="557">
        <v>0</v>
      </c>
      <c r="AL6" s="557">
        <v>0</v>
      </c>
      <c r="AM6" s="557">
        <v>0</v>
      </c>
      <c r="AN6" s="559">
        <v>0</v>
      </c>
      <c r="AQ6" s="175" t="s">
        <v>168</v>
      </c>
      <c r="AR6" s="176">
        <f>Worcesterpremhistorydrawn</f>
        <v>14</v>
      </c>
      <c r="AT6" s="177" t="s">
        <v>0</v>
      </c>
      <c r="AU6" s="189">
        <f>Woreuropeancuphistwon</f>
        <v>0</v>
      </c>
      <c r="AV6" s="179" t="s">
        <v>0</v>
      </c>
      <c r="AW6" s="180">
        <f>Worchampscuphistwon</f>
        <v>0</v>
      </c>
      <c r="AX6" s="187" t="s">
        <v>0</v>
      </c>
      <c r="AY6" s="188">
        <f>Worchampscuppohistwon</f>
        <v>0</v>
      </c>
      <c r="AZ6" s="181" t="s">
        <v>0</v>
      </c>
      <c r="BA6" s="178">
        <f>Worchallcuphistwon</f>
        <v>50</v>
      </c>
      <c r="BB6" s="259" t="s">
        <v>0</v>
      </c>
      <c r="BC6" s="260">
        <v>5</v>
      </c>
      <c r="BD6" s="182" t="s">
        <v>0</v>
      </c>
      <c r="BE6" s="183">
        <f t="shared" ref="BE6:BE12" si="0">SUM(AU6+AY6+BA6+BC6)</f>
        <v>55</v>
      </c>
    </row>
    <row r="7" spans="1:57" ht="14.95" customHeight="1" thickBot="1" x14ac:dyDescent="0.3">
      <c r="A7" s="468" t="s">
        <v>242</v>
      </c>
      <c r="B7" s="469" t="s">
        <v>199</v>
      </c>
      <c r="C7" s="470" t="s">
        <v>26</v>
      </c>
      <c r="D7" s="471" t="s">
        <v>299</v>
      </c>
      <c r="E7" s="471" t="s">
        <v>32</v>
      </c>
      <c r="F7" s="471">
        <v>24</v>
      </c>
      <c r="G7" s="471">
        <v>16</v>
      </c>
      <c r="H7" s="471">
        <v>0</v>
      </c>
      <c r="I7" s="471">
        <v>0</v>
      </c>
      <c r="J7" s="471">
        <v>2</v>
      </c>
      <c r="K7" s="471">
        <v>1</v>
      </c>
      <c r="L7" s="471">
        <v>0</v>
      </c>
      <c r="M7" s="471">
        <v>4</v>
      </c>
      <c r="N7" s="471">
        <v>0</v>
      </c>
      <c r="O7" s="471">
        <v>0</v>
      </c>
      <c r="P7" s="471">
        <v>0</v>
      </c>
      <c r="Q7" s="471">
        <v>0</v>
      </c>
      <c r="R7" s="471">
        <v>1</v>
      </c>
      <c r="S7" s="472">
        <v>7740</v>
      </c>
      <c r="T7" s="480" t="s">
        <v>474</v>
      </c>
      <c r="U7" s="478" t="s">
        <v>396</v>
      </c>
      <c r="V7" s="472" t="s">
        <v>352</v>
      </c>
      <c r="W7" s="472" t="s">
        <v>308</v>
      </c>
      <c r="X7" s="473" t="s">
        <v>475</v>
      </c>
      <c r="Y7" s="472">
        <v>1</v>
      </c>
      <c r="Z7" s="472">
        <v>1</v>
      </c>
      <c r="AA7" s="472">
        <v>0</v>
      </c>
      <c r="AB7" s="472">
        <v>0</v>
      </c>
      <c r="AC7" s="472">
        <v>1</v>
      </c>
      <c r="AD7" s="472">
        <v>1</v>
      </c>
      <c r="AE7" s="472">
        <v>0</v>
      </c>
      <c r="AF7" s="472">
        <v>0</v>
      </c>
      <c r="AG7" s="472">
        <v>0</v>
      </c>
      <c r="AH7" s="472">
        <v>0</v>
      </c>
      <c r="AI7" s="472">
        <v>0</v>
      </c>
      <c r="AJ7" s="478">
        <v>0</v>
      </c>
      <c r="AK7" s="472">
        <v>0</v>
      </c>
      <c r="AL7" s="472">
        <v>0</v>
      </c>
      <c r="AM7" s="472">
        <v>0</v>
      </c>
      <c r="AN7" s="478">
        <v>0</v>
      </c>
      <c r="AO7" s="641"/>
      <c r="AQ7" s="175" t="s">
        <v>1</v>
      </c>
      <c r="AR7" s="176">
        <f>Worcesterpremhistorylost</f>
        <v>204</v>
      </c>
      <c r="AT7" s="177" t="s">
        <v>168</v>
      </c>
      <c r="AU7" s="189">
        <f>Woreuropeancuphistdrawn</f>
        <v>0</v>
      </c>
      <c r="AV7" s="179" t="s">
        <v>168</v>
      </c>
      <c r="AW7" s="180">
        <f>Worchampscuphistdrawn</f>
        <v>0</v>
      </c>
      <c r="AX7" s="187" t="s">
        <v>168</v>
      </c>
      <c r="AY7" s="188">
        <f>Worchampscuppohistdrawn</f>
        <v>0</v>
      </c>
      <c r="AZ7" s="181" t="s">
        <v>168</v>
      </c>
      <c r="BA7" s="178">
        <f>Worchallcuphistdrawn</f>
        <v>2</v>
      </c>
      <c r="BB7" s="259" t="s">
        <v>168</v>
      </c>
      <c r="BC7" s="260">
        <v>1</v>
      </c>
      <c r="BD7" s="182" t="s">
        <v>168</v>
      </c>
      <c r="BE7" s="183">
        <f t="shared" si="0"/>
        <v>3</v>
      </c>
    </row>
    <row r="8" spans="1:57" ht="14.95" customHeight="1" thickBot="1" x14ac:dyDescent="0.3">
      <c r="A8" s="479" t="s">
        <v>238</v>
      </c>
      <c r="B8" s="461" t="s">
        <v>199</v>
      </c>
      <c r="C8" s="462" t="s">
        <v>25</v>
      </c>
      <c r="D8" s="463" t="s">
        <v>36</v>
      </c>
      <c r="E8" s="463" t="s">
        <v>34</v>
      </c>
      <c r="F8" s="463">
        <v>16</v>
      </c>
      <c r="G8" s="463">
        <v>35</v>
      </c>
      <c r="H8" s="463">
        <v>0</v>
      </c>
      <c r="I8" s="463">
        <v>0</v>
      </c>
      <c r="J8" s="463">
        <v>1</v>
      </c>
      <c r="K8" s="463">
        <v>1</v>
      </c>
      <c r="L8" s="463">
        <v>0</v>
      </c>
      <c r="M8" s="463">
        <v>3</v>
      </c>
      <c r="N8" s="463">
        <v>1</v>
      </c>
      <c r="O8" s="463">
        <v>0</v>
      </c>
      <c r="P8" s="463">
        <v>1</v>
      </c>
      <c r="Q8" s="463">
        <v>0</v>
      </c>
      <c r="R8" s="463">
        <v>5</v>
      </c>
      <c r="S8" s="464">
        <v>11412</v>
      </c>
      <c r="T8" s="485" t="s">
        <v>508</v>
      </c>
      <c r="U8" s="466" t="s">
        <v>304</v>
      </c>
      <c r="V8" s="464" t="s">
        <v>509</v>
      </c>
      <c r="W8" s="464" t="s">
        <v>463</v>
      </c>
      <c r="X8" s="467" t="s">
        <v>319</v>
      </c>
      <c r="Y8" s="464">
        <v>1</v>
      </c>
      <c r="Z8" s="464">
        <v>0</v>
      </c>
      <c r="AA8" s="464">
        <v>0</v>
      </c>
      <c r="AB8" s="464">
        <v>1</v>
      </c>
      <c r="AC8" s="464">
        <v>0</v>
      </c>
      <c r="AD8" s="464">
        <v>0</v>
      </c>
      <c r="AE8" s="464">
        <v>0</v>
      </c>
      <c r="AF8" s="464">
        <v>0</v>
      </c>
      <c r="AG8" s="464">
        <v>1</v>
      </c>
      <c r="AH8" s="464">
        <v>0</v>
      </c>
      <c r="AI8" s="464">
        <v>0</v>
      </c>
      <c r="AJ8" s="466">
        <v>1</v>
      </c>
      <c r="AK8" s="464">
        <v>0</v>
      </c>
      <c r="AL8" s="464">
        <v>0</v>
      </c>
      <c r="AM8" s="464">
        <v>0</v>
      </c>
      <c r="AN8" s="466">
        <v>0</v>
      </c>
      <c r="AQ8" s="175" t="s">
        <v>169</v>
      </c>
      <c r="AR8" s="176">
        <f>Worcesterpremhistoryptsscored</f>
        <v>5465</v>
      </c>
      <c r="AT8" s="177" t="s">
        <v>1</v>
      </c>
      <c r="AU8" s="189">
        <f>Woreuropeancuphistlost</f>
        <v>0</v>
      </c>
      <c r="AV8" s="179" t="s">
        <v>1</v>
      </c>
      <c r="AW8" s="180">
        <f>Worchampscuphistlost</f>
        <v>0</v>
      </c>
      <c r="AX8" s="187" t="s">
        <v>1</v>
      </c>
      <c r="AY8" s="188">
        <f>Worchampscuppohistlost</f>
        <v>0</v>
      </c>
      <c r="AZ8" s="181" t="s">
        <v>1</v>
      </c>
      <c r="BA8" s="178">
        <f>Worchallcuphistlost</f>
        <v>36</v>
      </c>
      <c r="BB8" s="259" t="s">
        <v>1</v>
      </c>
      <c r="BC8" s="260">
        <v>1</v>
      </c>
      <c r="BD8" s="182" t="s">
        <v>1</v>
      </c>
      <c r="BE8" s="183">
        <f t="shared" si="0"/>
        <v>37</v>
      </c>
    </row>
    <row r="9" spans="1:57" ht="14.95" customHeight="1" thickBot="1" x14ac:dyDescent="0.3">
      <c r="A9" s="468" t="s">
        <v>444</v>
      </c>
      <c r="B9" s="469" t="s">
        <v>199</v>
      </c>
      <c r="C9" s="470" t="s">
        <v>28</v>
      </c>
      <c r="D9" s="471" t="s">
        <v>299</v>
      </c>
      <c r="E9" s="471" t="s">
        <v>34</v>
      </c>
      <c r="F9" s="471">
        <v>20</v>
      </c>
      <c r="G9" s="471">
        <v>24</v>
      </c>
      <c r="H9" s="471">
        <v>0</v>
      </c>
      <c r="I9" s="471">
        <v>1</v>
      </c>
      <c r="J9" s="471">
        <v>2</v>
      </c>
      <c r="K9" s="471">
        <v>2</v>
      </c>
      <c r="L9" s="471">
        <v>0</v>
      </c>
      <c r="M9" s="471">
        <v>2</v>
      </c>
      <c r="N9" s="471">
        <v>0</v>
      </c>
      <c r="O9" s="471">
        <v>0</v>
      </c>
      <c r="P9" s="471">
        <v>0</v>
      </c>
      <c r="Q9" s="471">
        <v>0</v>
      </c>
      <c r="R9" s="471">
        <v>3</v>
      </c>
      <c r="S9" s="472">
        <v>8598</v>
      </c>
      <c r="T9" s="480" t="s">
        <v>534</v>
      </c>
      <c r="U9" s="478" t="s">
        <v>463</v>
      </c>
      <c r="V9" s="472" t="s">
        <v>464</v>
      </c>
      <c r="W9" s="472" t="s">
        <v>304</v>
      </c>
      <c r="X9" s="473" t="s">
        <v>319</v>
      </c>
      <c r="Y9" s="472">
        <v>1</v>
      </c>
      <c r="Z9" s="472">
        <v>0</v>
      </c>
      <c r="AA9" s="472">
        <v>0</v>
      </c>
      <c r="AB9" s="472">
        <v>1</v>
      </c>
      <c r="AC9" s="472">
        <v>1</v>
      </c>
      <c r="AD9" s="472">
        <v>0</v>
      </c>
      <c r="AE9" s="472">
        <v>0</v>
      </c>
      <c r="AF9" s="472">
        <v>1</v>
      </c>
      <c r="AG9" s="472">
        <v>0</v>
      </c>
      <c r="AH9" s="472">
        <v>0</v>
      </c>
      <c r="AI9" s="472">
        <v>0</v>
      </c>
      <c r="AJ9" s="478">
        <v>0</v>
      </c>
      <c r="AK9" s="472">
        <v>0</v>
      </c>
      <c r="AL9" s="472">
        <v>0</v>
      </c>
      <c r="AM9" s="472">
        <v>0</v>
      </c>
      <c r="AN9" s="478">
        <v>0</v>
      </c>
      <c r="AQ9" s="175" t="s">
        <v>170</v>
      </c>
      <c r="AR9" s="176">
        <f>worcesterpremhistoryptsagainst</f>
        <v>7439</v>
      </c>
      <c r="AT9" s="177" t="s">
        <v>169</v>
      </c>
      <c r="AU9" s="189">
        <f>Woreuropeancuphistptsscored</f>
        <v>0</v>
      </c>
      <c r="AV9" s="179" t="s">
        <v>169</v>
      </c>
      <c r="AW9" s="180">
        <f>Worchampscuphistptsscored</f>
        <v>0</v>
      </c>
      <c r="AX9" s="187" t="s">
        <v>169</v>
      </c>
      <c r="AY9" s="188">
        <f>Worchampscuppohistptsscored</f>
        <v>0</v>
      </c>
      <c r="AZ9" s="181" t="s">
        <v>169</v>
      </c>
      <c r="BA9" s="178">
        <f>Worchallcuphistptsscored</f>
        <v>2555</v>
      </c>
      <c r="BB9" s="259" t="s">
        <v>169</v>
      </c>
      <c r="BC9" s="260">
        <v>268</v>
      </c>
      <c r="BD9" s="182" t="s">
        <v>169</v>
      </c>
      <c r="BE9" s="183">
        <f t="shared" si="0"/>
        <v>2823</v>
      </c>
    </row>
    <row r="10" spans="1:57" ht="14.95" customHeight="1" thickBot="1" x14ac:dyDescent="0.3">
      <c r="A10" s="479" t="s">
        <v>237</v>
      </c>
      <c r="B10" s="461" t="s">
        <v>199</v>
      </c>
      <c r="C10" s="462" t="s">
        <v>9</v>
      </c>
      <c r="D10" s="463" t="s">
        <v>36</v>
      </c>
      <c r="E10" s="463" t="s">
        <v>32</v>
      </c>
      <c r="F10" s="463">
        <v>19</v>
      </c>
      <c r="G10" s="463">
        <v>14</v>
      </c>
      <c r="H10" s="463">
        <v>0</v>
      </c>
      <c r="I10" s="463">
        <v>0</v>
      </c>
      <c r="J10" s="463">
        <v>1</v>
      </c>
      <c r="K10" s="463">
        <v>1</v>
      </c>
      <c r="L10" s="463">
        <v>0</v>
      </c>
      <c r="M10" s="463">
        <v>4</v>
      </c>
      <c r="N10" s="463">
        <v>0</v>
      </c>
      <c r="O10" s="463">
        <v>0</v>
      </c>
      <c r="P10" s="463">
        <v>0</v>
      </c>
      <c r="Q10" s="463">
        <v>1</v>
      </c>
      <c r="R10" s="463">
        <v>2</v>
      </c>
      <c r="S10" s="635">
        <v>13461</v>
      </c>
      <c r="T10" s="465" t="s">
        <v>533</v>
      </c>
      <c r="U10" s="466" t="s">
        <v>550</v>
      </c>
      <c r="V10" s="464" t="s">
        <v>330</v>
      </c>
      <c r="W10" s="464" t="s">
        <v>305</v>
      </c>
      <c r="X10" s="467" t="s">
        <v>401</v>
      </c>
      <c r="Y10" s="464">
        <v>1</v>
      </c>
      <c r="Z10" s="464">
        <v>1</v>
      </c>
      <c r="AA10" s="464">
        <v>0</v>
      </c>
      <c r="AB10" s="464">
        <v>0</v>
      </c>
      <c r="AC10" s="464">
        <v>0</v>
      </c>
      <c r="AD10" s="464">
        <v>0</v>
      </c>
      <c r="AE10" s="464">
        <v>0</v>
      </c>
      <c r="AF10" s="464">
        <v>0</v>
      </c>
      <c r="AG10" s="464">
        <v>1</v>
      </c>
      <c r="AH10" s="464">
        <v>1</v>
      </c>
      <c r="AI10" s="464">
        <v>0</v>
      </c>
      <c r="AJ10" s="466">
        <v>0</v>
      </c>
      <c r="AK10" s="464">
        <v>0</v>
      </c>
      <c r="AL10" s="464">
        <v>0</v>
      </c>
      <c r="AM10" s="464">
        <v>0</v>
      </c>
      <c r="AN10" s="466">
        <v>0</v>
      </c>
      <c r="AQ10" s="175" t="s">
        <v>73</v>
      </c>
      <c r="AR10" s="176">
        <f>worcesterpremhistorytriesscored</f>
        <v>553</v>
      </c>
      <c r="AT10" s="177" t="s">
        <v>175</v>
      </c>
      <c r="AU10" s="189">
        <f>Woreuropeancuphistptsagainst</f>
        <v>0</v>
      </c>
      <c r="AV10" s="179" t="s">
        <v>175</v>
      </c>
      <c r="AW10" s="180">
        <f>Worchampscuphistptsagainst</f>
        <v>0</v>
      </c>
      <c r="AX10" s="187" t="s">
        <v>175</v>
      </c>
      <c r="AY10" s="188">
        <f>Worchampscuppohistptsagainst</f>
        <v>0</v>
      </c>
      <c r="AZ10" s="181" t="s">
        <v>175</v>
      </c>
      <c r="BA10" s="178">
        <f>Worchallcuphistptsagainst</f>
        <v>1615</v>
      </c>
      <c r="BB10" s="259" t="s">
        <v>175</v>
      </c>
      <c r="BC10" s="260">
        <v>132</v>
      </c>
      <c r="BD10" s="182" t="s">
        <v>175</v>
      </c>
      <c r="BE10" s="183">
        <f t="shared" si="0"/>
        <v>1747</v>
      </c>
    </row>
    <row r="11" spans="1:57" ht="14.95" customHeight="1" thickBot="1" x14ac:dyDescent="0.3">
      <c r="A11" s="784" t="s">
        <v>450</v>
      </c>
      <c r="B11" s="785" t="s">
        <v>142</v>
      </c>
      <c r="C11" s="786" t="s">
        <v>502</v>
      </c>
      <c r="D11" s="787" t="s">
        <v>664</v>
      </c>
      <c r="E11" s="787" t="s">
        <v>32</v>
      </c>
      <c r="F11" s="787">
        <v>57</v>
      </c>
      <c r="G11" s="787">
        <v>14</v>
      </c>
      <c r="H11" s="787">
        <v>1</v>
      </c>
      <c r="I11" s="787">
        <v>0</v>
      </c>
      <c r="J11" s="787">
        <v>9</v>
      </c>
      <c r="K11" s="787">
        <v>6</v>
      </c>
      <c r="L11" s="787">
        <v>0</v>
      </c>
      <c r="M11" s="787">
        <v>0</v>
      </c>
      <c r="N11" s="787">
        <v>0</v>
      </c>
      <c r="O11" s="787">
        <v>0</v>
      </c>
      <c r="P11" s="787">
        <v>0</v>
      </c>
      <c r="Q11" s="787">
        <v>0</v>
      </c>
      <c r="R11" s="787">
        <v>2</v>
      </c>
      <c r="S11" s="788">
        <v>400</v>
      </c>
      <c r="T11" s="793" t="s">
        <v>665</v>
      </c>
      <c r="U11" s="790" t="s">
        <v>666</v>
      </c>
      <c r="V11" s="788" t="s">
        <v>202</v>
      </c>
      <c r="W11" s="788" t="s">
        <v>667</v>
      </c>
      <c r="X11" s="791" t="s">
        <v>668</v>
      </c>
      <c r="Y11" s="788">
        <v>1</v>
      </c>
      <c r="Z11" s="788">
        <v>1</v>
      </c>
      <c r="AA11" s="788">
        <v>0</v>
      </c>
      <c r="AB11" s="788">
        <v>0</v>
      </c>
      <c r="AC11" s="788">
        <v>0</v>
      </c>
      <c r="AD11" s="788">
        <v>0</v>
      </c>
      <c r="AE11" s="788">
        <v>0</v>
      </c>
      <c r="AF11" s="788">
        <v>0</v>
      </c>
      <c r="AG11" s="788">
        <v>1</v>
      </c>
      <c r="AH11" s="788">
        <v>1</v>
      </c>
      <c r="AI11" s="788">
        <v>0</v>
      </c>
      <c r="AJ11" s="790">
        <v>0</v>
      </c>
      <c r="AK11" s="788">
        <v>0</v>
      </c>
      <c r="AL11" s="788">
        <v>0</v>
      </c>
      <c r="AM11" s="788">
        <v>0</v>
      </c>
      <c r="AN11" s="790">
        <v>0</v>
      </c>
      <c r="AQ11" s="175" t="s">
        <v>75</v>
      </c>
      <c r="AR11" s="176">
        <f>worcesterpremhistorytriesagainst</f>
        <v>841</v>
      </c>
      <c r="AT11" s="177" t="s">
        <v>73</v>
      </c>
      <c r="AU11" s="189">
        <f>Woreuropeancuphisttriesscored</f>
        <v>0</v>
      </c>
      <c r="AV11" s="179" t="s">
        <v>73</v>
      </c>
      <c r="AW11" s="180">
        <f>Worchampscuphisttriesscored</f>
        <v>0</v>
      </c>
      <c r="AX11" s="187" t="s">
        <v>73</v>
      </c>
      <c r="AY11" s="188">
        <f>Worchampscuppohisttriesscored</f>
        <v>0</v>
      </c>
      <c r="AZ11" s="181" t="s">
        <v>73</v>
      </c>
      <c r="BA11" s="178">
        <f>Worchallcuphisttriesscored</f>
        <v>346</v>
      </c>
      <c r="BB11" s="259" t="s">
        <v>73</v>
      </c>
      <c r="BC11" s="260">
        <v>39</v>
      </c>
      <c r="BD11" s="182" t="s">
        <v>73</v>
      </c>
      <c r="BE11" s="183">
        <f t="shared" si="0"/>
        <v>385</v>
      </c>
    </row>
    <row r="12" spans="1:57" ht="14.95" customHeight="1" thickBot="1" x14ac:dyDescent="0.3">
      <c r="A12" s="784" t="s">
        <v>235</v>
      </c>
      <c r="B12" s="785" t="s">
        <v>142</v>
      </c>
      <c r="C12" s="786" t="s">
        <v>503</v>
      </c>
      <c r="D12" s="787" t="s">
        <v>36</v>
      </c>
      <c r="E12" s="787" t="s">
        <v>34</v>
      </c>
      <c r="F12" s="787">
        <v>9</v>
      </c>
      <c r="G12" s="787">
        <v>17</v>
      </c>
      <c r="H12" s="787">
        <v>0</v>
      </c>
      <c r="I12" s="787">
        <v>0</v>
      </c>
      <c r="J12" s="787">
        <v>0</v>
      </c>
      <c r="K12" s="787">
        <v>0</v>
      </c>
      <c r="L12" s="787">
        <v>0</v>
      </c>
      <c r="M12" s="787">
        <v>3</v>
      </c>
      <c r="N12" s="787">
        <v>1</v>
      </c>
      <c r="O12" s="787">
        <v>0</v>
      </c>
      <c r="P12" s="787">
        <v>0</v>
      </c>
      <c r="Q12" s="787">
        <v>0</v>
      </c>
      <c r="R12" s="787">
        <v>2</v>
      </c>
      <c r="S12" s="788">
        <v>8277</v>
      </c>
      <c r="T12" s="827" t="s">
        <v>669</v>
      </c>
      <c r="U12" s="815" t="s">
        <v>619</v>
      </c>
      <c r="V12" s="816" t="s">
        <v>670</v>
      </c>
      <c r="W12" s="788" t="s">
        <v>621</v>
      </c>
      <c r="X12" s="791" t="s">
        <v>622</v>
      </c>
      <c r="Y12" s="788">
        <v>1</v>
      </c>
      <c r="Z12" s="788">
        <v>0</v>
      </c>
      <c r="AA12" s="788">
        <v>0</v>
      </c>
      <c r="AB12" s="788">
        <v>1</v>
      </c>
      <c r="AC12" s="788">
        <v>0</v>
      </c>
      <c r="AD12" s="788">
        <v>0</v>
      </c>
      <c r="AE12" s="788">
        <v>0</v>
      </c>
      <c r="AF12" s="788">
        <v>0</v>
      </c>
      <c r="AG12" s="788">
        <v>1</v>
      </c>
      <c r="AH12" s="788">
        <v>0</v>
      </c>
      <c r="AI12" s="788">
        <v>0</v>
      </c>
      <c r="AJ12" s="790">
        <v>1</v>
      </c>
      <c r="AK12" s="788">
        <v>0</v>
      </c>
      <c r="AL12" s="788">
        <v>0</v>
      </c>
      <c r="AM12" s="788">
        <v>0</v>
      </c>
      <c r="AN12" s="790">
        <v>0</v>
      </c>
      <c r="AT12" s="177" t="s">
        <v>176</v>
      </c>
      <c r="AU12" s="189">
        <f>Woreuropeancuphisttriesagainst</f>
        <v>0</v>
      </c>
      <c r="AV12" s="179" t="s">
        <v>176</v>
      </c>
      <c r="AW12" s="180">
        <f>Worchampscuphisttriesagaionst</f>
        <v>0</v>
      </c>
      <c r="AX12" s="187" t="s">
        <v>176</v>
      </c>
      <c r="AY12" s="188">
        <f>Worchampscuppohisttriesagainst</f>
        <v>0</v>
      </c>
      <c r="AZ12" s="181" t="s">
        <v>176</v>
      </c>
      <c r="BA12" s="178">
        <f>Worchallcuphisttriesagainst</f>
        <v>177</v>
      </c>
      <c r="BB12" s="259" t="s">
        <v>176</v>
      </c>
      <c r="BC12" s="260">
        <v>14</v>
      </c>
      <c r="BD12" s="182" t="s">
        <v>176</v>
      </c>
      <c r="BE12" s="183">
        <f t="shared" si="0"/>
        <v>191</v>
      </c>
    </row>
    <row r="13" spans="1:57" ht="14.95" customHeight="1" thickBot="1" x14ac:dyDescent="0.3">
      <c r="A13" s="468" t="s">
        <v>236</v>
      </c>
      <c r="B13" s="469" t="s">
        <v>199</v>
      </c>
      <c r="C13" s="470" t="s">
        <v>27</v>
      </c>
      <c r="D13" s="471" t="s">
        <v>299</v>
      </c>
      <c r="E13" s="471" t="s">
        <v>32</v>
      </c>
      <c r="F13" s="471">
        <v>20</v>
      </c>
      <c r="G13" s="471">
        <v>13</v>
      </c>
      <c r="H13" s="471">
        <v>0</v>
      </c>
      <c r="I13" s="471">
        <v>0</v>
      </c>
      <c r="J13" s="471">
        <v>2</v>
      </c>
      <c r="K13" s="471">
        <v>2</v>
      </c>
      <c r="L13" s="471">
        <v>0</v>
      </c>
      <c r="M13" s="471">
        <v>2</v>
      </c>
      <c r="N13" s="471">
        <v>0</v>
      </c>
      <c r="O13" s="471">
        <v>0</v>
      </c>
      <c r="P13" s="471">
        <v>0</v>
      </c>
      <c r="Q13" s="471">
        <v>1</v>
      </c>
      <c r="R13" s="471">
        <v>2</v>
      </c>
      <c r="S13" s="472">
        <v>8409</v>
      </c>
      <c r="T13" s="498" t="s">
        <v>515</v>
      </c>
      <c r="U13" s="478" t="s">
        <v>633</v>
      </c>
      <c r="V13" s="472" t="s">
        <v>634</v>
      </c>
      <c r="W13" s="472" t="s">
        <v>308</v>
      </c>
      <c r="X13" s="473" t="s">
        <v>475</v>
      </c>
      <c r="Y13" s="472">
        <v>1</v>
      </c>
      <c r="Z13" s="472">
        <v>1</v>
      </c>
      <c r="AA13" s="472">
        <v>0</v>
      </c>
      <c r="AB13" s="472">
        <v>0</v>
      </c>
      <c r="AC13" s="472">
        <v>1</v>
      </c>
      <c r="AD13" s="472">
        <v>1</v>
      </c>
      <c r="AE13" s="472">
        <v>0</v>
      </c>
      <c r="AF13" s="472">
        <v>0</v>
      </c>
      <c r="AG13" s="472">
        <v>0</v>
      </c>
      <c r="AH13" s="472">
        <v>0</v>
      </c>
      <c r="AI13" s="472">
        <v>0</v>
      </c>
      <c r="AJ13" s="478">
        <v>0</v>
      </c>
      <c r="AK13" s="472">
        <v>0</v>
      </c>
      <c r="AL13" s="472">
        <v>0</v>
      </c>
      <c r="AM13" s="472">
        <v>0</v>
      </c>
      <c r="AN13" s="478">
        <v>0</v>
      </c>
    </row>
    <row r="14" spans="1:57" ht="14.95" customHeight="1" thickBot="1" x14ac:dyDescent="0.3">
      <c r="A14" s="597" t="s">
        <v>243</v>
      </c>
      <c r="B14" s="598" t="s">
        <v>142</v>
      </c>
      <c r="C14" s="599" t="s">
        <v>504</v>
      </c>
      <c r="D14" s="600" t="s">
        <v>299</v>
      </c>
      <c r="E14" s="600" t="s">
        <v>32</v>
      </c>
      <c r="F14" s="600">
        <v>34</v>
      </c>
      <c r="G14" s="600">
        <v>28</v>
      </c>
      <c r="H14" s="600">
        <v>1</v>
      </c>
      <c r="I14" s="600">
        <v>0</v>
      </c>
      <c r="J14" s="600">
        <v>4</v>
      </c>
      <c r="K14" s="600">
        <v>4</v>
      </c>
      <c r="L14" s="600">
        <v>0</v>
      </c>
      <c r="M14" s="600">
        <v>2</v>
      </c>
      <c r="N14" s="600">
        <v>0</v>
      </c>
      <c r="O14" s="600">
        <v>0</v>
      </c>
      <c r="P14" s="600">
        <v>0</v>
      </c>
      <c r="Q14" s="600">
        <v>1</v>
      </c>
      <c r="R14" s="600">
        <v>3</v>
      </c>
      <c r="S14" s="601">
        <v>6899</v>
      </c>
      <c r="T14" s="602" t="s">
        <v>542</v>
      </c>
      <c r="U14" s="603" t="s">
        <v>671</v>
      </c>
      <c r="V14" s="601" t="s">
        <v>202</v>
      </c>
      <c r="W14" s="601" t="s">
        <v>667</v>
      </c>
      <c r="X14" s="604" t="s">
        <v>672</v>
      </c>
      <c r="Y14" s="601">
        <v>1</v>
      </c>
      <c r="Z14" s="601">
        <v>1</v>
      </c>
      <c r="AA14" s="601">
        <v>0</v>
      </c>
      <c r="AB14" s="601">
        <v>0</v>
      </c>
      <c r="AC14" s="601">
        <v>1</v>
      </c>
      <c r="AD14" s="601">
        <v>1</v>
      </c>
      <c r="AE14" s="601">
        <v>0</v>
      </c>
      <c r="AF14" s="601">
        <v>0</v>
      </c>
      <c r="AG14" s="601">
        <v>0</v>
      </c>
      <c r="AH14" s="601">
        <v>0</v>
      </c>
      <c r="AI14" s="601">
        <v>0</v>
      </c>
      <c r="AJ14" s="603">
        <v>0</v>
      </c>
      <c r="AK14" s="601">
        <v>0</v>
      </c>
      <c r="AL14" s="601">
        <v>0</v>
      </c>
      <c r="AM14" s="601">
        <v>0</v>
      </c>
      <c r="AN14" s="603">
        <v>0</v>
      </c>
    </row>
    <row r="15" spans="1:57" ht="14.95" customHeight="1" thickBot="1" x14ac:dyDescent="0.3">
      <c r="A15" s="784" t="s">
        <v>455</v>
      </c>
      <c r="B15" s="785" t="s">
        <v>142</v>
      </c>
      <c r="C15" s="786" t="s">
        <v>504</v>
      </c>
      <c r="D15" s="787" t="s">
        <v>36</v>
      </c>
      <c r="E15" s="787" t="s">
        <v>34</v>
      </c>
      <c r="F15" s="787">
        <v>16</v>
      </c>
      <c r="G15" s="787">
        <v>25</v>
      </c>
      <c r="H15" s="787">
        <v>0</v>
      </c>
      <c r="I15" s="787">
        <v>0</v>
      </c>
      <c r="J15" s="787">
        <v>1</v>
      </c>
      <c r="K15" s="787">
        <v>1</v>
      </c>
      <c r="L15" s="787">
        <v>0</v>
      </c>
      <c r="M15" s="787">
        <v>3</v>
      </c>
      <c r="N15" s="787">
        <v>1</v>
      </c>
      <c r="O15" s="787">
        <v>1</v>
      </c>
      <c r="P15" s="787">
        <v>0</v>
      </c>
      <c r="Q15" s="787">
        <v>0</v>
      </c>
      <c r="R15" s="787">
        <v>1</v>
      </c>
      <c r="S15" s="810">
        <v>4037</v>
      </c>
      <c r="T15" s="789" t="s">
        <v>533</v>
      </c>
      <c r="U15" s="811" t="s">
        <v>646</v>
      </c>
      <c r="V15" s="810" t="s">
        <v>202</v>
      </c>
      <c r="W15" s="810" t="s">
        <v>657</v>
      </c>
      <c r="X15" s="812" t="s">
        <v>658</v>
      </c>
      <c r="Y15" s="810">
        <v>1</v>
      </c>
      <c r="Z15" s="810">
        <v>0</v>
      </c>
      <c r="AA15" s="810">
        <v>0</v>
      </c>
      <c r="AB15" s="810">
        <v>1</v>
      </c>
      <c r="AC15" s="810">
        <v>0</v>
      </c>
      <c r="AD15" s="810">
        <v>0</v>
      </c>
      <c r="AE15" s="810">
        <v>0</v>
      </c>
      <c r="AF15" s="810">
        <v>0</v>
      </c>
      <c r="AG15" s="810">
        <v>1</v>
      </c>
      <c r="AH15" s="810">
        <v>0</v>
      </c>
      <c r="AI15" s="810">
        <v>0</v>
      </c>
      <c r="AJ15" s="811">
        <v>1</v>
      </c>
      <c r="AK15" s="810">
        <v>0</v>
      </c>
      <c r="AL15" s="810">
        <v>0</v>
      </c>
      <c r="AM15" s="810">
        <v>0</v>
      </c>
      <c r="AN15" s="811">
        <v>0</v>
      </c>
    </row>
    <row r="16" spans="1:57" ht="14.95" customHeight="1" thickBot="1" x14ac:dyDescent="0.3">
      <c r="A16" s="479" t="s">
        <v>501</v>
      </c>
      <c r="B16" s="461" t="s">
        <v>199</v>
      </c>
      <c r="C16" s="462" t="s">
        <v>24</v>
      </c>
      <c r="D16" s="463" t="s">
        <v>36</v>
      </c>
      <c r="E16" s="463" t="s">
        <v>34</v>
      </c>
      <c r="F16" s="463">
        <v>3</v>
      </c>
      <c r="G16" s="463">
        <v>36</v>
      </c>
      <c r="H16" s="463">
        <v>0</v>
      </c>
      <c r="I16" s="463">
        <v>0</v>
      </c>
      <c r="J16" s="463">
        <v>0</v>
      </c>
      <c r="K16" s="463">
        <v>0</v>
      </c>
      <c r="L16" s="463">
        <v>0</v>
      </c>
      <c r="M16" s="463">
        <v>1</v>
      </c>
      <c r="N16" s="463">
        <v>1</v>
      </c>
      <c r="O16" s="463">
        <v>0</v>
      </c>
      <c r="P16" s="463">
        <v>1</v>
      </c>
      <c r="Q16" s="463">
        <v>0</v>
      </c>
      <c r="R16" s="463">
        <v>5</v>
      </c>
      <c r="S16" s="464">
        <v>13787</v>
      </c>
      <c r="T16" s="482" t="s">
        <v>691</v>
      </c>
      <c r="U16" s="466" t="s">
        <v>326</v>
      </c>
      <c r="V16" s="464" t="s">
        <v>692</v>
      </c>
      <c r="W16" s="464" t="s">
        <v>320</v>
      </c>
      <c r="X16" s="467" t="s">
        <v>356</v>
      </c>
      <c r="Y16" s="464">
        <v>1</v>
      </c>
      <c r="Z16" s="464">
        <v>0</v>
      </c>
      <c r="AA16" s="464">
        <v>0</v>
      </c>
      <c r="AB16" s="464">
        <v>1</v>
      </c>
      <c r="AC16" s="464">
        <v>0</v>
      </c>
      <c r="AD16" s="464">
        <v>0</v>
      </c>
      <c r="AE16" s="464">
        <v>0</v>
      </c>
      <c r="AF16" s="464">
        <v>0</v>
      </c>
      <c r="AG16" s="464">
        <v>1</v>
      </c>
      <c r="AH16" s="464">
        <v>0</v>
      </c>
      <c r="AI16" s="464">
        <v>0</v>
      </c>
      <c r="AJ16" s="466">
        <v>1</v>
      </c>
      <c r="AK16" s="464">
        <v>0</v>
      </c>
      <c r="AL16" s="464">
        <v>0</v>
      </c>
      <c r="AM16" s="464">
        <v>0</v>
      </c>
      <c r="AN16" s="466">
        <v>0</v>
      </c>
    </row>
    <row r="17" spans="1:40" ht="14.95" customHeight="1" thickBot="1" x14ac:dyDescent="0.3">
      <c r="A17" s="468" t="s">
        <v>257</v>
      </c>
      <c r="B17" s="469" t="s">
        <v>199</v>
      </c>
      <c r="C17" s="470" t="s">
        <v>11</v>
      </c>
      <c r="D17" s="471" t="s">
        <v>299</v>
      </c>
      <c r="E17" s="471" t="s">
        <v>32</v>
      </c>
      <c r="F17" s="471">
        <v>20</v>
      </c>
      <c r="G17" s="471">
        <v>6</v>
      </c>
      <c r="H17" s="471">
        <v>0</v>
      </c>
      <c r="I17" s="471">
        <v>0</v>
      </c>
      <c r="J17" s="471">
        <v>2</v>
      </c>
      <c r="K17" s="471">
        <v>2</v>
      </c>
      <c r="L17" s="471">
        <v>0</v>
      </c>
      <c r="M17" s="471">
        <v>0</v>
      </c>
      <c r="N17" s="471">
        <v>1</v>
      </c>
      <c r="O17" s="471">
        <v>0</v>
      </c>
      <c r="P17" s="471">
        <v>0</v>
      </c>
      <c r="Q17" s="471">
        <v>0</v>
      </c>
      <c r="R17" s="471">
        <v>0</v>
      </c>
      <c r="S17" s="595">
        <v>11499</v>
      </c>
      <c r="T17" s="480" t="s">
        <v>510</v>
      </c>
      <c r="U17" s="478" t="s">
        <v>318</v>
      </c>
      <c r="V17" s="472" t="s">
        <v>330</v>
      </c>
      <c r="W17" s="472" t="s">
        <v>323</v>
      </c>
      <c r="X17" s="473" t="s">
        <v>715</v>
      </c>
      <c r="Y17" s="472">
        <v>1</v>
      </c>
      <c r="Z17" s="472">
        <v>1</v>
      </c>
      <c r="AA17" s="472">
        <v>0</v>
      </c>
      <c r="AB17" s="472">
        <v>0</v>
      </c>
      <c r="AC17" s="472">
        <v>1</v>
      </c>
      <c r="AD17" s="472">
        <v>1</v>
      </c>
      <c r="AE17" s="472">
        <v>0</v>
      </c>
      <c r="AF17" s="472">
        <v>0</v>
      </c>
      <c r="AG17" s="472">
        <v>0</v>
      </c>
      <c r="AH17" s="472">
        <v>0</v>
      </c>
      <c r="AI17" s="472">
        <v>0</v>
      </c>
      <c r="AJ17" s="478">
        <v>0</v>
      </c>
      <c r="AK17" s="472">
        <v>0</v>
      </c>
      <c r="AL17" s="472">
        <v>0</v>
      </c>
      <c r="AM17" s="472">
        <v>0</v>
      </c>
      <c r="AN17" s="478">
        <v>0</v>
      </c>
    </row>
    <row r="18" spans="1:40" ht="14.95" customHeight="1" thickBot="1" x14ac:dyDescent="0.3">
      <c r="A18" s="479" t="s">
        <v>258</v>
      </c>
      <c r="B18" s="461" t="s">
        <v>199</v>
      </c>
      <c r="C18" s="462" t="s">
        <v>19</v>
      </c>
      <c r="D18" s="463" t="s">
        <v>36</v>
      </c>
      <c r="E18" s="463" t="s">
        <v>34</v>
      </c>
      <c r="F18" s="463">
        <v>5</v>
      </c>
      <c r="G18" s="463">
        <v>62</v>
      </c>
      <c r="H18" s="463">
        <v>0</v>
      </c>
      <c r="I18" s="463">
        <v>0</v>
      </c>
      <c r="J18" s="463">
        <v>1</v>
      </c>
      <c r="K18" s="463">
        <v>0</v>
      </c>
      <c r="L18" s="463">
        <v>0</v>
      </c>
      <c r="M18" s="463">
        <v>0</v>
      </c>
      <c r="N18" s="463">
        <v>1</v>
      </c>
      <c r="O18" s="463">
        <v>0</v>
      </c>
      <c r="P18" s="463">
        <v>1</v>
      </c>
      <c r="Q18" s="463">
        <v>0</v>
      </c>
      <c r="R18" s="463">
        <v>10</v>
      </c>
      <c r="S18" s="464">
        <v>8250</v>
      </c>
      <c r="T18" s="485" t="s">
        <v>732</v>
      </c>
      <c r="U18" s="466" t="s">
        <v>396</v>
      </c>
      <c r="V18" s="464" t="s">
        <v>403</v>
      </c>
      <c r="W18" s="464" t="s">
        <v>308</v>
      </c>
      <c r="X18" s="467" t="s">
        <v>475</v>
      </c>
      <c r="Y18" s="464">
        <v>1</v>
      </c>
      <c r="Z18" s="464">
        <v>0</v>
      </c>
      <c r="AA18" s="464">
        <v>0</v>
      </c>
      <c r="AB18" s="464">
        <v>1</v>
      </c>
      <c r="AC18" s="464">
        <v>0</v>
      </c>
      <c r="AD18" s="464">
        <v>0</v>
      </c>
      <c r="AE18" s="464">
        <v>0</v>
      </c>
      <c r="AF18" s="464">
        <v>0</v>
      </c>
      <c r="AG18" s="464">
        <v>1</v>
      </c>
      <c r="AH18" s="464">
        <v>0</v>
      </c>
      <c r="AI18" s="464">
        <v>0</v>
      </c>
      <c r="AJ18" s="466">
        <v>1</v>
      </c>
      <c r="AK18" s="464">
        <v>0</v>
      </c>
      <c r="AL18" s="464">
        <v>0</v>
      </c>
      <c r="AM18" s="464">
        <v>0</v>
      </c>
      <c r="AN18" s="466">
        <v>0</v>
      </c>
    </row>
    <row r="19" spans="1:40" ht="14.95" customHeight="1" thickBot="1" x14ac:dyDescent="0.3">
      <c r="A19" s="597" t="s">
        <v>245</v>
      </c>
      <c r="B19" s="598" t="s">
        <v>142</v>
      </c>
      <c r="C19" s="599" t="s">
        <v>502</v>
      </c>
      <c r="D19" s="600" t="s">
        <v>299</v>
      </c>
      <c r="E19" s="600" t="s">
        <v>32</v>
      </c>
      <c r="F19" s="600">
        <v>66</v>
      </c>
      <c r="G19" s="600">
        <v>10</v>
      </c>
      <c r="H19" s="600">
        <v>1</v>
      </c>
      <c r="I19" s="600">
        <v>0</v>
      </c>
      <c r="J19" s="600">
        <v>10</v>
      </c>
      <c r="K19" s="600">
        <v>8</v>
      </c>
      <c r="L19" s="600">
        <v>0</v>
      </c>
      <c r="M19" s="600">
        <v>0</v>
      </c>
      <c r="N19" s="600">
        <v>0</v>
      </c>
      <c r="O19" s="600">
        <v>0</v>
      </c>
      <c r="P19" s="600">
        <v>0</v>
      </c>
      <c r="Q19" s="600">
        <v>0</v>
      </c>
      <c r="R19" s="600">
        <v>1</v>
      </c>
      <c r="S19" s="633">
        <v>6287</v>
      </c>
      <c r="T19" s="602" t="s">
        <v>811</v>
      </c>
      <c r="U19" s="603" t="s">
        <v>654</v>
      </c>
      <c r="V19" s="601" t="s">
        <v>202</v>
      </c>
      <c r="W19" s="601" t="s">
        <v>779</v>
      </c>
      <c r="X19" s="604" t="s">
        <v>563</v>
      </c>
      <c r="Y19" s="601">
        <v>1</v>
      </c>
      <c r="Z19" s="601">
        <v>1</v>
      </c>
      <c r="AA19" s="601">
        <v>0</v>
      </c>
      <c r="AB19" s="601">
        <v>0</v>
      </c>
      <c r="AC19" s="601">
        <v>1</v>
      </c>
      <c r="AD19" s="601">
        <v>1</v>
      </c>
      <c r="AE19" s="601">
        <v>0</v>
      </c>
      <c r="AF19" s="601">
        <v>0</v>
      </c>
      <c r="AG19" s="601">
        <v>0</v>
      </c>
      <c r="AH19" s="601">
        <v>0</v>
      </c>
      <c r="AI19" s="601">
        <v>0</v>
      </c>
      <c r="AJ19" s="603">
        <v>0</v>
      </c>
      <c r="AK19" s="601">
        <v>0</v>
      </c>
      <c r="AL19" s="601">
        <v>0</v>
      </c>
      <c r="AM19" s="601">
        <v>0</v>
      </c>
      <c r="AN19" s="603">
        <v>0</v>
      </c>
    </row>
    <row r="20" spans="1:40" ht="14.95" customHeight="1" thickBot="1" x14ac:dyDescent="0.3">
      <c r="A20" s="597" t="s">
        <v>505</v>
      </c>
      <c r="B20" s="598" t="s">
        <v>142</v>
      </c>
      <c r="C20" s="599" t="s">
        <v>503</v>
      </c>
      <c r="D20" s="600" t="s">
        <v>299</v>
      </c>
      <c r="E20" s="600" t="s">
        <v>34</v>
      </c>
      <c r="F20" s="600">
        <v>27</v>
      </c>
      <c r="G20" s="600">
        <v>33</v>
      </c>
      <c r="H20" s="600">
        <v>0</v>
      </c>
      <c r="I20" s="600">
        <v>1</v>
      </c>
      <c r="J20" s="600">
        <v>3</v>
      </c>
      <c r="K20" s="600">
        <v>3</v>
      </c>
      <c r="L20" s="600">
        <v>0</v>
      </c>
      <c r="M20" s="600">
        <v>2</v>
      </c>
      <c r="N20" s="600">
        <v>1</v>
      </c>
      <c r="O20" s="600">
        <v>0</v>
      </c>
      <c r="P20" s="600">
        <v>1</v>
      </c>
      <c r="Q20" s="600">
        <v>0</v>
      </c>
      <c r="R20" s="600">
        <v>5</v>
      </c>
      <c r="S20" s="601">
        <v>6938</v>
      </c>
      <c r="T20" s="783" t="s">
        <v>812</v>
      </c>
      <c r="U20" s="603" t="s">
        <v>756</v>
      </c>
      <c r="V20" s="601" t="s">
        <v>202</v>
      </c>
      <c r="W20" s="601" t="s">
        <v>605</v>
      </c>
      <c r="X20" s="604" t="s">
        <v>758</v>
      </c>
      <c r="Y20" s="601">
        <v>1</v>
      </c>
      <c r="Z20" s="601">
        <v>0</v>
      </c>
      <c r="AA20" s="601">
        <v>0</v>
      </c>
      <c r="AB20" s="601">
        <v>1</v>
      </c>
      <c r="AC20" s="601">
        <v>1</v>
      </c>
      <c r="AD20" s="601">
        <v>0</v>
      </c>
      <c r="AE20" s="601">
        <v>0</v>
      </c>
      <c r="AF20" s="601">
        <v>1</v>
      </c>
      <c r="AG20" s="601">
        <v>0</v>
      </c>
      <c r="AH20" s="601">
        <v>0</v>
      </c>
      <c r="AI20" s="601">
        <v>0</v>
      </c>
      <c r="AJ20" s="603">
        <v>0</v>
      </c>
      <c r="AK20" s="601">
        <v>0</v>
      </c>
      <c r="AL20" s="601">
        <v>0</v>
      </c>
      <c r="AM20" s="601">
        <v>0</v>
      </c>
      <c r="AN20" s="603">
        <v>0</v>
      </c>
    </row>
    <row r="21" spans="1:40" ht="14.95" customHeight="1" thickBot="1" x14ac:dyDescent="0.3">
      <c r="A21" s="468" t="s">
        <v>442</v>
      </c>
      <c r="B21" s="469" t="s">
        <v>199</v>
      </c>
      <c r="C21" s="470" t="s">
        <v>106</v>
      </c>
      <c r="D21" s="471" t="s">
        <v>299</v>
      </c>
      <c r="E21" s="471" t="s">
        <v>34</v>
      </c>
      <c r="F21" s="471">
        <v>26</v>
      </c>
      <c r="G21" s="471">
        <v>30</v>
      </c>
      <c r="H21" s="471">
        <v>0</v>
      </c>
      <c r="I21" s="471">
        <v>1</v>
      </c>
      <c r="J21" s="471">
        <v>2</v>
      </c>
      <c r="K21" s="471">
        <v>2</v>
      </c>
      <c r="L21" s="471">
        <v>0</v>
      </c>
      <c r="M21" s="471">
        <v>4</v>
      </c>
      <c r="N21" s="471">
        <v>0</v>
      </c>
      <c r="O21" s="471">
        <v>0</v>
      </c>
      <c r="P21" s="471">
        <v>1</v>
      </c>
      <c r="Q21" s="471">
        <v>0</v>
      </c>
      <c r="R21" s="471">
        <v>4</v>
      </c>
      <c r="S21" s="504">
        <v>8846</v>
      </c>
      <c r="T21" s="477" t="s">
        <v>361</v>
      </c>
      <c r="U21" s="478" t="s">
        <v>396</v>
      </c>
      <c r="V21" s="472" t="s">
        <v>403</v>
      </c>
      <c r="W21" s="472" t="s">
        <v>308</v>
      </c>
      <c r="X21" s="473" t="s">
        <v>404</v>
      </c>
      <c r="Y21" s="472">
        <v>1</v>
      </c>
      <c r="Z21" s="472">
        <v>0</v>
      </c>
      <c r="AA21" s="472">
        <v>0</v>
      </c>
      <c r="AB21" s="472">
        <v>1</v>
      </c>
      <c r="AC21" s="472">
        <v>1</v>
      </c>
      <c r="AD21" s="472">
        <v>0</v>
      </c>
      <c r="AE21" s="472">
        <v>0</v>
      </c>
      <c r="AF21" s="472">
        <v>1</v>
      </c>
      <c r="AG21" s="472">
        <v>0</v>
      </c>
      <c r="AH21" s="472">
        <v>0</v>
      </c>
      <c r="AI21" s="472">
        <v>0</v>
      </c>
      <c r="AJ21" s="478">
        <v>0</v>
      </c>
      <c r="AK21" s="472">
        <v>0</v>
      </c>
      <c r="AL21" s="472">
        <v>0</v>
      </c>
      <c r="AM21" s="472">
        <v>0</v>
      </c>
      <c r="AN21" s="478">
        <v>0</v>
      </c>
    </row>
    <row r="22" spans="1:40" ht="14.95" customHeight="1" thickBot="1" x14ac:dyDescent="0.3">
      <c r="A22" s="468" t="s">
        <v>458</v>
      </c>
      <c r="B22" s="469" t="s">
        <v>199</v>
      </c>
      <c r="C22" s="470" t="s">
        <v>274</v>
      </c>
      <c r="D22" s="471" t="s">
        <v>299</v>
      </c>
      <c r="E22" s="471" t="s">
        <v>34</v>
      </c>
      <c r="F22" s="471">
        <v>21</v>
      </c>
      <c r="G22" s="471">
        <v>22</v>
      </c>
      <c r="H22" s="471">
        <v>0</v>
      </c>
      <c r="I22" s="471">
        <v>1</v>
      </c>
      <c r="J22" s="471">
        <v>2</v>
      </c>
      <c r="K22" s="471">
        <v>1</v>
      </c>
      <c r="L22" s="471">
        <v>0</v>
      </c>
      <c r="M22" s="471">
        <v>3</v>
      </c>
      <c r="N22" s="471">
        <v>1</v>
      </c>
      <c r="O22" s="471">
        <v>0</v>
      </c>
      <c r="P22" s="471">
        <v>0</v>
      </c>
      <c r="Q22" s="471">
        <v>0</v>
      </c>
      <c r="R22" s="471">
        <v>3</v>
      </c>
      <c r="S22" s="484">
        <v>8064</v>
      </c>
      <c r="T22" s="480" t="s">
        <v>542</v>
      </c>
      <c r="U22" s="478" t="s">
        <v>326</v>
      </c>
      <c r="V22" s="472" t="s">
        <v>330</v>
      </c>
      <c r="W22" s="472" t="s">
        <v>316</v>
      </c>
      <c r="X22" s="473" t="s">
        <v>306</v>
      </c>
      <c r="Y22" s="472">
        <v>1</v>
      </c>
      <c r="Z22" s="472">
        <v>0</v>
      </c>
      <c r="AA22" s="472">
        <v>0</v>
      </c>
      <c r="AB22" s="472">
        <v>1</v>
      </c>
      <c r="AC22" s="472">
        <v>1</v>
      </c>
      <c r="AD22" s="472">
        <v>0</v>
      </c>
      <c r="AE22" s="472">
        <v>0</v>
      </c>
      <c r="AF22" s="472">
        <v>1</v>
      </c>
      <c r="AG22" s="472">
        <v>0</v>
      </c>
      <c r="AH22" s="472">
        <v>0</v>
      </c>
      <c r="AI22" s="472">
        <v>0</v>
      </c>
      <c r="AJ22" s="478">
        <v>0</v>
      </c>
      <c r="AK22" s="472">
        <v>0</v>
      </c>
      <c r="AL22" s="472">
        <v>0</v>
      </c>
      <c r="AM22" s="472">
        <v>0</v>
      </c>
      <c r="AN22" s="478">
        <v>0</v>
      </c>
    </row>
    <row r="23" spans="1:40" ht="14.95" customHeight="1" thickBot="1" x14ac:dyDescent="0.3">
      <c r="A23" s="479" t="s">
        <v>727</v>
      </c>
      <c r="B23" s="461" t="s">
        <v>199</v>
      </c>
      <c r="C23" s="462" t="s">
        <v>165</v>
      </c>
      <c r="D23" s="463" t="s">
        <v>36</v>
      </c>
      <c r="E23" s="463" t="s">
        <v>34</v>
      </c>
      <c r="F23" s="463">
        <v>10</v>
      </c>
      <c r="G23" s="463">
        <v>13</v>
      </c>
      <c r="H23" s="463">
        <v>0</v>
      </c>
      <c r="I23" s="463">
        <v>1</v>
      </c>
      <c r="J23" s="463">
        <v>1</v>
      </c>
      <c r="K23" s="463">
        <v>1</v>
      </c>
      <c r="L23" s="463">
        <v>0</v>
      </c>
      <c r="M23" s="463">
        <v>1</v>
      </c>
      <c r="N23" s="463">
        <v>2</v>
      </c>
      <c r="O23" s="463">
        <v>0</v>
      </c>
      <c r="P23" s="463">
        <v>0</v>
      </c>
      <c r="Q23" s="463">
        <v>0</v>
      </c>
      <c r="R23" s="463">
        <v>1</v>
      </c>
      <c r="S23" s="464">
        <v>12867</v>
      </c>
      <c r="T23" s="485" t="s">
        <v>471</v>
      </c>
      <c r="U23" s="466" t="s">
        <v>324</v>
      </c>
      <c r="V23" s="464" t="s">
        <v>464</v>
      </c>
      <c r="W23" s="464" t="s">
        <v>343</v>
      </c>
      <c r="X23" s="467" t="s">
        <v>325</v>
      </c>
      <c r="Y23" s="464">
        <v>1</v>
      </c>
      <c r="Z23" s="464">
        <v>0</v>
      </c>
      <c r="AA23" s="464">
        <v>0</v>
      </c>
      <c r="AB23" s="464">
        <v>1</v>
      </c>
      <c r="AC23" s="464">
        <v>0</v>
      </c>
      <c r="AD23" s="464">
        <v>0</v>
      </c>
      <c r="AE23" s="464">
        <v>0</v>
      </c>
      <c r="AF23" s="464">
        <v>0</v>
      </c>
      <c r="AG23" s="464">
        <v>1</v>
      </c>
      <c r="AH23" s="464">
        <v>0</v>
      </c>
      <c r="AI23" s="464">
        <v>0</v>
      </c>
      <c r="AJ23" s="466">
        <v>1</v>
      </c>
      <c r="AK23" s="464">
        <v>0</v>
      </c>
      <c r="AL23" s="464">
        <v>0</v>
      </c>
      <c r="AM23" s="464">
        <v>0</v>
      </c>
      <c r="AN23" s="466">
        <v>0</v>
      </c>
    </row>
    <row r="24" spans="1:40" ht="14.95" customHeight="1" thickBot="1" x14ac:dyDescent="0.3">
      <c r="A24" s="479" t="s">
        <v>294</v>
      </c>
      <c r="B24" s="461" t="s">
        <v>199</v>
      </c>
      <c r="C24" s="462" t="s">
        <v>26</v>
      </c>
      <c r="D24" s="463" t="s">
        <v>36</v>
      </c>
      <c r="E24" s="463" t="s">
        <v>34</v>
      </c>
      <c r="F24" s="463">
        <v>8</v>
      </c>
      <c r="G24" s="463">
        <v>14</v>
      </c>
      <c r="H24" s="463">
        <v>0</v>
      </c>
      <c r="I24" s="463">
        <v>1</v>
      </c>
      <c r="J24" s="463">
        <v>1</v>
      </c>
      <c r="K24" s="463">
        <v>0</v>
      </c>
      <c r="L24" s="463">
        <v>0</v>
      </c>
      <c r="M24" s="463">
        <v>1</v>
      </c>
      <c r="N24" s="463">
        <v>0</v>
      </c>
      <c r="O24" s="463">
        <v>0</v>
      </c>
      <c r="P24" s="463">
        <v>0</v>
      </c>
      <c r="Q24" s="463">
        <v>0</v>
      </c>
      <c r="R24" s="463">
        <v>1</v>
      </c>
      <c r="S24" s="464">
        <v>18268</v>
      </c>
      <c r="T24" s="734" t="s">
        <v>810</v>
      </c>
      <c r="U24" s="466" t="s">
        <v>308</v>
      </c>
      <c r="V24" s="464" t="s">
        <v>352</v>
      </c>
      <c r="W24" s="464" t="s">
        <v>396</v>
      </c>
      <c r="X24" s="467" t="s">
        <v>394</v>
      </c>
      <c r="Y24" s="464">
        <v>1</v>
      </c>
      <c r="Z24" s="464">
        <v>0</v>
      </c>
      <c r="AA24" s="464">
        <v>0</v>
      </c>
      <c r="AB24" s="464">
        <v>1</v>
      </c>
      <c r="AC24" s="464">
        <v>0</v>
      </c>
      <c r="AD24" s="464">
        <v>0</v>
      </c>
      <c r="AE24" s="464">
        <v>0</v>
      </c>
      <c r="AF24" s="464">
        <v>0</v>
      </c>
      <c r="AG24" s="464">
        <v>1</v>
      </c>
      <c r="AH24" s="464">
        <v>0</v>
      </c>
      <c r="AI24" s="464">
        <v>0</v>
      </c>
      <c r="AJ24" s="466">
        <v>1</v>
      </c>
      <c r="AK24" s="464">
        <v>0</v>
      </c>
      <c r="AL24" s="464">
        <v>0</v>
      </c>
      <c r="AM24" s="464">
        <v>0</v>
      </c>
      <c r="AN24" s="466">
        <v>0</v>
      </c>
    </row>
    <row r="25" spans="1:40" ht="14.95" customHeight="1" thickBot="1" x14ac:dyDescent="0.3">
      <c r="A25" s="468" t="s">
        <v>461</v>
      </c>
      <c r="B25" s="469" t="s">
        <v>199</v>
      </c>
      <c r="C25" s="470" t="s">
        <v>25</v>
      </c>
      <c r="D25" s="471" t="s">
        <v>299</v>
      </c>
      <c r="E25" s="471" t="s">
        <v>34</v>
      </c>
      <c r="F25" s="471">
        <v>10</v>
      </c>
      <c r="G25" s="471">
        <v>16</v>
      </c>
      <c r="H25" s="471">
        <v>0</v>
      </c>
      <c r="I25" s="471">
        <v>1</v>
      </c>
      <c r="J25" s="471">
        <v>1</v>
      </c>
      <c r="K25" s="471">
        <v>1</v>
      </c>
      <c r="L25" s="471">
        <v>0</v>
      </c>
      <c r="M25" s="471">
        <v>1</v>
      </c>
      <c r="N25" s="471">
        <v>1</v>
      </c>
      <c r="O25" s="471">
        <v>0</v>
      </c>
      <c r="P25" s="471">
        <v>0</v>
      </c>
      <c r="Q25" s="471">
        <v>0</v>
      </c>
      <c r="R25" s="471">
        <v>1</v>
      </c>
      <c r="S25" s="472">
        <v>7297</v>
      </c>
      <c r="T25" s="477" t="s">
        <v>511</v>
      </c>
      <c r="U25" s="478" t="s">
        <v>320</v>
      </c>
      <c r="V25" s="472" t="s">
        <v>330</v>
      </c>
      <c r="W25" s="472" t="s">
        <v>316</v>
      </c>
      <c r="X25" s="473" t="s">
        <v>715</v>
      </c>
      <c r="Y25" s="472">
        <v>1</v>
      </c>
      <c r="Z25" s="472">
        <v>0</v>
      </c>
      <c r="AA25" s="472">
        <v>0</v>
      </c>
      <c r="AB25" s="472">
        <v>1</v>
      </c>
      <c r="AC25" s="472">
        <v>1</v>
      </c>
      <c r="AD25" s="472">
        <v>0</v>
      </c>
      <c r="AE25" s="472">
        <v>0</v>
      </c>
      <c r="AF25" s="472">
        <v>1</v>
      </c>
      <c r="AG25" s="472">
        <v>0</v>
      </c>
      <c r="AH25" s="472">
        <v>0</v>
      </c>
      <c r="AI25" s="472">
        <v>0</v>
      </c>
      <c r="AJ25" s="478">
        <v>0</v>
      </c>
      <c r="AK25" s="472">
        <v>0</v>
      </c>
      <c r="AL25" s="472">
        <v>0</v>
      </c>
      <c r="AM25" s="472">
        <v>0</v>
      </c>
      <c r="AN25" s="478">
        <v>0</v>
      </c>
    </row>
    <row r="26" spans="1:40" ht="14.95" customHeight="1" thickBot="1" x14ac:dyDescent="0.3">
      <c r="A26" s="468" t="s">
        <v>829</v>
      </c>
      <c r="B26" s="469" t="s">
        <v>199</v>
      </c>
      <c r="C26" s="470" t="s">
        <v>24</v>
      </c>
      <c r="D26" s="471" t="s">
        <v>299</v>
      </c>
      <c r="E26" s="471" t="s">
        <v>34</v>
      </c>
      <c r="F26" s="471">
        <v>15</v>
      </c>
      <c r="G26" s="471">
        <v>44</v>
      </c>
      <c r="H26" s="471">
        <v>0</v>
      </c>
      <c r="I26" s="471">
        <v>0</v>
      </c>
      <c r="J26" s="471">
        <v>2</v>
      </c>
      <c r="K26" s="471">
        <v>1</v>
      </c>
      <c r="L26" s="471">
        <v>0</v>
      </c>
      <c r="M26" s="471">
        <v>1</v>
      </c>
      <c r="N26" s="471">
        <v>0</v>
      </c>
      <c r="O26" s="471">
        <v>1</v>
      </c>
      <c r="P26" s="471">
        <v>1</v>
      </c>
      <c r="Q26" s="471">
        <v>0</v>
      </c>
      <c r="R26" s="471">
        <v>6</v>
      </c>
      <c r="S26" s="472">
        <v>0</v>
      </c>
      <c r="T26" s="477" t="s">
        <v>375</v>
      </c>
      <c r="U26" s="478" t="s">
        <v>326</v>
      </c>
      <c r="V26" s="472" t="s">
        <v>399</v>
      </c>
      <c r="W26" s="472" t="s">
        <v>320</v>
      </c>
      <c r="X26" s="473" t="s">
        <v>306</v>
      </c>
      <c r="Y26" s="472">
        <v>1</v>
      </c>
      <c r="Z26" s="472">
        <v>0</v>
      </c>
      <c r="AA26" s="472">
        <v>0</v>
      </c>
      <c r="AB26" s="472">
        <v>1</v>
      </c>
      <c r="AC26" s="472">
        <v>1</v>
      </c>
      <c r="AD26" s="472">
        <v>0</v>
      </c>
      <c r="AE26" s="472">
        <v>0</v>
      </c>
      <c r="AF26" s="472">
        <v>1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</row>
    <row r="27" spans="1:40" ht="16.5" thickBot="1" x14ac:dyDescent="0.3">
      <c r="A27" s="479" t="s">
        <v>831</v>
      </c>
      <c r="B27" s="461" t="s">
        <v>199</v>
      </c>
      <c r="C27" s="462" t="s">
        <v>106</v>
      </c>
      <c r="D27" s="463" t="s">
        <v>36</v>
      </c>
      <c r="E27" s="463" t="s">
        <v>34</v>
      </c>
      <c r="F27" s="463">
        <v>17</v>
      </c>
      <c r="G27" s="463">
        <v>32</v>
      </c>
      <c r="H27" s="463">
        <v>0</v>
      </c>
      <c r="I27" s="463">
        <v>0</v>
      </c>
      <c r="J27" s="463">
        <v>2</v>
      </c>
      <c r="K27" s="463">
        <v>2</v>
      </c>
      <c r="L27" s="463">
        <v>0</v>
      </c>
      <c r="M27" s="463">
        <v>1</v>
      </c>
      <c r="N27" s="463">
        <v>0</v>
      </c>
      <c r="O27" s="463">
        <v>0</v>
      </c>
      <c r="P27" s="463">
        <v>1</v>
      </c>
      <c r="Q27" s="463">
        <v>0</v>
      </c>
      <c r="R27" s="463">
        <v>4</v>
      </c>
      <c r="S27" s="483">
        <v>0</v>
      </c>
      <c r="T27" s="481" t="s">
        <v>462</v>
      </c>
      <c r="U27" s="466" t="s">
        <v>396</v>
      </c>
      <c r="V27" s="464" t="s">
        <v>399</v>
      </c>
      <c r="W27" s="464" t="s">
        <v>308</v>
      </c>
      <c r="X27" s="467" t="s">
        <v>328</v>
      </c>
      <c r="Y27" s="464">
        <v>1</v>
      </c>
      <c r="Z27" s="464">
        <v>0</v>
      </c>
      <c r="AA27" s="464">
        <v>0</v>
      </c>
      <c r="AB27" s="464">
        <v>1</v>
      </c>
      <c r="AC27" s="464">
        <v>0</v>
      </c>
      <c r="AD27" s="464">
        <v>0</v>
      </c>
      <c r="AE27" s="464">
        <v>0</v>
      </c>
      <c r="AF27" s="464">
        <v>0</v>
      </c>
      <c r="AG27" s="464">
        <v>1</v>
      </c>
      <c r="AH27" s="464">
        <v>0</v>
      </c>
      <c r="AI27" s="464">
        <v>0</v>
      </c>
      <c r="AJ27" s="466">
        <v>1</v>
      </c>
      <c r="AK27" s="464">
        <v>0</v>
      </c>
      <c r="AL27" s="464">
        <v>0</v>
      </c>
      <c r="AM27" s="464">
        <v>0</v>
      </c>
      <c r="AN27" s="466">
        <v>0</v>
      </c>
    </row>
    <row r="28" spans="1:40" ht="16.5" thickBot="1" x14ac:dyDescent="0.3">
      <c r="A28" s="468" t="s">
        <v>836</v>
      </c>
      <c r="B28" s="469" t="s">
        <v>199</v>
      </c>
      <c r="C28" s="470" t="s">
        <v>9</v>
      </c>
      <c r="D28" s="471" t="s">
        <v>299</v>
      </c>
      <c r="E28" s="471" t="s">
        <v>32</v>
      </c>
      <c r="F28" s="471">
        <v>29</v>
      </c>
      <c r="G28" s="471">
        <v>14</v>
      </c>
      <c r="H28" s="471">
        <v>1</v>
      </c>
      <c r="I28" s="471">
        <v>0</v>
      </c>
      <c r="J28" s="471">
        <v>4</v>
      </c>
      <c r="K28" s="471">
        <v>3</v>
      </c>
      <c r="L28" s="471">
        <v>0</v>
      </c>
      <c r="M28" s="471">
        <v>1</v>
      </c>
      <c r="N28" s="471">
        <v>1</v>
      </c>
      <c r="O28" s="471">
        <v>0</v>
      </c>
      <c r="P28" s="471">
        <v>0</v>
      </c>
      <c r="Q28" s="471">
        <v>0</v>
      </c>
      <c r="R28" s="471">
        <v>2</v>
      </c>
      <c r="S28" s="472">
        <v>0</v>
      </c>
      <c r="T28" s="480" t="s">
        <v>897</v>
      </c>
      <c r="U28" s="478" t="s">
        <v>304</v>
      </c>
      <c r="V28" s="472" t="s">
        <v>463</v>
      </c>
      <c r="W28" s="472" t="s">
        <v>325</v>
      </c>
      <c r="X28" s="473" t="s">
        <v>475</v>
      </c>
      <c r="Y28" s="472">
        <v>1</v>
      </c>
      <c r="Z28" s="472">
        <v>1</v>
      </c>
      <c r="AA28" s="472">
        <v>0</v>
      </c>
      <c r="AB28" s="472">
        <v>0</v>
      </c>
      <c r="AC28" s="472">
        <v>1</v>
      </c>
      <c r="AD28" s="472">
        <v>1</v>
      </c>
      <c r="AE28" s="472">
        <v>0</v>
      </c>
      <c r="AF28" s="472">
        <v>0</v>
      </c>
      <c r="AG28" s="472">
        <v>0</v>
      </c>
      <c r="AH28" s="472">
        <v>0</v>
      </c>
      <c r="AI28" s="472">
        <v>0</v>
      </c>
      <c r="AJ28" s="478">
        <v>0</v>
      </c>
      <c r="AK28" s="472">
        <v>0</v>
      </c>
      <c r="AL28" s="472">
        <v>0</v>
      </c>
      <c r="AM28" s="472">
        <v>0</v>
      </c>
      <c r="AN28" s="478">
        <v>0</v>
      </c>
    </row>
    <row r="29" spans="1:40" ht="15.8" thickBot="1" x14ac:dyDescent="0.3">
      <c r="A29" s="479" t="s">
        <v>840</v>
      </c>
      <c r="B29" s="461" t="s">
        <v>199</v>
      </c>
      <c r="C29" s="462" t="s">
        <v>28</v>
      </c>
      <c r="D29" s="463" t="s">
        <v>36</v>
      </c>
      <c r="E29" s="463" t="s">
        <v>34</v>
      </c>
      <c r="F29" s="463">
        <v>7</v>
      </c>
      <c r="G29" s="463">
        <v>59</v>
      </c>
      <c r="H29" s="463">
        <v>0</v>
      </c>
      <c r="I29" s="463">
        <v>0</v>
      </c>
      <c r="J29" s="463">
        <v>1</v>
      </c>
      <c r="K29" s="463">
        <v>1</v>
      </c>
      <c r="L29" s="463">
        <v>0</v>
      </c>
      <c r="M29" s="463">
        <v>0</v>
      </c>
      <c r="N29" s="463">
        <v>0</v>
      </c>
      <c r="O29" s="463">
        <v>0</v>
      </c>
      <c r="P29" s="463">
        <v>1</v>
      </c>
      <c r="Q29" s="463">
        <v>0</v>
      </c>
      <c r="R29" s="463">
        <v>9</v>
      </c>
      <c r="S29" s="464">
        <v>0</v>
      </c>
      <c r="T29" s="465" t="s">
        <v>904</v>
      </c>
      <c r="U29" s="466" t="s">
        <v>308</v>
      </c>
      <c r="V29" s="464" t="s">
        <v>330</v>
      </c>
      <c r="W29" s="464" t="s">
        <v>346</v>
      </c>
      <c r="X29" s="467" t="s">
        <v>475</v>
      </c>
      <c r="Y29" s="464">
        <v>1</v>
      </c>
      <c r="Z29" s="464">
        <v>0</v>
      </c>
      <c r="AA29" s="464">
        <v>0</v>
      </c>
      <c r="AB29" s="464">
        <v>1</v>
      </c>
      <c r="AC29" s="464">
        <v>0</v>
      </c>
      <c r="AD29" s="464">
        <v>0</v>
      </c>
      <c r="AE29" s="464">
        <v>0</v>
      </c>
      <c r="AF29" s="464">
        <v>0</v>
      </c>
      <c r="AG29" s="464">
        <v>1</v>
      </c>
      <c r="AH29" s="464">
        <v>0</v>
      </c>
      <c r="AI29" s="464">
        <v>0</v>
      </c>
      <c r="AJ29" s="466">
        <v>1</v>
      </c>
      <c r="AK29" s="464">
        <v>0</v>
      </c>
      <c r="AL29" s="464">
        <v>0</v>
      </c>
      <c r="AM29" s="464">
        <v>0</v>
      </c>
      <c r="AN29" s="466">
        <v>0</v>
      </c>
    </row>
    <row r="30" spans="1:40" ht="15.8" customHeight="1" thickBot="1" x14ac:dyDescent="0.3">
      <c r="A30" s="468" t="s">
        <v>854</v>
      </c>
      <c r="B30" s="469" t="s">
        <v>199</v>
      </c>
      <c r="C30" s="470" t="s">
        <v>165</v>
      </c>
      <c r="D30" s="471" t="s">
        <v>299</v>
      </c>
      <c r="E30" s="471" t="s">
        <v>34</v>
      </c>
      <c r="F30" s="471">
        <v>13</v>
      </c>
      <c r="G30" s="471">
        <v>36</v>
      </c>
      <c r="H30" s="471">
        <v>0</v>
      </c>
      <c r="I30" s="471">
        <v>0</v>
      </c>
      <c r="J30" s="471">
        <v>1</v>
      </c>
      <c r="K30" s="471">
        <v>1</v>
      </c>
      <c r="L30" s="471">
        <v>0</v>
      </c>
      <c r="M30" s="471">
        <v>2</v>
      </c>
      <c r="N30" s="471">
        <v>0</v>
      </c>
      <c r="O30" s="471">
        <v>1</v>
      </c>
      <c r="P30" s="471">
        <v>0</v>
      </c>
      <c r="Q30" s="471">
        <v>1</v>
      </c>
      <c r="R30" s="471">
        <v>5</v>
      </c>
      <c r="S30" s="484">
        <v>0</v>
      </c>
      <c r="T30" s="477" t="s">
        <v>542</v>
      </c>
      <c r="U30" s="478" t="s">
        <v>637</v>
      </c>
      <c r="V30" s="472" t="s">
        <v>468</v>
      </c>
      <c r="W30" s="472" t="s">
        <v>345</v>
      </c>
      <c r="X30" s="472" t="s">
        <v>316</v>
      </c>
      <c r="Y30" s="472">
        <v>1</v>
      </c>
      <c r="Z30" s="472">
        <v>0</v>
      </c>
      <c r="AA30" s="472">
        <v>0</v>
      </c>
      <c r="AB30" s="472">
        <v>1</v>
      </c>
      <c r="AC30" s="472">
        <v>1</v>
      </c>
      <c r="AD30" s="472">
        <v>0</v>
      </c>
      <c r="AE30" s="472">
        <v>0</v>
      </c>
      <c r="AF30" s="472">
        <v>1</v>
      </c>
      <c r="AG30" s="472">
        <v>0</v>
      </c>
      <c r="AH30" s="472">
        <v>0</v>
      </c>
      <c r="AI30" s="472">
        <v>0</v>
      </c>
      <c r="AJ30" s="478">
        <v>0</v>
      </c>
      <c r="AK30" s="472">
        <v>0</v>
      </c>
      <c r="AL30" s="472">
        <v>0</v>
      </c>
      <c r="AM30" s="472">
        <v>0</v>
      </c>
      <c r="AN30" s="478">
        <v>0</v>
      </c>
    </row>
    <row r="31" spans="1:40" ht="15.8" customHeight="1" thickBot="1" x14ac:dyDescent="0.3">
      <c r="A31" s="474" t="s">
        <v>861</v>
      </c>
      <c r="B31" s="474" t="s">
        <v>199</v>
      </c>
      <c r="C31" s="487" t="s">
        <v>274</v>
      </c>
      <c r="D31" s="488" t="s">
        <v>36</v>
      </c>
      <c r="E31" s="488" t="s">
        <v>34</v>
      </c>
      <c r="F31" s="463">
        <v>15</v>
      </c>
      <c r="G31" s="488">
        <v>40</v>
      </c>
      <c r="H31" s="463">
        <v>0</v>
      </c>
      <c r="I31" s="463">
        <v>0</v>
      </c>
      <c r="J31" s="463">
        <v>2</v>
      </c>
      <c r="K31" s="463">
        <v>1</v>
      </c>
      <c r="L31" s="463">
        <v>0</v>
      </c>
      <c r="M31" s="463">
        <v>1</v>
      </c>
      <c r="N31" s="463">
        <v>0</v>
      </c>
      <c r="O31" s="463">
        <v>0</v>
      </c>
      <c r="P31" s="463">
        <v>1</v>
      </c>
      <c r="Q31" s="463">
        <v>0</v>
      </c>
      <c r="R31" s="463">
        <v>6</v>
      </c>
      <c r="S31" s="464">
        <v>0</v>
      </c>
      <c r="T31" s="465" t="s">
        <v>930</v>
      </c>
      <c r="U31" s="464" t="s">
        <v>320</v>
      </c>
      <c r="V31" s="464" t="s">
        <v>330</v>
      </c>
      <c r="W31" s="464" t="s">
        <v>308</v>
      </c>
      <c r="X31" s="464" t="s">
        <v>475</v>
      </c>
      <c r="Y31" s="464">
        <v>1</v>
      </c>
      <c r="Z31" s="464">
        <v>0</v>
      </c>
      <c r="AA31" s="464">
        <v>0</v>
      </c>
      <c r="AB31" s="464">
        <v>1</v>
      </c>
      <c r="AC31" s="464">
        <v>0</v>
      </c>
      <c r="AD31" s="464">
        <v>0</v>
      </c>
      <c r="AE31" s="464">
        <v>0</v>
      </c>
      <c r="AF31" s="464">
        <v>0</v>
      </c>
      <c r="AG31" s="464">
        <v>1</v>
      </c>
      <c r="AH31" s="464">
        <v>0</v>
      </c>
      <c r="AI31" s="464">
        <v>0</v>
      </c>
      <c r="AJ31" s="466">
        <v>1</v>
      </c>
      <c r="AK31" s="464">
        <v>0</v>
      </c>
      <c r="AL31" s="464">
        <v>0</v>
      </c>
      <c r="AM31" s="464">
        <v>0</v>
      </c>
      <c r="AN31" s="466">
        <v>0</v>
      </c>
    </row>
    <row r="32" spans="1:40" ht="15.8" thickBot="1" x14ac:dyDescent="0.3">
      <c r="A32" s="474" t="s">
        <v>864</v>
      </c>
      <c r="B32" s="474" t="s">
        <v>199</v>
      </c>
      <c r="C32" s="487" t="s">
        <v>11</v>
      </c>
      <c r="D32" s="488" t="s">
        <v>725</v>
      </c>
      <c r="E32" s="463" t="s">
        <v>32</v>
      </c>
      <c r="F32" s="463">
        <v>40</v>
      </c>
      <c r="G32" s="463">
        <v>25</v>
      </c>
      <c r="H32" s="463">
        <v>1</v>
      </c>
      <c r="I32" s="463">
        <v>0</v>
      </c>
      <c r="J32" s="463">
        <v>6</v>
      </c>
      <c r="K32" s="463">
        <v>5</v>
      </c>
      <c r="L32" s="463">
        <v>0</v>
      </c>
      <c r="M32" s="463">
        <v>0</v>
      </c>
      <c r="N32" s="463">
        <v>0</v>
      </c>
      <c r="O32" s="463">
        <v>0</v>
      </c>
      <c r="P32" s="463">
        <v>1</v>
      </c>
      <c r="Q32" s="463">
        <v>0</v>
      </c>
      <c r="R32" s="463">
        <v>4</v>
      </c>
      <c r="S32" s="464">
        <v>0</v>
      </c>
      <c r="T32" s="465" t="s">
        <v>940</v>
      </c>
      <c r="U32" s="464" t="s">
        <v>396</v>
      </c>
      <c r="V32" s="464" t="s">
        <v>403</v>
      </c>
      <c r="W32" s="464" t="s">
        <v>343</v>
      </c>
      <c r="X32" s="464" t="s">
        <v>475</v>
      </c>
      <c r="Y32" s="464">
        <v>1</v>
      </c>
      <c r="Z32" s="464">
        <v>1</v>
      </c>
      <c r="AA32" s="464">
        <v>0</v>
      </c>
      <c r="AB32" s="464">
        <v>0</v>
      </c>
      <c r="AC32" s="464">
        <v>1</v>
      </c>
      <c r="AD32" s="464">
        <v>0</v>
      </c>
      <c r="AE32" s="464">
        <v>0</v>
      </c>
      <c r="AF32" s="464">
        <v>0</v>
      </c>
      <c r="AG32" s="464">
        <v>0</v>
      </c>
      <c r="AH32" s="464">
        <v>0</v>
      </c>
      <c r="AI32" s="464">
        <v>0</v>
      </c>
      <c r="AJ32" s="466">
        <v>0</v>
      </c>
      <c r="AK32" s="464">
        <v>0</v>
      </c>
      <c r="AL32" s="464">
        <v>0</v>
      </c>
      <c r="AM32" s="464">
        <v>0</v>
      </c>
      <c r="AN32" s="466">
        <v>0</v>
      </c>
    </row>
    <row r="33" spans="1:40" ht="16.5" thickBot="1" x14ac:dyDescent="0.3">
      <c r="A33" s="496" t="s">
        <v>950</v>
      </c>
      <c r="B33" s="496" t="s">
        <v>199</v>
      </c>
      <c r="C33" s="476" t="s">
        <v>19</v>
      </c>
      <c r="D33" s="501" t="s">
        <v>299</v>
      </c>
      <c r="E33" s="497" t="s">
        <v>32</v>
      </c>
      <c r="F33" s="471">
        <v>40</v>
      </c>
      <c r="G33" s="471">
        <v>27</v>
      </c>
      <c r="H33" s="471">
        <v>1</v>
      </c>
      <c r="I33" s="471">
        <v>0</v>
      </c>
      <c r="J33" s="471">
        <v>6</v>
      </c>
      <c r="K33" s="471">
        <v>4</v>
      </c>
      <c r="L33" s="471">
        <v>0</v>
      </c>
      <c r="M33" s="471">
        <v>0</v>
      </c>
      <c r="N33" s="471">
        <v>0</v>
      </c>
      <c r="O33" s="471">
        <v>0</v>
      </c>
      <c r="P33" s="471">
        <v>1</v>
      </c>
      <c r="Q33" s="471">
        <v>0</v>
      </c>
      <c r="R33" s="471">
        <v>4</v>
      </c>
      <c r="S33" s="472">
        <v>0</v>
      </c>
      <c r="T33" s="480" t="s">
        <v>979</v>
      </c>
      <c r="U33" s="472" t="s">
        <v>554</v>
      </c>
      <c r="V33" s="472" t="s">
        <v>345</v>
      </c>
      <c r="W33" s="472" t="s">
        <v>356</v>
      </c>
      <c r="X33" s="472" t="s">
        <v>980</v>
      </c>
      <c r="Y33" s="472">
        <v>1</v>
      </c>
      <c r="Z33" s="472">
        <v>1</v>
      </c>
      <c r="AA33" s="472">
        <v>0</v>
      </c>
      <c r="AB33" s="472">
        <v>0</v>
      </c>
      <c r="AC33" s="472">
        <v>1</v>
      </c>
      <c r="AD33" s="472">
        <v>1</v>
      </c>
      <c r="AE33" s="472">
        <v>0</v>
      </c>
      <c r="AF33" s="472">
        <v>0</v>
      </c>
      <c r="AG33" s="472">
        <v>0</v>
      </c>
      <c r="AH33" s="472">
        <v>0</v>
      </c>
      <c r="AI33" s="472">
        <v>0</v>
      </c>
      <c r="AJ33" s="478">
        <v>0</v>
      </c>
      <c r="AK33" s="472">
        <v>0</v>
      </c>
      <c r="AL33" s="472">
        <v>0</v>
      </c>
      <c r="AM33" s="472">
        <v>0</v>
      </c>
      <c r="AN33" s="478">
        <v>0</v>
      </c>
    </row>
    <row r="34" spans="1:40" ht="17" thickBot="1" x14ac:dyDescent="0.35">
      <c r="A34" s="474" t="s">
        <v>1006</v>
      </c>
      <c r="B34" s="474" t="s">
        <v>199</v>
      </c>
      <c r="C34" s="487" t="s">
        <v>27</v>
      </c>
      <c r="D34" s="488" t="s">
        <v>36</v>
      </c>
      <c r="E34" s="475" t="s">
        <v>32</v>
      </c>
      <c r="F34" s="463">
        <v>20</v>
      </c>
      <c r="G34" s="463">
        <v>0</v>
      </c>
      <c r="H34" s="463">
        <v>1</v>
      </c>
      <c r="I34" s="463">
        <v>0</v>
      </c>
      <c r="J34" s="463">
        <v>4</v>
      </c>
      <c r="K34" s="463">
        <v>0</v>
      </c>
      <c r="L34" s="463">
        <v>0</v>
      </c>
      <c r="M34" s="463">
        <v>0</v>
      </c>
      <c r="N34" s="463">
        <v>0</v>
      </c>
      <c r="O34" s="463">
        <v>0</v>
      </c>
      <c r="P34" s="463">
        <v>0</v>
      </c>
      <c r="Q34" s="463">
        <v>0</v>
      </c>
      <c r="R34" s="463">
        <v>0</v>
      </c>
      <c r="S34" s="464">
        <v>0</v>
      </c>
      <c r="T34" s="481" t="s">
        <v>202</v>
      </c>
      <c r="U34" s="464" t="s">
        <v>202</v>
      </c>
      <c r="V34" s="464" t="s">
        <v>202</v>
      </c>
      <c r="W34" s="464" t="s">
        <v>202</v>
      </c>
      <c r="X34" s="464" t="s">
        <v>202</v>
      </c>
      <c r="Y34" s="464">
        <v>1</v>
      </c>
      <c r="Z34" s="464">
        <v>1</v>
      </c>
      <c r="AA34" s="464">
        <v>0</v>
      </c>
      <c r="AB34" s="464">
        <v>0</v>
      </c>
      <c r="AC34" s="464">
        <v>0</v>
      </c>
      <c r="AD34" s="464">
        <v>0</v>
      </c>
      <c r="AE34" s="464">
        <v>0</v>
      </c>
      <c r="AF34" s="464">
        <v>0</v>
      </c>
      <c r="AG34" s="464">
        <v>1</v>
      </c>
      <c r="AH34" s="464">
        <v>1</v>
      </c>
      <c r="AI34" s="464">
        <v>0</v>
      </c>
      <c r="AJ34" s="466">
        <v>0</v>
      </c>
      <c r="AK34" s="464">
        <v>0</v>
      </c>
      <c r="AL34" s="464">
        <v>0</v>
      </c>
      <c r="AM34" s="464">
        <v>0</v>
      </c>
      <c r="AN34" s="466">
        <v>0</v>
      </c>
    </row>
    <row r="35" spans="1:40" ht="14.95" customHeight="1" thickBot="1" x14ac:dyDescent="0.3">
      <c r="A35" s="505"/>
      <c r="B35" s="506"/>
      <c r="C35" s="1000" t="s">
        <v>105</v>
      </c>
      <c r="D35" s="1001"/>
      <c r="E35" s="1002"/>
      <c r="F35" s="491">
        <f t="shared" ref="F35:R35" si="1">SUM(F7+F8+F9+F10+F13+F16+F17+F18+F21+F22+F23+F24+F25+F26+F27+F28+F29+F30+F31+F32+F33+F34)</f>
        <v>398</v>
      </c>
      <c r="G35" s="491">
        <f t="shared" si="1"/>
        <v>578</v>
      </c>
      <c r="H35" s="491">
        <f t="shared" si="1"/>
        <v>4</v>
      </c>
      <c r="I35" s="491">
        <f t="shared" si="1"/>
        <v>6</v>
      </c>
      <c r="J35" s="491">
        <f t="shared" si="1"/>
        <v>46</v>
      </c>
      <c r="K35" s="491">
        <f t="shared" si="1"/>
        <v>32</v>
      </c>
      <c r="L35" s="491">
        <f t="shared" si="1"/>
        <v>0</v>
      </c>
      <c r="M35" s="491">
        <f t="shared" si="1"/>
        <v>32</v>
      </c>
      <c r="N35" s="491">
        <f t="shared" si="1"/>
        <v>9</v>
      </c>
      <c r="O35" s="491">
        <f t="shared" si="1"/>
        <v>2</v>
      </c>
      <c r="P35" s="491">
        <f t="shared" si="1"/>
        <v>10</v>
      </c>
      <c r="Q35" s="491">
        <f t="shared" si="1"/>
        <v>3</v>
      </c>
      <c r="R35" s="491">
        <f t="shared" si="1"/>
        <v>78</v>
      </c>
      <c r="S35" s="502"/>
      <c r="T35" s="502"/>
      <c r="U35" s="502"/>
      <c r="V35" s="500"/>
      <c r="W35" s="500"/>
      <c r="X35" s="883" t="s">
        <v>105</v>
      </c>
      <c r="Y35" s="491">
        <f t="shared" ref="Y35:AN35" si="2">SUM(Y7+Y8+Y9+Y10+Y13+Y16+Y17+Y18+Y21+Y22+Y23+Y24+Y25+Y26+Y27+Y28+Y29+Y30+Y31+Y32+Y33+Y34)</f>
        <v>22</v>
      </c>
      <c r="Z35" s="491">
        <f t="shared" si="2"/>
        <v>8</v>
      </c>
      <c r="AA35" s="491">
        <f t="shared" si="2"/>
        <v>0</v>
      </c>
      <c r="AB35" s="491">
        <f t="shared" si="2"/>
        <v>14</v>
      </c>
      <c r="AC35" s="501">
        <f t="shared" si="2"/>
        <v>12</v>
      </c>
      <c r="AD35" s="501">
        <f t="shared" si="2"/>
        <v>5</v>
      </c>
      <c r="AE35" s="501">
        <f t="shared" si="2"/>
        <v>0</v>
      </c>
      <c r="AF35" s="501">
        <f t="shared" si="2"/>
        <v>6</v>
      </c>
      <c r="AG35" s="488">
        <f t="shared" si="2"/>
        <v>10</v>
      </c>
      <c r="AH35" s="488">
        <f t="shared" si="2"/>
        <v>2</v>
      </c>
      <c r="AI35" s="488">
        <f t="shared" si="2"/>
        <v>0</v>
      </c>
      <c r="AJ35" s="488">
        <f t="shared" si="2"/>
        <v>8</v>
      </c>
      <c r="AK35" s="491">
        <f t="shared" si="2"/>
        <v>0</v>
      </c>
      <c r="AL35" s="491">
        <f t="shared" si="2"/>
        <v>0</v>
      </c>
      <c r="AM35" s="491">
        <f t="shared" si="2"/>
        <v>0</v>
      </c>
      <c r="AN35" s="491">
        <f t="shared" si="2"/>
        <v>0</v>
      </c>
    </row>
    <row r="36" spans="1:40" ht="14.95" customHeight="1" thickBot="1" x14ac:dyDescent="0.3">
      <c r="A36" s="499"/>
      <c r="B36" s="499"/>
      <c r="C36" s="1000" t="s">
        <v>197</v>
      </c>
      <c r="D36" s="1001"/>
      <c r="E36" s="1002"/>
      <c r="F36" s="491">
        <v>0</v>
      </c>
      <c r="G36" s="491">
        <v>0</v>
      </c>
      <c r="H36" s="492">
        <v>0</v>
      </c>
      <c r="I36" s="492">
        <v>0</v>
      </c>
      <c r="J36" s="491">
        <v>0</v>
      </c>
      <c r="K36" s="491">
        <v>0</v>
      </c>
      <c r="L36" s="491">
        <v>0</v>
      </c>
      <c r="M36" s="491">
        <v>0</v>
      </c>
      <c r="N36" s="491">
        <v>0</v>
      </c>
      <c r="O36" s="491">
        <v>0</v>
      </c>
      <c r="P36" s="492">
        <v>0</v>
      </c>
      <c r="Q36" s="492">
        <v>0</v>
      </c>
      <c r="R36" s="491">
        <v>0</v>
      </c>
      <c r="S36" s="502"/>
      <c r="T36" s="502"/>
      <c r="U36" s="502"/>
      <c r="V36" s="502"/>
      <c r="W36" s="500"/>
      <c r="X36" s="883" t="s">
        <v>197</v>
      </c>
      <c r="Y36" s="491">
        <v>0</v>
      </c>
      <c r="Z36" s="491">
        <v>0</v>
      </c>
      <c r="AA36" s="491">
        <v>0</v>
      </c>
      <c r="AB36" s="491">
        <v>0</v>
      </c>
      <c r="AC36" s="501">
        <v>0</v>
      </c>
      <c r="AD36" s="501">
        <v>0</v>
      </c>
      <c r="AE36" s="501">
        <v>0</v>
      </c>
      <c r="AF36" s="501">
        <v>0</v>
      </c>
      <c r="AG36" s="475">
        <v>0</v>
      </c>
      <c r="AH36" s="475">
        <v>0</v>
      </c>
      <c r="AI36" s="475">
        <v>0</v>
      </c>
      <c r="AJ36" s="475">
        <v>0</v>
      </c>
      <c r="AK36" s="491">
        <v>0</v>
      </c>
      <c r="AL36" s="491">
        <v>0</v>
      </c>
      <c r="AM36" s="491">
        <v>0</v>
      </c>
      <c r="AN36" s="491">
        <v>0</v>
      </c>
    </row>
    <row r="37" spans="1:40" ht="14.95" customHeight="1" thickBot="1" x14ac:dyDescent="0.3">
      <c r="A37" s="499"/>
      <c r="B37" s="499"/>
      <c r="C37" s="1000" t="s">
        <v>219</v>
      </c>
      <c r="D37" s="1001"/>
      <c r="E37" s="1002"/>
      <c r="F37" s="491">
        <f>SUM(F35+F36)-20</f>
        <v>378</v>
      </c>
      <c r="G37" s="491">
        <f t="shared" ref="G37:R37" si="3">SUM(G35+G36)</f>
        <v>578</v>
      </c>
      <c r="H37" s="491">
        <f>SUM(H35+H36)-1</f>
        <v>3</v>
      </c>
      <c r="I37" s="491">
        <f t="shared" si="3"/>
        <v>6</v>
      </c>
      <c r="J37" s="491">
        <f>SUM(J35+J36)-4</f>
        <v>42</v>
      </c>
      <c r="K37" s="491">
        <f t="shared" si="3"/>
        <v>32</v>
      </c>
      <c r="L37" s="491">
        <f t="shared" si="3"/>
        <v>0</v>
      </c>
      <c r="M37" s="491">
        <f t="shared" si="3"/>
        <v>32</v>
      </c>
      <c r="N37" s="491">
        <f t="shared" si="3"/>
        <v>9</v>
      </c>
      <c r="O37" s="491">
        <f t="shared" si="3"/>
        <v>2</v>
      </c>
      <c r="P37" s="491">
        <f t="shared" si="3"/>
        <v>10</v>
      </c>
      <c r="Q37" s="491">
        <f t="shared" si="3"/>
        <v>3</v>
      </c>
      <c r="R37" s="491">
        <f t="shared" si="3"/>
        <v>78</v>
      </c>
      <c r="S37" s="502"/>
      <c r="T37" s="502"/>
      <c r="U37" s="502"/>
      <c r="V37" s="502"/>
      <c r="W37" s="500"/>
      <c r="X37" s="883" t="s">
        <v>219</v>
      </c>
      <c r="Y37" s="491">
        <f>SUM(Y35+Y36)-1</f>
        <v>21</v>
      </c>
      <c r="Z37" s="491">
        <f>SUM(Z35+Z36)-1</f>
        <v>7</v>
      </c>
      <c r="AA37" s="491">
        <f t="shared" ref="AA37:AN37" si="4">SUM(AA35+AA36)</f>
        <v>0</v>
      </c>
      <c r="AB37" s="491">
        <f t="shared" si="4"/>
        <v>14</v>
      </c>
      <c r="AC37" s="501">
        <f>SUM(AC35+AC36)-1</f>
        <v>11</v>
      </c>
      <c r="AD37" s="501">
        <f>SUM(AD35+AD36)-1</f>
        <v>4</v>
      </c>
      <c r="AE37" s="501">
        <f t="shared" si="4"/>
        <v>0</v>
      </c>
      <c r="AF37" s="501">
        <f t="shared" si="4"/>
        <v>6</v>
      </c>
      <c r="AG37" s="488">
        <f t="shared" si="4"/>
        <v>10</v>
      </c>
      <c r="AH37" s="488">
        <f t="shared" si="4"/>
        <v>2</v>
      </c>
      <c r="AI37" s="488">
        <f t="shared" si="4"/>
        <v>0</v>
      </c>
      <c r="AJ37" s="488">
        <f t="shared" si="4"/>
        <v>8</v>
      </c>
      <c r="AK37" s="491">
        <f t="shared" si="4"/>
        <v>0</v>
      </c>
      <c r="AL37" s="491">
        <f t="shared" si="4"/>
        <v>0</v>
      </c>
      <c r="AM37" s="491">
        <f t="shared" si="4"/>
        <v>0</v>
      </c>
      <c r="AN37" s="491">
        <f t="shared" si="4"/>
        <v>0</v>
      </c>
    </row>
    <row r="38" spans="1:40" ht="14.95" customHeight="1" thickBot="1" x14ac:dyDescent="0.3">
      <c r="A38" s="100"/>
      <c r="C38" s="1025" t="s">
        <v>261</v>
      </c>
      <c r="D38" s="1026"/>
      <c r="E38" s="1027"/>
      <c r="F38" s="419">
        <f t="shared" ref="F38:R38" si="5">SUM(F11+F12+F14+F15+F19+F20)</f>
        <v>209</v>
      </c>
      <c r="G38" s="419">
        <f t="shared" si="5"/>
        <v>127</v>
      </c>
      <c r="H38" s="419">
        <f t="shared" si="5"/>
        <v>3</v>
      </c>
      <c r="I38" s="419">
        <f t="shared" si="5"/>
        <v>1</v>
      </c>
      <c r="J38" s="419">
        <f t="shared" si="5"/>
        <v>27</v>
      </c>
      <c r="K38" s="419">
        <f t="shared" si="5"/>
        <v>22</v>
      </c>
      <c r="L38" s="419">
        <f t="shared" si="5"/>
        <v>0</v>
      </c>
      <c r="M38" s="419">
        <f t="shared" si="5"/>
        <v>10</v>
      </c>
      <c r="N38" s="419">
        <f t="shared" si="5"/>
        <v>3</v>
      </c>
      <c r="O38" s="419">
        <f t="shared" si="5"/>
        <v>1</v>
      </c>
      <c r="P38" s="419">
        <f t="shared" si="5"/>
        <v>1</v>
      </c>
      <c r="Q38" s="419">
        <f t="shared" si="5"/>
        <v>1</v>
      </c>
      <c r="R38" s="419">
        <f t="shared" si="5"/>
        <v>14</v>
      </c>
      <c r="S38" s="159"/>
      <c r="T38" s="159"/>
      <c r="U38" s="159"/>
      <c r="V38" s="159"/>
      <c r="W38" s="407"/>
      <c r="X38" s="891" t="s">
        <v>261</v>
      </c>
      <c r="Y38" s="419">
        <f t="shared" ref="Y38:AN38" si="6">SUM(Y11+Y12+Y14+Y15+Y19+Y20)</f>
        <v>6</v>
      </c>
      <c r="Z38" s="416">
        <f t="shared" si="6"/>
        <v>3</v>
      </c>
      <c r="AA38" s="416">
        <f t="shared" si="6"/>
        <v>0</v>
      </c>
      <c r="AB38" s="416">
        <f t="shared" si="6"/>
        <v>3</v>
      </c>
      <c r="AC38" s="414">
        <f t="shared" si="6"/>
        <v>3</v>
      </c>
      <c r="AD38" s="414">
        <f t="shared" si="6"/>
        <v>2</v>
      </c>
      <c r="AE38" s="414">
        <f t="shared" si="6"/>
        <v>0</v>
      </c>
      <c r="AF38" s="414">
        <f t="shared" si="6"/>
        <v>1</v>
      </c>
      <c r="AG38" s="415">
        <f t="shared" si="6"/>
        <v>3</v>
      </c>
      <c r="AH38" s="415">
        <f t="shared" si="6"/>
        <v>1</v>
      </c>
      <c r="AI38" s="415">
        <f t="shared" si="6"/>
        <v>0</v>
      </c>
      <c r="AJ38" s="415">
        <f t="shared" si="6"/>
        <v>2</v>
      </c>
      <c r="AK38" s="416">
        <f t="shared" si="6"/>
        <v>0</v>
      </c>
      <c r="AL38" s="416">
        <f t="shared" si="6"/>
        <v>0</v>
      </c>
      <c r="AM38" s="416">
        <f t="shared" si="6"/>
        <v>0</v>
      </c>
      <c r="AN38" s="416">
        <f t="shared" si="6"/>
        <v>0</v>
      </c>
    </row>
    <row r="39" spans="1:40" ht="14.95" customHeight="1" thickBot="1" x14ac:dyDescent="0.3">
      <c r="A39" s="100"/>
      <c r="C39" s="1025" t="s">
        <v>262</v>
      </c>
      <c r="D39" s="1026"/>
      <c r="E39" s="1027"/>
      <c r="F39" s="419">
        <v>0</v>
      </c>
      <c r="G39" s="419">
        <v>0</v>
      </c>
      <c r="H39" s="416" t="s">
        <v>77</v>
      </c>
      <c r="I39" s="416" t="s">
        <v>77</v>
      </c>
      <c r="J39" s="419">
        <v>0</v>
      </c>
      <c r="K39" s="419">
        <v>0</v>
      </c>
      <c r="L39" s="419">
        <v>0</v>
      </c>
      <c r="M39" s="419">
        <v>0</v>
      </c>
      <c r="N39" s="419">
        <v>0</v>
      </c>
      <c r="O39" s="419">
        <v>0</v>
      </c>
      <c r="P39" s="416" t="s">
        <v>77</v>
      </c>
      <c r="Q39" s="416" t="s">
        <v>77</v>
      </c>
      <c r="R39" s="419">
        <v>0</v>
      </c>
      <c r="S39" s="159"/>
      <c r="T39" s="159"/>
      <c r="U39" s="159"/>
      <c r="V39" s="159"/>
      <c r="W39" s="407"/>
      <c r="X39" s="891" t="s">
        <v>262</v>
      </c>
      <c r="Y39" s="419">
        <v>0</v>
      </c>
      <c r="Z39" s="419">
        <v>0</v>
      </c>
      <c r="AA39" s="419">
        <v>0</v>
      </c>
      <c r="AB39" s="419">
        <v>0</v>
      </c>
      <c r="AC39" s="417">
        <v>0</v>
      </c>
      <c r="AD39" s="417">
        <v>0</v>
      </c>
      <c r="AE39" s="417">
        <v>0</v>
      </c>
      <c r="AF39" s="417">
        <v>0</v>
      </c>
      <c r="AG39" s="418">
        <v>0</v>
      </c>
      <c r="AH39" s="418">
        <v>0</v>
      </c>
      <c r="AI39" s="418">
        <v>0</v>
      </c>
      <c r="AJ39" s="418">
        <v>0</v>
      </c>
      <c r="AK39" s="419">
        <v>0</v>
      </c>
      <c r="AL39" s="419">
        <v>0</v>
      </c>
      <c r="AM39" s="419">
        <v>0</v>
      </c>
      <c r="AN39" s="419">
        <v>0</v>
      </c>
    </row>
    <row r="40" spans="1:40" ht="14.95" customHeight="1" thickBot="1" x14ac:dyDescent="0.3">
      <c r="A40" s="100"/>
      <c r="C40" s="1028" t="s">
        <v>263</v>
      </c>
      <c r="D40" s="1026"/>
      <c r="E40" s="1027"/>
      <c r="F40" s="396">
        <f>SUM(F38+F39)</f>
        <v>209</v>
      </c>
      <c r="G40" s="396">
        <f t="shared" ref="G40:R40" si="7">SUM(G38+G39)</f>
        <v>127</v>
      </c>
      <c r="H40" s="396">
        <f>SUM(H38)</f>
        <v>3</v>
      </c>
      <c r="I40" s="396">
        <f>SUM(I38)</f>
        <v>1</v>
      </c>
      <c r="J40" s="396">
        <f t="shared" si="7"/>
        <v>27</v>
      </c>
      <c r="K40" s="396">
        <f t="shared" si="7"/>
        <v>22</v>
      </c>
      <c r="L40" s="396">
        <f t="shared" si="7"/>
        <v>0</v>
      </c>
      <c r="M40" s="396">
        <f t="shared" si="7"/>
        <v>10</v>
      </c>
      <c r="N40" s="396">
        <f t="shared" si="7"/>
        <v>3</v>
      </c>
      <c r="O40" s="396">
        <f t="shared" si="7"/>
        <v>1</v>
      </c>
      <c r="P40" s="396">
        <f t="shared" ref="P40:Q40" si="8">SUM(P38)</f>
        <v>1</v>
      </c>
      <c r="Q40" s="396">
        <f t="shared" si="8"/>
        <v>1</v>
      </c>
      <c r="R40" s="396">
        <f t="shared" si="7"/>
        <v>14</v>
      </c>
      <c r="S40" s="159"/>
      <c r="T40" s="159"/>
      <c r="U40" s="159"/>
      <c r="V40" s="159"/>
      <c r="W40" s="160"/>
      <c r="X40" s="892" t="s">
        <v>263</v>
      </c>
      <c r="Y40" s="396">
        <f t="shared" ref="Y40:AN40" si="9">SUM(Y38+Y39)</f>
        <v>6</v>
      </c>
      <c r="Z40" s="396">
        <f t="shared" si="9"/>
        <v>3</v>
      </c>
      <c r="AA40" s="396">
        <f t="shared" si="9"/>
        <v>0</v>
      </c>
      <c r="AB40" s="396">
        <f t="shared" si="9"/>
        <v>3</v>
      </c>
      <c r="AC40" s="394">
        <f t="shared" si="9"/>
        <v>3</v>
      </c>
      <c r="AD40" s="394">
        <f t="shared" si="9"/>
        <v>2</v>
      </c>
      <c r="AE40" s="394">
        <f t="shared" si="9"/>
        <v>0</v>
      </c>
      <c r="AF40" s="394">
        <f t="shared" si="9"/>
        <v>1</v>
      </c>
      <c r="AG40" s="395">
        <f t="shared" si="9"/>
        <v>3</v>
      </c>
      <c r="AH40" s="395">
        <f t="shared" si="9"/>
        <v>1</v>
      </c>
      <c r="AI40" s="395">
        <f t="shared" si="9"/>
        <v>0</v>
      </c>
      <c r="AJ40" s="395">
        <f t="shared" si="9"/>
        <v>2</v>
      </c>
      <c r="AK40" s="396">
        <f t="shared" si="9"/>
        <v>0</v>
      </c>
      <c r="AL40" s="396">
        <f t="shared" si="9"/>
        <v>0</v>
      </c>
      <c r="AM40" s="396">
        <f t="shared" si="9"/>
        <v>0</v>
      </c>
      <c r="AN40" s="396">
        <f t="shared" si="9"/>
        <v>0</v>
      </c>
    </row>
    <row r="41" spans="1:40" ht="14.95" customHeight="1" thickBot="1" x14ac:dyDescent="0.3">
      <c r="A41" s="100"/>
      <c r="C41" s="977" t="s">
        <v>227</v>
      </c>
      <c r="D41" s="978"/>
      <c r="E41" s="979"/>
      <c r="F41" s="541">
        <f t="shared" ref="F41:R41" si="10">SUM(F3+F4+F5+F6)</f>
        <v>110</v>
      </c>
      <c r="G41" s="541">
        <f t="shared" si="10"/>
        <v>132</v>
      </c>
      <c r="H41" s="541">
        <f t="shared" si="10"/>
        <v>2</v>
      </c>
      <c r="I41" s="541">
        <f t="shared" si="10"/>
        <v>0</v>
      </c>
      <c r="J41" s="541">
        <f t="shared" si="10"/>
        <v>15</v>
      </c>
      <c r="K41" s="541">
        <f t="shared" si="10"/>
        <v>12</v>
      </c>
      <c r="L41" s="541">
        <f t="shared" si="10"/>
        <v>0</v>
      </c>
      <c r="M41" s="541">
        <f t="shared" si="10"/>
        <v>3</v>
      </c>
      <c r="N41" s="541">
        <f t="shared" si="10"/>
        <v>3</v>
      </c>
      <c r="O41" s="541">
        <f t="shared" si="10"/>
        <v>0</v>
      </c>
      <c r="P41" s="541">
        <f t="shared" si="10"/>
        <v>3</v>
      </c>
      <c r="Q41" s="541">
        <f t="shared" si="10"/>
        <v>0</v>
      </c>
      <c r="R41" s="541">
        <f t="shared" si="10"/>
        <v>16</v>
      </c>
      <c r="S41" s="534"/>
      <c r="T41" s="534"/>
      <c r="U41" s="534"/>
      <c r="V41" s="535"/>
      <c r="W41" s="535"/>
      <c r="X41" s="888" t="s">
        <v>227</v>
      </c>
      <c r="Y41" s="541">
        <f t="shared" ref="Y41:AN41" si="11">SUM(Y3+Y4+Y5+Y6)</f>
        <v>4</v>
      </c>
      <c r="Z41" s="541">
        <f t="shared" si="11"/>
        <v>1</v>
      </c>
      <c r="AA41" s="541">
        <f t="shared" si="11"/>
        <v>0</v>
      </c>
      <c r="AB41" s="541">
        <f t="shared" si="11"/>
        <v>3</v>
      </c>
      <c r="AC41" s="536">
        <f t="shared" si="11"/>
        <v>2</v>
      </c>
      <c r="AD41" s="536">
        <f t="shared" si="11"/>
        <v>1</v>
      </c>
      <c r="AE41" s="536">
        <f t="shared" si="11"/>
        <v>0</v>
      </c>
      <c r="AF41" s="536">
        <f t="shared" si="11"/>
        <v>1</v>
      </c>
      <c r="AG41" s="537">
        <f t="shared" si="11"/>
        <v>2</v>
      </c>
      <c r="AH41" s="537">
        <f t="shared" si="11"/>
        <v>0</v>
      </c>
      <c r="AI41" s="537">
        <f t="shared" si="11"/>
        <v>0</v>
      </c>
      <c r="AJ41" s="537">
        <f t="shared" si="11"/>
        <v>2</v>
      </c>
      <c r="AK41" s="538">
        <f t="shared" si="11"/>
        <v>0</v>
      </c>
      <c r="AL41" s="538">
        <f t="shared" si="11"/>
        <v>0</v>
      </c>
      <c r="AM41" s="538">
        <f t="shared" si="11"/>
        <v>0</v>
      </c>
      <c r="AN41" s="538">
        <f t="shared" si="11"/>
        <v>0</v>
      </c>
    </row>
    <row r="42" spans="1:40" ht="14.95" customHeight="1" thickBot="1" x14ac:dyDescent="0.3">
      <c r="C42" s="977" t="s">
        <v>228</v>
      </c>
      <c r="D42" s="978"/>
      <c r="E42" s="979"/>
      <c r="F42" s="541">
        <v>0</v>
      </c>
      <c r="G42" s="541">
        <v>0</v>
      </c>
      <c r="H42" s="538" t="s">
        <v>77</v>
      </c>
      <c r="I42" s="538" t="s">
        <v>77</v>
      </c>
      <c r="J42" s="541">
        <v>0</v>
      </c>
      <c r="K42" s="541">
        <v>0</v>
      </c>
      <c r="L42" s="541">
        <v>0</v>
      </c>
      <c r="M42" s="541">
        <v>0</v>
      </c>
      <c r="N42" s="541">
        <v>0</v>
      </c>
      <c r="O42" s="541">
        <v>0</v>
      </c>
      <c r="P42" s="538" t="s">
        <v>77</v>
      </c>
      <c r="Q42" s="538" t="s">
        <v>77</v>
      </c>
      <c r="R42" s="541">
        <v>0</v>
      </c>
      <c r="S42" s="534"/>
      <c r="T42" s="534"/>
      <c r="U42" s="534"/>
      <c r="V42" s="534"/>
      <c r="W42" s="535"/>
      <c r="X42" s="888" t="s">
        <v>228</v>
      </c>
      <c r="Y42" s="541">
        <v>0</v>
      </c>
      <c r="Z42" s="541">
        <v>0</v>
      </c>
      <c r="AA42" s="541">
        <v>0</v>
      </c>
      <c r="AB42" s="541">
        <v>0</v>
      </c>
      <c r="AC42" s="539">
        <v>0</v>
      </c>
      <c r="AD42" s="539">
        <v>0</v>
      </c>
      <c r="AE42" s="539">
        <v>0</v>
      </c>
      <c r="AF42" s="539">
        <v>0</v>
      </c>
      <c r="AG42" s="540">
        <v>0</v>
      </c>
      <c r="AH42" s="540">
        <v>0</v>
      </c>
      <c r="AI42" s="540">
        <v>0</v>
      </c>
      <c r="AJ42" s="540">
        <v>0</v>
      </c>
      <c r="AK42" s="541">
        <v>0</v>
      </c>
      <c r="AL42" s="541">
        <v>0</v>
      </c>
      <c r="AM42" s="541">
        <v>0</v>
      </c>
      <c r="AN42" s="541">
        <v>0</v>
      </c>
    </row>
    <row r="43" spans="1:40" ht="14.95" customHeight="1" thickBot="1" x14ac:dyDescent="0.3">
      <c r="C43" s="1010" t="s">
        <v>229</v>
      </c>
      <c r="D43" s="978"/>
      <c r="E43" s="979"/>
      <c r="F43" s="545">
        <f>SUM(F41+F42)</f>
        <v>110</v>
      </c>
      <c r="G43" s="545">
        <f t="shared" ref="G43:R43" si="12">SUM(G41+G42)</f>
        <v>132</v>
      </c>
      <c r="H43" s="545">
        <f>H41</f>
        <v>2</v>
      </c>
      <c r="I43" s="545">
        <f>I41</f>
        <v>0</v>
      </c>
      <c r="J43" s="545">
        <f t="shared" si="12"/>
        <v>15</v>
      </c>
      <c r="K43" s="545">
        <f t="shared" si="12"/>
        <v>12</v>
      </c>
      <c r="L43" s="545">
        <f t="shared" si="12"/>
        <v>0</v>
      </c>
      <c r="M43" s="545">
        <f t="shared" si="12"/>
        <v>3</v>
      </c>
      <c r="N43" s="545">
        <f t="shared" si="12"/>
        <v>3</v>
      </c>
      <c r="O43" s="545">
        <f t="shared" si="12"/>
        <v>0</v>
      </c>
      <c r="P43" s="545">
        <f t="shared" ref="P43:Q43" si="13">P41</f>
        <v>3</v>
      </c>
      <c r="Q43" s="545">
        <f t="shared" si="13"/>
        <v>0</v>
      </c>
      <c r="R43" s="545">
        <f t="shared" si="12"/>
        <v>16</v>
      </c>
      <c r="S43" s="534"/>
      <c r="T43" s="534"/>
      <c r="U43" s="534"/>
      <c r="V43" s="534"/>
      <c r="W43" s="542"/>
      <c r="X43" s="885" t="s">
        <v>229</v>
      </c>
      <c r="Y43" s="545">
        <f t="shared" ref="Y43:AN43" si="14">SUM(Y41+Y42)</f>
        <v>4</v>
      </c>
      <c r="Z43" s="545">
        <f t="shared" si="14"/>
        <v>1</v>
      </c>
      <c r="AA43" s="545">
        <f t="shared" si="14"/>
        <v>0</v>
      </c>
      <c r="AB43" s="545">
        <f t="shared" si="14"/>
        <v>3</v>
      </c>
      <c r="AC43" s="543">
        <f t="shared" si="14"/>
        <v>2</v>
      </c>
      <c r="AD43" s="543">
        <f t="shared" si="14"/>
        <v>1</v>
      </c>
      <c r="AE43" s="543">
        <f t="shared" si="14"/>
        <v>0</v>
      </c>
      <c r="AF43" s="543">
        <f t="shared" si="14"/>
        <v>1</v>
      </c>
      <c r="AG43" s="544">
        <f t="shared" si="14"/>
        <v>2</v>
      </c>
      <c r="AH43" s="544">
        <f t="shared" si="14"/>
        <v>0</v>
      </c>
      <c r="AI43" s="544">
        <f t="shared" si="14"/>
        <v>0</v>
      </c>
      <c r="AJ43" s="544">
        <f t="shared" si="14"/>
        <v>2</v>
      </c>
      <c r="AK43" s="545">
        <f t="shared" si="14"/>
        <v>0</v>
      </c>
      <c r="AL43" s="545">
        <f t="shared" si="14"/>
        <v>0</v>
      </c>
      <c r="AM43" s="545">
        <f t="shared" si="14"/>
        <v>0</v>
      </c>
      <c r="AN43" s="545">
        <f t="shared" si="14"/>
        <v>0</v>
      </c>
    </row>
    <row r="44" spans="1:40" ht="14.95" thickBot="1" x14ac:dyDescent="0.3">
      <c r="A44" s="100"/>
      <c r="C44" s="980" t="s">
        <v>63</v>
      </c>
      <c r="D44" s="981"/>
      <c r="E44" s="982"/>
      <c r="F44" s="378">
        <f t="shared" ref="F44:R44" si="15">SUM(F3:F34)</f>
        <v>717</v>
      </c>
      <c r="G44" s="378">
        <f t="shared" si="15"/>
        <v>837</v>
      </c>
      <c r="H44" s="378">
        <f t="shared" si="15"/>
        <v>9</v>
      </c>
      <c r="I44" s="378">
        <f t="shared" si="15"/>
        <v>7</v>
      </c>
      <c r="J44" s="378">
        <f t="shared" si="15"/>
        <v>88</v>
      </c>
      <c r="K44" s="378">
        <f t="shared" si="15"/>
        <v>66</v>
      </c>
      <c r="L44" s="378">
        <f t="shared" si="15"/>
        <v>0</v>
      </c>
      <c r="M44" s="378">
        <f t="shared" si="15"/>
        <v>45</v>
      </c>
      <c r="N44" s="378">
        <f t="shared" si="15"/>
        <v>15</v>
      </c>
      <c r="O44" s="378">
        <f t="shared" si="15"/>
        <v>3</v>
      </c>
      <c r="P44" s="378">
        <f t="shared" si="15"/>
        <v>14</v>
      </c>
      <c r="Q44" s="378">
        <f t="shared" si="15"/>
        <v>4</v>
      </c>
      <c r="R44" s="378">
        <f t="shared" si="15"/>
        <v>108</v>
      </c>
      <c r="S44" s="168"/>
      <c r="T44" s="168"/>
      <c r="U44" s="168"/>
      <c r="V44" s="169"/>
      <c r="W44" s="169"/>
      <c r="X44" s="886" t="s">
        <v>63</v>
      </c>
      <c r="Y44" s="378">
        <f t="shared" ref="Y44:AN44" si="16">SUM(Y3:Y34)</f>
        <v>32</v>
      </c>
      <c r="Z44" s="378">
        <f t="shared" si="16"/>
        <v>12</v>
      </c>
      <c r="AA44" s="378">
        <f t="shared" si="16"/>
        <v>0</v>
      </c>
      <c r="AB44" s="378">
        <f t="shared" si="16"/>
        <v>20</v>
      </c>
      <c r="AC44" s="66">
        <f t="shared" si="16"/>
        <v>17</v>
      </c>
      <c r="AD44" s="66">
        <f t="shared" si="16"/>
        <v>8</v>
      </c>
      <c r="AE44" s="66">
        <f t="shared" si="16"/>
        <v>0</v>
      </c>
      <c r="AF44" s="66">
        <f t="shared" si="16"/>
        <v>8</v>
      </c>
      <c r="AG44" s="377">
        <f t="shared" si="16"/>
        <v>15</v>
      </c>
      <c r="AH44" s="377">
        <f t="shared" si="16"/>
        <v>3</v>
      </c>
      <c r="AI44" s="377">
        <f t="shared" si="16"/>
        <v>0</v>
      </c>
      <c r="AJ44" s="377">
        <f t="shared" si="16"/>
        <v>12</v>
      </c>
      <c r="AK44" s="378">
        <f t="shared" si="16"/>
        <v>0</v>
      </c>
      <c r="AL44" s="378">
        <f t="shared" si="16"/>
        <v>0</v>
      </c>
      <c r="AM44" s="378">
        <f t="shared" si="16"/>
        <v>0</v>
      </c>
      <c r="AN44" s="378">
        <f t="shared" si="16"/>
        <v>0</v>
      </c>
    </row>
    <row r="45" spans="1:40" x14ac:dyDescent="0.25">
      <c r="A45" s="100" t="s">
        <v>845</v>
      </c>
    </row>
    <row r="46" spans="1:40" ht="14.95" customHeight="1" x14ac:dyDescent="0.25">
      <c r="A46" s="100" t="s">
        <v>978</v>
      </c>
    </row>
    <row r="47" spans="1:40" x14ac:dyDescent="0.25">
      <c r="A47" s="100" t="s">
        <v>107</v>
      </c>
    </row>
  </sheetData>
  <mergeCells count="27">
    <mergeCell ref="C36:E36"/>
    <mergeCell ref="P1:R1"/>
    <mergeCell ref="A1:D1"/>
    <mergeCell ref="E1:G1"/>
    <mergeCell ref="H1:I1"/>
    <mergeCell ref="J1:M1"/>
    <mergeCell ref="N1:O1"/>
    <mergeCell ref="C35:E35"/>
    <mergeCell ref="C42:E42"/>
    <mergeCell ref="C43:E43"/>
    <mergeCell ref="C44:E44"/>
    <mergeCell ref="C37:E37"/>
    <mergeCell ref="C40:E40"/>
    <mergeCell ref="C39:E39"/>
    <mergeCell ref="C41:E41"/>
    <mergeCell ref="C38:E38"/>
    <mergeCell ref="AG1:AJ1"/>
    <mergeCell ref="AK1:AN1"/>
    <mergeCell ref="AT2:AU2"/>
    <mergeCell ref="Y1:AB1"/>
    <mergeCell ref="AC1:AF1"/>
    <mergeCell ref="BD4:BE4"/>
    <mergeCell ref="BB4:BC4"/>
    <mergeCell ref="AT4:AU4"/>
    <mergeCell ref="AV4:AW4"/>
    <mergeCell ref="AX4:AY4"/>
    <mergeCell ref="AZ4:BA4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82CAD-73D4-4014-BD30-7D95FC6C1664}">
  <dimension ref="A1:T35"/>
  <sheetViews>
    <sheetView workbookViewId="0">
      <selection activeCell="S7" sqref="S7"/>
    </sheetView>
  </sheetViews>
  <sheetFormatPr defaultRowHeight="14.3" x14ac:dyDescent="0.25"/>
  <cols>
    <col min="2" max="2" width="5.75" customWidth="1"/>
    <col min="3" max="3" width="14" customWidth="1"/>
    <col min="4" max="5" width="3.75" customWidth="1"/>
    <col min="6" max="7" width="5" customWidth="1"/>
    <col min="8" max="18" width="3.75" customWidth="1"/>
    <col min="19" max="20" width="6.25" customWidth="1"/>
  </cols>
  <sheetData>
    <row r="1" spans="1:20" ht="14.95" customHeight="1" thickBot="1" x14ac:dyDescent="0.3">
      <c r="A1" s="1188" t="s">
        <v>1036</v>
      </c>
      <c r="B1" s="1189"/>
      <c r="C1" s="1189"/>
      <c r="D1" s="1190"/>
      <c r="E1" s="1191" t="s">
        <v>70</v>
      </c>
      <c r="F1" s="1192"/>
      <c r="G1" s="1193"/>
      <c r="H1" s="1191" t="s">
        <v>69</v>
      </c>
      <c r="I1" s="1193"/>
      <c r="J1" s="1185" t="s">
        <v>40</v>
      </c>
      <c r="K1" s="1186"/>
      <c r="L1" s="1186"/>
      <c r="M1" s="1187"/>
      <c r="N1" s="1185" t="s">
        <v>41</v>
      </c>
      <c r="O1" s="1187"/>
      <c r="P1" s="1185" t="s">
        <v>72</v>
      </c>
      <c r="Q1" s="1186"/>
      <c r="R1" s="1187"/>
      <c r="S1" s="772" t="s">
        <v>42</v>
      </c>
      <c r="T1" s="772" t="s">
        <v>43</v>
      </c>
    </row>
    <row r="2" spans="1:20" ht="14.95" customHeight="1" thickBot="1" x14ac:dyDescent="0.3">
      <c r="A2" s="773" t="s">
        <v>62</v>
      </c>
      <c r="B2" s="774" t="s">
        <v>61</v>
      </c>
      <c r="C2" s="775" t="s">
        <v>60</v>
      </c>
      <c r="D2" s="775" t="s">
        <v>71</v>
      </c>
      <c r="E2" s="776" t="s">
        <v>50</v>
      </c>
      <c r="F2" s="776" t="s">
        <v>35</v>
      </c>
      <c r="G2" s="776" t="s">
        <v>36</v>
      </c>
      <c r="H2" s="777" t="s">
        <v>67</v>
      </c>
      <c r="I2" s="777" t="s">
        <v>68</v>
      </c>
      <c r="J2" s="777" t="s">
        <v>46</v>
      </c>
      <c r="K2" s="777" t="s">
        <v>47</v>
      </c>
      <c r="L2" s="777" t="s">
        <v>33</v>
      </c>
      <c r="M2" s="777" t="s">
        <v>48</v>
      </c>
      <c r="N2" s="777" t="s">
        <v>49</v>
      </c>
      <c r="O2" s="777" t="s">
        <v>50</v>
      </c>
      <c r="P2" s="777" t="s">
        <v>67</v>
      </c>
      <c r="Q2" s="777" t="s">
        <v>68</v>
      </c>
      <c r="R2" s="777" t="s">
        <v>46</v>
      </c>
      <c r="S2" s="778"/>
      <c r="T2" s="779"/>
    </row>
    <row r="3" spans="1:20" ht="14.95" customHeight="1" thickBot="1" x14ac:dyDescent="0.3">
      <c r="A3" s="581" t="s">
        <v>231</v>
      </c>
      <c r="B3" s="554" t="s">
        <v>1037</v>
      </c>
      <c r="C3" s="555" t="s">
        <v>1038</v>
      </c>
      <c r="D3" s="556" t="s">
        <v>36</v>
      </c>
      <c r="E3" s="556" t="s">
        <v>32</v>
      </c>
      <c r="F3" s="556">
        <v>21</v>
      </c>
      <c r="G3" s="556">
        <v>8</v>
      </c>
      <c r="H3" s="556">
        <v>0</v>
      </c>
      <c r="I3" s="556">
        <v>0</v>
      </c>
      <c r="J3" s="556">
        <v>2</v>
      </c>
      <c r="K3" s="556">
        <v>1</v>
      </c>
      <c r="L3" s="556">
        <v>0</v>
      </c>
      <c r="M3" s="556">
        <v>3</v>
      </c>
      <c r="N3" s="556">
        <v>0</v>
      </c>
      <c r="O3" s="556">
        <v>0</v>
      </c>
      <c r="P3" s="556">
        <v>0</v>
      </c>
      <c r="Q3" s="556">
        <v>0</v>
      </c>
      <c r="R3" s="556">
        <v>1</v>
      </c>
      <c r="S3" s="612">
        <v>1203</v>
      </c>
      <c r="T3" s="563" t="s">
        <v>794</v>
      </c>
    </row>
    <row r="4" spans="1:20" ht="14.95" customHeight="1" thickBot="1" x14ac:dyDescent="0.3">
      <c r="A4" s="546" t="s">
        <v>956</v>
      </c>
      <c r="B4" s="547" t="s">
        <v>1037</v>
      </c>
      <c r="C4" s="548" t="s">
        <v>1039</v>
      </c>
      <c r="D4" s="549" t="s">
        <v>299</v>
      </c>
      <c r="E4" s="549" t="s">
        <v>32</v>
      </c>
      <c r="F4" s="549">
        <v>57</v>
      </c>
      <c r="G4" s="549">
        <v>0</v>
      </c>
      <c r="H4" s="549">
        <v>1</v>
      </c>
      <c r="I4" s="549">
        <v>0</v>
      </c>
      <c r="J4" s="549">
        <v>9</v>
      </c>
      <c r="K4" s="549">
        <v>6</v>
      </c>
      <c r="L4" s="549">
        <v>0</v>
      </c>
      <c r="M4" s="549">
        <v>0</v>
      </c>
      <c r="N4" s="549"/>
      <c r="O4" s="549"/>
      <c r="P4" s="549">
        <v>0</v>
      </c>
      <c r="Q4" s="549">
        <v>0</v>
      </c>
      <c r="R4" s="549">
        <v>0</v>
      </c>
      <c r="S4" s="584">
        <v>3577</v>
      </c>
      <c r="T4" s="585" t="s">
        <v>653</v>
      </c>
    </row>
    <row r="5" spans="1:20" ht="14.95" customHeight="1" thickBot="1" x14ac:dyDescent="0.3">
      <c r="A5" s="626" t="s">
        <v>233</v>
      </c>
      <c r="B5" s="547" t="s">
        <v>1037</v>
      </c>
      <c r="C5" s="627"/>
      <c r="D5" s="628"/>
      <c r="E5" s="628"/>
      <c r="F5" s="628"/>
      <c r="G5" s="628"/>
      <c r="H5" s="628"/>
      <c r="I5" s="628"/>
      <c r="J5" s="628"/>
      <c r="K5" s="628"/>
      <c r="L5" s="628"/>
      <c r="M5" s="628"/>
      <c r="N5" s="628"/>
      <c r="O5" s="628"/>
      <c r="P5" s="628"/>
      <c r="Q5" s="628"/>
      <c r="R5" s="628"/>
      <c r="S5" s="550"/>
      <c r="T5" s="629"/>
    </row>
    <row r="6" spans="1:20" ht="14.95" customHeight="1" thickBot="1" x14ac:dyDescent="0.3">
      <c r="A6" s="553" t="s">
        <v>360</v>
      </c>
      <c r="B6" s="554" t="s">
        <v>222</v>
      </c>
      <c r="C6" s="625"/>
      <c r="D6" s="556"/>
      <c r="E6" s="556"/>
      <c r="F6" s="556"/>
      <c r="G6" s="556"/>
      <c r="H6" s="556"/>
      <c r="I6" s="556"/>
      <c r="J6" s="556"/>
      <c r="K6" s="556"/>
      <c r="L6" s="556"/>
      <c r="M6" s="556"/>
      <c r="N6" s="556"/>
      <c r="O6" s="556"/>
      <c r="P6" s="556"/>
      <c r="Q6" s="556"/>
      <c r="R6" s="556"/>
      <c r="S6" s="557"/>
      <c r="T6" s="563"/>
    </row>
    <row r="7" spans="1:20" ht="14.95" customHeight="1" thickBot="1" x14ac:dyDescent="0.3">
      <c r="A7" s="479" t="s">
        <v>426</v>
      </c>
      <c r="B7" s="461" t="s">
        <v>199</v>
      </c>
      <c r="C7" s="462"/>
      <c r="D7" s="463"/>
      <c r="E7" s="463"/>
      <c r="F7" s="463"/>
      <c r="G7" s="463"/>
      <c r="H7" s="463"/>
      <c r="I7" s="463"/>
      <c r="J7" s="463"/>
      <c r="K7" s="463"/>
      <c r="L7" s="463"/>
      <c r="M7" s="463"/>
      <c r="N7" s="463"/>
      <c r="O7" s="463"/>
      <c r="P7" s="463"/>
      <c r="Q7" s="463"/>
      <c r="R7" s="463"/>
      <c r="S7" s="464"/>
      <c r="T7" s="481"/>
    </row>
    <row r="8" spans="1:20" ht="14.95" customHeight="1" thickBot="1" x14ac:dyDescent="0.3">
      <c r="A8" s="468" t="s">
        <v>427</v>
      </c>
      <c r="B8" s="469" t="s">
        <v>199</v>
      </c>
      <c r="C8" s="470"/>
      <c r="D8" s="471"/>
      <c r="E8" s="471"/>
      <c r="F8" s="471"/>
      <c r="G8" s="471"/>
      <c r="H8" s="471"/>
      <c r="I8" s="471"/>
      <c r="J8" s="471"/>
      <c r="K8" s="471"/>
      <c r="L8" s="471"/>
      <c r="M8" s="471"/>
      <c r="N8" s="471"/>
      <c r="O8" s="471"/>
      <c r="P8" s="471"/>
      <c r="Q8" s="471"/>
      <c r="R8" s="471"/>
      <c r="S8" s="472"/>
      <c r="T8" s="498"/>
    </row>
    <row r="9" spans="1:20" ht="14.95" customHeight="1" thickBot="1" x14ac:dyDescent="0.3">
      <c r="A9" s="479" t="s">
        <v>239</v>
      </c>
      <c r="B9" s="461" t="s">
        <v>199</v>
      </c>
      <c r="C9" s="462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4"/>
      <c r="T9" s="465"/>
    </row>
    <row r="10" spans="1:20" ht="14.95" customHeight="1" thickBot="1" x14ac:dyDescent="0.3">
      <c r="A10" s="468" t="s">
        <v>237</v>
      </c>
      <c r="B10" s="469" t="s">
        <v>199</v>
      </c>
      <c r="C10" s="470"/>
      <c r="D10" s="471"/>
      <c r="E10" s="471"/>
      <c r="F10" s="471"/>
      <c r="G10" s="471"/>
      <c r="H10" s="471"/>
      <c r="I10" s="471"/>
      <c r="J10" s="471"/>
      <c r="K10" s="471"/>
      <c r="L10" s="471"/>
      <c r="M10" s="471"/>
      <c r="N10" s="471"/>
      <c r="O10" s="471"/>
      <c r="P10" s="471"/>
      <c r="Q10" s="471"/>
      <c r="R10" s="471"/>
      <c r="S10" s="503"/>
      <c r="T10" s="480"/>
    </row>
    <row r="11" spans="1:20" ht="14.95" customHeight="1" thickBot="1" x14ac:dyDescent="0.3">
      <c r="A11" s="309" t="s">
        <v>234</v>
      </c>
      <c r="B11" s="310" t="s">
        <v>104</v>
      </c>
      <c r="C11" s="93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311"/>
      <c r="T11" s="632"/>
    </row>
    <row r="12" spans="1:20" ht="14.95" customHeight="1" thickBot="1" x14ac:dyDescent="0.3">
      <c r="A12" s="145" t="s">
        <v>235</v>
      </c>
      <c r="B12" s="139" t="s">
        <v>104</v>
      </c>
      <c r="C12" s="140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142"/>
      <c r="T12" s="591"/>
    </row>
    <row r="13" spans="1:20" ht="14.95" customHeight="1" thickBot="1" x14ac:dyDescent="0.3">
      <c r="A13" s="468" t="s">
        <v>428</v>
      </c>
      <c r="B13" s="469" t="s">
        <v>199</v>
      </c>
      <c r="C13" s="470"/>
      <c r="D13" s="471"/>
      <c r="E13" s="471"/>
      <c r="F13" s="471"/>
      <c r="G13" s="471"/>
      <c r="H13" s="471"/>
      <c r="I13" s="471"/>
      <c r="J13" s="471"/>
      <c r="K13" s="471"/>
      <c r="L13" s="471"/>
      <c r="M13" s="471"/>
      <c r="N13" s="471"/>
      <c r="O13" s="471"/>
      <c r="P13" s="471"/>
      <c r="Q13" s="471"/>
      <c r="R13" s="471"/>
      <c r="S13" s="472"/>
      <c r="T13" s="477"/>
    </row>
    <row r="14" spans="1:20" ht="14.95" customHeight="1" thickBot="1" x14ac:dyDescent="0.3">
      <c r="A14" s="309" t="s">
        <v>429</v>
      </c>
      <c r="B14" s="310" t="s">
        <v>104</v>
      </c>
      <c r="C14" s="93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311"/>
      <c r="T14" s="725"/>
    </row>
    <row r="15" spans="1:20" ht="14.95" customHeight="1" thickBot="1" x14ac:dyDescent="0.3">
      <c r="A15" s="145" t="s">
        <v>433</v>
      </c>
      <c r="B15" s="139" t="s">
        <v>104</v>
      </c>
      <c r="C15" s="140"/>
      <c r="D15" s="141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283"/>
      <c r="T15" s="421"/>
    </row>
    <row r="16" spans="1:20" ht="14.95" customHeight="1" thickBot="1" x14ac:dyDescent="0.3">
      <c r="A16" s="479" t="s">
        <v>434</v>
      </c>
      <c r="B16" s="461" t="s">
        <v>199</v>
      </c>
      <c r="C16" s="462"/>
      <c r="D16" s="463"/>
      <c r="E16" s="463"/>
      <c r="F16" s="463"/>
      <c r="G16" s="463"/>
      <c r="H16" s="463"/>
      <c r="I16" s="463"/>
      <c r="J16" s="463"/>
      <c r="K16" s="463"/>
      <c r="L16" s="463"/>
      <c r="M16" s="463"/>
      <c r="N16" s="463"/>
      <c r="O16" s="463"/>
      <c r="P16" s="463"/>
      <c r="Q16" s="463"/>
      <c r="R16" s="463"/>
      <c r="S16" s="464"/>
      <c r="T16" s="481"/>
    </row>
    <row r="17" spans="1:20" ht="14.95" customHeight="1" thickBot="1" x14ac:dyDescent="0.3">
      <c r="A17" s="468" t="s">
        <v>257</v>
      </c>
      <c r="B17" s="469" t="s">
        <v>199</v>
      </c>
      <c r="C17" s="470"/>
      <c r="D17" s="471"/>
      <c r="E17" s="471"/>
      <c r="F17" s="471"/>
      <c r="G17" s="471"/>
      <c r="H17" s="471"/>
      <c r="I17" s="471"/>
      <c r="J17" s="471"/>
      <c r="K17" s="471"/>
      <c r="L17" s="471"/>
      <c r="M17" s="471"/>
      <c r="N17" s="471"/>
      <c r="O17" s="471"/>
      <c r="P17" s="471"/>
      <c r="Q17" s="471"/>
      <c r="R17" s="471"/>
      <c r="S17" s="595"/>
      <c r="T17" s="480"/>
    </row>
    <row r="18" spans="1:20" ht="14.95" customHeight="1" thickBot="1" x14ac:dyDescent="0.3">
      <c r="A18" s="479" t="s">
        <v>258</v>
      </c>
      <c r="B18" s="461" t="s">
        <v>199</v>
      </c>
      <c r="C18" s="462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4"/>
      <c r="T18" s="482"/>
    </row>
    <row r="19" spans="1:20" ht="14.95" customHeight="1" thickBot="1" x14ac:dyDescent="0.3">
      <c r="A19" s="309" t="s">
        <v>430</v>
      </c>
      <c r="B19" s="310" t="s">
        <v>104</v>
      </c>
      <c r="C19" s="93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631"/>
      <c r="T19" s="696"/>
    </row>
    <row r="20" spans="1:20" ht="14.95" customHeight="1" thickBot="1" x14ac:dyDescent="0.3">
      <c r="A20" s="145" t="s">
        <v>246</v>
      </c>
      <c r="B20" s="139" t="s">
        <v>104</v>
      </c>
      <c r="C20" s="140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2"/>
      <c r="T20" s="727"/>
    </row>
    <row r="21" spans="1:20" ht="14.95" customHeight="1" thickBot="1" x14ac:dyDescent="0.3">
      <c r="A21" s="468" t="s">
        <v>293</v>
      </c>
      <c r="B21" s="469" t="s">
        <v>199</v>
      </c>
      <c r="C21" s="470"/>
      <c r="D21" s="471"/>
      <c r="E21" s="471"/>
      <c r="F21" s="471"/>
      <c r="G21" s="471"/>
      <c r="H21" s="471"/>
      <c r="I21" s="471"/>
      <c r="J21" s="471"/>
      <c r="K21" s="471"/>
      <c r="L21" s="471"/>
      <c r="M21" s="471"/>
      <c r="N21" s="471"/>
      <c r="O21" s="471"/>
      <c r="P21" s="471"/>
      <c r="Q21" s="471"/>
      <c r="R21" s="471"/>
      <c r="S21" s="504"/>
      <c r="T21" s="480"/>
    </row>
    <row r="22" spans="1:20" ht="14.95" customHeight="1" thickBot="1" x14ac:dyDescent="0.3">
      <c r="A22" s="479" t="s">
        <v>259</v>
      </c>
      <c r="B22" s="461" t="s">
        <v>199</v>
      </c>
      <c r="C22" s="462"/>
      <c r="D22" s="463"/>
      <c r="E22" s="463"/>
      <c r="F22" s="463"/>
      <c r="G22" s="463"/>
      <c r="H22" s="463"/>
      <c r="I22" s="463"/>
      <c r="J22" s="463"/>
      <c r="K22" s="463"/>
      <c r="L22" s="463"/>
      <c r="M22" s="463"/>
      <c r="N22" s="463"/>
      <c r="O22" s="463"/>
      <c r="P22" s="463"/>
      <c r="Q22" s="463"/>
      <c r="R22" s="463"/>
      <c r="S22" s="486"/>
      <c r="T22" s="465"/>
    </row>
    <row r="23" spans="1:20" ht="14.95" customHeight="1" thickBot="1" x14ac:dyDescent="0.3">
      <c r="A23" s="468" t="s">
        <v>260</v>
      </c>
      <c r="B23" s="469" t="s">
        <v>199</v>
      </c>
      <c r="C23" s="470"/>
      <c r="D23" s="471"/>
      <c r="E23" s="471"/>
      <c r="F23" s="471"/>
      <c r="G23" s="471"/>
      <c r="H23" s="471"/>
      <c r="I23" s="471"/>
      <c r="J23" s="471"/>
      <c r="K23" s="471"/>
      <c r="L23" s="471"/>
      <c r="M23" s="471"/>
      <c r="N23" s="471"/>
      <c r="O23" s="471"/>
      <c r="P23" s="471"/>
      <c r="Q23" s="471"/>
      <c r="R23" s="471"/>
      <c r="S23" s="472"/>
      <c r="T23" s="480"/>
    </row>
    <row r="24" spans="1:20" ht="14.95" customHeight="1" thickBot="1" x14ac:dyDescent="0.3">
      <c r="A24" s="468" t="s">
        <v>497</v>
      </c>
      <c r="B24" s="469" t="s">
        <v>199</v>
      </c>
      <c r="C24" s="470"/>
      <c r="D24" s="471"/>
      <c r="E24" s="471"/>
      <c r="F24" s="471"/>
      <c r="G24" s="471"/>
      <c r="H24" s="471"/>
      <c r="I24" s="471"/>
      <c r="J24" s="471"/>
      <c r="K24" s="471"/>
      <c r="L24" s="471"/>
      <c r="M24" s="471"/>
      <c r="N24" s="471"/>
      <c r="O24" s="471"/>
      <c r="P24" s="471"/>
      <c r="Q24" s="471"/>
      <c r="R24" s="471"/>
      <c r="S24" s="472"/>
      <c r="T24" s="477"/>
    </row>
    <row r="25" spans="1:20" ht="14.95" customHeight="1" thickBot="1" x14ac:dyDescent="0.3">
      <c r="A25" s="479" t="s">
        <v>295</v>
      </c>
      <c r="B25" s="461" t="s">
        <v>199</v>
      </c>
      <c r="C25" s="462"/>
      <c r="D25" s="463"/>
      <c r="E25" s="463"/>
      <c r="F25" s="463"/>
      <c r="G25" s="463"/>
      <c r="H25" s="463"/>
      <c r="I25" s="463"/>
      <c r="J25" s="463"/>
      <c r="K25" s="463"/>
      <c r="L25" s="463"/>
      <c r="M25" s="463"/>
      <c r="N25" s="463"/>
      <c r="O25" s="463"/>
      <c r="P25" s="463"/>
      <c r="Q25" s="463"/>
      <c r="R25" s="463"/>
      <c r="S25" s="464"/>
      <c r="T25" s="465"/>
    </row>
    <row r="26" spans="1:20" ht="14.95" customHeight="1" thickBot="1" x14ac:dyDescent="0.3">
      <c r="A26" s="468" t="s">
        <v>829</v>
      </c>
      <c r="B26" s="469" t="s">
        <v>199</v>
      </c>
      <c r="C26" s="470"/>
      <c r="D26" s="471"/>
      <c r="E26" s="471"/>
      <c r="F26" s="471"/>
      <c r="G26" s="471"/>
      <c r="H26" s="471"/>
      <c r="I26" s="471"/>
      <c r="J26" s="471"/>
      <c r="K26" s="471"/>
      <c r="L26" s="471"/>
      <c r="M26" s="471"/>
      <c r="N26" s="471"/>
      <c r="O26" s="471"/>
      <c r="P26" s="471"/>
      <c r="Q26" s="471"/>
      <c r="R26" s="471"/>
      <c r="S26" s="472"/>
      <c r="T26" s="480"/>
    </row>
    <row r="27" spans="1:20" ht="14.95" customHeight="1" thickBot="1" x14ac:dyDescent="0.3">
      <c r="A27" s="479" t="s">
        <v>832</v>
      </c>
      <c r="B27" s="461" t="s">
        <v>199</v>
      </c>
      <c r="C27" s="462"/>
      <c r="D27" s="463"/>
      <c r="E27" s="463"/>
      <c r="F27" s="463"/>
      <c r="G27" s="463"/>
      <c r="H27" s="463"/>
      <c r="I27" s="463"/>
      <c r="J27" s="463"/>
      <c r="K27" s="463"/>
      <c r="L27" s="463"/>
      <c r="M27" s="463"/>
      <c r="N27" s="463"/>
      <c r="O27" s="463"/>
      <c r="P27" s="463"/>
      <c r="Q27" s="463"/>
      <c r="R27" s="463"/>
      <c r="S27" s="483"/>
      <c r="T27" s="481"/>
    </row>
    <row r="28" spans="1:20" ht="14.95" customHeight="1" thickBot="1" x14ac:dyDescent="0.3">
      <c r="A28" s="479" t="s">
        <v>836</v>
      </c>
      <c r="B28" s="461" t="s">
        <v>199</v>
      </c>
      <c r="C28" s="462"/>
      <c r="D28" s="463"/>
      <c r="E28" s="463"/>
      <c r="F28" s="463"/>
      <c r="G28" s="463"/>
      <c r="H28" s="463"/>
      <c r="I28" s="463"/>
      <c r="J28" s="463"/>
      <c r="K28" s="463"/>
      <c r="L28" s="463"/>
      <c r="M28" s="463"/>
      <c r="N28" s="463"/>
      <c r="O28" s="463"/>
      <c r="P28" s="463"/>
      <c r="Q28" s="463"/>
      <c r="R28" s="463"/>
      <c r="S28" s="464"/>
      <c r="T28" s="481"/>
    </row>
    <row r="29" spans="1:20" ht="14.95" customHeight="1" thickBot="1" x14ac:dyDescent="0.3">
      <c r="A29" s="468" t="s">
        <v>842</v>
      </c>
      <c r="B29" s="469" t="s">
        <v>199</v>
      </c>
      <c r="C29" s="470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471"/>
      <c r="S29" s="472"/>
      <c r="T29" s="732"/>
    </row>
    <row r="30" spans="1:20" ht="14.95" customHeight="1" thickBot="1" x14ac:dyDescent="0.3">
      <c r="A30" s="479" t="s">
        <v>856</v>
      </c>
      <c r="B30" s="461" t="s">
        <v>199</v>
      </c>
      <c r="C30" s="462"/>
      <c r="D30" s="463"/>
      <c r="E30" s="463"/>
      <c r="F30" s="463"/>
      <c r="G30" s="463"/>
      <c r="H30" s="463"/>
      <c r="I30" s="463"/>
      <c r="J30" s="463"/>
      <c r="K30" s="463"/>
      <c r="L30" s="463"/>
      <c r="M30" s="463"/>
      <c r="N30" s="463"/>
      <c r="O30" s="463"/>
      <c r="P30" s="463"/>
      <c r="Q30" s="463"/>
      <c r="R30" s="463"/>
      <c r="S30" s="486"/>
      <c r="T30" s="481"/>
    </row>
    <row r="31" spans="1:20" ht="14.95" customHeight="1" thickBot="1" x14ac:dyDescent="0.3">
      <c r="A31" s="496" t="s">
        <v>861</v>
      </c>
      <c r="B31" s="496" t="s">
        <v>199</v>
      </c>
      <c r="C31" s="476"/>
      <c r="D31" s="501"/>
      <c r="E31" s="501"/>
      <c r="F31" s="471"/>
      <c r="G31" s="501"/>
      <c r="H31" s="471"/>
      <c r="I31" s="471"/>
      <c r="J31" s="471"/>
      <c r="K31" s="471"/>
      <c r="L31" s="471"/>
      <c r="M31" s="471"/>
      <c r="N31" s="471"/>
      <c r="O31" s="471"/>
      <c r="P31" s="471"/>
      <c r="Q31" s="471"/>
      <c r="R31" s="471"/>
      <c r="S31" s="472"/>
      <c r="T31" s="480"/>
    </row>
    <row r="32" spans="1:20" ht="14.95" customHeight="1" thickBot="1" x14ac:dyDescent="0.35">
      <c r="A32" s="474" t="s">
        <v>864</v>
      </c>
      <c r="B32" s="474" t="s">
        <v>199</v>
      </c>
      <c r="C32" s="487"/>
      <c r="D32" s="488"/>
      <c r="E32" s="463"/>
      <c r="F32" s="463"/>
      <c r="G32" s="463"/>
      <c r="H32" s="463"/>
      <c r="I32" s="463"/>
      <c r="J32" s="463"/>
      <c r="K32" s="463"/>
      <c r="L32" s="463"/>
      <c r="M32" s="463"/>
      <c r="N32" s="463"/>
      <c r="O32" s="463"/>
      <c r="P32" s="463"/>
      <c r="Q32" s="463"/>
      <c r="R32" s="463"/>
      <c r="S32" s="464"/>
      <c r="T32" s="481"/>
    </row>
    <row r="33" spans="1:20" ht="14.95" customHeight="1" thickBot="1" x14ac:dyDescent="0.3">
      <c r="A33" s="496" t="s">
        <v>868</v>
      </c>
      <c r="B33" s="496" t="s">
        <v>199</v>
      </c>
      <c r="C33" s="476"/>
      <c r="D33" s="501"/>
      <c r="E33" s="497"/>
      <c r="F33" s="471"/>
      <c r="G33" s="471"/>
      <c r="H33" s="471"/>
      <c r="I33" s="471"/>
      <c r="J33" s="471"/>
      <c r="K33" s="471"/>
      <c r="L33" s="471"/>
      <c r="M33" s="471"/>
      <c r="N33" s="471"/>
      <c r="O33" s="471"/>
      <c r="P33" s="471"/>
      <c r="Q33" s="471"/>
      <c r="R33" s="471"/>
      <c r="S33" s="472"/>
      <c r="T33" s="498"/>
    </row>
    <row r="34" spans="1:20" ht="14.95" customHeight="1" thickBot="1" x14ac:dyDescent="0.3">
      <c r="A34" s="474" t="s">
        <v>357</v>
      </c>
      <c r="B34" s="474" t="s">
        <v>199</v>
      </c>
      <c r="C34" s="487"/>
      <c r="D34" s="488"/>
      <c r="E34" s="475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3"/>
      <c r="R34" s="463"/>
      <c r="S34" s="464"/>
      <c r="T34" s="465"/>
    </row>
    <row r="35" spans="1:20" ht="14.95" customHeight="1" thickBot="1" x14ac:dyDescent="0.3">
      <c r="A35" s="474" t="s">
        <v>872</v>
      </c>
      <c r="B35" s="474" t="s">
        <v>200</v>
      </c>
      <c r="C35" s="487"/>
      <c r="D35" s="488"/>
      <c r="E35" s="475"/>
      <c r="F35" s="463"/>
      <c r="G35" s="463"/>
      <c r="H35" s="463"/>
      <c r="I35" s="463"/>
      <c r="J35" s="463"/>
      <c r="K35" s="463"/>
      <c r="L35" s="463"/>
      <c r="M35" s="463"/>
      <c r="N35" s="463"/>
      <c r="O35" s="463"/>
      <c r="P35" s="463"/>
      <c r="Q35" s="463"/>
      <c r="R35" s="463"/>
      <c r="S35" s="464"/>
      <c r="T35" s="465"/>
    </row>
  </sheetData>
  <mergeCells count="6">
    <mergeCell ref="P1:R1"/>
    <mergeCell ref="A1:D1"/>
    <mergeCell ref="E1:G1"/>
    <mergeCell ref="H1:I1"/>
    <mergeCell ref="J1:M1"/>
    <mergeCell ref="N1:O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5"/>
  <sheetViews>
    <sheetView workbookViewId="0">
      <selection activeCell="Q22" sqref="Q22"/>
    </sheetView>
  </sheetViews>
  <sheetFormatPr defaultColWidth="8.875" defaultRowHeight="14.3" x14ac:dyDescent="0.25"/>
  <sheetData>
    <row r="1" spans="1:18" ht="14.95" customHeight="1" x14ac:dyDescent="0.25">
      <c r="A1" s="947" t="s">
        <v>203</v>
      </c>
      <c r="B1" s="947" t="s">
        <v>204</v>
      </c>
      <c r="C1" s="947" t="s">
        <v>205</v>
      </c>
      <c r="D1" s="947" t="s">
        <v>206</v>
      </c>
      <c r="E1" s="947" t="s">
        <v>207</v>
      </c>
      <c r="F1" s="947" t="s">
        <v>208</v>
      </c>
      <c r="G1" s="947" t="s">
        <v>209</v>
      </c>
      <c r="H1" s="364" t="s">
        <v>210</v>
      </c>
    </row>
    <row r="2" spans="1:18" ht="14.95" thickBot="1" x14ac:dyDescent="0.3">
      <c r="A2" s="948"/>
      <c r="B2" s="948"/>
      <c r="C2" s="948"/>
      <c r="D2" s="948"/>
      <c r="E2" s="948"/>
      <c r="F2" s="948"/>
      <c r="G2" s="948"/>
      <c r="H2" s="365" t="s">
        <v>208</v>
      </c>
    </row>
    <row r="3" spans="1:18" ht="15.8" thickBot="1" x14ac:dyDescent="0.3">
      <c r="A3" s="366">
        <v>1</v>
      </c>
      <c r="B3" s="374">
        <v>3</v>
      </c>
      <c r="C3" s="374">
        <v>3</v>
      </c>
      <c r="D3" s="368">
        <v>0</v>
      </c>
      <c r="E3" s="374">
        <v>27</v>
      </c>
      <c r="F3" s="375">
        <v>281</v>
      </c>
      <c r="G3" s="369">
        <f>SUM(E3:E3)</f>
        <v>27</v>
      </c>
      <c r="H3" s="369">
        <f>SUM(F3:F3)</f>
        <v>281</v>
      </c>
      <c r="K3" s="374">
        <v>3</v>
      </c>
      <c r="L3" s="374">
        <v>3</v>
      </c>
      <c r="M3" s="368">
        <v>0</v>
      </c>
      <c r="P3" s="374">
        <v>4</v>
      </c>
      <c r="Q3" s="374">
        <v>2</v>
      </c>
      <c r="R3" s="368">
        <v>0</v>
      </c>
    </row>
    <row r="4" spans="1:18" ht="15.8" thickBot="1" x14ac:dyDescent="0.3">
      <c r="A4" s="366">
        <v>2</v>
      </c>
      <c r="B4" s="374">
        <v>4</v>
      </c>
      <c r="C4" s="374">
        <v>2</v>
      </c>
      <c r="D4" s="368">
        <v>0</v>
      </c>
      <c r="E4" s="374">
        <v>25</v>
      </c>
      <c r="F4" s="375">
        <v>229</v>
      </c>
      <c r="G4" s="369">
        <f>SUM(E3:E4)</f>
        <v>52</v>
      </c>
      <c r="H4" s="369">
        <f>SUM(F3:F4)</f>
        <v>510</v>
      </c>
      <c r="K4" s="374">
        <v>4</v>
      </c>
      <c r="L4" s="374">
        <v>2</v>
      </c>
      <c r="M4" s="368">
        <v>0</v>
      </c>
      <c r="P4" s="374">
        <v>2</v>
      </c>
      <c r="Q4" s="374">
        <v>4</v>
      </c>
      <c r="R4" s="368">
        <v>0</v>
      </c>
    </row>
    <row r="5" spans="1:18" ht="15.8" thickBot="1" x14ac:dyDescent="0.3">
      <c r="A5" s="571">
        <v>3</v>
      </c>
      <c r="B5" s="374">
        <v>5</v>
      </c>
      <c r="C5" s="374">
        <v>1</v>
      </c>
      <c r="D5" s="368">
        <v>0</v>
      </c>
      <c r="E5" s="368">
        <v>24</v>
      </c>
      <c r="F5" s="369">
        <v>242</v>
      </c>
      <c r="G5" s="369">
        <v>76</v>
      </c>
      <c r="H5" s="369">
        <v>752</v>
      </c>
      <c r="K5" s="374">
        <v>5</v>
      </c>
      <c r="L5" s="374">
        <v>1</v>
      </c>
      <c r="M5" s="368">
        <v>0</v>
      </c>
      <c r="P5" s="374">
        <v>3</v>
      </c>
      <c r="Q5" s="374">
        <v>3</v>
      </c>
      <c r="R5" s="368">
        <v>0</v>
      </c>
    </row>
    <row r="6" spans="1:18" ht="15.8" thickBot="1" x14ac:dyDescent="0.3">
      <c r="A6" s="366">
        <v>4</v>
      </c>
      <c r="B6" s="374">
        <v>3</v>
      </c>
      <c r="C6" s="374">
        <v>3</v>
      </c>
      <c r="D6" s="368">
        <v>0</v>
      </c>
      <c r="E6" s="367">
        <v>25</v>
      </c>
      <c r="F6" s="375">
        <v>231</v>
      </c>
      <c r="G6" s="369">
        <v>101</v>
      </c>
      <c r="H6" s="369">
        <v>983</v>
      </c>
      <c r="K6" s="374">
        <v>3</v>
      </c>
      <c r="L6" s="374">
        <v>3</v>
      </c>
      <c r="M6" s="368">
        <v>0</v>
      </c>
      <c r="P6" s="374">
        <v>4</v>
      </c>
      <c r="Q6" s="374">
        <v>2</v>
      </c>
      <c r="R6" s="368">
        <v>0</v>
      </c>
    </row>
    <row r="7" spans="1:18" ht="15.8" thickBot="1" x14ac:dyDescent="0.3">
      <c r="A7" s="366">
        <v>5</v>
      </c>
      <c r="B7" s="374">
        <v>4</v>
      </c>
      <c r="C7" s="374">
        <v>1</v>
      </c>
      <c r="D7" s="368">
        <v>1</v>
      </c>
      <c r="E7" s="374">
        <v>28</v>
      </c>
      <c r="F7" s="369">
        <v>256</v>
      </c>
      <c r="G7" s="369">
        <v>129</v>
      </c>
      <c r="H7" s="369">
        <v>1239</v>
      </c>
      <c r="K7" s="374">
        <v>4</v>
      </c>
      <c r="L7" s="374">
        <v>1</v>
      </c>
      <c r="M7" s="368">
        <v>1</v>
      </c>
      <c r="P7" s="368">
        <v>1</v>
      </c>
      <c r="Q7" s="368">
        <v>5</v>
      </c>
      <c r="R7" s="368">
        <v>0</v>
      </c>
    </row>
    <row r="8" spans="1:18" ht="15.8" thickBot="1" x14ac:dyDescent="0.3">
      <c r="A8" s="571">
        <v>6</v>
      </c>
      <c r="B8" s="374">
        <v>3</v>
      </c>
      <c r="C8" s="374">
        <v>3</v>
      </c>
      <c r="D8" s="368">
        <v>0</v>
      </c>
      <c r="E8" s="374">
        <v>38</v>
      </c>
      <c r="F8" s="375">
        <v>282</v>
      </c>
      <c r="G8" s="369">
        <v>167</v>
      </c>
      <c r="H8" s="369">
        <v>1521</v>
      </c>
      <c r="K8" s="374">
        <v>3</v>
      </c>
      <c r="L8" s="374">
        <v>3</v>
      </c>
      <c r="M8" s="368">
        <v>0</v>
      </c>
      <c r="P8" s="374">
        <v>5</v>
      </c>
      <c r="Q8" s="374">
        <v>1</v>
      </c>
      <c r="R8" s="368">
        <v>0</v>
      </c>
    </row>
    <row r="9" spans="1:18" ht="15.8" thickBot="1" x14ac:dyDescent="0.3">
      <c r="A9" s="366">
        <v>7</v>
      </c>
      <c r="B9" s="374">
        <v>4</v>
      </c>
      <c r="C9" s="374">
        <v>1</v>
      </c>
      <c r="D9" s="368">
        <v>1</v>
      </c>
      <c r="E9" s="374">
        <v>27</v>
      </c>
      <c r="F9" s="375">
        <v>243</v>
      </c>
      <c r="G9" s="369">
        <v>194</v>
      </c>
      <c r="H9" s="369">
        <v>1764</v>
      </c>
      <c r="K9" s="374">
        <v>4</v>
      </c>
      <c r="L9" s="374">
        <v>1</v>
      </c>
      <c r="M9" s="368">
        <v>1</v>
      </c>
      <c r="P9" s="374">
        <v>3</v>
      </c>
      <c r="Q9" s="374">
        <v>3</v>
      </c>
      <c r="R9" s="368">
        <v>0</v>
      </c>
    </row>
    <row r="10" spans="1:18" ht="15.8" thickBot="1" x14ac:dyDescent="0.3">
      <c r="A10" s="366">
        <v>8</v>
      </c>
      <c r="B10" s="374">
        <v>4</v>
      </c>
      <c r="C10" s="374">
        <v>2</v>
      </c>
      <c r="D10" s="368">
        <v>0</v>
      </c>
      <c r="E10" s="374">
        <v>47</v>
      </c>
      <c r="F10" s="375">
        <v>357</v>
      </c>
      <c r="G10" s="369">
        <v>241</v>
      </c>
      <c r="H10" s="369">
        <v>2121</v>
      </c>
      <c r="K10" s="374">
        <v>4</v>
      </c>
      <c r="L10" s="374">
        <v>2</v>
      </c>
      <c r="M10" s="368">
        <v>0</v>
      </c>
      <c r="P10" s="374">
        <v>3</v>
      </c>
      <c r="Q10" s="374">
        <v>3</v>
      </c>
      <c r="R10" s="374">
        <v>0</v>
      </c>
    </row>
    <row r="11" spans="1:18" ht="15.8" thickBot="1" x14ac:dyDescent="0.3">
      <c r="A11" s="366">
        <v>9</v>
      </c>
      <c r="B11" s="374">
        <v>3</v>
      </c>
      <c r="C11" s="374">
        <v>3</v>
      </c>
      <c r="D11" s="368">
        <v>0</v>
      </c>
      <c r="E11" s="367">
        <v>31</v>
      </c>
      <c r="F11" s="369">
        <v>261</v>
      </c>
      <c r="G11" s="369">
        <v>272</v>
      </c>
      <c r="H11" s="369">
        <v>2382</v>
      </c>
      <c r="K11" s="374">
        <v>3</v>
      </c>
      <c r="L11" s="374">
        <v>3</v>
      </c>
      <c r="M11" s="368">
        <v>0</v>
      </c>
      <c r="P11" s="374">
        <v>1</v>
      </c>
      <c r="Q11" s="374">
        <v>2</v>
      </c>
      <c r="R11" s="368">
        <v>1</v>
      </c>
    </row>
    <row r="12" spans="1:18" ht="15.8" thickBot="1" x14ac:dyDescent="0.3">
      <c r="A12" s="366">
        <v>10</v>
      </c>
      <c r="B12" s="374">
        <v>2</v>
      </c>
      <c r="C12" s="374">
        <v>4</v>
      </c>
      <c r="D12" s="368">
        <v>0</v>
      </c>
      <c r="E12" s="374">
        <v>27</v>
      </c>
      <c r="F12" s="369">
        <v>247</v>
      </c>
      <c r="G12" s="369">
        <v>299</v>
      </c>
      <c r="H12" s="369">
        <v>2629</v>
      </c>
      <c r="K12" s="374">
        <v>2</v>
      </c>
      <c r="L12" s="374">
        <v>4</v>
      </c>
      <c r="M12" s="368">
        <v>0</v>
      </c>
      <c r="P12" s="372">
        <v>2</v>
      </c>
      <c r="Q12" s="372">
        <v>0</v>
      </c>
      <c r="R12" s="372">
        <v>0</v>
      </c>
    </row>
    <row r="13" spans="1:18" ht="15.8" thickBot="1" x14ac:dyDescent="0.3">
      <c r="A13" s="366">
        <v>11</v>
      </c>
      <c r="B13" s="368">
        <v>6</v>
      </c>
      <c r="C13" s="368">
        <v>0</v>
      </c>
      <c r="D13" s="368">
        <v>0</v>
      </c>
      <c r="E13" s="367">
        <v>37</v>
      </c>
      <c r="F13" s="369">
        <v>271</v>
      </c>
      <c r="G13" s="369">
        <v>336</v>
      </c>
      <c r="H13" s="369">
        <v>2900</v>
      </c>
      <c r="K13" s="368">
        <v>6</v>
      </c>
      <c r="L13" s="368">
        <v>0</v>
      </c>
      <c r="M13" s="368">
        <v>0</v>
      </c>
      <c r="O13" s="928">
        <v>54</v>
      </c>
      <c r="P13">
        <f>SUM(P3:P12)</f>
        <v>28</v>
      </c>
      <c r="Q13">
        <f t="shared" ref="Q13:R13" si="0">SUM(Q3:Q12)</f>
        <v>25</v>
      </c>
      <c r="R13">
        <f t="shared" si="0"/>
        <v>1</v>
      </c>
    </row>
    <row r="14" spans="1:18" ht="15.8" thickBot="1" x14ac:dyDescent="0.3">
      <c r="A14" s="366">
        <v>12</v>
      </c>
      <c r="B14" s="374">
        <v>2</v>
      </c>
      <c r="C14" s="374">
        <v>4</v>
      </c>
      <c r="D14" s="368">
        <v>0</v>
      </c>
      <c r="E14" s="374">
        <v>33</v>
      </c>
      <c r="F14" s="375">
        <v>268</v>
      </c>
      <c r="G14" s="369">
        <v>369</v>
      </c>
      <c r="H14" s="369">
        <v>3168</v>
      </c>
      <c r="K14" s="374">
        <v>2</v>
      </c>
      <c r="L14" s="374">
        <v>4</v>
      </c>
      <c r="M14" s="368">
        <v>0</v>
      </c>
      <c r="O14">
        <v>12</v>
      </c>
      <c r="P14" s="929">
        <v>10</v>
      </c>
      <c r="Q14" s="929">
        <v>2</v>
      </c>
      <c r="R14">
        <v>0</v>
      </c>
    </row>
    <row r="15" spans="1:18" ht="15.8" thickBot="1" x14ac:dyDescent="0.3">
      <c r="A15" s="366">
        <v>13</v>
      </c>
      <c r="B15" s="374">
        <v>5</v>
      </c>
      <c r="C15" s="374">
        <v>1</v>
      </c>
      <c r="D15" s="368">
        <v>0</v>
      </c>
      <c r="E15" s="374">
        <v>37</v>
      </c>
      <c r="F15" s="375">
        <v>283</v>
      </c>
      <c r="G15" s="369">
        <v>406</v>
      </c>
      <c r="H15" s="369">
        <v>3451</v>
      </c>
      <c r="K15" s="374">
        <v>5</v>
      </c>
      <c r="L15" s="374">
        <v>1</v>
      </c>
      <c r="M15" s="368">
        <v>0</v>
      </c>
      <c r="O15">
        <v>66</v>
      </c>
      <c r="P15" s="929">
        <v>38</v>
      </c>
      <c r="Q15" s="929">
        <v>27</v>
      </c>
      <c r="R15">
        <v>1</v>
      </c>
    </row>
    <row r="16" spans="1:18" ht="15.8" thickBot="1" x14ac:dyDescent="0.3">
      <c r="A16" s="366">
        <v>14</v>
      </c>
      <c r="B16" s="374">
        <v>4</v>
      </c>
      <c r="C16" s="374">
        <v>2</v>
      </c>
      <c r="D16" s="368">
        <v>0</v>
      </c>
      <c r="E16" s="367">
        <v>29</v>
      </c>
      <c r="F16" s="375">
        <v>258</v>
      </c>
      <c r="G16" s="369">
        <v>435</v>
      </c>
      <c r="H16" s="369">
        <v>3709</v>
      </c>
      <c r="J16">
        <v>78</v>
      </c>
      <c r="K16">
        <f>SUM(K3:K15)</f>
        <v>48</v>
      </c>
      <c r="L16">
        <f t="shared" ref="L16:M16" si="1">SUM(L3:L15)</f>
        <v>28</v>
      </c>
      <c r="M16">
        <f t="shared" si="1"/>
        <v>2</v>
      </c>
    </row>
    <row r="17" spans="1:17" ht="15.8" thickBot="1" x14ac:dyDescent="0.3">
      <c r="A17" s="366">
        <v>15</v>
      </c>
      <c r="B17" s="374">
        <v>2</v>
      </c>
      <c r="C17" s="374">
        <v>4</v>
      </c>
      <c r="D17" s="368">
        <v>0</v>
      </c>
      <c r="E17" s="374">
        <v>40</v>
      </c>
      <c r="F17" s="375">
        <v>306</v>
      </c>
      <c r="G17" s="369">
        <v>475</v>
      </c>
      <c r="H17" s="369">
        <v>4015</v>
      </c>
      <c r="K17" s="927">
        <v>0.63</v>
      </c>
      <c r="L17" s="927">
        <v>0.37</v>
      </c>
      <c r="P17" s="927">
        <v>0.57999999999999996</v>
      </c>
      <c r="Q17" s="927">
        <v>0.42</v>
      </c>
    </row>
    <row r="18" spans="1:17" ht="15.8" thickBot="1" x14ac:dyDescent="0.3">
      <c r="A18" s="366">
        <v>16</v>
      </c>
      <c r="B18" s="374">
        <v>3</v>
      </c>
      <c r="C18" s="374">
        <v>3</v>
      </c>
      <c r="D18" s="368">
        <v>0</v>
      </c>
      <c r="E18" s="374">
        <v>26</v>
      </c>
      <c r="F18" s="852">
        <v>218</v>
      </c>
      <c r="G18" s="369">
        <v>501</v>
      </c>
      <c r="H18" s="369">
        <v>4233</v>
      </c>
      <c r="K18" t="s">
        <v>299</v>
      </c>
      <c r="L18" t="s">
        <v>36</v>
      </c>
      <c r="P18" t="s">
        <v>299</v>
      </c>
      <c r="Q18" t="s">
        <v>36</v>
      </c>
    </row>
    <row r="19" spans="1:17" ht="15.8" thickBot="1" x14ac:dyDescent="0.3">
      <c r="A19" s="366">
        <v>17</v>
      </c>
      <c r="B19" s="374">
        <v>4</v>
      </c>
      <c r="C19" s="374">
        <v>2</v>
      </c>
      <c r="D19" s="368">
        <v>0</v>
      </c>
      <c r="E19" s="374">
        <v>46</v>
      </c>
      <c r="F19" s="375">
        <v>338</v>
      </c>
      <c r="G19" s="369">
        <v>547</v>
      </c>
      <c r="H19" s="369">
        <v>4571</v>
      </c>
    </row>
    <row r="20" spans="1:17" ht="15.8" thickBot="1" x14ac:dyDescent="0.3">
      <c r="A20" s="366">
        <v>18</v>
      </c>
      <c r="B20" s="368">
        <v>1</v>
      </c>
      <c r="C20" s="368">
        <v>5</v>
      </c>
      <c r="D20" s="368">
        <v>0</v>
      </c>
      <c r="E20" s="374">
        <v>36</v>
      </c>
      <c r="F20" s="375">
        <v>334</v>
      </c>
      <c r="G20" s="369">
        <v>583</v>
      </c>
      <c r="H20" s="369">
        <v>4905</v>
      </c>
    </row>
    <row r="21" spans="1:17" ht="15.8" thickBot="1" x14ac:dyDescent="0.3">
      <c r="A21" s="366">
        <v>19</v>
      </c>
      <c r="B21" s="374">
        <v>5</v>
      </c>
      <c r="C21" s="374">
        <v>1</v>
      </c>
      <c r="D21" s="368">
        <v>0</v>
      </c>
      <c r="E21" s="374">
        <v>46</v>
      </c>
      <c r="F21" s="375">
        <v>324</v>
      </c>
      <c r="G21" s="369">
        <v>629</v>
      </c>
      <c r="H21" s="369">
        <v>5229</v>
      </c>
    </row>
    <row r="22" spans="1:17" ht="15.8" thickBot="1" x14ac:dyDescent="0.3">
      <c r="A22" s="366">
        <v>20</v>
      </c>
      <c r="B22" s="374">
        <v>3</v>
      </c>
      <c r="C22" s="374">
        <v>3</v>
      </c>
      <c r="D22" s="368">
        <v>0</v>
      </c>
      <c r="E22" s="368">
        <v>48</v>
      </c>
      <c r="F22" s="370">
        <v>370</v>
      </c>
      <c r="G22" s="369">
        <v>677</v>
      </c>
      <c r="H22" s="369">
        <v>5599</v>
      </c>
    </row>
    <row r="23" spans="1:17" ht="15.8" thickBot="1" x14ac:dyDescent="0.3">
      <c r="A23" s="366">
        <v>21</v>
      </c>
      <c r="B23" s="374">
        <v>3</v>
      </c>
      <c r="C23" s="374">
        <v>3</v>
      </c>
      <c r="D23" s="374">
        <v>0</v>
      </c>
      <c r="E23" s="374">
        <v>43</v>
      </c>
      <c r="F23" s="375">
        <v>305</v>
      </c>
      <c r="G23" s="375">
        <v>720</v>
      </c>
      <c r="H23" s="375">
        <v>5904</v>
      </c>
    </row>
    <row r="24" spans="1:17" ht="15.8" thickBot="1" x14ac:dyDescent="0.3">
      <c r="A24" s="366">
        <v>22</v>
      </c>
      <c r="B24" s="374">
        <v>2</v>
      </c>
      <c r="C24" s="374">
        <v>3</v>
      </c>
      <c r="D24" s="368">
        <v>1</v>
      </c>
      <c r="E24" s="374">
        <v>32</v>
      </c>
      <c r="F24" s="370">
        <v>226</v>
      </c>
      <c r="G24" s="369">
        <v>752</v>
      </c>
      <c r="H24" s="369">
        <v>6130</v>
      </c>
    </row>
    <row r="25" spans="1:17" ht="15.8" thickBot="1" x14ac:dyDescent="0.3">
      <c r="A25" s="371" t="s">
        <v>211</v>
      </c>
      <c r="B25" s="372">
        <v>2</v>
      </c>
      <c r="C25" s="372">
        <v>0</v>
      </c>
      <c r="D25" s="372" t="s">
        <v>202</v>
      </c>
      <c r="E25" s="372">
        <v>14</v>
      </c>
      <c r="F25" s="373">
        <v>112</v>
      </c>
      <c r="G25" s="373">
        <v>766</v>
      </c>
      <c r="H25" s="373">
        <v>6242</v>
      </c>
    </row>
    <row r="26" spans="1:17" ht="15.8" thickBot="1" x14ac:dyDescent="0.3">
      <c r="A26" s="371" t="s">
        <v>212</v>
      </c>
      <c r="B26" s="372" t="s">
        <v>202</v>
      </c>
      <c r="C26" s="372" t="s">
        <v>202</v>
      </c>
      <c r="D26" s="372" t="s">
        <v>202</v>
      </c>
      <c r="E26" s="372">
        <v>2</v>
      </c>
      <c r="F26" s="373">
        <v>32</v>
      </c>
      <c r="G26" s="373">
        <v>768</v>
      </c>
      <c r="H26" s="373">
        <v>6242</v>
      </c>
    </row>
    <row r="27" spans="1:17" ht="14.95" x14ac:dyDescent="0.25">
      <c r="E27">
        <f>SUM(E3:E26)</f>
        <v>768</v>
      </c>
      <c r="F27">
        <f t="shared" ref="F27" si="2">SUM(F3:F26)</f>
        <v>6274</v>
      </c>
    </row>
    <row r="29" spans="1:17" ht="14.95" x14ac:dyDescent="0.25">
      <c r="A29" t="s">
        <v>213</v>
      </c>
      <c r="C29" t="s">
        <v>799</v>
      </c>
    </row>
    <row r="30" spans="1:17" ht="14.95" x14ac:dyDescent="0.25">
      <c r="A30" t="s">
        <v>214</v>
      </c>
      <c r="C30" t="s">
        <v>919</v>
      </c>
    </row>
    <row r="31" spans="1:17" x14ac:dyDescent="0.25">
      <c r="A31" t="s">
        <v>215</v>
      </c>
      <c r="C31" t="s">
        <v>1005</v>
      </c>
    </row>
    <row r="32" spans="1:17" x14ac:dyDescent="0.25">
      <c r="A32" t="s">
        <v>706</v>
      </c>
    </row>
    <row r="33" spans="1:1" x14ac:dyDescent="0.25">
      <c r="A33" t="s">
        <v>920</v>
      </c>
    </row>
    <row r="35" spans="1:1" x14ac:dyDescent="0.25">
      <c r="A35" s="908" t="s">
        <v>107</v>
      </c>
    </row>
  </sheetData>
  <mergeCells count="7">
    <mergeCell ref="G1:G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  <pageSetup paperSize="0" orientation="portrait" horizontalDpi="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47"/>
  <sheetViews>
    <sheetView workbookViewId="0">
      <selection activeCell="G19" sqref="G19"/>
    </sheetView>
  </sheetViews>
  <sheetFormatPr defaultColWidth="8.875" defaultRowHeight="14.3" x14ac:dyDescent="0.25"/>
  <cols>
    <col min="1" max="1" width="13.125" bestFit="1" customWidth="1"/>
    <col min="2" max="2" width="3.75" customWidth="1"/>
    <col min="3" max="3" width="65.875" customWidth="1"/>
    <col min="4" max="4" width="3.75" customWidth="1"/>
    <col min="5" max="5" width="9" customWidth="1"/>
    <col min="6" max="6" width="3.25" customWidth="1"/>
    <col min="7" max="7" width="5.375" customWidth="1"/>
    <col min="8" max="8" width="13" bestFit="1" customWidth="1"/>
    <col min="19" max="19" width="7.125" customWidth="1"/>
    <col min="20" max="20" width="4.875" customWidth="1"/>
  </cols>
  <sheetData>
    <row r="1" spans="1:20" ht="14.95" thickBot="1" x14ac:dyDescent="0.3">
      <c r="H1" s="954" t="s">
        <v>87</v>
      </c>
      <c r="I1" s="950" t="s">
        <v>95</v>
      </c>
      <c r="J1" s="951"/>
      <c r="K1" s="950" t="s">
        <v>91</v>
      </c>
      <c r="L1" s="956"/>
      <c r="M1" s="956"/>
      <c r="N1" s="956"/>
      <c r="O1" s="951"/>
      <c r="P1" s="67" t="s">
        <v>97</v>
      </c>
      <c r="Q1" s="950" t="s">
        <v>92</v>
      </c>
      <c r="R1" s="951"/>
      <c r="S1" s="950" t="s">
        <v>41</v>
      </c>
      <c r="T1" s="951"/>
    </row>
    <row r="2" spans="1:20" ht="14.95" customHeight="1" thickBot="1" x14ac:dyDescent="0.3">
      <c r="A2" s="32"/>
      <c r="B2" s="19"/>
      <c r="C2" s="20" t="s">
        <v>93</v>
      </c>
      <c r="D2" s="952" t="s">
        <v>94</v>
      </c>
      <c r="E2" s="953"/>
      <c r="F2" s="124" t="s">
        <v>52</v>
      </c>
      <c r="G2" s="122"/>
      <c r="H2" s="955"/>
      <c r="I2" s="39" t="s">
        <v>35</v>
      </c>
      <c r="J2" s="39" t="s">
        <v>36</v>
      </c>
      <c r="K2" s="50" t="s">
        <v>89</v>
      </c>
      <c r="L2" s="51" t="s">
        <v>90</v>
      </c>
      <c r="M2" s="51" t="s">
        <v>99</v>
      </c>
      <c r="N2" s="80" t="s">
        <v>100</v>
      </c>
      <c r="O2" s="40" t="s">
        <v>96</v>
      </c>
      <c r="P2" s="68" t="s">
        <v>98</v>
      </c>
      <c r="Q2" s="50" t="s">
        <v>35</v>
      </c>
      <c r="R2" s="40" t="s">
        <v>36</v>
      </c>
      <c r="S2" s="50" t="s">
        <v>93</v>
      </c>
      <c r="T2" s="40" t="s">
        <v>94</v>
      </c>
    </row>
    <row r="3" spans="1:20" ht="14.95" customHeight="1" thickBot="1" x14ac:dyDescent="0.3">
      <c r="A3" s="825" t="s">
        <v>24</v>
      </c>
      <c r="B3" s="826">
        <f>gloucesterpremseasontotalsYC</f>
        <v>5</v>
      </c>
      <c r="C3" s="746" t="s">
        <v>926</v>
      </c>
      <c r="D3" s="23">
        <f>gloucesterpremseasontotalsRC</f>
        <v>0</v>
      </c>
      <c r="E3" s="24"/>
      <c r="F3" s="123">
        <f t="shared" ref="F3:F14" si="0">SUM(B3+D3*2)</f>
        <v>5</v>
      </c>
      <c r="G3" s="121"/>
      <c r="H3" s="44" t="s">
        <v>22</v>
      </c>
      <c r="I3" s="43">
        <v>12</v>
      </c>
      <c r="J3" s="43">
        <v>45</v>
      </c>
      <c r="K3" s="43">
        <v>94</v>
      </c>
      <c r="L3" s="43">
        <v>2</v>
      </c>
      <c r="M3" s="43">
        <v>0</v>
      </c>
      <c r="N3" s="43">
        <v>0</v>
      </c>
      <c r="O3" s="41">
        <f t="shared" ref="O3:O14" si="1">SUM(K3:N3)</f>
        <v>96</v>
      </c>
      <c r="P3" s="574">
        <v>17</v>
      </c>
      <c r="Q3" s="46">
        <f t="shared" ref="Q3:Q14" si="2">SUM(I3/O3)*10</f>
        <v>1.25</v>
      </c>
      <c r="R3" s="46">
        <f t="shared" ref="R3:R14" si="3">SUM(J3/O3)*10</f>
        <v>4.6875</v>
      </c>
      <c r="S3" s="52">
        <f>bthpremseasontotalsYC</f>
        <v>8</v>
      </c>
      <c r="T3" s="53">
        <f>bthpremseasontotalsRC</f>
        <v>1</v>
      </c>
    </row>
    <row r="4" spans="1:20" ht="14.95" customHeight="1" thickBot="1" x14ac:dyDescent="0.3">
      <c r="A4" s="21" t="s">
        <v>106</v>
      </c>
      <c r="B4" s="26">
        <f>Waspspremtotalsyc</f>
        <v>6</v>
      </c>
      <c r="C4" s="31" t="s">
        <v>936</v>
      </c>
      <c r="D4" s="23">
        <f>Waspspremtotalsrc</f>
        <v>1</v>
      </c>
      <c r="E4" s="24" t="s">
        <v>544</v>
      </c>
      <c r="F4" s="123">
        <f t="shared" si="0"/>
        <v>8</v>
      </c>
      <c r="G4" s="121"/>
      <c r="H4" s="44" t="s">
        <v>165</v>
      </c>
      <c r="I4" s="43">
        <v>22</v>
      </c>
      <c r="J4" s="43">
        <v>37</v>
      </c>
      <c r="K4" s="43">
        <v>77</v>
      </c>
      <c r="L4" s="43">
        <v>2</v>
      </c>
      <c r="M4" s="43">
        <v>0</v>
      </c>
      <c r="N4" s="43">
        <v>0</v>
      </c>
      <c r="O4" s="41">
        <f t="shared" si="1"/>
        <v>79</v>
      </c>
      <c r="P4" s="574">
        <v>8</v>
      </c>
      <c r="Q4" s="47">
        <f t="shared" si="2"/>
        <v>2.7848101265822782</v>
      </c>
      <c r="R4" s="42">
        <f t="shared" si="3"/>
        <v>4.6835443037974684</v>
      </c>
      <c r="S4" s="54">
        <f>BristolpremseasontotalsYC</f>
        <v>11</v>
      </c>
      <c r="T4" s="53">
        <f>BristolpremseasontotalsRC</f>
        <v>0</v>
      </c>
    </row>
    <row r="5" spans="1:20" ht="14.95" customHeight="1" thickBot="1" x14ac:dyDescent="0.3">
      <c r="A5" s="21" t="s">
        <v>19</v>
      </c>
      <c r="B5" s="22">
        <f>Sarpremtotalsyc</f>
        <v>7</v>
      </c>
      <c r="C5" s="861" t="s">
        <v>982</v>
      </c>
      <c r="D5" s="23">
        <f>Sarpremtotalsrc</f>
        <v>1</v>
      </c>
      <c r="E5" s="24" t="s">
        <v>914</v>
      </c>
      <c r="F5" s="123">
        <f t="shared" si="0"/>
        <v>9</v>
      </c>
      <c r="G5" s="121"/>
      <c r="H5" s="44" t="s">
        <v>28</v>
      </c>
      <c r="I5" s="43">
        <v>3</v>
      </c>
      <c r="J5" s="43">
        <v>26</v>
      </c>
      <c r="K5" s="43">
        <v>67</v>
      </c>
      <c r="L5" s="43">
        <v>11</v>
      </c>
      <c r="M5" s="43">
        <v>0</v>
      </c>
      <c r="N5" s="43">
        <v>0</v>
      </c>
      <c r="O5" s="41">
        <f t="shared" si="1"/>
        <v>78</v>
      </c>
      <c r="P5" s="574">
        <v>6</v>
      </c>
      <c r="Q5" s="47">
        <f t="shared" si="2"/>
        <v>0.38461538461538464</v>
      </c>
      <c r="R5" s="42">
        <f t="shared" si="3"/>
        <v>3.333333333333333</v>
      </c>
      <c r="S5" s="54">
        <f>Exepremtotalsyc</f>
        <v>10</v>
      </c>
      <c r="T5" s="53">
        <f>Exepremtotalsrc</f>
        <v>1</v>
      </c>
    </row>
    <row r="6" spans="1:20" ht="14.95" customHeight="1" thickBot="1" x14ac:dyDescent="0.3">
      <c r="A6" s="21" t="s">
        <v>22</v>
      </c>
      <c r="B6" s="22">
        <f>bthpremseasontotalsYC</f>
        <v>8</v>
      </c>
      <c r="C6" s="28" t="s">
        <v>917</v>
      </c>
      <c r="D6" s="23">
        <f>bthpremseasontotalsRC</f>
        <v>1</v>
      </c>
      <c r="E6" s="24" t="s">
        <v>547</v>
      </c>
      <c r="F6" s="123">
        <f t="shared" si="0"/>
        <v>10</v>
      </c>
      <c r="G6" s="121"/>
      <c r="H6" s="44" t="s">
        <v>24</v>
      </c>
      <c r="I6" s="43">
        <v>10</v>
      </c>
      <c r="J6" s="43">
        <v>17</v>
      </c>
      <c r="K6" s="43">
        <v>42</v>
      </c>
      <c r="L6" s="43">
        <v>0</v>
      </c>
      <c r="M6" s="43">
        <v>0</v>
      </c>
      <c r="N6" s="43">
        <v>0</v>
      </c>
      <c r="O6" s="41">
        <f t="shared" si="1"/>
        <v>42</v>
      </c>
      <c r="P6" s="574">
        <v>0</v>
      </c>
      <c r="Q6" s="47">
        <f t="shared" si="2"/>
        <v>2.3809523809523809</v>
      </c>
      <c r="R6" s="42">
        <f t="shared" si="3"/>
        <v>4.0476190476190474</v>
      </c>
      <c r="S6" s="54">
        <f>gloucesterpremseasontotalsYC</f>
        <v>5</v>
      </c>
      <c r="T6" s="53">
        <f>gloucesterpremseasontotalsRC</f>
        <v>0</v>
      </c>
    </row>
    <row r="7" spans="1:20" ht="14.95" customHeight="1" thickBot="1" x14ac:dyDescent="0.3">
      <c r="A7" s="21" t="s">
        <v>165</v>
      </c>
      <c r="B7" s="26">
        <f>BristolpremseasontotalsYC</f>
        <v>11</v>
      </c>
      <c r="C7" s="31" t="s">
        <v>913</v>
      </c>
      <c r="D7" s="23">
        <f>BristolpremseasontotalsRC</f>
        <v>0</v>
      </c>
      <c r="E7" s="27"/>
      <c r="F7" s="123">
        <f t="shared" si="0"/>
        <v>11</v>
      </c>
      <c r="G7" s="121"/>
      <c r="H7" s="44" t="s">
        <v>9</v>
      </c>
      <c r="I7" s="43">
        <v>10</v>
      </c>
      <c r="J7" s="43">
        <v>62</v>
      </c>
      <c r="K7" s="43">
        <v>112</v>
      </c>
      <c r="L7" s="43">
        <v>0</v>
      </c>
      <c r="M7" s="43">
        <v>0</v>
      </c>
      <c r="N7" s="43">
        <v>0</v>
      </c>
      <c r="O7" s="41">
        <f t="shared" si="1"/>
        <v>112</v>
      </c>
      <c r="P7" s="574">
        <v>11</v>
      </c>
      <c r="Q7" s="47">
        <f t="shared" ref="Q7" si="4">SUM(I7/O7)*10</f>
        <v>0.8928571428571429</v>
      </c>
      <c r="R7" s="42">
        <f t="shared" ref="R7" si="5">SUM(J7/O7)*10</f>
        <v>5.5357142857142865</v>
      </c>
      <c r="S7" s="54">
        <f>harlequinspremseasontotalsYC</f>
        <v>9</v>
      </c>
      <c r="T7" s="53">
        <f>harlequinspremseasontotalsRC</f>
        <v>1</v>
      </c>
    </row>
    <row r="8" spans="1:20" ht="14.95" customHeight="1" thickBot="1" x14ac:dyDescent="0.3">
      <c r="A8" s="21" t="s">
        <v>9</v>
      </c>
      <c r="B8" s="22">
        <f>harlequinspremseasontotalsYC</f>
        <v>9</v>
      </c>
      <c r="C8" s="28" t="s">
        <v>998</v>
      </c>
      <c r="D8" s="23">
        <f>harlequinspremseasontotalsRC</f>
        <v>1</v>
      </c>
      <c r="E8" s="24" t="s">
        <v>966</v>
      </c>
      <c r="F8" s="123">
        <f t="shared" si="0"/>
        <v>11</v>
      </c>
      <c r="G8" s="121"/>
      <c r="H8" s="44" t="s">
        <v>26</v>
      </c>
      <c r="I8" s="43">
        <v>10</v>
      </c>
      <c r="J8" s="43">
        <v>53</v>
      </c>
      <c r="K8" s="43">
        <v>105</v>
      </c>
      <c r="L8" s="43">
        <v>10</v>
      </c>
      <c r="M8" s="43">
        <v>0</v>
      </c>
      <c r="N8" s="43">
        <v>0</v>
      </c>
      <c r="O8" s="41">
        <f t="shared" si="1"/>
        <v>115</v>
      </c>
      <c r="P8" s="574">
        <v>6</v>
      </c>
      <c r="Q8" s="47">
        <f t="shared" ref="Q8" si="6">SUM(I8/O8)*10</f>
        <v>0.86956521739130432</v>
      </c>
      <c r="R8" s="42">
        <f t="shared" ref="R8" si="7">SUM(J8/O8)*10</f>
        <v>4.6086956521739131</v>
      </c>
      <c r="S8" s="54">
        <f>leicesterpremseasontotalsYC</f>
        <v>13</v>
      </c>
      <c r="T8" s="53">
        <f>leicesterpremseasontotalsRC</f>
        <v>0</v>
      </c>
    </row>
    <row r="9" spans="1:20" ht="14.95" customHeight="1" thickBot="1" x14ac:dyDescent="0.3">
      <c r="A9" s="21" t="s">
        <v>28</v>
      </c>
      <c r="B9" s="22">
        <f>Exepremtotalsyc</f>
        <v>10</v>
      </c>
      <c r="C9" s="28" t="s">
        <v>1026</v>
      </c>
      <c r="D9" s="23">
        <f>Exepremtotalsrc</f>
        <v>1</v>
      </c>
      <c r="E9" s="24" t="s">
        <v>723</v>
      </c>
      <c r="F9" s="123">
        <f t="shared" si="0"/>
        <v>12</v>
      </c>
      <c r="G9" s="121"/>
      <c r="H9" s="44" t="s">
        <v>11</v>
      </c>
      <c r="I9" s="43">
        <v>43</v>
      </c>
      <c r="J9" s="43">
        <v>118</v>
      </c>
      <c r="K9" s="43">
        <v>179</v>
      </c>
      <c r="L9" s="43">
        <v>8</v>
      </c>
      <c r="M9" s="43">
        <v>0</v>
      </c>
      <c r="N9" s="43">
        <v>0</v>
      </c>
      <c r="O9" s="41">
        <f t="shared" si="1"/>
        <v>187</v>
      </c>
      <c r="P9" s="574">
        <v>18</v>
      </c>
      <c r="Q9" s="47">
        <f t="shared" si="2"/>
        <v>2.2994652406417111</v>
      </c>
      <c r="R9" s="42">
        <f t="shared" si="3"/>
        <v>6.3101604278074861</v>
      </c>
      <c r="S9" s="54">
        <f>Newcastlepremtotalsyc</f>
        <v>13</v>
      </c>
      <c r="T9" s="53">
        <f>Newcastlepremtotalsrc</f>
        <v>2</v>
      </c>
    </row>
    <row r="10" spans="1:20" ht="14.95" customHeight="1" thickBot="1" x14ac:dyDescent="0.3">
      <c r="A10" s="25" t="s">
        <v>26</v>
      </c>
      <c r="B10" s="26">
        <f>leicesterpremseasontotalsYC</f>
        <v>13</v>
      </c>
      <c r="C10" s="31" t="s">
        <v>974</v>
      </c>
      <c r="D10" s="23">
        <f>leicesterpremseasontotalsRC</f>
        <v>0</v>
      </c>
      <c r="E10" s="24"/>
      <c r="F10" s="123">
        <f t="shared" si="0"/>
        <v>13</v>
      </c>
      <c r="G10" s="121"/>
      <c r="H10" s="44" t="s">
        <v>25</v>
      </c>
      <c r="I10" s="43">
        <v>25</v>
      </c>
      <c r="J10" s="43">
        <v>68</v>
      </c>
      <c r="K10" s="43">
        <v>117</v>
      </c>
      <c r="L10" s="43">
        <v>19</v>
      </c>
      <c r="M10" s="43">
        <v>0</v>
      </c>
      <c r="N10" s="43">
        <v>0</v>
      </c>
      <c r="O10" s="41">
        <f t="shared" si="1"/>
        <v>136</v>
      </c>
      <c r="P10" s="574">
        <v>31</v>
      </c>
      <c r="Q10" s="47">
        <f t="shared" ref="Q10" si="8">SUM(I10/O10)*10</f>
        <v>1.8382352941176472</v>
      </c>
      <c r="R10" s="42">
        <f t="shared" ref="R10" si="9">SUM(J10/O10)*10</f>
        <v>5</v>
      </c>
      <c r="S10" s="54">
        <f>northamptonpremyellow</f>
        <v>14</v>
      </c>
      <c r="T10" s="53">
        <f>northamptonpremred</f>
        <v>2</v>
      </c>
    </row>
    <row r="11" spans="1:20" ht="14.95" customHeight="1" thickBot="1" x14ac:dyDescent="0.3">
      <c r="A11" s="21" t="s">
        <v>27</v>
      </c>
      <c r="B11" s="22">
        <f>salepremseasontotalsYC</f>
        <v>11</v>
      </c>
      <c r="C11" s="746" t="s">
        <v>943</v>
      </c>
      <c r="D11" s="29">
        <f>salepremseasontotalsRC</f>
        <v>1</v>
      </c>
      <c r="E11" s="24" t="s">
        <v>635</v>
      </c>
      <c r="F11" s="123">
        <f t="shared" si="0"/>
        <v>13</v>
      </c>
      <c r="G11" s="121"/>
      <c r="H11" s="44" t="s">
        <v>27</v>
      </c>
      <c r="I11" s="43">
        <v>39</v>
      </c>
      <c r="J11" s="43">
        <v>80</v>
      </c>
      <c r="K11" s="43">
        <v>139</v>
      </c>
      <c r="L11" s="43">
        <v>0</v>
      </c>
      <c r="M11" s="43">
        <v>0</v>
      </c>
      <c r="N11" s="43">
        <v>0</v>
      </c>
      <c r="O11" s="41">
        <f t="shared" si="1"/>
        <v>139</v>
      </c>
      <c r="P11" s="574">
        <v>12</v>
      </c>
      <c r="Q11" s="47">
        <f t="shared" si="2"/>
        <v>2.8057553956834531</v>
      </c>
      <c r="R11" s="42">
        <f t="shared" si="3"/>
        <v>5.7553956834532372</v>
      </c>
      <c r="S11" s="54">
        <f>salepremseasontotalsYC</f>
        <v>11</v>
      </c>
      <c r="T11" s="53">
        <f>salepremseasontotalsRC</f>
        <v>1</v>
      </c>
    </row>
    <row r="12" spans="1:20" ht="14.95" customHeight="1" thickBot="1" x14ac:dyDescent="0.3">
      <c r="A12" s="21" t="s">
        <v>23</v>
      </c>
      <c r="B12" s="22">
        <f>worcesterpremseasontotalsYC</f>
        <v>9</v>
      </c>
      <c r="C12" s="28" t="s">
        <v>899</v>
      </c>
      <c r="D12" s="23">
        <f>worcesterpremseasontotalsRC</f>
        <v>2</v>
      </c>
      <c r="E12" s="24" t="s">
        <v>912</v>
      </c>
      <c r="F12" s="123">
        <f t="shared" si="0"/>
        <v>13</v>
      </c>
      <c r="G12" s="121"/>
      <c r="H12" s="44" t="s">
        <v>19</v>
      </c>
      <c r="I12" s="43">
        <v>3</v>
      </c>
      <c r="J12" s="43">
        <v>30</v>
      </c>
      <c r="K12" s="43">
        <v>60</v>
      </c>
      <c r="L12" s="43">
        <v>0</v>
      </c>
      <c r="M12" s="43">
        <v>0</v>
      </c>
      <c r="N12" s="43">
        <v>0</v>
      </c>
      <c r="O12" s="41">
        <f t="shared" si="1"/>
        <v>60</v>
      </c>
      <c r="P12" s="574">
        <v>1</v>
      </c>
      <c r="Q12" s="47">
        <f t="shared" ref="Q12" si="10">SUM(I12/O12)*10</f>
        <v>0.5</v>
      </c>
      <c r="R12" s="42">
        <f t="shared" ref="R12" si="11">SUM(J12/O12)*10</f>
        <v>5</v>
      </c>
      <c r="S12" s="54">
        <f>Sarpremtotalsyc</f>
        <v>7</v>
      </c>
      <c r="T12" s="53">
        <f>Sarpremtotalsrc</f>
        <v>1</v>
      </c>
    </row>
    <row r="13" spans="1:20" ht="14.95" customHeight="1" thickBot="1" x14ac:dyDescent="0.3">
      <c r="A13" s="25" t="s">
        <v>11</v>
      </c>
      <c r="B13" s="26">
        <f>Newcastlepremtotalsyc</f>
        <v>13</v>
      </c>
      <c r="C13" s="31" t="s">
        <v>999</v>
      </c>
      <c r="D13" s="23">
        <f>Newcastlepremtotalsrc</f>
        <v>2</v>
      </c>
      <c r="E13" s="24" t="s">
        <v>716</v>
      </c>
      <c r="F13" s="123">
        <f t="shared" si="0"/>
        <v>17</v>
      </c>
      <c r="G13" s="121"/>
      <c r="H13" s="44" t="s">
        <v>106</v>
      </c>
      <c r="I13" s="43">
        <v>22</v>
      </c>
      <c r="J13" s="43">
        <v>29</v>
      </c>
      <c r="K13" s="43">
        <v>59</v>
      </c>
      <c r="L13" s="43">
        <v>0</v>
      </c>
      <c r="M13" s="43">
        <v>0</v>
      </c>
      <c r="N13" s="43">
        <v>0</v>
      </c>
      <c r="O13" s="41">
        <f t="shared" si="1"/>
        <v>59</v>
      </c>
      <c r="P13" s="574">
        <v>0</v>
      </c>
      <c r="Q13" s="47">
        <f t="shared" si="2"/>
        <v>3.7288135593220337</v>
      </c>
      <c r="R13" s="42">
        <f t="shared" si="3"/>
        <v>4.9152542372881358</v>
      </c>
      <c r="S13" s="54">
        <f>Waspspremtotalsyc</f>
        <v>6</v>
      </c>
      <c r="T13" s="53">
        <f>Waspspremtotalsrc</f>
        <v>1</v>
      </c>
    </row>
    <row r="14" spans="1:20" ht="14.95" customHeight="1" thickBot="1" x14ac:dyDescent="0.3">
      <c r="A14" s="25" t="s">
        <v>25</v>
      </c>
      <c r="B14" s="26">
        <f>northamptonpremyellow</f>
        <v>14</v>
      </c>
      <c r="C14" s="157" t="s">
        <v>972</v>
      </c>
      <c r="D14" s="23">
        <f>northamptonpremred</f>
        <v>2</v>
      </c>
      <c r="E14" s="24" t="s">
        <v>764</v>
      </c>
      <c r="F14" s="123">
        <f t="shared" si="0"/>
        <v>18</v>
      </c>
      <c r="G14" s="121"/>
      <c r="H14" s="45" t="s">
        <v>23</v>
      </c>
      <c r="I14" s="43">
        <v>16</v>
      </c>
      <c r="J14" s="43">
        <v>94</v>
      </c>
      <c r="K14" s="43">
        <v>149</v>
      </c>
      <c r="L14" s="43">
        <v>0</v>
      </c>
      <c r="M14" s="43">
        <v>0</v>
      </c>
      <c r="N14" s="43">
        <v>0</v>
      </c>
      <c r="O14" s="41">
        <f t="shared" si="1"/>
        <v>149</v>
      </c>
      <c r="P14" s="574">
        <v>4</v>
      </c>
      <c r="Q14" s="48">
        <f t="shared" si="2"/>
        <v>1.0738255033557047</v>
      </c>
      <c r="R14" s="42">
        <f t="shared" si="3"/>
        <v>6.3087248322147644</v>
      </c>
      <c r="S14" s="55">
        <f>worcesterpremseasontotalsYC</f>
        <v>9</v>
      </c>
      <c r="T14" s="56">
        <f>worcesterpremseasontotalsRC</f>
        <v>2</v>
      </c>
    </row>
    <row r="15" spans="1:20" ht="14.95" customHeight="1" thickBot="1" x14ac:dyDescent="0.3">
      <c r="A15" s="21" t="s">
        <v>59</v>
      </c>
      <c r="B15" s="22">
        <f>SUM(B3:B14)</f>
        <v>116</v>
      </c>
      <c r="C15" s="28"/>
      <c r="D15" s="29">
        <f>SUM(D3:D14)</f>
        <v>12</v>
      </c>
      <c r="E15" s="30"/>
      <c r="F15" s="124" t="s">
        <v>87</v>
      </c>
      <c r="G15" s="122"/>
      <c r="H15" s="49" t="s">
        <v>88</v>
      </c>
      <c r="I15" s="57">
        <f t="shared" ref="I15:O15" si="12">SUM(I3:I14)</f>
        <v>215</v>
      </c>
      <c r="J15" s="58">
        <f t="shared" si="12"/>
        <v>659</v>
      </c>
      <c r="K15" s="57">
        <f t="shared" si="12"/>
        <v>1200</v>
      </c>
      <c r="L15" s="59">
        <f t="shared" si="12"/>
        <v>52</v>
      </c>
      <c r="M15" s="59">
        <f t="shared" si="12"/>
        <v>0</v>
      </c>
      <c r="N15" s="59">
        <f t="shared" si="12"/>
        <v>0</v>
      </c>
      <c r="O15" s="58">
        <f t="shared" si="12"/>
        <v>1252</v>
      </c>
      <c r="P15" s="69">
        <v>0</v>
      </c>
      <c r="Q15" s="81">
        <f t="shared" ref="Q15" si="13">SUM(I15/O15)*10</f>
        <v>1.7172523961661343</v>
      </c>
      <c r="R15" s="82">
        <f t="shared" ref="R15" si="14">SUM(J15/O15)*10</f>
        <v>5.2635782747603832</v>
      </c>
      <c r="S15" s="60">
        <f>SUM(S3:S14)</f>
        <v>116</v>
      </c>
      <c r="T15" s="61">
        <f>SUM(T3:T14)</f>
        <v>12</v>
      </c>
    </row>
    <row r="16" spans="1:20" ht="14.95" x14ac:dyDescent="0.25">
      <c r="A16" s="957"/>
      <c r="B16" s="958"/>
      <c r="C16" s="958"/>
      <c r="D16" s="129"/>
    </row>
    <row r="17" spans="1:17" ht="14.95" x14ac:dyDescent="0.25">
      <c r="A17" s="959"/>
      <c r="B17" s="959"/>
      <c r="C17" s="959"/>
    </row>
    <row r="18" spans="1:17" x14ac:dyDescent="0.25">
      <c r="A18" s="4" t="s">
        <v>86</v>
      </c>
      <c r="H18" s="4"/>
    </row>
    <row r="19" spans="1:17" ht="14.95" x14ac:dyDescent="0.25">
      <c r="A19" s="949" t="s">
        <v>1035</v>
      </c>
      <c r="B19" s="949"/>
      <c r="C19" s="949"/>
      <c r="H19" s="4"/>
    </row>
    <row r="20" spans="1:17" ht="14.95" x14ac:dyDescent="0.25">
      <c r="A20" s="100"/>
      <c r="D20" t="s">
        <v>87</v>
      </c>
      <c r="H20" s="4" t="s">
        <v>255</v>
      </c>
    </row>
    <row r="21" spans="1:17" ht="15.8" thickBot="1" x14ac:dyDescent="0.3">
      <c r="A21" s="4"/>
      <c r="H21" s="4"/>
    </row>
    <row r="22" spans="1:17" ht="16.5" customHeight="1" thickBot="1" x14ac:dyDescent="0.3">
      <c r="A22" s="99"/>
      <c r="B22" s="99"/>
      <c r="C22" s="99"/>
      <c r="D22" s="99"/>
      <c r="E22" s="99"/>
      <c r="F22" s="99"/>
      <c r="G22" s="99"/>
      <c r="H22" s="954" t="s">
        <v>87</v>
      </c>
      <c r="I22" s="950" t="s">
        <v>95</v>
      </c>
      <c r="J22" s="951"/>
      <c r="K22" s="950" t="s">
        <v>87</v>
      </c>
      <c r="L22" s="956"/>
      <c r="M22" s="956"/>
      <c r="N22" s="956"/>
      <c r="O22" s="951"/>
      <c r="P22" s="950" t="s">
        <v>92</v>
      </c>
      <c r="Q22" s="951"/>
    </row>
    <row r="23" spans="1:17" ht="17" thickBot="1" x14ac:dyDescent="0.3">
      <c r="A23" s="99"/>
      <c r="B23" s="146"/>
      <c r="C23" s="146"/>
      <c r="D23" s="960"/>
      <c r="E23" s="960"/>
      <c r="F23" s="147"/>
      <c r="G23" s="148"/>
      <c r="H23" s="955"/>
      <c r="I23" s="39" t="s">
        <v>35</v>
      </c>
      <c r="J23" s="39" t="s">
        <v>36</v>
      </c>
      <c r="K23" s="50" t="s">
        <v>145</v>
      </c>
      <c r="L23" s="51" t="s">
        <v>147</v>
      </c>
      <c r="M23" s="51" t="s">
        <v>264</v>
      </c>
      <c r="N23" s="80" t="s">
        <v>265</v>
      </c>
      <c r="O23" s="40" t="s">
        <v>96</v>
      </c>
      <c r="P23" s="50" t="s">
        <v>35</v>
      </c>
      <c r="Q23" s="40" t="s">
        <v>36</v>
      </c>
    </row>
    <row r="24" spans="1:17" ht="14.95" x14ac:dyDescent="0.25">
      <c r="A24" s="5"/>
      <c r="B24" s="65"/>
      <c r="C24" s="138"/>
      <c r="D24" s="149"/>
      <c r="E24" s="149"/>
      <c r="F24" s="83"/>
      <c r="G24" s="99"/>
      <c r="H24" s="44" t="s">
        <v>22</v>
      </c>
      <c r="I24" s="358">
        <v>34</v>
      </c>
      <c r="J24" s="358">
        <v>14</v>
      </c>
      <c r="K24" s="358">
        <v>80</v>
      </c>
      <c r="L24" s="358">
        <v>0</v>
      </c>
      <c r="M24" s="358">
        <v>0</v>
      </c>
      <c r="N24" s="358">
        <v>0</v>
      </c>
      <c r="O24" s="359">
        <f t="shared" ref="O24:O35" si="15">SUM(K24:N24)</f>
        <v>80</v>
      </c>
      <c r="P24" s="47">
        <f t="shared" ref="P24:P34" si="16">SUM(I24/O24)*10</f>
        <v>4.25</v>
      </c>
      <c r="Q24" s="42">
        <f t="shared" ref="Q24:Q34" si="17">SUM(J24/O24)*10</f>
        <v>1.75</v>
      </c>
    </row>
    <row r="25" spans="1:17" ht="14.95" x14ac:dyDescent="0.25">
      <c r="A25" s="5"/>
      <c r="B25" s="65"/>
      <c r="C25" s="138"/>
      <c r="D25" s="149"/>
      <c r="E25" s="149"/>
      <c r="F25" s="83"/>
      <c r="G25" s="99"/>
      <c r="H25" s="44" t="s">
        <v>165</v>
      </c>
      <c r="I25" s="43">
        <v>57</v>
      </c>
      <c r="J25" s="43">
        <v>20</v>
      </c>
      <c r="K25" s="43">
        <v>89</v>
      </c>
      <c r="L25" s="43">
        <v>0</v>
      </c>
      <c r="M25" s="43">
        <v>0</v>
      </c>
      <c r="N25" s="43">
        <v>0</v>
      </c>
      <c r="O25" s="41">
        <f t="shared" si="15"/>
        <v>89</v>
      </c>
      <c r="P25" s="47">
        <f t="shared" si="16"/>
        <v>6.404494382022472</v>
      </c>
      <c r="Q25" s="42">
        <f t="shared" si="17"/>
        <v>2.2471910112359552</v>
      </c>
    </row>
    <row r="26" spans="1:17" ht="14.95" x14ac:dyDescent="0.25">
      <c r="A26" s="5"/>
      <c r="B26" s="65"/>
      <c r="C26" s="83"/>
      <c r="D26" s="149"/>
      <c r="E26" s="149"/>
      <c r="F26" s="83"/>
      <c r="G26" s="99"/>
      <c r="H26" s="44" t="s">
        <v>28</v>
      </c>
      <c r="I26" s="43">
        <v>49</v>
      </c>
      <c r="J26" s="43">
        <v>21</v>
      </c>
      <c r="K26" s="43">
        <v>77</v>
      </c>
      <c r="L26" s="43">
        <v>0</v>
      </c>
      <c r="M26" s="43">
        <v>0</v>
      </c>
      <c r="N26" s="43">
        <v>0</v>
      </c>
      <c r="O26" s="41">
        <f t="shared" si="15"/>
        <v>77</v>
      </c>
      <c r="P26" s="47">
        <f t="shared" ref="P26" si="18">SUM(I26/O26)*10</f>
        <v>6.3636363636363633</v>
      </c>
      <c r="Q26" s="42">
        <f t="shared" ref="Q26" si="19">SUM(J26/O26)*10</f>
        <v>2.7272727272727271</v>
      </c>
    </row>
    <row r="27" spans="1:17" ht="14.95" x14ac:dyDescent="0.25">
      <c r="A27" s="5"/>
      <c r="B27" s="65"/>
      <c r="C27" s="138"/>
      <c r="D27" s="149"/>
      <c r="E27" s="149"/>
      <c r="F27" s="83"/>
      <c r="G27" s="99"/>
      <c r="H27" s="44" t="s">
        <v>24</v>
      </c>
      <c r="I27" s="43">
        <v>84</v>
      </c>
      <c r="J27" s="43">
        <v>18</v>
      </c>
      <c r="K27" s="43">
        <v>104</v>
      </c>
      <c r="L27" s="43">
        <v>0</v>
      </c>
      <c r="M27" s="43">
        <v>0</v>
      </c>
      <c r="N27" s="43">
        <v>0</v>
      </c>
      <c r="O27" s="41">
        <f t="shared" si="15"/>
        <v>104</v>
      </c>
      <c r="P27" s="47">
        <f t="shared" si="16"/>
        <v>8.0769230769230766</v>
      </c>
      <c r="Q27" s="42">
        <f t="shared" si="17"/>
        <v>1.7307692307692308</v>
      </c>
    </row>
    <row r="28" spans="1:17" ht="14.95" x14ac:dyDescent="0.25">
      <c r="A28" s="149"/>
      <c r="B28" s="150"/>
      <c r="C28" s="151"/>
      <c r="D28" s="149"/>
      <c r="E28" s="149"/>
      <c r="F28" s="83"/>
      <c r="G28" s="99"/>
      <c r="H28" s="44" t="s">
        <v>9</v>
      </c>
      <c r="I28" s="43">
        <v>24</v>
      </c>
      <c r="J28" s="43">
        <v>3</v>
      </c>
      <c r="K28" s="43">
        <v>52</v>
      </c>
      <c r="L28" s="43">
        <v>5</v>
      </c>
      <c r="M28" s="43">
        <v>0</v>
      </c>
      <c r="N28" s="43">
        <v>0</v>
      </c>
      <c r="O28" s="41">
        <f t="shared" si="15"/>
        <v>57</v>
      </c>
      <c r="P28" s="47">
        <f t="shared" si="16"/>
        <v>4.2105263157894735</v>
      </c>
      <c r="Q28" s="42">
        <f t="shared" si="17"/>
        <v>0.52631578947368418</v>
      </c>
    </row>
    <row r="29" spans="1:17" ht="14.95" x14ac:dyDescent="0.25">
      <c r="A29" s="5"/>
      <c r="B29" s="150"/>
      <c r="C29" s="151"/>
      <c r="D29" s="149"/>
      <c r="E29" s="149"/>
      <c r="F29" s="83"/>
      <c r="G29" s="99"/>
      <c r="H29" s="44" t="s">
        <v>26</v>
      </c>
      <c r="I29" s="43">
        <v>49</v>
      </c>
      <c r="J29" s="43">
        <v>15</v>
      </c>
      <c r="K29" s="43">
        <v>103</v>
      </c>
      <c r="L29" s="43">
        <v>2</v>
      </c>
      <c r="M29" s="43">
        <v>0</v>
      </c>
      <c r="N29" s="43">
        <v>0</v>
      </c>
      <c r="O29" s="41">
        <f t="shared" si="15"/>
        <v>105</v>
      </c>
      <c r="P29" s="47">
        <f t="shared" ref="P29" si="20">SUM(I29/O29)*10</f>
        <v>4.666666666666667</v>
      </c>
      <c r="Q29" s="42">
        <f t="shared" ref="Q29" si="21">SUM(J29/O29)*10</f>
        <v>1.4285714285714284</v>
      </c>
    </row>
    <row r="30" spans="1:17" ht="14.95" x14ac:dyDescent="0.25">
      <c r="A30" s="149"/>
      <c r="B30" s="150"/>
      <c r="C30" s="151"/>
      <c r="D30" s="149"/>
      <c r="E30" s="149"/>
      <c r="F30" s="83"/>
      <c r="G30" s="99"/>
      <c r="H30" s="44" t="s">
        <v>11</v>
      </c>
      <c r="I30" s="43">
        <v>33</v>
      </c>
      <c r="J30" s="43">
        <v>3</v>
      </c>
      <c r="K30" s="43">
        <v>55</v>
      </c>
      <c r="L30" s="43">
        <v>8</v>
      </c>
      <c r="M30" s="43">
        <v>0</v>
      </c>
      <c r="N30" s="43">
        <v>0</v>
      </c>
      <c r="O30" s="41">
        <f t="shared" si="15"/>
        <v>63</v>
      </c>
      <c r="P30" s="47">
        <f t="shared" ref="P30" si="22">SUM(I30/O30)*10</f>
        <v>5.2380952380952381</v>
      </c>
      <c r="Q30" s="42">
        <f t="shared" ref="Q30" si="23">SUM(J30/O30)*10</f>
        <v>0.47619047619047616</v>
      </c>
    </row>
    <row r="31" spans="1:17" ht="14.95" x14ac:dyDescent="0.25">
      <c r="A31" s="149"/>
      <c r="B31" s="150"/>
      <c r="C31" s="83"/>
      <c r="D31" s="149"/>
      <c r="E31" s="149"/>
      <c r="F31" s="83"/>
      <c r="G31" s="99"/>
      <c r="H31" s="44" t="s">
        <v>25</v>
      </c>
      <c r="I31" s="43">
        <v>43</v>
      </c>
      <c r="J31" s="43">
        <v>8</v>
      </c>
      <c r="K31" s="43">
        <v>115</v>
      </c>
      <c r="L31" s="43">
        <v>11</v>
      </c>
      <c r="M31" s="43">
        <v>0</v>
      </c>
      <c r="N31" s="43">
        <v>0</v>
      </c>
      <c r="O31" s="41">
        <f t="shared" si="15"/>
        <v>126</v>
      </c>
      <c r="P31" s="47">
        <f t="shared" si="16"/>
        <v>3.412698412698413</v>
      </c>
      <c r="Q31" s="42">
        <f t="shared" si="17"/>
        <v>0.63492063492063489</v>
      </c>
    </row>
    <row r="32" spans="1:17" x14ac:dyDescent="0.25">
      <c r="A32" s="5"/>
      <c r="B32" s="65"/>
      <c r="C32" s="83"/>
      <c r="D32" s="149"/>
      <c r="E32" s="149"/>
      <c r="F32" s="83"/>
      <c r="G32" s="99"/>
      <c r="H32" s="44" t="s">
        <v>27</v>
      </c>
      <c r="I32" s="43">
        <v>49</v>
      </c>
      <c r="J32" s="43">
        <v>14</v>
      </c>
      <c r="K32" s="43">
        <v>80</v>
      </c>
      <c r="L32" s="43">
        <v>0</v>
      </c>
      <c r="M32" s="43">
        <v>0</v>
      </c>
      <c r="N32" s="43">
        <v>0</v>
      </c>
      <c r="O32" s="41">
        <f t="shared" si="15"/>
        <v>80</v>
      </c>
      <c r="P32" s="47">
        <f t="shared" si="16"/>
        <v>6.125</v>
      </c>
      <c r="Q32" s="42">
        <f t="shared" si="17"/>
        <v>1.75</v>
      </c>
    </row>
    <row r="33" spans="1:17" x14ac:dyDescent="0.25">
      <c r="A33" s="5"/>
      <c r="B33" s="65"/>
      <c r="C33" s="138"/>
      <c r="D33" s="149"/>
      <c r="E33" s="149"/>
      <c r="F33" s="83"/>
      <c r="G33" s="99"/>
      <c r="H33" s="44" t="s">
        <v>19</v>
      </c>
      <c r="I33" s="43">
        <v>55</v>
      </c>
      <c r="J33" s="43">
        <v>3</v>
      </c>
      <c r="K33" s="43">
        <v>51</v>
      </c>
      <c r="L33" s="43">
        <v>9</v>
      </c>
      <c r="M33" s="43">
        <v>0</v>
      </c>
      <c r="N33" s="43">
        <v>0</v>
      </c>
      <c r="O33" s="41">
        <f t="shared" si="15"/>
        <v>60</v>
      </c>
      <c r="P33" s="47">
        <f t="shared" si="16"/>
        <v>9.1666666666666661</v>
      </c>
      <c r="Q33" s="42">
        <f t="shared" si="17"/>
        <v>0.5</v>
      </c>
    </row>
    <row r="34" spans="1:17" x14ac:dyDescent="0.25">
      <c r="A34" s="5"/>
      <c r="B34" s="150"/>
      <c r="C34" s="151"/>
      <c r="D34" s="150"/>
      <c r="E34" s="149"/>
      <c r="F34" s="83"/>
      <c r="G34" s="99"/>
      <c r="H34" s="44" t="s">
        <v>106</v>
      </c>
      <c r="I34" s="43">
        <v>100</v>
      </c>
      <c r="J34" s="43">
        <v>23</v>
      </c>
      <c r="K34" s="43">
        <v>133</v>
      </c>
      <c r="L34" s="43">
        <v>10</v>
      </c>
      <c r="M34" s="43">
        <v>0</v>
      </c>
      <c r="N34" s="43">
        <v>0</v>
      </c>
      <c r="O34" s="41">
        <f t="shared" si="15"/>
        <v>143</v>
      </c>
      <c r="P34" s="47">
        <f t="shared" si="16"/>
        <v>6.9930069930069925</v>
      </c>
      <c r="Q34" s="42">
        <f t="shared" si="17"/>
        <v>1.6083916083916083</v>
      </c>
    </row>
    <row r="35" spans="1:17" ht="14.95" thickBot="1" x14ac:dyDescent="0.3">
      <c r="A35" s="5"/>
      <c r="B35" s="65"/>
      <c r="C35" s="138"/>
      <c r="D35" s="149"/>
      <c r="E35" s="149"/>
      <c r="F35" s="83"/>
      <c r="G35" s="99"/>
      <c r="H35" s="45" t="s">
        <v>23</v>
      </c>
      <c r="I35" s="360">
        <v>48</v>
      </c>
      <c r="J35" s="360">
        <v>9</v>
      </c>
      <c r="K35" s="360">
        <v>121</v>
      </c>
      <c r="L35" s="360">
        <v>7</v>
      </c>
      <c r="M35" s="360">
        <v>0</v>
      </c>
      <c r="N35" s="360">
        <v>0</v>
      </c>
      <c r="O35" s="361">
        <f t="shared" si="15"/>
        <v>128</v>
      </c>
      <c r="P35" s="48">
        <f t="shared" ref="P35" si="24">SUM(I35/O35)*10</f>
        <v>3.75</v>
      </c>
      <c r="Q35" s="362">
        <f t="shared" ref="Q35" si="25">SUM(J35/O35)*10</f>
        <v>0.703125</v>
      </c>
    </row>
    <row r="36" spans="1:17" ht="14.95" thickBot="1" x14ac:dyDescent="0.3">
      <c r="A36" s="5"/>
      <c r="B36" s="65"/>
      <c r="C36" s="138"/>
      <c r="D36" s="150"/>
      <c r="E36" s="150"/>
      <c r="F36" s="147"/>
      <c r="G36" s="148"/>
      <c r="H36" s="49" t="s">
        <v>88</v>
      </c>
      <c r="I36" s="57">
        <f t="shared" ref="I36:O36" si="26">SUM(I24:I35)</f>
        <v>625</v>
      </c>
      <c r="J36" s="58">
        <f t="shared" si="26"/>
        <v>151</v>
      </c>
      <c r="K36" s="57">
        <f t="shared" si="26"/>
        <v>1060</v>
      </c>
      <c r="L36" s="59">
        <f t="shared" si="26"/>
        <v>52</v>
      </c>
      <c r="M36" s="59">
        <f t="shared" si="26"/>
        <v>0</v>
      </c>
      <c r="N36" s="59">
        <f t="shared" si="26"/>
        <v>0</v>
      </c>
      <c r="O36" s="58">
        <f t="shared" si="26"/>
        <v>1112</v>
      </c>
      <c r="P36" s="81">
        <f t="shared" ref="P36" si="27">SUM(I36/O36)*10</f>
        <v>5.6205035971223012</v>
      </c>
      <c r="Q36" s="82">
        <f t="shared" ref="Q36" si="28">SUM(J36/O36)*10</f>
        <v>1.357913669064748</v>
      </c>
    </row>
    <row r="37" spans="1:17" x14ac:dyDescent="0.25">
      <c r="H37" s="701" t="s">
        <v>87</v>
      </c>
      <c r="I37" s="129"/>
    </row>
    <row r="38" spans="1:17" x14ac:dyDescent="0.25">
      <c r="A38" s="100"/>
      <c r="H38" s="4" t="s">
        <v>967</v>
      </c>
    </row>
    <row r="39" spans="1:17" x14ac:dyDescent="0.25">
      <c r="A39" s="100"/>
      <c r="H39" s="4" t="s">
        <v>733</v>
      </c>
    </row>
    <row r="40" spans="1:17" x14ac:dyDescent="0.25">
      <c r="A40" s="100"/>
      <c r="H40" s="4" t="s">
        <v>693</v>
      </c>
    </row>
    <row r="41" spans="1:17" x14ac:dyDescent="0.25">
      <c r="A41" s="100"/>
      <c r="H41" s="4" t="s">
        <v>968</v>
      </c>
    </row>
    <row r="42" spans="1:17" x14ac:dyDescent="0.25">
      <c r="A42" s="100"/>
      <c r="H42" s="4" t="s">
        <v>941</v>
      </c>
    </row>
    <row r="43" spans="1:17" x14ac:dyDescent="0.25">
      <c r="A43" s="100"/>
      <c r="H43" s="4" t="s">
        <v>824</v>
      </c>
    </row>
    <row r="44" spans="1:17" x14ac:dyDescent="0.25">
      <c r="A44" s="100"/>
      <c r="H44" s="4"/>
    </row>
    <row r="45" spans="1:17" x14ac:dyDescent="0.25">
      <c r="A45" s="100"/>
      <c r="H45" s="4"/>
    </row>
    <row r="46" spans="1:17" x14ac:dyDescent="0.25">
      <c r="A46" s="100"/>
      <c r="H46" s="4"/>
    </row>
    <row r="47" spans="1:17" x14ac:dyDescent="0.25">
      <c r="A47" s="908" t="s">
        <v>107</v>
      </c>
    </row>
  </sheetData>
  <sortState xmlns:xlrd2="http://schemas.microsoft.com/office/spreadsheetml/2017/richdata2" ref="A3:F14">
    <sortCondition ref="F3:F14"/>
    <sortCondition ref="D3:D14"/>
    <sortCondition ref="B3:B14"/>
    <sortCondition ref="A3:A14"/>
  </sortState>
  <mergeCells count="14">
    <mergeCell ref="D23:E23"/>
    <mergeCell ref="H22:H23"/>
    <mergeCell ref="I22:J22"/>
    <mergeCell ref="K22:O22"/>
    <mergeCell ref="P22:Q22"/>
    <mergeCell ref="A19:C19"/>
    <mergeCell ref="S1:T1"/>
    <mergeCell ref="D2:E2"/>
    <mergeCell ref="H1:H2"/>
    <mergeCell ref="I1:J1"/>
    <mergeCell ref="Q1:R1"/>
    <mergeCell ref="K1:O1"/>
    <mergeCell ref="A16:C16"/>
    <mergeCell ref="A17:C1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0"/>
  <sheetViews>
    <sheetView workbookViewId="0">
      <selection activeCell="M7" sqref="M7"/>
    </sheetView>
  </sheetViews>
  <sheetFormatPr defaultColWidth="8.875" defaultRowHeight="14.3" x14ac:dyDescent="0.25"/>
  <cols>
    <col min="1" max="1" width="17.75" customWidth="1"/>
    <col min="2" max="2" width="5.875" bestFit="1" customWidth="1"/>
    <col min="3" max="3" width="17.75" customWidth="1"/>
    <col min="4" max="4" width="3.75" customWidth="1"/>
    <col min="5" max="5" width="17.75" customWidth="1"/>
    <col min="6" max="6" width="3.75" customWidth="1"/>
    <col min="7" max="7" width="20.75" customWidth="1"/>
    <col min="8" max="8" width="3.75" customWidth="1"/>
  </cols>
  <sheetData>
    <row r="2" spans="1:8" ht="16.5" customHeight="1" thickBot="1" x14ac:dyDescent="0.3">
      <c r="A2" s="34" t="s">
        <v>73</v>
      </c>
      <c r="B2" s="35"/>
      <c r="C2" s="36" t="s">
        <v>74</v>
      </c>
      <c r="D2" s="36"/>
      <c r="E2" s="37" t="s">
        <v>75</v>
      </c>
      <c r="F2" s="37"/>
      <c r="G2" s="38" t="s">
        <v>76</v>
      </c>
      <c r="H2" s="38"/>
    </row>
    <row r="3" spans="1:8" ht="16.5" customHeight="1" thickBot="1" x14ac:dyDescent="0.3">
      <c r="A3" s="14" t="s">
        <v>28</v>
      </c>
      <c r="B3" s="13">
        <f>Exepremtotalstriesscored</f>
        <v>89</v>
      </c>
      <c r="C3" s="11" t="s">
        <v>106</v>
      </c>
      <c r="D3" s="12">
        <f>waspspremtrybonusscored</f>
        <v>12</v>
      </c>
      <c r="E3" s="15" t="s">
        <v>27</v>
      </c>
      <c r="F3" s="16">
        <f>salepremseasontotalstriesconceded</f>
        <v>42</v>
      </c>
      <c r="G3" s="17" t="s">
        <v>19</v>
      </c>
      <c r="H3" s="18">
        <f>saracenspremtrybonusconc</f>
        <v>3</v>
      </c>
    </row>
    <row r="4" spans="1:8" ht="16.5" customHeight="1" thickBot="1" x14ac:dyDescent="0.3">
      <c r="A4" s="14" t="s">
        <v>106</v>
      </c>
      <c r="B4" s="13">
        <f>Waspspremtotalstriesscored</f>
        <v>87</v>
      </c>
      <c r="C4" s="11" t="s">
        <v>28</v>
      </c>
      <c r="D4" s="12">
        <f>exeterpremtrybonusscored</f>
        <v>9</v>
      </c>
      <c r="E4" s="15" t="s">
        <v>19</v>
      </c>
      <c r="F4" s="16">
        <f>Sarpremtotalstriesconceded</f>
        <v>55</v>
      </c>
      <c r="G4" s="17" t="s">
        <v>27</v>
      </c>
      <c r="H4" s="18">
        <f>salepremtrybonusconc</f>
        <v>4</v>
      </c>
    </row>
    <row r="5" spans="1:8" ht="16.5" customHeight="1" thickBot="1" x14ac:dyDescent="0.3">
      <c r="A5" s="14" t="s">
        <v>165</v>
      </c>
      <c r="B5" s="13">
        <f>Bristolpremseasontotalstriesscored</f>
        <v>74</v>
      </c>
      <c r="C5" s="11" t="s">
        <v>19</v>
      </c>
      <c r="D5" s="12">
        <f>saracenspremtrybonusscored</f>
        <v>9</v>
      </c>
      <c r="E5" s="15" t="s">
        <v>24</v>
      </c>
      <c r="F5" s="16">
        <f>gloucesterpremseasontotalstriesconceded</f>
        <v>55</v>
      </c>
      <c r="G5" s="17" t="s">
        <v>28</v>
      </c>
      <c r="H5" s="18">
        <f>exeterpremtrybonusconc</f>
        <v>4</v>
      </c>
    </row>
    <row r="6" spans="1:8" ht="16.5" customHeight="1" thickBot="1" x14ac:dyDescent="0.3">
      <c r="A6" s="14" t="s">
        <v>19</v>
      </c>
      <c r="B6" s="13">
        <f>Sarpremtotalstriesscored</f>
        <v>72</v>
      </c>
      <c r="C6" s="11" t="s">
        <v>24</v>
      </c>
      <c r="D6" s="12">
        <f>gloucesterpremtrybonusscored</f>
        <v>9</v>
      </c>
      <c r="E6" s="15" t="s">
        <v>28</v>
      </c>
      <c r="F6" s="16">
        <f>Exepremtotalstriesconceded</f>
        <v>57</v>
      </c>
      <c r="G6" s="17" t="s">
        <v>22</v>
      </c>
      <c r="H6" s="18">
        <f>bathtrybonusconceded</f>
        <v>4</v>
      </c>
    </row>
    <row r="7" spans="1:8" ht="16.5" customHeight="1" thickBot="1" x14ac:dyDescent="0.3">
      <c r="A7" s="14" t="s">
        <v>24</v>
      </c>
      <c r="B7" s="13">
        <f>gloucesterpremseasontotalstriesscored</f>
        <v>72</v>
      </c>
      <c r="C7" s="11" t="s">
        <v>165</v>
      </c>
      <c r="D7" s="12">
        <f>bsttrybonusscored</f>
        <v>8</v>
      </c>
      <c r="E7" s="15" t="s">
        <v>165</v>
      </c>
      <c r="F7" s="16">
        <f>Bristolpremseasontotalstriesconceded</f>
        <v>58</v>
      </c>
      <c r="G7" s="17" t="s">
        <v>165</v>
      </c>
      <c r="H7" s="18">
        <f>bsttrybonusconceded</f>
        <v>5</v>
      </c>
    </row>
    <row r="8" spans="1:8" ht="16.5" customHeight="1" thickBot="1" x14ac:dyDescent="0.3">
      <c r="A8" s="14" t="s">
        <v>27</v>
      </c>
      <c r="B8" s="13">
        <f>salepremseasontotalstriesscored</f>
        <v>69</v>
      </c>
      <c r="C8" s="11" t="s">
        <v>22</v>
      </c>
      <c r="D8" s="12">
        <f>bathtrybonus</f>
        <v>7</v>
      </c>
      <c r="E8" s="15" t="s">
        <v>22</v>
      </c>
      <c r="F8" s="16">
        <f>bthpremseasontotalstriesconceded</f>
        <v>61</v>
      </c>
      <c r="G8" s="17" t="s">
        <v>24</v>
      </c>
      <c r="H8" s="18">
        <f>gloucesterpremtrybonusconc</f>
        <v>6</v>
      </c>
    </row>
    <row r="9" spans="1:8" ht="16.5" customHeight="1" thickBot="1" x14ac:dyDescent="0.3">
      <c r="A9" s="14" t="s">
        <v>9</v>
      </c>
      <c r="B9" s="13">
        <f>harlequinspremseasontotalstriesscored</f>
        <v>63</v>
      </c>
      <c r="C9" s="11" t="s">
        <v>27</v>
      </c>
      <c r="D9" s="12">
        <f>salepremtrybonusscored</f>
        <v>7</v>
      </c>
      <c r="E9" s="15" t="s">
        <v>106</v>
      </c>
      <c r="F9" s="16">
        <f>Waspspremtotalstriesconceded</f>
        <v>63</v>
      </c>
      <c r="G9" s="17" t="s">
        <v>9</v>
      </c>
      <c r="H9" s="18">
        <f>harlequinspremtrybonuscon</f>
        <v>7</v>
      </c>
    </row>
    <row r="10" spans="1:8" ht="16.5" customHeight="1" thickBot="1" x14ac:dyDescent="0.3">
      <c r="A10" s="14" t="s">
        <v>22</v>
      </c>
      <c r="B10" s="13">
        <f>bthpremseasontotalstriesscored</f>
        <v>59</v>
      </c>
      <c r="C10" s="11" t="s">
        <v>11</v>
      </c>
      <c r="D10" s="12">
        <f>newcastlepremtrybonusscored</f>
        <v>6</v>
      </c>
      <c r="E10" s="15" t="s">
        <v>9</v>
      </c>
      <c r="F10" s="16">
        <f>harlequinspremseasontotalstriesconceded</f>
        <v>63</v>
      </c>
      <c r="G10" s="17" t="s">
        <v>106</v>
      </c>
      <c r="H10" s="18">
        <f>waspspremtrybonusconc</f>
        <v>7</v>
      </c>
    </row>
    <row r="11" spans="1:8" ht="16.5" customHeight="1" thickBot="1" x14ac:dyDescent="0.3">
      <c r="A11" s="14" t="s">
        <v>25</v>
      </c>
      <c r="B11" s="13">
        <f>northamptonpremseasontotalstriesscored</f>
        <v>52</v>
      </c>
      <c r="C11" s="11" t="s">
        <v>9</v>
      </c>
      <c r="D11" s="12">
        <f>harlequinspremtrybonusscored</f>
        <v>6</v>
      </c>
      <c r="E11" s="15" t="s">
        <v>25</v>
      </c>
      <c r="F11" s="16">
        <f>northamptonpremseasontotalstriesconceded</f>
        <v>69</v>
      </c>
      <c r="G11" s="17" t="s">
        <v>25</v>
      </c>
      <c r="H11" s="18">
        <f>northamptonpremtrybonusconc</f>
        <v>9</v>
      </c>
    </row>
    <row r="12" spans="1:8" ht="16.5" customHeight="1" thickBot="1" x14ac:dyDescent="0.3">
      <c r="A12" s="14" t="s">
        <v>11</v>
      </c>
      <c r="B12" s="13">
        <f>Newcastlepremtotalstriesscored</f>
        <v>50</v>
      </c>
      <c r="C12" s="11" t="s">
        <v>25</v>
      </c>
      <c r="D12" s="12">
        <f>Nortbscored</f>
        <v>5</v>
      </c>
      <c r="E12" s="15" t="s">
        <v>23</v>
      </c>
      <c r="F12" s="16">
        <f>worcesterpremseasontotalstriesconceded</f>
        <v>78</v>
      </c>
      <c r="G12" s="17" t="s">
        <v>23</v>
      </c>
      <c r="H12" s="18">
        <f>worcesterpremtrybonusconc</f>
        <v>10</v>
      </c>
    </row>
    <row r="13" spans="1:8" ht="16.5" customHeight="1" thickBot="1" x14ac:dyDescent="0.3">
      <c r="A13" s="14" t="s">
        <v>23</v>
      </c>
      <c r="B13" s="13">
        <f>worcesterpremseasontotalstriesscoredcorrect</f>
        <v>42</v>
      </c>
      <c r="C13" s="11" t="s">
        <v>23</v>
      </c>
      <c r="D13" s="12">
        <f>worcesterpremtrybonusscored</f>
        <v>4</v>
      </c>
      <c r="E13" s="15" t="s">
        <v>26</v>
      </c>
      <c r="F13" s="16">
        <f>leicesterpremseasontotalstriesconceded</f>
        <v>79</v>
      </c>
      <c r="G13" s="17" t="s">
        <v>26</v>
      </c>
      <c r="H13" s="18">
        <f>leicesterpremtrybonusconccorrect</f>
        <v>11</v>
      </c>
    </row>
    <row r="14" spans="1:8" ht="16.5" customHeight="1" thickBot="1" x14ac:dyDescent="0.3">
      <c r="A14" s="14" t="s">
        <v>26</v>
      </c>
      <c r="B14" s="13">
        <f>leicesterpremseasontotalstriesscored</f>
        <v>35</v>
      </c>
      <c r="C14" s="11" t="s">
        <v>26</v>
      </c>
      <c r="D14" s="12">
        <f>leicesterpremtrybonusscored</f>
        <v>1</v>
      </c>
      <c r="E14" s="15" t="s">
        <v>11</v>
      </c>
      <c r="F14" s="16">
        <f>Newcastlepremtotalstriesconceded</f>
        <v>88</v>
      </c>
      <c r="G14" s="17" t="s">
        <v>11</v>
      </c>
      <c r="H14" s="18">
        <f>newcastlepremtrybonuscocn</f>
        <v>13</v>
      </c>
    </row>
    <row r="15" spans="1:8" ht="14.95" x14ac:dyDescent="0.25">
      <c r="A15" s="152" t="s">
        <v>1025</v>
      </c>
      <c r="B15">
        <f>SUM(B3:B14)</f>
        <v>764</v>
      </c>
      <c r="D15">
        <f>SUM(D3:D14)</f>
        <v>83</v>
      </c>
      <c r="F15">
        <f>SUM(F3:F14)</f>
        <v>768</v>
      </c>
      <c r="H15">
        <f>SUM(H3:H14)</f>
        <v>83</v>
      </c>
    </row>
    <row r="16" spans="1:8" ht="14.95" x14ac:dyDescent="0.25">
      <c r="A16" s="909" t="s">
        <v>1027</v>
      </c>
      <c r="B16" s="4"/>
      <c r="C16" s="4"/>
      <c r="D16" s="4"/>
      <c r="E16" s="4"/>
      <c r="F16" s="4"/>
      <c r="G16" s="4"/>
      <c r="H16" s="4"/>
    </row>
    <row r="17" spans="1:8" ht="14.95" x14ac:dyDescent="0.25">
      <c r="A17" s="909" t="s">
        <v>1028</v>
      </c>
      <c r="B17" s="4"/>
      <c r="C17" s="4"/>
      <c r="D17" s="4"/>
      <c r="E17" s="4"/>
      <c r="F17" s="4"/>
      <c r="G17" s="4"/>
      <c r="H17" s="4"/>
    </row>
    <row r="18" spans="1:8" ht="14.95" x14ac:dyDescent="0.25">
      <c r="A18" s="909" t="s">
        <v>1029</v>
      </c>
      <c r="B18" s="4"/>
      <c r="C18" s="4"/>
      <c r="D18" s="4"/>
      <c r="E18" s="4"/>
      <c r="F18" s="4"/>
      <c r="G18" s="4"/>
      <c r="H18" s="4"/>
    </row>
    <row r="19" spans="1:8" ht="14.95" x14ac:dyDescent="0.25">
      <c r="A19" s="909" t="s">
        <v>1030</v>
      </c>
      <c r="B19" s="4"/>
      <c r="C19" s="4"/>
      <c r="D19" s="4"/>
      <c r="E19" s="4"/>
      <c r="F19" s="4"/>
      <c r="G19" s="4"/>
      <c r="H19" s="4"/>
    </row>
    <row r="20" spans="1:8" x14ac:dyDescent="0.25">
      <c r="A20" s="100" t="s">
        <v>107</v>
      </c>
    </row>
  </sheetData>
  <sortState xmlns:xlrd2="http://schemas.microsoft.com/office/spreadsheetml/2017/richdata2" ref="E3:F14">
    <sortCondition ref="F3:F14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E85"/>
  <sheetViews>
    <sheetView zoomScale="92" zoomScaleNormal="92" workbookViewId="0">
      <pane xSplit="1" topLeftCell="B1" activePane="topRight" state="frozen"/>
      <selection activeCell="A34" sqref="A34"/>
      <selection pane="topRight" activeCell="AL62" sqref="AL62"/>
    </sheetView>
  </sheetViews>
  <sheetFormatPr defaultColWidth="8.875" defaultRowHeight="14.3" x14ac:dyDescent="0.25"/>
  <cols>
    <col min="1" max="1" width="15.75" customWidth="1"/>
    <col min="2" max="46" width="5.75" customWidth="1"/>
    <col min="47" max="47" width="13.125" bestFit="1" customWidth="1"/>
    <col min="48" max="52" width="5.75" customWidth="1"/>
    <col min="53" max="53" width="13.125" bestFit="1" customWidth="1"/>
    <col min="54" max="57" width="5.75" customWidth="1"/>
    <col min="60" max="60" width="13.125" bestFit="1" customWidth="1"/>
    <col min="62" max="62" width="8.875" customWidth="1"/>
    <col min="64" max="64" width="8.875" customWidth="1"/>
  </cols>
  <sheetData>
    <row r="1" spans="1:14" ht="14.45" customHeight="1" x14ac:dyDescent="0.25">
      <c r="A1" s="70" t="s">
        <v>51</v>
      </c>
      <c r="B1" s="961">
        <v>17</v>
      </c>
      <c r="C1" s="962"/>
      <c r="D1" s="961">
        <v>18</v>
      </c>
      <c r="E1" s="962"/>
      <c r="F1" s="961">
        <v>19</v>
      </c>
      <c r="G1" s="962"/>
      <c r="H1" s="961">
        <v>20</v>
      </c>
      <c r="I1" s="971"/>
      <c r="J1" s="961">
        <v>21</v>
      </c>
      <c r="K1" s="962"/>
      <c r="L1" s="961">
        <v>22</v>
      </c>
      <c r="M1" s="962"/>
      <c r="N1" s="111" t="s">
        <v>38</v>
      </c>
    </row>
    <row r="2" spans="1:14" ht="14.95" x14ac:dyDescent="0.25">
      <c r="A2" s="72"/>
      <c r="B2" s="1" t="s">
        <v>52</v>
      </c>
      <c r="C2" s="2" t="s">
        <v>53</v>
      </c>
      <c r="D2" s="1" t="s">
        <v>52</v>
      </c>
      <c r="E2" s="2" t="s">
        <v>53</v>
      </c>
      <c r="F2" s="1" t="s">
        <v>52</v>
      </c>
      <c r="G2" s="2" t="s">
        <v>53</v>
      </c>
      <c r="H2" s="1" t="s">
        <v>52</v>
      </c>
      <c r="I2" s="161" t="s">
        <v>53</v>
      </c>
      <c r="J2" s="1" t="s">
        <v>52</v>
      </c>
      <c r="K2" s="2" t="s">
        <v>53</v>
      </c>
      <c r="L2" s="1" t="s">
        <v>52</v>
      </c>
      <c r="M2" s="2" t="s">
        <v>53</v>
      </c>
      <c r="N2" s="112"/>
    </row>
    <row r="3" spans="1:14" ht="14.95" x14ac:dyDescent="0.25">
      <c r="A3" s="74" t="s">
        <v>106</v>
      </c>
      <c r="B3" s="1">
        <v>4</v>
      </c>
      <c r="C3" s="63" t="s">
        <v>55</v>
      </c>
      <c r="D3" s="1">
        <v>4</v>
      </c>
      <c r="E3" s="63" t="s">
        <v>55</v>
      </c>
      <c r="F3" s="104">
        <v>5</v>
      </c>
      <c r="G3" s="64" t="s">
        <v>54</v>
      </c>
      <c r="H3" s="104">
        <v>5</v>
      </c>
      <c r="I3" s="163" t="s">
        <v>54</v>
      </c>
      <c r="J3" s="1">
        <v>5</v>
      </c>
      <c r="K3" s="63" t="s">
        <v>54</v>
      </c>
      <c r="L3" s="104">
        <v>5</v>
      </c>
      <c r="M3" s="64" t="s">
        <v>54</v>
      </c>
      <c r="N3" s="113">
        <f t="shared" ref="N3:N14" si="0">SUM(B3+D3+F3+H3+J3+L3)</f>
        <v>28</v>
      </c>
    </row>
    <row r="4" spans="1:14" ht="14.95" x14ac:dyDescent="0.25">
      <c r="A4" s="74" t="s">
        <v>22</v>
      </c>
      <c r="B4" s="104">
        <v>1</v>
      </c>
      <c r="C4" s="64" t="s">
        <v>56</v>
      </c>
      <c r="D4" s="1">
        <v>5</v>
      </c>
      <c r="E4" s="63" t="s">
        <v>54</v>
      </c>
      <c r="F4" s="104">
        <v>5</v>
      </c>
      <c r="G4" s="64" t="s">
        <v>54</v>
      </c>
      <c r="H4" s="1">
        <v>5</v>
      </c>
      <c r="I4" s="162" t="s">
        <v>54</v>
      </c>
      <c r="J4" s="104">
        <v>5</v>
      </c>
      <c r="K4" s="64" t="s">
        <v>54</v>
      </c>
      <c r="L4" s="1">
        <v>2</v>
      </c>
      <c r="M4" s="63" t="s">
        <v>58</v>
      </c>
      <c r="N4" s="113">
        <f t="shared" si="0"/>
        <v>23</v>
      </c>
    </row>
    <row r="5" spans="1:14" ht="14.95" x14ac:dyDescent="0.25">
      <c r="A5" s="74" t="s">
        <v>165</v>
      </c>
      <c r="B5" s="1">
        <v>0</v>
      </c>
      <c r="C5" s="63" t="s">
        <v>57</v>
      </c>
      <c r="D5" s="1">
        <v>5</v>
      </c>
      <c r="E5" s="63" t="s">
        <v>54</v>
      </c>
      <c r="F5" s="104">
        <v>5</v>
      </c>
      <c r="G5" s="64" t="s">
        <v>54</v>
      </c>
      <c r="H5" s="1">
        <v>1</v>
      </c>
      <c r="I5" s="162" t="s">
        <v>116</v>
      </c>
      <c r="J5" s="104">
        <v>5</v>
      </c>
      <c r="K5" s="64" t="s">
        <v>54</v>
      </c>
      <c r="L5" s="1">
        <v>5</v>
      </c>
      <c r="M5" s="63" t="s">
        <v>54</v>
      </c>
      <c r="N5" s="113">
        <f t="shared" si="0"/>
        <v>21</v>
      </c>
    </row>
    <row r="6" spans="1:14" ht="14.95" x14ac:dyDescent="0.25">
      <c r="A6" s="74" t="s">
        <v>9</v>
      </c>
      <c r="B6" s="104">
        <v>5</v>
      </c>
      <c r="C6" s="64" t="s">
        <v>54</v>
      </c>
      <c r="D6" s="104">
        <v>0</v>
      </c>
      <c r="E6" s="64" t="s">
        <v>57</v>
      </c>
      <c r="F6" s="1">
        <v>5</v>
      </c>
      <c r="G6" s="63" t="s">
        <v>932</v>
      </c>
      <c r="H6" s="1">
        <v>4</v>
      </c>
      <c r="I6" s="162" t="s">
        <v>55</v>
      </c>
      <c r="J6" s="104">
        <v>0</v>
      </c>
      <c r="K6" s="64">
        <v>1</v>
      </c>
      <c r="L6" s="104">
        <v>5</v>
      </c>
      <c r="M6" s="64" t="s">
        <v>54</v>
      </c>
      <c r="N6" s="113">
        <f t="shared" si="0"/>
        <v>19</v>
      </c>
    </row>
    <row r="7" spans="1:14" ht="14.95" x14ac:dyDescent="0.25">
      <c r="A7" s="74" t="s">
        <v>27</v>
      </c>
      <c r="B7" s="104">
        <v>5</v>
      </c>
      <c r="C7" s="64" t="s">
        <v>54</v>
      </c>
      <c r="D7" s="1">
        <v>5</v>
      </c>
      <c r="E7" s="63" t="s">
        <v>54</v>
      </c>
      <c r="F7" s="104">
        <v>4</v>
      </c>
      <c r="G7" s="64" t="s">
        <v>55</v>
      </c>
      <c r="H7" s="104">
        <v>0</v>
      </c>
      <c r="I7" s="163" t="s">
        <v>57</v>
      </c>
      <c r="J7" s="284">
        <v>5</v>
      </c>
      <c r="K7" s="285" t="s">
        <v>54</v>
      </c>
      <c r="L7" s="104">
        <v>0</v>
      </c>
      <c r="M7" s="64">
        <v>1</v>
      </c>
      <c r="N7" s="113">
        <f t="shared" si="0"/>
        <v>19</v>
      </c>
    </row>
    <row r="8" spans="1:14" ht="14.95" x14ac:dyDescent="0.25">
      <c r="A8" s="74" t="s">
        <v>28</v>
      </c>
      <c r="B8" s="104">
        <v>5</v>
      </c>
      <c r="C8" s="64" t="s">
        <v>54</v>
      </c>
      <c r="D8" s="1">
        <v>4</v>
      </c>
      <c r="E8" s="63" t="s">
        <v>55</v>
      </c>
      <c r="F8" s="104">
        <v>5</v>
      </c>
      <c r="G8" s="64" t="s">
        <v>54</v>
      </c>
      <c r="H8" s="1">
        <v>0</v>
      </c>
      <c r="I8" s="162" t="s">
        <v>57</v>
      </c>
      <c r="J8" s="104">
        <v>1</v>
      </c>
      <c r="K8" s="64" t="s">
        <v>56</v>
      </c>
      <c r="L8" s="1">
        <v>0</v>
      </c>
      <c r="M8" s="63" t="s">
        <v>57</v>
      </c>
      <c r="N8" s="113">
        <f t="shared" si="0"/>
        <v>15</v>
      </c>
    </row>
    <row r="9" spans="1:14" ht="14.95" x14ac:dyDescent="0.25">
      <c r="A9" s="74" t="s">
        <v>24</v>
      </c>
      <c r="B9" s="104">
        <v>5</v>
      </c>
      <c r="C9" s="64" t="s">
        <v>54</v>
      </c>
      <c r="D9" s="104">
        <v>5</v>
      </c>
      <c r="E9" s="64" t="s">
        <v>54</v>
      </c>
      <c r="F9" s="1">
        <v>0</v>
      </c>
      <c r="G9" s="63" t="s">
        <v>57</v>
      </c>
      <c r="H9" s="104">
        <v>0</v>
      </c>
      <c r="I9" s="163" t="s">
        <v>57</v>
      </c>
      <c r="J9" s="1">
        <v>0</v>
      </c>
      <c r="K9" s="63" t="s">
        <v>57</v>
      </c>
      <c r="L9" s="104">
        <v>5</v>
      </c>
      <c r="M9" s="64" t="s">
        <v>54</v>
      </c>
      <c r="N9" s="113">
        <f t="shared" si="0"/>
        <v>15</v>
      </c>
    </row>
    <row r="10" spans="1:14" ht="14.95" x14ac:dyDescent="0.25">
      <c r="A10" s="74" t="s">
        <v>23</v>
      </c>
      <c r="B10" s="1">
        <v>0</v>
      </c>
      <c r="C10" s="63" t="s">
        <v>57</v>
      </c>
      <c r="D10" s="104">
        <v>0</v>
      </c>
      <c r="E10" s="64" t="s">
        <v>57</v>
      </c>
      <c r="F10" s="1">
        <v>0</v>
      </c>
      <c r="G10" s="63" t="s">
        <v>57</v>
      </c>
      <c r="H10" s="104">
        <v>5</v>
      </c>
      <c r="I10" s="163" t="s">
        <v>54</v>
      </c>
      <c r="J10" s="104">
        <v>5</v>
      </c>
      <c r="K10" s="64" t="s">
        <v>54</v>
      </c>
      <c r="L10" s="1">
        <v>5</v>
      </c>
      <c r="M10" s="63" t="s">
        <v>54</v>
      </c>
      <c r="N10" s="113">
        <f t="shared" si="0"/>
        <v>15</v>
      </c>
    </row>
    <row r="11" spans="1:14" ht="14.95" x14ac:dyDescent="0.25">
      <c r="A11" s="74" t="s">
        <v>19</v>
      </c>
      <c r="B11" s="1">
        <v>5</v>
      </c>
      <c r="C11" s="63" t="s">
        <v>54</v>
      </c>
      <c r="D11" s="104">
        <v>0</v>
      </c>
      <c r="E11" s="64" t="s">
        <v>57</v>
      </c>
      <c r="F11" s="1">
        <v>1</v>
      </c>
      <c r="G11" s="63" t="s">
        <v>56</v>
      </c>
      <c r="H11" s="104">
        <v>5</v>
      </c>
      <c r="I11" s="163" t="s">
        <v>54</v>
      </c>
      <c r="J11" s="1">
        <v>1</v>
      </c>
      <c r="K11" s="63" t="s">
        <v>116</v>
      </c>
      <c r="L11" s="104">
        <v>2</v>
      </c>
      <c r="M11" s="64" t="s">
        <v>58</v>
      </c>
      <c r="N11" s="113">
        <f t="shared" si="0"/>
        <v>14</v>
      </c>
    </row>
    <row r="12" spans="1:14" ht="14.95" x14ac:dyDescent="0.25">
      <c r="A12" s="74" t="s">
        <v>26</v>
      </c>
      <c r="B12" s="1">
        <v>0</v>
      </c>
      <c r="C12" s="63" t="s">
        <v>57</v>
      </c>
      <c r="D12" s="1">
        <v>0</v>
      </c>
      <c r="E12" s="63" t="s">
        <v>57</v>
      </c>
      <c r="F12" s="1">
        <v>0</v>
      </c>
      <c r="G12" s="63" t="s">
        <v>57</v>
      </c>
      <c r="H12" s="104">
        <v>4</v>
      </c>
      <c r="I12" s="163" t="s">
        <v>55</v>
      </c>
      <c r="J12" s="1">
        <v>0</v>
      </c>
      <c r="K12" s="63" t="s">
        <v>57</v>
      </c>
      <c r="L12" s="1">
        <v>1</v>
      </c>
      <c r="M12" s="63" t="s">
        <v>56</v>
      </c>
      <c r="N12" s="113">
        <f t="shared" si="0"/>
        <v>5</v>
      </c>
    </row>
    <row r="13" spans="1:14" ht="14.95" x14ac:dyDescent="0.25">
      <c r="A13" s="74" t="s">
        <v>11</v>
      </c>
      <c r="B13" s="104">
        <v>0</v>
      </c>
      <c r="C13" s="64" t="s">
        <v>57</v>
      </c>
      <c r="D13" s="1">
        <v>0</v>
      </c>
      <c r="E13" s="63" t="s">
        <v>57</v>
      </c>
      <c r="F13" s="104">
        <v>0</v>
      </c>
      <c r="G13" s="64" t="s">
        <v>57</v>
      </c>
      <c r="H13" s="104">
        <v>1</v>
      </c>
      <c r="I13" s="163" t="s">
        <v>116</v>
      </c>
      <c r="J13" s="1">
        <v>4</v>
      </c>
      <c r="K13" s="63" t="s">
        <v>55</v>
      </c>
      <c r="L13" s="104">
        <v>0</v>
      </c>
      <c r="M13" s="64" t="s">
        <v>57</v>
      </c>
      <c r="N13" s="113">
        <f t="shared" si="0"/>
        <v>5</v>
      </c>
    </row>
    <row r="14" spans="1:14" ht="14.45" customHeight="1" thickBot="1" x14ac:dyDescent="0.3">
      <c r="A14" s="76" t="s">
        <v>25</v>
      </c>
      <c r="B14" s="108">
        <v>0</v>
      </c>
      <c r="C14" s="105" t="s">
        <v>57</v>
      </c>
      <c r="D14" s="107">
        <v>1</v>
      </c>
      <c r="E14" s="106" t="s">
        <v>56</v>
      </c>
      <c r="F14" s="108">
        <v>0</v>
      </c>
      <c r="G14" s="105" t="s">
        <v>57</v>
      </c>
      <c r="H14" s="108">
        <v>1</v>
      </c>
      <c r="I14" s="899" t="s">
        <v>56</v>
      </c>
      <c r="J14" s="107">
        <v>0</v>
      </c>
      <c r="K14" s="164" t="s">
        <v>57</v>
      </c>
      <c r="L14" s="108">
        <v>0</v>
      </c>
      <c r="M14" s="105" t="s">
        <v>57</v>
      </c>
      <c r="N14" s="114">
        <f t="shared" si="0"/>
        <v>2</v>
      </c>
    </row>
    <row r="15" spans="1:14" ht="14.95" customHeight="1" x14ac:dyDescent="0.25">
      <c r="A15" s="5"/>
      <c r="B15" s="64"/>
      <c r="C15" s="6"/>
      <c r="D15" s="64"/>
      <c r="E15" s="6"/>
      <c r="F15" s="3"/>
      <c r="G15" s="3"/>
      <c r="H15" s="6"/>
      <c r="I15" s="6"/>
      <c r="J15" s="3"/>
      <c r="K15" s="3"/>
      <c r="L15" s="65"/>
      <c r="N15" s="166" t="s">
        <v>87</v>
      </c>
    </row>
    <row r="16" spans="1:14" ht="30.1" x14ac:dyDescent="0.25">
      <c r="A16" s="5" t="s">
        <v>79</v>
      </c>
    </row>
    <row r="18" spans="1:46" ht="14.95" x14ac:dyDescent="0.25">
      <c r="A18" s="5" t="s">
        <v>269</v>
      </c>
    </row>
    <row r="19" spans="1:46" ht="15.8" thickBot="1" x14ac:dyDescent="0.3">
      <c r="A19" s="4" t="s">
        <v>78</v>
      </c>
    </row>
    <row r="20" spans="1:46" ht="14.8" customHeight="1" x14ac:dyDescent="0.25">
      <c r="A20" s="70" t="s">
        <v>51</v>
      </c>
      <c r="B20" s="961">
        <v>1</v>
      </c>
      <c r="C20" s="971"/>
      <c r="D20" s="961">
        <v>2</v>
      </c>
      <c r="E20" s="962"/>
      <c r="F20" s="961">
        <v>3</v>
      </c>
      <c r="G20" s="962"/>
      <c r="H20" s="961">
        <v>4</v>
      </c>
      <c r="I20" s="962"/>
      <c r="J20" s="961">
        <v>5</v>
      </c>
      <c r="K20" s="962"/>
      <c r="L20" s="961">
        <v>6</v>
      </c>
      <c r="M20" s="962"/>
      <c r="N20" s="961">
        <v>7</v>
      </c>
      <c r="O20" s="971"/>
      <c r="P20" s="961">
        <v>8</v>
      </c>
      <c r="Q20" s="971"/>
      <c r="R20" s="961">
        <v>9</v>
      </c>
      <c r="S20" s="971"/>
      <c r="T20" s="962">
        <v>10</v>
      </c>
      <c r="U20" s="962"/>
      <c r="V20" s="961">
        <v>11</v>
      </c>
      <c r="W20" s="962"/>
      <c r="X20" s="961">
        <v>12</v>
      </c>
      <c r="Y20" s="962"/>
      <c r="Z20" s="961">
        <v>13</v>
      </c>
      <c r="AA20" s="971"/>
      <c r="AB20" s="961">
        <v>14</v>
      </c>
      <c r="AC20" s="962"/>
      <c r="AD20" s="961">
        <v>15</v>
      </c>
      <c r="AE20" s="962"/>
      <c r="AF20" s="961">
        <v>16</v>
      </c>
      <c r="AG20" s="971"/>
      <c r="AH20" s="961">
        <v>17</v>
      </c>
      <c r="AI20" s="962"/>
      <c r="AJ20" s="961">
        <v>18</v>
      </c>
      <c r="AK20" s="962"/>
      <c r="AL20" s="961">
        <v>19</v>
      </c>
      <c r="AM20" s="962"/>
      <c r="AN20" s="961">
        <v>20</v>
      </c>
      <c r="AO20" s="971"/>
      <c r="AP20" s="961">
        <v>21</v>
      </c>
      <c r="AQ20" s="962"/>
      <c r="AR20" s="961">
        <v>22</v>
      </c>
      <c r="AS20" s="962"/>
      <c r="AT20" s="71" t="s">
        <v>38</v>
      </c>
    </row>
    <row r="21" spans="1:46" ht="14.95" x14ac:dyDescent="0.25">
      <c r="A21" s="72"/>
      <c r="B21" s="78" t="s">
        <v>52</v>
      </c>
      <c r="C21" s="79" t="s">
        <v>53</v>
      </c>
      <c r="D21" s="1" t="s">
        <v>52</v>
      </c>
      <c r="E21" s="2" t="s">
        <v>53</v>
      </c>
      <c r="F21" s="1" t="s">
        <v>52</v>
      </c>
      <c r="G21" s="2" t="s">
        <v>53</v>
      </c>
      <c r="H21" s="78" t="s">
        <v>52</v>
      </c>
      <c r="I21" s="79" t="s">
        <v>53</v>
      </c>
      <c r="J21" s="1" t="s">
        <v>52</v>
      </c>
      <c r="K21" s="2" t="s">
        <v>53</v>
      </c>
      <c r="L21" s="78" t="s">
        <v>52</v>
      </c>
      <c r="M21" s="79" t="s">
        <v>53</v>
      </c>
      <c r="N21" s="1" t="s">
        <v>52</v>
      </c>
      <c r="O21" s="2" t="s">
        <v>53</v>
      </c>
      <c r="P21" s="1" t="s">
        <v>52</v>
      </c>
      <c r="Q21" s="2" t="s">
        <v>53</v>
      </c>
      <c r="R21" s="1" t="s">
        <v>52</v>
      </c>
      <c r="S21" s="2" t="s">
        <v>53</v>
      </c>
      <c r="T21" s="165" t="s">
        <v>52</v>
      </c>
      <c r="U21" s="2" t="s">
        <v>53</v>
      </c>
      <c r="V21" s="1" t="s">
        <v>52</v>
      </c>
      <c r="W21" s="2" t="s">
        <v>53</v>
      </c>
      <c r="X21" s="1" t="s">
        <v>52</v>
      </c>
      <c r="Y21" s="2" t="s">
        <v>53</v>
      </c>
      <c r="Z21" s="1" t="s">
        <v>52</v>
      </c>
      <c r="AA21" s="2" t="s">
        <v>53</v>
      </c>
      <c r="AB21" s="1" t="s">
        <v>52</v>
      </c>
      <c r="AC21" s="2" t="s">
        <v>53</v>
      </c>
      <c r="AD21" s="1" t="s">
        <v>52</v>
      </c>
      <c r="AE21" s="2" t="s">
        <v>53</v>
      </c>
      <c r="AF21" s="1" t="s">
        <v>52</v>
      </c>
      <c r="AG21" s="2" t="s">
        <v>53</v>
      </c>
      <c r="AH21" s="1" t="s">
        <v>52</v>
      </c>
      <c r="AI21" s="2" t="s">
        <v>53</v>
      </c>
      <c r="AJ21" s="1" t="s">
        <v>52</v>
      </c>
      <c r="AK21" s="2" t="s">
        <v>53</v>
      </c>
      <c r="AL21" s="1" t="s">
        <v>52</v>
      </c>
      <c r="AM21" s="2" t="s">
        <v>53</v>
      </c>
      <c r="AN21" s="1" t="s">
        <v>52</v>
      </c>
      <c r="AO21" s="161" t="s">
        <v>53</v>
      </c>
      <c r="AP21" s="1" t="s">
        <v>52</v>
      </c>
      <c r="AQ21" s="2" t="s">
        <v>53</v>
      </c>
      <c r="AR21" s="1" t="s">
        <v>52</v>
      </c>
      <c r="AS21" s="2" t="s">
        <v>53</v>
      </c>
      <c r="AT21" s="73"/>
    </row>
    <row r="22" spans="1:46" ht="14.95" x14ac:dyDescent="0.25">
      <c r="A22" s="74" t="s">
        <v>22</v>
      </c>
      <c r="B22" s="1">
        <v>0</v>
      </c>
      <c r="C22" s="63" t="s">
        <v>57</v>
      </c>
      <c r="D22" s="104">
        <v>4</v>
      </c>
      <c r="E22" s="64" t="s">
        <v>55</v>
      </c>
      <c r="F22" s="1">
        <v>0</v>
      </c>
      <c r="G22" s="63" t="s">
        <v>57</v>
      </c>
      <c r="H22" s="104">
        <v>4</v>
      </c>
      <c r="I22" s="64" t="s">
        <v>55</v>
      </c>
      <c r="J22" s="104">
        <v>0</v>
      </c>
      <c r="K22" s="64" t="s">
        <v>57</v>
      </c>
      <c r="L22" s="1">
        <v>5</v>
      </c>
      <c r="M22" s="63" t="s">
        <v>54</v>
      </c>
      <c r="N22" s="104">
        <v>4</v>
      </c>
      <c r="O22" s="64" t="s">
        <v>55</v>
      </c>
      <c r="P22" s="1">
        <v>0</v>
      </c>
      <c r="Q22" s="63" t="s">
        <v>57</v>
      </c>
      <c r="R22" s="104">
        <v>4</v>
      </c>
      <c r="S22" s="170" t="s">
        <v>55</v>
      </c>
      <c r="T22" s="165">
        <v>4</v>
      </c>
      <c r="U22" s="63" t="s">
        <v>55</v>
      </c>
      <c r="V22" s="104">
        <v>4</v>
      </c>
      <c r="W22" s="64" t="s">
        <v>55</v>
      </c>
      <c r="X22" s="104">
        <v>1</v>
      </c>
      <c r="Y22" s="64" t="s">
        <v>56</v>
      </c>
      <c r="Z22" s="1">
        <v>0</v>
      </c>
      <c r="AA22" s="2" t="s">
        <v>57</v>
      </c>
      <c r="AB22" s="104">
        <v>5</v>
      </c>
      <c r="AC22" s="64" t="s">
        <v>54</v>
      </c>
      <c r="AD22" s="1">
        <v>5</v>
      </c>
      <c r="AE22" s="63" t="s">
        <v>54</v>
      </c>
      <c r="AF22" s="1">
        <v>4</v>
      </c>
      <c r="AG22" s="63" t="s">
        <v>55</v>
      </c>
      <c r="AH22" s="104">
        <v>1</v>
      </c>
      <c r="AI22" s="64" t="s">
        <v>56</v>
      </c>
      <c r="AJ22" s="1">
        <v>5</v>
      </c>
      <c r="AK22" s="63" t="s">
        <v>54</v>
      </c>
      <c r="AL22" s="104">
        <v>5</v>
      </c>
      <c r="AM22" s="64" t="s">
        <v>54</v>
      </c>
      <c r="AN22" s="1">
        <v>5</v>
      </c>
      <c r="AO22" s="162" t="s">
        <v>54</v>
      </c>
      <c r="AP22" s="104">
        <v>5</v>
      </c>
      <c r="AQ22" s="64" t="s">
        <v>54</v>
      </c>
      <c r="AR22" s="1">
        <v>2</v>
      </c>
      <c r="AS22" s="63" t="s">
        <v>58</v>
      </c>
      <c r="AT22" s="75">
        <f t="shared" ref="AT22:AT33" si="1">SUM(B22+D22+F22+H22+J22+L22+N22+P22+R22+T22+V22+X22+Z22+AB22+AD22+AF22+AH22+AJ22+AL22+AN22+AP22+AR22)</f>
        <v>67</v>
      </c>
    </row>
    <row r="23" spans="1:46" ht="14.95" x14ac:dyDescent="0.25">
      <c r="A23" s="74" t="s">
        <v>165</v>
      </c>
      <c r="B23" s="104">
        <v>5</v>
      </c>
      <c r="C23" s="64" t="s">
        <v>54</v>
      </c>
      <c r="D23" s="284">
        <v>1</v>
      </c>
      <c r="E23" s="285" t="s">
        <v>56</v>
      </c>
      <c r="F23" s="104">
        <v>4</v>
      </c>
      <c r="G23" s="64" t="s">
        <v>55</v>
      </c>
      <c r="H23" s="1">
        <v>4</v>
      </c>
      <c r="I23" s="63" t="s">
        <v>55</v>
      </c>
      <c r="J23" s="104">
        <v>3</v>
      </c>
      <c r="K23" s="64" t="s">
        <v>639</v>
      </c>
      <c r="L23" s="1">
        <v>0</v>
      </c>
      <c r="M23" s="63" t="s">
        <v>57</v>
      </c>
      <c r="N23" s="104">
        <v>1</v>
      </c>
      <c r="O23" s="64" t="s">
        <v>56</v>
      </c>
      <c r="P23" s="1">
        <v>0</v>
      </c>
      <c r="Q23" s="63" t="s">
        <v>57</v>
      </c>
      <c r="R23" s="104">
        <v>4</v>
      </c>
      <c r="S23" s="170" t="s">
        <v>55</v>
      </c>
      <c r="T23" s="165">
        <v>4</v>
      </c>
      <c r="U23" s="63" t="s">
        <v>55</v>
      </c>
      <c r="V23" s="104">
        <v>4</v>
      </c>
      <c r="W23" s="64" t="s">
        <v>55</v>
      </c>
      <c r="X23" s="1">
        <v>4</v>
      </c>
      <c r="Y23" s="63" t="s">
        <v>55</v>
      </c>
      <c r="Z23" s="104">
        <v>4</v>
      </c>
      <c r="AA23" s="170" t="s">
        <v>55</v>
      </c>
      <c r="AB23" s="104">
        <v>4</v>
      </c>
      <c r="AC23" s="64" t="s">
        <v>55</v>
      </c>
      <c r="AD23" s="1">
        <v>5</v>
      </c>
      <c r="AE23" s="63" t="s">
        <v>54</v>
      </c>
      <c r="AF23" s="104">
        <v>1</v>
      </c>
      <c r="AG23" s="64" t="s">
        <v>56</v>
      </c>
      <c r="AH23" s="1">
        <v>0</v>
      </c>
      <c r="AI23" s="63" t="s">
        <v>57</v>
      </c>
      <c r="AJ23" s="1">
        <v>5</v>
      </c>
      <c r="AK23" s="63" t="s">
        <v>54</v>
      </c>
      <c r="AL23" s="104">
        <v>5</v>
      </c>
      <c r="AM23" s="64" t="s">
        <v>54</v>
      </c>
      <c r="AN23" s="1">
        <v>1</v>
      </c>
      <c r="AO23" s="162" t="s">
        <v>116</v>
      </c>
      <c r="AP23" s="104">
        <v>5</v>
      </c>
      <c r="AQ23" s="64" t="s">
        <v>54</v>
      </c>
      <c r="AR23" s="1">
        <v>5</v>
      </c>
      <c r="AS23" s="63" t="s">
        <v>54</v>
      </c>
      <c r="AT23" s="75">
        <f t="shared" si="1"/>
        <v>69</v>
      </c>
    </row>
    <row r="24" spans="1:46" ht="14.95" x14ac:dyDescent="0.25">
      <c r="A24" s="74" t="s">
        <v>28</v>
      </c>
      <c r="B24" s="104">
        <v>4</v>
      </c>
      <c r="C24" s="64" t="s">
        <v>55</v>
      </c>
      <c r="D24" s="284">
        <v>1</v>
      </c>
      <c r="E24" s="285" t="s">
        <v>56</v>
      </c>
      <c r="F24" s="1">
        <v>4</v>
      </c>
      <c r="G24" s="63" t="s">
        <v>55</v>
      </c>
      <c r="H24" s="104">
        <v>1</v>
      </c>
      <c r="I24" s="64" t="s">
        <v>56</v>
      </c>
      <c r="J24" s="104">
        <v>5</v>
      </c>
      <c r="K24" s="64" t="s">
        <v>54</v>
      </c>
      <c r="L24" s="1">
        <v>5</v>
      </c>
      <c r="M24" s="63" t="s">
        <v>54</v>
      </c>
      <c r="N24" s="104">
        <v>4</v>
      </c>
      <c r="O24" s="64" t="s">
        <v>55</v>
      </c>
      <c r="P24" s="104">
        <v>5</v>
      </c>
      <c r="Q24" s="64" t="s">
        <v>54</v>
      </c>
      <c r="R24" s="104">
        <v>1</v>
      </c>
      <c r="S24" s="170" t="s">
        <v>56</v>
      </c>
      <c r="T24" s="165">
        <v>4</v>
      </c>
      <c r="U24" s="63" t="s">
        <v>55</v>
      </c>
      <c r="V24" s="104">
        <v>5</v>
      </c>
      <c r="W24" s="64" t="s">
        <v>54</v>
      </c>
      <c r="X24" s="1">
        <v>1</v>
      </c>
      <c r="Y24" s="63" t="s">
        <v>56</v>
      </c>
      <c r="Z24" s="104">
        <v>5</v>
      </c>
      <c r="AA24" s="170" t="s">
        <v>54</v>
      </c>
      <c r="AB24" s="104">
        <v>5</v>
      </c>
      <c r="AC24" s="64" t="s">
        <v>54</v>
      </c>
      <c r="AD24" s="1">
        <v>5</v>
      </c>
      <c r="AE24" s="63" t="s">
        <v>54</v>
      </c>
      <c r="AF24" s="1">
        <v>4</v>
      </c>
      <c r="AG24" s="63" t="s">
        <v>55</v>
      </c>
      <c r="AH24" s="104">
        <v>5</v>
      </c>
      <c r="AI24" s="64" t="s">
        <v>54</v>
      </c>
      <c r="AJ24" s="1">
        <v>4</v>
      </c>
      <c r="AK24" s="63" t="s">
        <v>55</v>
      </c>
      <c r="AL24" s="104">
        <v>5</v>
      </c>
      <c r="AM24" s="64" t="s">
        <v>54</v>
      </c>
      <c r="AN24" s="1">
        <v>0</v>
      </c>
      <c r="AO24" s="162" t="s">
        <v>57</v>
      </c>
      <c r="AP24" s="104">
        <v>1</v>
      </c>
      <c r="AQ24" s="64" t="s">
        <v>56</v>
      </c>
      <c r="AR24" s="1">
        <v>0</v>
      </c>
      <c r="AS24" s="63" t="s">
        <v>57</v>
      </c>
      <c r="AT24" s="75">
        <f t="shared" si="1"/>
        <v>74</v>
      </c>
    </row>
    <row r="25" spans="1:46" ht="14.95" x14ac:dyDescent="0.25">
      <c r="A25" s="74" t="s">
        <v>24</v>
      </c>
      <c r="B25" s="104">
        <v>4</v>
      </c>
      <c r="C25" s="64" t="s">
        <v>55</v>
      </c>
      <c r="D25" s="104">
        <v>5</v>
      </c>
      <c r="E25" s="64" t="s">
        <v>54</v>
      </c>
      <c r="F25" s="1">
        <v>1</v>
      </c>
      <c r="G25" s="63" t="s">
        <v>56</v>
      </c>
      <c r="H25" s="104">
        <v>0</v>
      </c>
      <c r="I25" s="64" t="s">
        <v>57</v>
      </c>
      <c r="J25" s="1">
        <v>1</v>
      </c>
      <c r="K25" s="63" t="s">
        <v>56</v>
      </c>
      <c r="L25" s="104">
        <v>5</v>
      </c>
      <c r="M25" s="64" t="s">
        <v>54</v>
      </c>
      <c r="N25" s="1">
        <v>2</v>
      </c>
      <c r="O25" s="63" t="s">
        <v>116</v>
      </c>
      <c r="P25" s="104">
        <v>5</v>
      </c>
      <c r="Q25" s="64" t="s">
        <v>54</v>
      </c>
      <c r="R25" s="1">
        <v>0</v>
      </c>
      <c r="S25" s="2" t="s">
        <v>56</v>
      </c>
      <c r="T25" s="817">
        <v>0</v>
      </c>
      <c r="U25" s="64" t="s">
        <v>57</v>
      </c>
      <c r="V25" s="1">
        <v>1</v>
      </c>
      <c r="W25" s="63" t="s">
        <v>56</v>
      </c>
      <c r="X25" s="104">
        <v>1</v>
      </c>
      <c r="Y25" s="64" t="s">
        <v>56</v>
      </c>
      <c r="Z25" s="1">
        <v>1</v>
      </c>
      <c r="AA25" s="2" t="s">
        <v>163</v>
      </c>
      <c r="AB25" s="1">
        <v>5</v>
      </c>
      <c r="AC25" s="63" t="s">
        <v>54</v>
      </c>
      <c r="AD25" s="104">
        <v>0</v>
      </c>
      <c r="AE25" s="64" t="s">
        <v>57</v>
      </c>
      <c r="AF25" s="1">
        <v>0</v>
      </c>
      <c r="AG25" s="63" t="s">
        <v>57</v>
      </c>
      <c r="AH25" s="104">
        <v>5</v>
      </c>
      <c r="AI25" s="64" t="s">
        <v>54</v>
      </c>
      <c r="AJ25" s="104">
        <v>5</v>
      </c>
      <c r="AK25" s="64" t="s">
        <v>54</v>
      </c>
      <c r="AL25" s="1">
        <v>0</v>
      </c>
      <c r="AM25" s="63" t="s">
        <v>57</v>
      </c>
      <c r="AN25" s="104">
        <v>0</v>
      </c>
      <c r="AO25" s="163" t="s">
        <v>57</v>
      </c>
      <c r="AP25" s="1">
        <v>0</v>
      </c>
      <c r="AQ25" s="63" t="s">
        <v>57</v>
      </c>
      <c r="AR25" s="104">
        <v>5</v>
      </c>
      <c r="AS25" s="64" t="s">
        <v>54</v>
      </c>
      <c r="AT25" s="75">
        <f t="shared" si="1"/>
        <v>46</v>
      </c>
    </row>
    <row r="26" spans="1:46" ht="14.95" x14ac:dyDescent="0.25">
      <c r="A26" s="74" t="s">
        <v>9</v>
      </c>
      <c r="B26" s="284">
        <v>1</v>
      </c>
      <c r="C26" s="285" t="s">
        <v>56</v>
      </c>
      <c r="D26" s="104">
        <v>4</v>
      </c>
      <c r="E26" s="64" t="s">
        <v>55</v>
      </c>
      <c r="F26" s="1">
        <v>0</v>
      </c>
      <c r="G26" s="63" t="s">
        <v>57</v>
      </c>
      <c r="H26" s="104">
        <v>1</v>
      </c>
      <c r="I26" s="64" t="s">
        <v>56</v>
      </c>
      <c r="J26" s="104">
        <v>4</v>
      </c>
      <c r="K26" s="64" t="s">
        <v>55</v>
      </c>
      <c r="L26" s="1">
        <v>5</v>
      </c>
      <c r="M26" s="63" t="s">
        <v>54</v>
      </c>
      <c r="N26" s="104">
        <v>2</v>
      </c>
      <c r="O26" s="64" t="s">
        <v>58</v>
      </c>
      <c r="P26" s="1">
        <v>0</v>
      </c>
      <c r="Q26" s="63" t="s">
        <v>57</v>
      </c>
      <c r="R26" s="104">
        <v>5</v>
      </c>
      <c r="S26" s="170" t="s">
        <v>54</v>
      </c>
      <c r="T26" s="817">
        <v>0</v>
      </c>
      <c r="U26" s="64" t="s">
        <v>57</v>
      </c>
      <c r="V26" s="1">
        <v>1</v>
      </c>
      <c r="W26" s="63" t="s">
        <v>56</v>
      </c>
      <c r="X26" s="104">
        <v>5</v>
      </c>
      <c r="Y26" s="64" t="s">
        <v>54</v>
      </c>
      <c r="Z26" s="1">
        <v>0</v>
      </c>
      <c r="AA26" s="2" t="s">
        <v>57</v>
      </c>
      <c r="AB26" s="104">
        <v>4</v>
      </c>
      <c r="AC26" s="64" t="s">
        <v>55</v>
      </c>
      <c r="AD26" s="1">
        <v>0</v>
      </c>
      <c r="AE26" s="63" t="s">
        <v>57</v>
      </c>
      <c r="AF26" s="1">
        <v>0</v>
      </c>
      <c r="AG26" s="63" t="s">
        <v>57</v>
      </c>
      <c r="AH26" s="104">
        <v>5</v>
      </c>
      <c r="AI26" s="64" t="s">
        <v>54</v>
      </c>
      <c r="AJ26" s="104">
        <v>0</v>
      </c>
      <c r="AK26" s="64" t="s">
        <v>57</v>
      </c>
      <c r="AL26" s="1">
        <v>5</v>
      </c>
      <c r="AM26" s="63" t="s">
        <v>932</v>
      </c>
      <c r="AN26" s="1">
        <v>4</v>
      </c>
      <c r="AO26" s="162" t="s">
        <v>55</v>
      </c>
      <c r="AP26" s="104">
        <v>0</v>
      </c>
      <c r="AQ26" s="64">
        <v>1</v>
      </c>
      <c r="AR26" s="104">
        <v>5</v>
      </c>
      <c r="AS26" s="64" t="s">
        <v>54</v>
      </c>
      <c r="AT26" s="75">
        <f t="shared" si="1"/>
        <v>51</v>
      </c>
    </row>
    <row r="27" spans="1:46" ht="14.95" x14ac:dyDescent="0.25">
      <c r="A27" s="74" t="s">
        <v>26</v>
      </c>
      <c r="B27" s="1">
        <v>0</v>
      </c>
      <c r="C27" s="63" t="s">
        <v>57</v>
      </c>
      <c r="D27" s="284">
        <v>0</v>
      </c>
      <c r="E27" s="285" t="s">
        <v>57</v>
      </c>
      <c r="F27" s="104">
        <v>4</v>
      </c>
      <c r="G27" s="64" t="s">
        <v>55</v>
      </c>
      <c r="H27" s="1">
        <v>0</v>
      </c>
      <c r="I27" s="63" t="s">
        <v>57</v>
      </c>
      <c r="J27" s="1">
        <v>0</v>
      </c>
      <c r="K27" s="63" t="s">
        <v>57</v>
      </c>
      <c r="L27" s="104">
        <v>0</v>
      </c>
      <c r="M27" s="64" t="s">
        <v>57</v>
      </c>
      <c r="N27" s="1">
        <v>2</v>
      </c>
      <c r="O27" s="63" t="s">
        <v>58</v>
      </c>
      <c r="P27" s="104">
        <v>5</v>
      </c>
      <c r="Q27" s="64" t="s">
        <v>54</v>
      </c>
      <c r="R27" s="1">
        <v>1</v>
      </c>
      <c r="S27" s="2" t="s">
        <v>56</v>
      </c>
      <c r="T27" s="817">
        <v>4</v>
      </c>
      <c r="U27" s="64" t="s">
        <v>55</v>
      </c>
      <c r="V27" s="1">
        <v>0</v>
      </c>
      <c r="W27" s="63" t="s">
        <v>57</v>
      </c>
      <c r="X27" s="104">
        <v>4</v>
      </c>
      <c r="Y27" s="64" t="s">
        <v>55</v>
      </c>
      <c r="Z27" s="1">
        <v>0</v>
      </c>
      <c r="AA27" s="2" t="s">
        <v>57</v>
      </c>
      <c r="AB27" s="1">
        <v>0</v>
      </c>
      <c r="AC27" s="63" t="s">
        <v>57</v>
      </c>
      <c r="AD27" s="104">
        <v>0</v>
      </c>
      <c r="AE27" s="64" t="s">
        <v>57</v>
      </c>
      <c r="AF27" s="104">
        <v>4</v>
      </c>
      <c r="AG27" s="64" t="s">
        <v>55</v>
      </c>
      <c r="AH27" s="1">
        <v>0</v>
      </c>
      <c r="AI27" s="63" t="s">
        <v>57</v>
      </c>
      <c r="AJ27" s="1">
        <v>0</v>
      </c>
      <c r="AK27" s="63" t="s">
        <v>57</v>
      </c>
      <c r="AL27" s="1">
        <v>0</v>
      </c>
      <c r="AM27" s="63" t="s">
        <v>57</v>
      </c>
      <c r="AN27" s="104">
        <v>4</v>
      </c>
      <c r="AO27" s="163" t="s">
        <v>55</v>
      </c>
      <c r="AP27" s="1">
        <v>0</v>
      </c>
      <c r="AQ27" s="63" t="s">
        <v>57</v>
      </c>
      <c r="AR27" s="1">
        <v>1</v>
      </c>
      <c r="AS27" s="63" t="s">
        <v>56</v>
      </c>
      <c r="AT27" s="75">
        <f t="shared" si="1"/>
        <v>29</v>
      </c>
    </row>
    <row r="28" spans="1:46" ht="14.95" x14ac:dyDescent="0.25">
      <c r="A28" s="74" t="s">
        <v>11</v>
      </c>
      <c r="B28" s="104">
        <v>4</v>
      </c>
      <c r="C28" s="64" t="s">
        <v>55</v>
      </c>
      <c r="D28" s="284">
        <v>0</v>
      </c>
      <c r="E28" s="285" t="s">
        <v>57</v>
      </c>
      <c r="F28" s="1">
        <v>1</v>
      </c>
      <c r="G28" s="63" t="s">
        <v>56</v>
      </c>
      <c r="H28" s="104">
        <v>5</v>
      </c>
      <c r="I28" s="64" t="s">
        <v>54</v>
      </c>
      <c r="J28" s="1">
        <v>2</v>
      </c>
      <c r="K28" s="63" t="s">
        <v>58</v>
      </c>
      <c r="L28" s="104">
        <v>0</v>
      </c>
      <c r="M28" s="64">
        <v>1</v>
      </c>
      <c r="N28" s="1">
        <v>0</v>
      </c>
      <c r="O28" s="63" t="s">
        <v>57</v>
      </c>
      <c r="P28" s="104">
        <v>1</v>
      </c>
      <c r="Q28" s="64" t="s">
        <v>116</v>
      </c>
      <c r="R28" s="1">
        <v>4</v>
      </c>
      <c r="S28" s="63" t="s">
        <v>55</v>
      </c>
      <c r="T28" s="165">
        <v>5</v>
      </c>
      <c r="U28" s="63" t="s">
        <v>54</v>
      </c>
      <c r="V28" s="104">
        <v>5</v>
      </c>
      <c r="W28" s="64" t="s">
        <v>54</v>
      </c>
      <c r="X28" s="104">
        <v>1</v>
      </c>
      <c r="Y28" s="64" t="s">
        <v>163</v>
      </c>
      <c r="Z28" s="1">
        <v>0</v>
      </c>
      <c r="AA28" s="2" t="s">
        <v>57</v>
      </c>
      <c r="AB28" s="1">
        <v>0</v>
      </c>
      <c r="AC28" s="63" t="s">
        <v>57</v>
      </c>
      <c r="AD28" s="104">
        <v>0</v>
      </c>
      <c r="AE28" s="64" t="s">
        <v>57</v>
      </c>
      <c r="AF28" s="1">
        <v>1</v>
      </c>
      <c r="AG28" s="63" t="s">
        <v>56</v>
      </c>
      <c r="AH28" s="104">
        <v>0</v>
      </c>
      <c r="AI28" s="64" t="s">
        <v>57</v>
      </c>
      <c r="AJ28" s="1">
        <v>0</v>
      </c>
      <c r="AK28" s="63" t="s">
        <v>57</v>
      </c>
      <c r="AL28" s="104">
        <v>0</v>
      </c>
      <c r="AM28" s="64" t="s">
        <v>57</v>
      </c>
      <c r="AN28" s="104">
        <v>1</v>
      </c>
      <c r="AO28" s="163" t="s">
        <v>116</v>
      </c>
      <c r="AP28" s="1">
        <v>4</v>
      </c>
      <c r="AQ28" s="63" t="s">
        <v>55</v>
      </c>
      <c r="AR28" s="104">
        <v>0</v>
      </c>
      <c r="AS28" s="64" t="s">
        <v>57</v>
      </c>
      <c r="AT28" s="75">
        <f t="shared" si="1"/>
        <v>34</v>
      </c>
    </row>
    <row r="29" spans="1:46" ht="14.95" x14ac:dyDescent="0.25">
      <c r="A29" s="74" t="s">
        <v>25</v>
      </c>
      <c r="B29" s="104">
        <v>4</v>
      </c>
      <c r="C29" s="64" t="s">
        <v>55</v>
      </c>
      <c r="D29" s="104">
        <v>5</v>
      </c>
      <c r="E29" s="64" t="s">
        <v>54</v>
      </c>
      <c r="F29" s="104">
        <v>5</v>
      </c>
      <c r="G29" s="64" t="s">
        <v>54</v>
      </c>
      <c r="H29" s="1">
        <v>0</v>
      </c>
      <c r="I29" s="63" t="s">
        <v>57</v>
      </c>
      <c r="J29" s="104">
        <v>5</v>
      </c>
      <c r="K29" s="64" t="s">
        <v>54</v>
      </c>
      <c r="L29" s="1">
        <v>0</v>
      </c>
      <c r="M29" s="63" t="s">
        <v>57</v>
      </c>
      <c r="N29" s="104">
        <v>4</v>
      </c>
      <c r="O29" s="64" t="s">
        <v>55</v>
      </c>
      <c r="P29" s="104">
        <v>5</v>
      </c>
      <c r="Q29" s="64" t="s">
        <v>54</v>
      </c>
      <c r="R29" s="104">
        <v>1</v>
      </c>
      <c r="S29" s="170" t="s">
        <v>56</v>
      </c>
      <c r="T29" s="817">
        <v>1</v>
      </c>
      <c r="U29" s="64" t="s">
        <v>56</v>
      </c>
      <c r="V29" s="1">
        <v>0</v>
      </c>
      <c r="W29" s="63" t="s">
        <v>57</v>
      </c>
      <c r="X29" s="104">
        <v>1</v>
      </c>
      <c r="Y29" s="64" t="s">
        <v>56</v>
      </c>
      <c r="Z29" s="1">
        <v>4</v>
      </c>
      <c r="AA29" s="2" t="s">
        <v>55</v>
      </c>
      <c r="AB29" s="104">
        <v>0</v>
      </c>
      <c r="AC29" s="64" t="s">
        <v>57</v>
      </c>
      <c r="AD29" s="1">
        <v>5</v>
      </c>
      <c r="AE29" s="63" t="s">
        <v>54</v>
      </c>
      <c r="AF29" s="104">
        <v>0</v>
      </c>
      <c r="AG29" s="64" t="s">
        <v>57</v>
      </c>
      <c r="AH29" s="1">
        <v>0</v>
      </c>
      <c r="AI29" s="63" t="s">
        <v>57</v>
      </c>
      <c r="AJ29" s="104">
        <v>1</v>
      </c>
      <c r="AK29" s="64" t="s">
        <v>56</v>
      </c>
      <c r="AL29" s="1">
        <v>0</v>
      </c>
      <c r="AM29" s="63" t="s">
        <v>57</v>
      </c>
      <c r="AN29" s="1">
        <v>1</v>
      </c>
      <c r="AO29" s="162" t="s">
        <v>56</v>
      </c>
      <c r="AP29" s="104">
        <v>0</v>
      </c>
      <c r="AQ29" s="64" t="s">
        <v>57</v>
      </c>
      <c r="AR29" s="1">
        <v>0</v>
      </c>
      <c r="AS29" s="63" t="s">
        <v>57</v>
      </c>
      <c r="AT29" s="75">
        <f t="shared" si="1"/>
        <v>42</v>
      </c>
    </row>
    <row r="30" spans="1:46" ht="14.95" x14ac:dyDescent="0.25">
      <c r="A30" s="74" t="s">
        <v>27</v>
      </c>
      <c r="B30" s="1">
        <v>1</v>
      </c>
      <c r="C30" s="63" t="s">
        <v>56</v>
      </c>
      <c r="D30" s="104">
        <v>5</v>
      </c>
      <c r="E30" s="64" t="s">
        <v>54</v>
      </c>
      <c r="F30" s="1">
        <v>1</v>
      </c>
      <c r="G30" s="63" t="s">
        <v>56</v>
      </c>
      <c r="H30" s="104">
        <v>4</v>
      </c>
      <c r="I30" s="64" t="s">
        <v>55</v>
      </c>
      <c r="J30" s="1">
        <v>1</v>
      </c>
      <c r="K30" s="63" t="s">
        <v>56</v>
      </c>
      <c r="L30" s="104">
        <v>4</v>
      </c>
      <c r="M30" s="64" t="s">
        <v>55</v>
      </c>
      <c r="N30" s="1">
        <v>1</v>
      </c>
      <c r="O30" s="63" t="s">
        <v>56</v>
      </c>
      <c r="P30" s="104">
        <v>5</v>
      </c>
      <c r="Q30" s="64" t="s">
        <v>54</v>
      </c>
      <c r="R30" s="1">
        <v>4</v>
      </c>
      <c r="S30" s="2" t="s">
        <v>55</v>
      </c>
      <c r="T30" s="165">
        <v>0</v>
      </c>
      <c r="U30" s="63" t="s">
        <v>57</v>
      </c>
      <c r="V30" s="104">
        <v>5</v>
      </c>
      <c r="W30" s="64" t="s">
        <v>54</v>
      </c>
      <c r="X30" s="1">
        <v>4</v>
      </c>
      <c r="Y30" s="63" t="s">
        <v>55</v>
      </c>
      <c r="Z30" s="104">
        <v>5</v>
      </c>
      <c r="AA30" s="170" t="s">
        <v>54</v>
      </c>
      <c r="AB30" s="1">
        <v>1</v>
      </c>
      <c r="AC30" s="63" t="s">
        <v>56</v>
      </c>
      <c r="AD30" s="104">
        <v>0</v>
      </c>
      <c r="AE30" s="64" t="s">
        <v>57</v>
      </c>
      <c r="AF30" s="1">
        <v>4</v>
      </c>
      <c r="AG30" s="63" t="s">
        <v>55</v>
      </c>
      <c r="AH30" s="104">
        <v>5</v>
      </c>
      <c r="AI30" s="64" t="s">
        <v>54</v>
      </c>
      <c r="AJ30" s="1">
        <v>5</v>
      </c>
      <c r="AK30" s="63" t="s">
        <v>54</v>
      </c>
      <c r="AL30" s="104">
        <v>4</v>
      </c>
      <c r="AM30" s="64" t="s">
        <v>55</v>
      </c>
      <c r="AN30" s="104">
        <v>0</v>
      </c>
      <c r="AO30" s="163" t="s">
        <v>57</v>
      </c>
      <c r="AP30" s="284">
        <v>5</v>
      </c>
      <c r="AQ30" s="285" t="s">
        <v>54</v>
      </c>
      <c r="AR30" s="104">
        <v>0</v>
      </c>
      <c r="AS30" s="64">
        <v>1</v>
      </c>
      <c r="AT30" s="75">
        <f t="shared" si="1"/>
        <v>64</v>
      </c>
    </row>
    <row r="31" spans="1:46" ht="14.95" x14ac:dyDescent="0.25">
      <c r="A31" s="74" t="s">
        <v>19</v>
      </c>
      <c r="B31" s="1">
        <v>1</v>
      </c>
      <c r="C31" s="63" t="s">
        <v>56</v>
      </c>
      <c r="D31" s="104">
        <v>4</v>
      </c>
      <c r="E31" s="64" t="s">
        <v>55</v>
      </c>
      <c r="F31" s="104">
        <v>4</v>
      </c>
      <c r="G31" s="64" t="s">
        <v>55</v>
      </c>
      <c r="H31" s="1">
        <v>4</v>
      </c>
      <c r="I31" s="63" t="s">
        <v>55</v>
      </c>
      <c r="J31" s="1">
        <v>4</v>
      </c>
      <c r="K31" s="63" t="s">
        <v>55</v>
      </c>
      <c r="L31" s="104">
        <v>5</v>
      </c>
      <c r="M31" s="64" t="s">
        <v>54</v>
      </c>
      <c r="N31" s="1">
        <v>1</v>
      </c>
      <c r="O31" s="63" t="s">
        <v>56</v>
      </c>
      <c r="P31" s="104">
        <v>5</v>
      </c>
      <c r="Q31" s="64" t="s">
        <v>54</v>
      </c>
      <c r="R31" s="1">
        <v>0</v>
      </c>
      <c r="S31" s="2" t="s">
        <v>57</v>
      </c>
      <c r="T31" s="817">
        <v>5</v>
      </c>
      <c r="U31" s="64" t="s">
        <v>54</v>
      </c>
      <c r="V31" s="1">
        <v>0</v>
      </c>
      <c r="W31" s="63" t="s">
        <v>57</v>
      </c>
      <c r="X31" s="1">
        <v>5</v>
      </c>
      <c r="Y31" s="63" t="s">
        <v>54</v>
      </c>
      <c r="Z31" s="104">
        <v>4</v>
      </c>
      <c r="AA31" s="170" t="s">
        <v>55</v>
      </c>
      <c r="AB31" s="1">
        <v>1</v>
      </c>
      <c r="AC31" s="63" t="s">
        <v>56</v>
      </c>
      <c r="AD31" s="104">
        <v>5</v>
      </c>
      <c r="AE31" s="64" t="s">
        <v>54</v>
      </c>
      <c r="AF31" s="104">
        <v>5</v>
      </c>
      <c r="AG31" s="64" t="s">
        <v>54</v>
      </c>
      <c r="AH31" s="1">
        <v>5</v>
      </c>
      <c r="AI31" s="63" t="s">
        <v>54</v>
      </c>
      <c r="AJ31" s="104">
        <v>0</v>
      </c>
      <c r="AK31" s="64" t="s">
        <v>57</v>
      </c>
      <c r="AL31" s="1">
        <v>1</v>
      </c>
      <c r="AM31" s="63" t="s">
        <v>56</v>
      </c>
      <c r="AN31" s="104">
        <v>5</v>
      </c>
      <c r="AO31" s="163" t="s">
        <v>54</v>
      </c>
      <c r="AP31" s="1">
        <v>1</v>
      </c>
      <c r="AQ31" s="63" t="s">
        <v>116</v>
      </c>
      <c r="AR31" s="104">
        <v>2</v>
      </c>
      <c r="AS31" s="64" t="s">
        <v>58</v>
      </c>
      <c r="AT31" s="75">
        <f t="shared" si="1"/>
        <v>67</v>
      </c>
    </row>
    <row r="32" spans="1:46" ht="14.95" x14ac:dyDescent="0.25">
      <c r="A32" s="74" t="s">
        <v>106</v>
      </c>
      <c r="B32" s="1">
        <v>1</v>
      </c>
      <c r="C32" s="63" t="s">
        <v>56</v>
      </c>
      <c r="D32" s="284">
        <v>0</v>
      </c>
      <c r="E32" s="285" t="s">
        <v>57</v>
      </c>
      <c r="F32" s="104">
        <v>4</v>
      </c>
      <c r="G32" s="64" t="s">
        <v>55</v>
      </c>
      <c r="H32" s="1">
        <v>0</v>
      </c>
      <c r="I32" s="63" t="s">
        <v>57</v>
      </c>
      <c r="J32" s="1">
        <v>0</v>
      </c>
      <c r="K32" s="63" t="s">
        <v>57</v>
      </c>
      <c r="L32" s="104">
        <v>1</v>
      </c>
      <c r="M32" s="64" t="s">
        <v>56</v>
      </c>
      <c r="N32" s="1">
        <v>5</v>
      </c>
      <c r="O32" s="63" t="s">
        <v>54</v>
      </c>
      <c r="P32" s="104">
        <v>2</v>
      </c>
      <c r="Q32" s="64" t="s">
        <v>736</v>
      </c>
      <c r="R32" s="1">
        <v>5</v>
      </c>
      <c r="S32" s="2" t="s">
        <v>54</v>
      </c>
      <c r="T32" s="165">
        <v>0</v>
      </c>
      <c r="U32" s="63" t="s">
        <v>57</v>
      </c>
      <c r="V32" s="104">
        <v>5</v>
      </c>
      <c r="W32" s="64" t="s">
        <v>54</v>
      </c>
      <c r="X32" s="1">
        <v>5</v>
      </c>
      <c r="Y32" s="63" t="s">
        <v>54</v>
      </c>
      <c r="Z32" s="104">
        <v>5</v>
      </c>
      <c r="AA32" s="170" t="s">
        <v>54</v>
      </c>
      <c r="AB32" s="1">
        <v>5</v>
      </c>
      <c r="AC32" s="63" t="s">
        <v>54</v>
      </c>
      <c r="AD32" s="104">
        <v>5</v>
      </c>
      <c r="AE32" s="64" t="s">
        <v>54</v>
      </c>
      <c r="AF32" s="104">
        <v>0</v>
      </c>
      <c r="AG32" s="64" t="s">
        <v>57</v>
      </c>
      <c r="AH32" s="1">
        <v>4</v>
      </c>
      <c r="AI32" s="63" t="s">
        <v>55</v>
      </c>
      <c r="AJ32" s="1">
        <v>4</v>
      </c>
      <c r="AK32" s="63" t="s">
        <v>55</v>
      </c>
      <c r="AL32" s="104">
        <v>5</v>
      </c>
      <c r="AM32" s="64" t="s">
        <v>54</v>
      </c>
      <c r="AN32" s="104">
        <v>5</v>
      </c>
      <c r="AO32" s="163" t="s">
        <v>54</v>
      </c>
      <c r="AP32" s="1">
        <v>5</v>
      </c>
      <c r="AQ32" s="63" t="s">
        <v>54</v>
      </c>
      <c r="AR32" s="104">
        <v>5</v>
      </c>
      <c r="AS32" s="64" t="s">
        <v>54</v>
      </c>
      <c r="AT32" s="75">
        <f t="shared" si="1"/>
        <v>71</v>
      </c>
    </row>
    <row r="33" spans="1:57" ht="15.8" thickBot="1" x14ac:dyDescent="0.3">
      <c r="A33" s="76" t="s">
        <v>23</v>
      </c>
      <c r="B33" s="107">
        <v>4</v>
      </c>
      <c r="C33" s="106" t="s">
        <v>55</v>
      </c>
      <c r="D33" s="108">
        <v>0</v>
      </c>
      <c r="E33" s="105" t="s">
        <v>57</v>
      </c>
      <c r="F33" s="107">
        <v>1</v>
      </c>
      <c r="G33" s="106" t="s">
        <v>56</v>
      </c>
      <c r="H33" s="108">
        <v>4</v>
      </c>
      <c r="I33" s="105" t="s">
        <v>55</v>
      </c>
      <c r="J33" s="107">
        <v>4</v>
      </c>
      <c r="K33" s="106" t="s">
        <v>55</v>
      </c>
      <c r="L33" s="108">
        <v>0</v>
      </c>
      <c r="M33" s="105" t="s">
        <v>57</v>
      </c>
      <c r="N33" s="107">
        <v>4</v>
      </c>
      <c r="O33" s="106" t="s">
        <v>55</v>
      </c>
      <c r="P33" s="108">
        <v>0</v>
      </c>
      <c r="Q33" s="105" t="s">
        <v>57</v>
      </c>
      <c r="R33" s="107">
        <v>1</v>
      </c>
      <c r="S33" s="781" t="s">
        <v>56</v>
      </c>
      <c r="T33" s="818">
        <v>1</v>
      </c>
      <c r="U33" s="106" t="s">
        <v>56</v>
      </c>
      <c r="V33" s="108">
        <v>1</v>
      </c>
      <c r="W33" s="105" t="s">
        <v>56</v>
      </c>
      <c r="X33" s="108">
        <v>1</v>
      </c>
      <c r="Y33" s="105" t="s">
        <v>56</v>
      </c>
      <c r="Z33" s="107">
        <v>1</v>
      </c>
      <c r="AA33" s="781" t="s">
        <v>56</v>
      </c>
      <c r="AB33" s="107">
        <v>0</v>
      </c>
      <c r="AC33" s="106" t="s">
        <v>57</v>
      </c>
      <c r="AD33" s="108">
        <v>0</v>
      </c>
      <c r="AE33" s="105" t="s">
        <v>57</v>
      </c>
      <c r="AF33" s="107">
        <v>5</v>
      </c>
      <c r="AG33" s="106" t="s">
        <v>54</v>
      </c>
      <c r="AH33" s="108">
        <v>0</v>
      </c>
      <c r="AI33" s="105" t="s">
        <v>57</v>
      </c>
      <c r="AJ33" s="107">
        <v>0</v>
      </c>
      <c r="AK33" s="106" t="s">
        <v>57</v>
      </c>
      <c r="AL33" s="108">
        <v>0</v>
      </c>
      <c r="AM33" s="105" t="s">
        <v>57</v>
      </c>
      <c r="AN33" s="107">
        <v>5</v>
      </c>
      <c r="AO33" s="164" t="s">
        <v>54</v>
      </c>
      <c r="AP33" s="107">
        <v>5</v>
      </c>
      <c r="AQ33" s="164" t="s">
        <v>54</v>
      </c>
      <c r="AR33" s="108">
        <v>5</v>
      </c>
      <c r="AS33" s="105" t="s">
        <v>54</v>
      </c>
      <c r="AT33" s="77">
        <f t="shared" si="1"/>
        <v>42</v>
      </c>
    </row>
    <row r="34" spans="1:57" x14ac:dyDescent="0.25">
      <c r="A34" s="5" t="s">
        <v>933</v>
      </c>
      <c r="B34" s="2"/>
      <c r="C34" s="63"/>
      <c r="D34" s="170"/>
      <c r="E34" s="64"/>
      <c r="F34" s="2"/>
      <c r="G34" s="63"/>
      <c r="H34" s="170"/>
      <c r="I34" s="64"/>
      <c r="J34" s="170"/>
      <c r="K34" s="64"/>
      <c r="L34" s="2"/>
      <c r="M34" s="63"/>
      <c r="N34" s="2"/>
      <c r="O34" s="63"/>
      <c r="P34" s="170"/>
      <c r="Q34" s="64"/>
      <c r="R34" s="2"/>
      <c r="S34" s="63"/>
      <c r="T34" s="170"/>
      <c r="U34" s="64"/>
      <c r="V34" s="2"/>
      <c r="W34" s="63"/>
      <c r="X34" s="170"/>
      <c r="Y34" s="64"/>
      <c r="Z34" s="63"/>
      <c r="AA34" s="63"/>
      <c r="AB34" s="170"/>
      <c r="AC34" s="64"/>
      <c r="AD34" s="170"/>
      <c r="AE34" s="64"/>
      <c r="AF34" s="2"/>
      <c r="AG34" s="63"/>
      <c r="AH34" s="170"/>
      <c r="AI34" s="64"/>
      <c r="AJ34" s="2"/>
      <c r="AK34" s="63"/>
      <c r="AL34" s="2"/>
      <c r="AM34" s="63"/>
      <c r="AN34" s="170"/>
      <c r="AO34" s="64"/>
      <c r="AP34" s="116"/>
      <c r="AQ34" s="285"/>
      <c r="AR34" s="170"/>
      <c r="AS34" s="64"/>
      <c r="AT34" s="65"/>
    </row>
    <row r="35" spans="1:57" ht="29.25" thickBot="1" x14ac:dyDescent="0.3">
      <c r="A35" s="5" t="s">
        <v>753</v>
      </c>
      <c r="AP35" s="5"/>
      <c r="AU35" s="976" t="s">
        <v>87</v>
      </c>
      <c r="AV35" s="976"/>
      <c r="AW35" s="976"/>
      <c r="AX35" s="976"/>
      <c r="AY35" s="976"/>
      <c r="AZ35" s="976"/>
      <c r="BA35" s="976"/>
      <c r="BB35" s="976"/>
      <c r="BC35" s="976"/>
      <c r="BD35" s="976"/>
      <c r="BE35" s="976"/>
    </row>
    <row r="36" spans="1:57" ht="14.95" thickBot="1" x14ac:dyDescent="0.3">
      <c r="A36" s="4" t="s">
        <v>78</v>
      </c>
      <c r="B36" s="974" t="s">
        <v>271</v>
      </c>
      <c r="C36" s="975"/>
      <c r="D36" s="975"/>
      <c r="E36" s="975"/>
      <c r="F36" s="975"/>
      <c r="G36" s="975"/>
      <c r="H36" s="975"/>
      <c r="I36" s="975"/>
      <c r="J36" s="975"/>
      <c r="K36" s="975"/>
      <c r="L36" s="975"/>
      <c r="M36" s="975"/>
      <c r="N36" s="975"/>
      <c r="O36" s="975"/>
      <c r="P36" s="975"/>
      <c r="Q36" s="975"/>
      <c r="R36" s="975"/>
      <c r="S36" s="975"/>
      <c r="T36" s="975"/>
      <c r="U36" s="975"/>
      <c r="V36" s="854" t="s">
        <v>87</v>
      </c>
      <c r="W36" s="854"/>
      <c r="X36" s="766"/>
      <c r="Y36" s="766"/>
      <c r="Z36" s="766"/>
      <c r="AA36" s="766"/>
      <c r="AB36" s="766"/>
      <c r="AC36" s="766"/>
      <c r="AD36" s="766"/>
      <c r="AE36" s="766"/>
      <c r="AF36" s="767"/>
      <c r="AG36" s="767"/>
      <c r="AH36" s="767"/>
      <c r="AI36" s="767"/>
      <c r="AJ36" s="767"/>
      <c r="AK36" s="767"/>
      <c r="AL36" s="767"/>
      <c r="AM36" s="901" t="s">
        <v>1007</v>
      </c>
      <c r="AN36" s="901"/>
      <c r="AO36" s="901"/>
      <c r="AP36" s="901"/>
      <c r="AQ36" s="901"/>
      <c r="AR36" s="902"/>
      <c r="AS36" s="903"/>
      <c r="AT36" s="99"/>
      <c r="AU36" s="99"/>
    </row>
    <row r="37" spans="1:57" x14ac:dyDescent="0.25">
      <c r="A37" s="70" t="s">
        <v>51</v>
      </c>
      <c r="B37" s="961">
        <v>8</v>
      </c>
      <c r="C37" s="962"/>
      <c r="D37" s="961">
        <v>9</v>
      </c>
      <c r="E37" s="971"/>
      <c r="F37" s="961">
        <v>10</v>
      </c>
      <c r="G37" s="962"/>
      <c r="H37" s="961">
        <v>11</v>
      </c>
      <c r="I37" s="962"/>
      <c r="J37" s="961">
        <v>12</v>
      </c>
      <c r="K37" s="962"/>
      <c r="L37" s="961">
        <v>13</v>
      </c>
      <c r="M37" s="971"/>
      <c r="N37" s="961">
        <v>14</v>
      </c>
      <c r="O37" s="962"/>
      <c r="P37" s="961">
        <v>15</v>
      </c>
      <c r="Q37" s="962"/>
      <c r="R37" s="961">
        <v>16</v>
      </c>
      <c r="S37" s="971"/>
      <c r="T37" s="961">
        <v>17</v>
      </c>
      <c r="U37" s="962"/>
      <c r="V37" s="961">
        <v>18</v>
      </c>
      <c r="W37" s="962"/>
      <c r="X37" s="961">
        <v>19</v>
      </c>
      <c r="Y37" s="962"/>
      <c r="Z37" s="961">
        <v>20</v>
      </c>
      <c r="AA37" s="971"/>
      <c r="AB37" s="961">
        <v>21</v>
      </c>
      <c r="AC37" s="962"/>
      <c r="AD37" s="961">
        <v>22</v>
      </c>
      <c r="AE37" s="962"/>
      <c r="AF37" s="963">
        <v>1</v>
      </c>
      <c r="AG37" s="968"/>
      <c r="AH37" s="963">
        <v>2</v>
      </c>
      <c r="AI37" s="964"/>
      <c r="AJ37" s="969">
        <v>3</v>
      </c>
      <c r="AK37" s="970"/>
      <c r="AL37" s="963">
        <v>4</v>
      </c>
      <c r="AM37" s="968"/>
      <c r="AN37" s="963">
        <v>5</v>
      </c>
      <c r="AO37" s="964"/>
      <c r="AP37" s="963">
        <v>6</v>
      </c>
      <c r="AQ37" s="968"/>
      <c r="AR37" s="963">
        <v>7</v>
      </c>
      <c r="AS37" s="968"/>
      <c r="AT37" s="111" t="s">
        <v>38</v>
      </c>
      <c r="AU37" s="5"/>
      <c r="AV37" s="116"/>
      <c r="AW37" s="116"/>
    </row>
    <row r="38" spans="1:57" ht="14.95" customHeight="1" x14ac:dyDescent="0.25">
      <c r="A38" s="72"/>
      <c r="B38" s="1" t="s">
        <v>52</v>
      </c>
      <c r="C38" s="2" t="s">
        <v>53</v>
      </c>
      <c r="D38" s="1" t="s">
        <v>52</v>
      </c>
      <c r="E38" s="2" t="s">
        <v>53</v>
      </c>
      <c r="F38" s="165" t="s">
        <v>52</v>
      </c>
      <c r="G38" s="2" t="s">
        <v>53</v>
      </c>
      <c r="H38" s="1" t="s">
        <v>52</v>
      </c>
      <c r="I38" s="2" t="s">
        <v>53</v>
      </c>
      <c r="J38" s="1" t="s">
        <v>52</v>
      </c>
      <c r="K38" s="2" t="s">
        <v>53</v>
      </c>
      <c r="L38" s="1" t="s">
        <v>52</v>
      </c>
      <c r="M38" s="2" t="s">
        <v>53</v>
      </c>
      <c r="N38" s="1" t="s">
        <v>52</v>
      </c>
      <c r="O38" s="2" t="s">
        <v>53</v>
      </c>
      <c r="P38" s="1" t="s">
        <v>52</v>
      </c>
      <c r="Q38" s="2" t="s">
        <v>53</v>
      </c>
      <c r="R38" s="1" t="s">
        <v>52</v>
      </c>
      <c r="S38" s="2" t="s">
        <v>53</v>
      </c>
      <c r="T38" s="1" t="s">
        <v>52</v>
      </c>
      <c r="U38" s="2" t="s">
        <v>53</v>
      </c>
      <c r="V38" s="1" t="s">
        <v>52</v>
      </c>
      <c r="W38" s="2" t="s">
        <v>53</v>
      </c>
      <c r="X38" s="1" t="s">
        <v>52</v>
      </c>
      <c r="Y38" s="2" t="s">
        <v>53</v>
      </c>
      <c r="Z38" s="1" t="s">
        <v>52</v>
      </c>
      <c r="AA38" s="161" t="s">
        <v>53</v>
      </c>
      <c r="AB38" s="1" t="s">
        <v>52</v>
      </c>
      <c r="AC38" s="2" t="s">
        <v>53</v>
      </c>
      <c r="AD38" s="1" t="s">
        <v>52</v>
      </c>
      <c r="AE38" s="2" t="s">
        <v>53</v>
      </c>
      <c r="AF38" s="78" t="s">
        <v>52</v>
      </c>
      <c r="AG38" s="79" t="s">
        <v>53</v>
      </c>
      <c r="AH38" s="1" t="s">
        <v>52</v>
      </c>
      <c r="AI38" s="2" t="s">
        <v>53</v>
      </c>
      <c r="AJ38" s="1" t="s">
        <v>52</v>
      </c>
      <c r="AK38" s="2" t="s">
        <v>53</v>
      </c>
      <c r="AL38" s="78" t="s">
        <v>52</v>
      </c>
      <c r="AM38" s="79" t="s">
        <v>53</v>
      </c>
      <c r="AN38" s="1" t="s">
        <v>52</v>
      </c>
      <c r="AO38" s="2" t="s">
        <v>53</v>
      </c>
      <c r="AP38" s="78" t="s">
        <v>52</v>
      </c>
      <c r="AQ38" s="79" t="s">
        <v>53</v>
      </c>
      <c r="AR38" s="1" t="s">
        <v>52</v>
      </c>
      <c r="AS38" s="2" t="s">
        <v>53</v>
      </c>
      <c r="AT38" s="112"/>
      <c r="AU38" s="5"/>
      <c r="AV38" s="2"/>
      <c r="AW38" s="116"/>
    </row>
    <row r="39" spans="1:57" ht="14.95" customHeight="1" x14ac:dyDescent="0.25">
      <c r="A39" s="74" t="s">
        <v>106</v>
      </c>
      <c r="B39" s="104">
        <v>2</v>
      </c>
      <c r="C39" s="64" t="s">
        <v>736</v>
      </c>
      <c r="D39" s="1">
        <v>5</v>
      </c>
      <c r="E39" s="2" t="s">
        <v>54</v>
      </c>
      <c r="F39" s="165">
        <v>0</v>
      </c>
      <c r="G39" s="63" t="s">
        <v>57</v>
      </c>
      <c r="H39" s="104">
        <v>5</v>
      </c>
      <c r="I39" s="64" t="s">
        <v>54</v>
      </c>
      <c r="J39" s="1">
        <v>5</v>
      </c>
      <c r="K39" s="63" t="s">
        <v>54</v>
      </c>
      <c r="L39" s="104">
        <v>5</v>
      </c>
      <c r="M39" s="170" t="s">
        <v>54</v>
      </c>
      <c r="N39" s="1">
        <v>5</v>
      </c>
      <c r="O39" s="63" t="s">
        <v>54</v>
      </c>
      <c r="P39" s="104">
        <v>5</v>
      </c>
      <c r="Q39" s="64" t="s">
        <v>54</v>
      </c>
      <c r="R39" s="104">
        <v>0</v>
      </c>
      <c r="S39" s="64" t="s">
        <v>57</v>
      </c>
      <c r="T39" s="1">
        <v>4</v>
      </c>
      <c r="U39" s="63" t="s">
        <v>55</v>
      </c>
      <c r="V39" s="1">
        <v>4</v>
      </c>
      <c r="W39" s="63" t="s">
        <v>55</v>
      </c>
      <c r="X39" s="104">
        <v>5</v>
      </c>
      <c r="Y39" s="64" t="s">
        <v>54</v>
      </c>
      <c r="Z39" s="104">
        <v>5</v>
      </c>
      <c r="AA39" s="163" t="s">
        <v>54</v>
      </c>
      <c r="AB39" s="1">
        <v>5</v>
      </c>
      <c r="AC39" s="63" t="s">
        <v>54</v>
      </c>
      <c r="AD39" s="104">
        <v>5</v>
      </c>
      <c r="AE39" s="64" t="s">
        <v>54</v>
      </c>
      <c r="AF39" s="1"/>
      <c r="AG39" s="63"/>
      <c r="AH39" s="284"/>
      <c r="AI39" s="285"/>
      <c r="AJ39" s="104"/>
      <c r="AK39" s="64"/>
      <c r="AL39" s="1"/>
      <c r="AM39" s="63"/>
      <c r="AN39" s="1"/>
      <c r="AO39" s="63"/>
      <c r="AP39" s="104"/>
      <c r="AQ39" s="64"/>
      <c r="AR39" s="1"/>
      <c r="AS39" s="63"/>
      <c r="AT39" s="113">
        <f t="shared" ref="AT39:AT50" si="2">SUM(+B39+D39+F39+H39+J39+L39+N39+P39+R39+T39+V39+X39+Z39+AB39+AD39+AF39+AH39+AJ39+AL39+AN39+AP39+AR39)</f>
        <v>60</v>
      </c>
      <c r="AU39" s="5"/>
      <c r="AV39" s="2"/>
      <c r="AW39" s="65"/>
    </row>
    <row r="40" spans="1:57" ht="14.95" customHeight="1" x14ac:dyDescent="0.25">
      <c r="A40" s="74" t="s">
        <v>165</v>
      </c>
      <c r="B40" s="1">
        <v>0</v>
      </c>
      <c r="C40" s="63" t="s">
        <v>57</v>
      </c>
      <c r="D40" s="104">
        <v>4</v>
      </c>
      <c r="E40" s="170" t="s">
        <v>55</v>
      </c>
      <c r="F40" s="165">
        <v>4</v>
      </c>
      <c r="G40" s="63" t="s">
        <v>55</v>
      </c>
      <c r="H40" s="104">
        <v>4</v>
      </c>
      <c r="I40" s="64" t="s">
        <v>55</v>
      </c>
      <c r="J40" s="1">
        <v>4</v>
      </c>
      <c r="K40" s="63" t="s">
        <v>55</v>
      </c>
      <c r="L40" s="104">
        <v>4</v>
      </c>
      <c r="M40" s="170" t="s">
        <v>55</v>
      </c>
      <c r="N40" s="104">
        <v>4</v>
      </c>
      <c r="O40" s="64" t="s">
        <v>55</v>
      </c>
      <c r="P40" s="1">
        <v>5</v>
      </c>
      <c r="Q40" s="63" t="s">
        <v>54</v>
      </c>
      <c r="R40" s="104">
        <v>1</v>
      </c>
      <c r="S40" s="64" t="s">
        <v>56</v>
      </c>
      <c r="T40" s="1">
        <v>0</v>
      </c>
      <c r="U40" s="63" t="s">
        <v>57</v>
      </c>
      <c r="V40" s="1">
        <v>5</v>
      </c>
      <c r="W40" s="63" t="s">
        <v>54</v>
      </c>
      <c r="X40" s="104">
        <v>5</v>
      </c>
      <c r="Y40" s="64" t="s">
        <v>54</v>
      </c>
      <c r="Z40" s="1">
        <v>1</v>
      </c>
      <c r="AA40" s="162" t="s">
        <v>116</v>
      </c>
      <c r="AB40" s="104">
        <v>5</v>
      </c>
      <c r="AC40" s="64" t="s">
        <v>54</v>
      </c>
      <c r="AD40" s="1">
        <v>5</v>
      </c>
      <c r="AE40" s="63" t="s">
        <v>54</v>
      </c>
      <c r="AF40" s="104"/>
      <c r="AG40" s="64"/>
      <c r="AH40" s="284"/>
      <c r="AI40" s="285"/>
      <c r="AJ40" s="104"/>
      <c r="AK40" s="64"/>
      <c r="AL40" s="1"/>
      <c r="AM40" s="63"/>
      <c r="AN40" s="104"/>
      <c r="AO40" s="64"/>
      <c r="AP40" s="1"/>
      <c r="AQ40" s="63"/>
      <c r="AR40" s="104"/>
      <c r="AS40" s="64"/>
      <c r="AT40" s="113">
        <f t="shared" si="2"/>
        <v>51</v>
      </c>
      <c r="AU40" s="5"/>
      <c r="AV40" s="2"/>
      <c r="AW40" s="65"/>
    </row>
    <row r="41" spans="1:57" ht="14.95" customHeight="1" x14ac:dyDescent="0.25">
      <c r="A41" s="74" t="s">
        <v>28</v>
      </c>
      <c r="B41" s="1">
        <v>5</v>
      </c>
      <c r="C41" s="63" t="s">
        <v>54</v>
      </c>
      <c r="D41" s="104">
        <v>1</v>
      </c>
      <c r="E41" s="170" t="s">
        <v>56</v>
      </c>
      <c r="F41" s="165">
        <v>4</v>
      </c>
      <c r="G41" s="63" t="s">
        <v>55</v>
      </c>
      <c r="H41" s="104">
        <v>5</v>
      </c>
      <c r="I41" s="64" t="s">
        <v>54</v>
      </c>
      <c r="J41" s="1">
        <v>1</v>
      </c>
      <c r="K41" s="63" t="s">
        <v>56</v>
      </c>
      <c r="L41" s="104">
        <v>5</v>
      </c>
      <c r="M41" s="170" t="s">
        <v>54</v>
      </c>
      <c r="N41" s="104">
        <v>5</v>
      </c>
      <c r="O41" s="64" t="s">
        <v>54</v>
      </c>
      <c r="P41" s="1">
        <v>5</v>
      </c>
      <c r="Q41" s="63" t="s">
        <v>54</v>
      </c>
      <c r="R41" s="1">
        <v>4</v>
      </c>
      <c r="S41" s="63" t="s">
        <v>55</v>
      </c>
      <c r="T41" s="104">
        <v>5</v>
      </c>
      <c r="U41" s="64" t="s">
        <v>54</v>
      </c>
      <c r="V41" s="1">
        <v>4</v>
      </c>
      <c r="W41" s="63" t="s">
        <v>55</v>
      </c>
      <c r="X41" s="104">
        <v>5</v>
      </c>
      <c r="Y41" s="64" t="s">
        <v>54</v>
      </c>
      <c r="Z41" s="1">
        <v>0</v>
      </c>
      <c r="AA41" s="162" t="s">
        <v>57</v>
      </c>
      <c r="AB41" s="104">
        <v>1</v>
      </c>
      <c r="AC41" s="64" t="s">
        <v>56</v>
      </c>
      <c r="AD41" s="1">
        <v>0</v>
      </c>
      <c r="AE41" s="63" t="s">
        <v>57</v>
      </c>
      <c r="AF41" s="104"/>
      <c r="AG41" s="64"/>
      <c r="AH41" s="284"/>
      <c r="AI41" s="285"/>
      <c r="AJ41" s="1"/>
      <c r="AK41" s="63"/>
      <c r="AL41" s="104"/>
      <c r="AM41" s="64"/>
      <c r="AN41" s="104"/>
      <c r="AO41" s="64"/>
      <c r="AP41" s="1"/>
      <c r="AQ41" s="63"/>
      <c r="AR41" s="104"/>
      <c r="AS41" s="64"/>
      <c r="AT41" s="113">
        <f t="shared" si="2"/>
        <v>50</v>
      </c>
      <c r="AU41" s="5"/>
      <c r="AV41" s="2"/>
      <c r="AW41" s="65"/>
    </row>
    <row r="42" spans="1:57" ht="14.95" customHeight="1" x14ac:dyDescent="0.25">
      <c r="A42" s="74" t="s">
        <v>22</v>
      </c>
      <c r="B42" s="1">
        <v>0</v>
      </c>
      <c r="C42" s="63" t="s">
        <v>57</v>
      </c>
      <c r="D42" s="104">
        <v>4</v>
      </c>
      <c r="E42" s="170" t="s">
        <v>55</v>
      </c>
      <c r="F42" s="165">
        <v>4</v>
      </c>
      <c r="G42" s="63" t="s">
        <v>55</v>
      </c>
      <c r="H42" s="104">
        <v>4</v>
      </c>
      <c r="I42" s="64" t="s">
        <v>55</v>
      </c>
      <c r="J42" s="104">
        <v>1</v>
      </c>
      <c r="K42" s="64" t="s">
        <v>56</v>
      </c>
      <c r="L42" s="1">
        <v>0</v>
      </c>
      <c r="M42" s="2" t="s">
        <v>57</v>
      </c>
      <c r="N42" s="104">
        <v>5</v>
      </c>
      <c r="O42" s="64" t="s">
        <v>54</v>
      </c>
      <c r="P42" s="1">
        <v>5</v>
      </c>
      <c r="Q42" s="63" t="s">
        <v>54</v>
      </c>
      <c r="R42" s="1">
        <v>4</v>
      </c>
      <c r="S42" s="63" t="s">
        <v>55</v>
      </c>
      <c r="T42" s="104">
        <v>1</v>
      </c>
      <c r="U42" s="64" t="s">
        <v>56</v>
      </c>
      <c r="V42" s="1">
        <v>5</v>
      </c>
      <c r="W42" s="63" t="s">
        <v>54</v>
      </c>
      <c r="X42" s="104">
        <v>5</v>
      </c>
      <c r="Y42" s="64" t="s">
        <v>54</v>
      </c>
      <c r="Z42" s="1">
        <v>5</v>
      </c>
      <c r="AA42" s="162" t="s">
        <v>54</v>
      </c>
      <c r="AB42" s="104">
        <v>5</v>
      </c>
      <c r="AC42" s="64" t="s">
        <v>54</v>
      </c>
      <c r="AD42" s="1">
        <v>2</v>
      </c>
      <c r="AE42" s="63" t="s">
        <v>58</v>
      </c>
      <c r="AF42" s="1"/>
      <c r="AG42" s="63"/>
      <c r="AH42" s="104"/>
      <c r="AI42" s="64"/>
      <c r="AJ42" s="1"/>
      <c r="AK42" s="63"/>
      <c r="AL42" s="104"/>
      <c r="AM42" s="64"/>
      <c r="AN42" s="104"/>
      <c r="AO42" s="64"/>
      <c r="AP42" s="1"/>
      <c r="AQ42" s="63"/>
      <c r="AR42" s="104"/>
      <c r="AS42" s="64"/>
      <c r="AT42" s="113">
        <f t="shared" si="2"/>
        <v>50</v>
      </c>
      <c r="AU42" s="5"/>
      <c r="AV42" s="2"/>
      <c r="AW42" s="65"/>
    </row>
    <row r="43" spans="1:57" ht="14.95" customHeight="1" x14ac:dyDescent="0.25">
      <c r="A43" s="74" t="s">
        <v>27</v>
      </c>
      <c r="B43" s="104">
        <v>5</v>
      </c>
      <c r="C43" s="64" t="s">
        <v>54</v>
      </c>
      <c r="D43" s="1">
        <v>4</v>
      </c>
      <c r="E43" s="2" t="s">
        <v>55</v>
      </c>
      <c r="F43" s="165">
        <v>0</v>
      </c>
      <c r="G43" s="63" t="s">
        <v>57</v>
      </c>
      <c r="H43" s="104">
        <v>5</v>
      </c>
      <c r="I43" s="64" t="s">
        <v>54</v>
      </c>
      <c r="J43" s="1">
        <v>4</v>
      </c>
      <c r="K43" s="63" t="s">
        <v>55</v>
      </c>
      <c r="L43" s="104">
        <v>5</v>
      </c>
      <c r="M43" s="170" t="s">
        <v>54</v>
      </c>
      <c r="N43" s="1">
        <v>1</v>
      </c>
      <c r="O43" s="63" t="s">
        <v>56</v>
      </c>
      <c r="P43" s="104">
        <v>0</v>
      </c>
      <c r="Q43" s="64" t="s">
        <v>57</v>
      </c>
      <c r="R43" s="1">
        <v>4</v>
      </c>
      <c r="S43" s="63" t="s">
        <v>55</v>
      </c>
      <c r="T43" s="104">
        <v>5</v>
      </c>
      <c r="U43" s="64" t="s">
        <v>54</v>
      </c>
      <c r="V43" s="1">
        <v>5</v>
      </c>
      <c r="W43" s="63" t="s">
        <v>54</v>
      </c>
      <c r="X43" s="104">
        <v>4</v>
      </c>
      <c r="Y43" s="64" t="s">
        <v>55</v>
      </c>
      <c r="Z43" s="104">
        <v>0</v>
      </c>
      <c r="AA43" s="163" t="s">
        <v>57</v>
      </c>
      <c r="AB43" s="284">
        <v>5</v>
      </c>
      <c r="AC43" s="285" t="s">
        <v>54</v>
      </c>
      <c r="AD43" s="104">
        <v>0</v>
      </c>
      <c r="AE43" s="64" t="s">
        <v>57</v>
      </c>
      <c r="AF43" s="1"/>
      <c r="AG43" s="63"/>
      <c r="AH43" s="104"/>
      <c r="AI43" s="64"/>
      <c r="AJ43" s="1"/>
      <c r="AK43" s="63"/>
      <c r="AL43" s="104"/>
      <c r="AM43" s="64"/>
      <c r="AN43" s="1"/>
      <c r="AO43" s="63"/>
      <c r="AP43" s="104"/>
      <c r="AQ43" s="64"/>
      <c r="AR43" s="1"/>
      <c r="AS43" s="63"/>
      <c r="AT43" s="113">
        <f t="shared" si="2"/>
        <v>47</v>
      </c>
      <c r="AU43" s="5"/>
      <c r="AV43" s="2"/>
      <c r="AW43" s="65"/>
    </row>
    <row r="44" spans="1:57" ht="14.95" customHeight="1" x14ac:dyDescent="0.25">
      <c r="A44" s="74" t="s">
        <v>19</v>
      </c>
      <c r="B44" s="104">
        <v>5</v>
      </c>
      <c r="C44" s="64" t="s">
        <v>54</v>
      </c>
      <c r="D44" s="1">
        <v>0</v>
      </c>
      <c r="E44" s="2" t="s">
        <v>57</v>
      </c>
      <c r="F44" s="817">
        <v>5</v>
      </c>
      <c r="G44" s="64" t="s">
        <v>54</v>
      </c>
      <c r="H44" s="1">
        <v>0</v>
      </c>
      <c r="I44" s="63" t="s">
        <v>57</v>
      </c>
      <c r="J44" s="1">
        <v>5</v>
      </c>
      <c r="K44" s="63" t="s">
        <v>54</v>
      </c>
      <c r="L44" s="104">
        <v>4</v>
      </c>
      <c r="M44" s="170" t="s">
        <v>55</v>
      </c>
      <c r="N44" s="1">
        <v>1</v>
      </c>
      <c r="O44" s="63" t="s">
        <v>56</v>
      </c>
      <c r="P44" s="104">
        <v>5</v>
      </c>
      <c r="Q44" s="64" t="s">
        <v>54</v>
      </c>
      <c r="R44" s="104">
        <v>5</v>
      </c>
      <c r="S44" s="64" t="s">
        <v>54</v>
      </c>
      <c r="T44" s="1">
        <v>5</v>
      </c>
      <c r="U44" s="63" t="s">
        <v>54</v>
      </c>
      <c r="V44" s="104">
        <v>0</v>
      </c>
      <c r="W44" s="64" t="s">
        <v>57</v>
      </c>
      <c r="X44" s="1">
        <v>1</v>
      </c>
      <c r="Y44" s="63" t="s">
        <v>56</v>
      </c>
      <c r="Z44" s="104">
        <v>5</v>
      </c>
      <c r="AA44" s="163" t="s">
        <v>54</v>
      </c>
      <c r="AB44" s="1">
        <v>1</v>
      </c>
      <c r="AC44" s="63" t="s">
        <v>116</v>
      </c>
      <c r="AD44" s="104">
        <v>2</v>
      </c>
      <c r="AE44" s="64" t="s">
        <v>58</v>
      </c>
      <c r="AF44" s="1"/>
      <c r="AG44" s="63"/>
      <c r="AH44" s="104"/>
      <c r="AI44" s="64"/>
      <c r="AJ44" s="104"/>
      <c r="AK44" s="64"/>
      <c r="AL44" s="1"/>
      <c r="AM44" s="63"/>
      <c r="AN44" s="1"/>
      <c r="AO44" s="63"/>
      <c r="AP44" s="104"/>
      <c r="AQ44" s="64"/>
      <c r="AR44" s="1"/>
      <c r="AS44" s="63"/>
      <c r="AT44" s="113">
        <f t="shared" si="2"/>
        <v>44</v>
      </c>
      <c r="AU44" s="5"/>
      <c r="AV44" s="2"/>
      <c r="AW44" s="65"/>
    </row>
    <row r="45" spans="1:57" ht="14.95" customHeight="1" x14ac:dyDescent="0.25">
      <c r="A45" s="74" t="s">
        <v>9</v>
      </c>
      <c r="B45" s="1">
        <v>0</v>
      </c>
      <c r="C45" s="63" t="s">
        <v>57</v>
      </c>
      <c r="D45" s="104">
        <v>5</v>
      </c>
      <c r="E45" s="170" t="s">
        <v>54</v>
      </c>
      <c r="F45" s="817">
        <v>0</v>
      </c>
      <c r="G45" s="64" t="s">
        <v>57</v>
      </c>
      <c r="H45" s="1">
        <v>1</v>
      </c>
      <c r="I45" s="63" t="s">
        <v>56</v>
      </c>
      <c r="J45" s="104">
        <v>5</v>
      </c>
      <c r="K45" s="64" t="s">
        <v>54</v>
      </c>
      <c r="L45" s="1">
        <v>0</v>
      </c>
      <c r="M45" s="2" t="s">
        <v>57</v>
      </c>
      <c r="N45" s="104">
        <v>4</v>
      </c>
      <c r="O45" s="64" t="s">
        <v>55</v>
      </c>
      <c r="P45" s="1">
        <v>0</v>
      </c>
      <c r="Q45" s="63" t="s">
        <v>57</v>
      </c>
      <c r="R45" s="1">
        <v>0</v>
      </c>
      <c r="S45" s="63" t="s">
        <v>57</v>
      </c>
      <c r="T45" s="104">
        <v>5</v>
      </c>
      <c r="U45" s="64" t="s">
        <v>54</v>
      </c>
      <c r="V45" s="104">
        <v>0</v>
      </c>
      <c r="W45" s="64" t="s">
        <v>57</v>
      </c>
      <c r="X45" s="1">
        <v>5</v>
      </c>
      <c r="Y45" s="63" t="s">
        <v>932</v>
      </c>
      <c r="Z45" s="1">
        <v>4</v>
      </c>
      <c r="AA45" s="162" t="s">
        <v>55</v>
      </c>
      <c r="AB45" s="104">
        <v>0</v>
      </c>
      <c r="AC45" s="64">
        <v>1</v>
      </c>
      <c r="AD45" s="104">
        <v>5</v>
      </c>
      <c r="AE45" s="64" t="s">
        <v>54</v>
      </c>
      <c r="AF45" s="284"/>
      <c r="AG45" s="285"/>
      <c r="AH45" s="104"/>
      <c r="AI45" s="64"/>
      <c r="AJ45" s="1"/>
      <c r="AK45" s="63"/>
      <c r="AL45" s="104"/>
      <c r="AM45" s="64"/>
      <c r="AN45" s="104"/>
      <c r="AO45" s="64"/>
      <c r="AP45" s="1"/>
      <c r="AQ45" s="63"/>
      <c r="AR45" s="104"/>
      <c r="AS45" s="64"/>
      <c r="AT45" s="113">
        <f t="shared" si="2"/>
        <v>34</v>
      </c>
      <c r="AU45" s="5"/>
      <c r="AV45" s="2"/>
      <c r="AW45" s="65"/>
    </row>
    <row r="46" spans="1:57" ht="14.95" customHeight="1" x14ac:dyDescent="0.25">
      <c r="A46" s="74" t="s">
        <v>24</v>
      </c>
      <c r="B46" s="104">
        <v>5</v>
      </c>
      <c r="C46" s="64" t="s">
        <v>54</v>
      </c>
      <c r="D46" s="1">
        <v>0</v>
      </c>
      <c r="E46" s="2" t="s">
        <v>56</v>
      </c>
      <c r="F46" s="817">
        <v>0</v>
      </c>
      <c r="G46" s="64" t="s">
        <v>57</v>
      </c>
      <c r="H46" s="1">
        <v>1</v>
      </c>
      <c r="I46" s="63" t="s">
        <v>56</v>
      </c>
      <c r="J46" s="104">
        <v>1</v>
      </c>
      <c r="K46" s="64" t="s">
        <v>56</v>
      </c>
      <c r="L46" s="1">
        <v>1</v>
      </c>
      <c r="M46" s="2" t="s">
        <v>163</v>
      </c>
      <c r="N46" s="1">
        <v>5</v>
      </c>
      <c r="O46" s="63" t="s">
        <v>54</v>
      </c>
      <c r="P46" s="104">
        <v>0</v>
      </c>
      <c r="Q46" s="64" t="s">
        <v>57</v>
      </c>
      <c r="R46" s="1">
        <v>0</v>
      </c>
      <c r="S46" s="63" t="s">
        <v>57</v>
      </c>
      <c r="T46" s="104">
        <v>5</v>
      </c>
      <c r="U46" s="64" t="s">
        <v>54</v>
      </c>
      <c r="V46" s="104">
        <v>5</v>
      </c>
      <c r="W46" s="64" t="s">
        <v>54</v>
      </c>
      <c r="X46" s="1">
        <v>0</v>
      </c>
      <c r="Y46" s="63" t="s">
        <v>57</v>
      </c>
      <c r="Z46" s="104">
        <v>0</v>
      </c>
      <c r="AA46" s="163" t="s">
        <v>57</v>
      </c>
      <c r="AB46" s="1">
        <v>0</v>
      </c>
      <c r="AC46" s="63" t="s">
        <v>57</v>
      </c>
      <c r="AD46" s="104">
        <v>5</v>
      </c>
      <c r="AE46" s="64" t="s">
        <v>54</v>
      </c>
      <c r="AF46" s="104"/>
      <c r="AG46" s="64"/>
      <c r="AH46" s="104"/>
      <c r="AI46" s="64"/>
      <c r="AJ46" s="1"/>
      <c r="AK46" s="63"/>
      <c r="AL46" s="104"/>
      <c r="AM46" s="64"/>
      <c r="AN46" s="1"/>
      <c r="AO46" s="63"/>
      <c r="AP46" s="104"/>
      <c r="AQ46" s="64"/>
      <c r="AR46" s="1"/>
      <c r="AS46" s="63"/>
      <c r="AT46" s="113">
        <f t="shared" si="2"/>
        <v>28</v>
      </c>
      <c r="AU46" s="5"/>
      <c r="AV46" s="2"/>
      <c r="AW46" s="65"/>
    </row>
    <row r="47" spans="1:57" ht="14.95" customHeight="1" x14ac:dyDescent="0.25">
      <c r="A47" s="74" t="s">
        <v>23</v>
      </c>
      <c r="B47" s="1">
        <v>0</v>
      </c>
      <c r="C47" s="63" t="s">
        <v>57</v>
      </c>
      <c r="D47" s="104">
        <v>1</v>
      </c>
      <c r="E47" s="170" t="s">
        <v>56</v>
      </c>
      <c r="F47" s="817">
        <v>1</v>
      </c>
      <c r="G47" s="64" t="s">
        <v>56</v>
      </c>
      <c r="H47" s="1">
        <v>1</v>
      </c>
      <c r="I47" s="63" t="s">
        <v>56</v>
      </c>
      <c r="J47" s="1">
        <v>1</v>
      </c>
      <c r="K47" s="63" t="s">
        <v>56</v>
      </c>
      <c r="L47" s="104">
        <v>1</v>
      </c>
      <c r="M47" s="170" t="s">
        <v>56</v>
      </c>
      <c r="N47" s="104">
        <v>0</v>
      </c>
      <c r="O47" s="64" t="s">
        <v>57</v>
      </c>
      <c r="P47" s="1">
        <v>0</v>
      </c>
      <c r="Q47" s="63" t="s">
        <v>57</v>
      </c>
      <c r="R47" s="104">
        <v>5</v>
      </c>
      <c r="S47" s="64" t="s">
        <v>54</v>
      </c>
      <c r="T47" s="1">
        <v>0</v>
      </c>
      <c r="U47" s="63" t="s">
        <v>57</v>
      </c>
      <c r="V47" s="104">
        <v>0</v>
      </c>
      <c r="W47" s="64" t="s">
        <v>57</v>
      </c>
      <c r="X47" s="1">
        <v>0</v>
      </c>
      <c r="Y47" s="63" t="s">
        <v>57</v>
      </c>
      <c r="Z47" s="104">
        <v>5</v>
      </c>
      <c r="AA47" s="163" t="s">
        <v>54</v>
      </c>
      <c r="AB47" s="104">
        <v>5</v>
      </c>
      <c r="AC47" s="64" t="s">
        <v>54</v>
      </c>
      <c r="AD47" s="104">
        <v>5</v>
      </c>
      <c r="AE47" s="64" t="s">
        <v>54</v>
      </c>
      <c r="AF47" s="104"/>
      <c r="AG47" s="64"/>
      <c r="AH47" s="1"/>
      <c r="AI47" s="63"/>
      <c r="AJ47" s="104"/>
      <c r="AK47" s="64"/>
      <c r="AL47" s="1"/>
      <c r="AM47" s="63"/>
      <c r="AN47" s="104"/>
      <c r="AO47" s="64"/>
      <c r="AP47" s="1"/>
      <c r="AQ47" s="63"/>
      <c r="AR47" s="104"/>
      <c r="AS47" s="64"/>
      <c r="AT47" s="113">
        <f t="shared" si="2"/>
        <v>25</v>
      </c>
      <c r="AU47" s="5"/>
      <c r="AV47" s="2"/>
      <c r="AW47" s="65"/>
    </row>
    <row r="48" spans="1:57" ht="14.95" customHeight="1" x14ac:dyDescent="0.25">
      <c r="A48" s="74" t="s">
        <v>26</v>
      </c>
      <c r="B48" s="104">
        <v>5</v>
      </c>
      <c r="C48" s="64" t="s">
        <v>54</v>
      </c>
      <c r="D48" s="1">
        <v>1</v>
      </c>
      <c r="E48" s="2" t="s">
        <v>56</v>
      </c>
      <c r="F48" s="817">
        <v>4</v>
      </c>
      <c r="G48" s="64" t="s">
        <v>55</v>
      </c>
      <c r="H48" s="1">
        <v>0</v>
      </c>
      <c r="I48" s="63" t="s">
        <v>57</v>
      </c>
      <c r="J48" s="104">
        <v>4</v>
      </c>
      <c r="K48" s="64" t="s">
        <v>55</v>
      </c>
      <c r="L48" s="1">
        <v>0</v>
      </c>
      <c r="M48" s="2" t="s">
        <v>57</v>
      </c>
      <c r="N48" s="1">
        <v>0</v>
      </c>
      <c r="O48" s="63" t="s">
        <v>57</v>
      </c>
      <c r="P48" s="104">
        <v>0</v>
      </c>
      <c r="Q48" s="64" t="s">
        <v>57</v>
      </c>
      <c r="R48" s="104">
        <v>4</v>
      </c>
      <c r="S48" s="64" t="s">
        <v>55</v>
      </c>
      <c r="T48" s="1">
        <v>0</v>
      </c>
      <c r="U48" s="63" t="s">
        <v>57</v>
      </c>
      <c r="V48" s="1">
        <v>0</v>
      </c>
      <c r="W48" s="63" t="s">
        <v>57</v>
      </c>
      <c r="X48" s="1">
        <v>0</v>
      </c>
      <c r="Y48" s="63" t="s">
        <v>57</v>
      </c>
      <c r="Z48" s="104">
        <v>4</v>
      </c>
      <c r="AA48" s="163" t="s">
        <v>55</v>
      </c>
      <c r="AB48" s="1">
        <v>0</v>
      </c>
      <c r="AC48" s="63" t="s">
        <v>57</v>
      </c>
      <c r="AD48" s="1">
        <v>1</v>
      </c>
      <c r="AE48" s="63" t="s">
        <v>56</v>
      </c>
      <c r="AF48" s="1"/>
      <c r="AG48" s="63"/>
      <c r="AH48" s="284"/>
      <c r="AI48" s="285"/>
      <c r="AJ48" s="104"/>
      <c r="AK48" s="64"/>
      <c r="AL48" s="1"/>
      <c r="AM48" s="63"/>
      <c r="AN48" s="1"/>
      <c r="AO48" s="63"/>
      <c r="AP48" s="104"/>
      <c r="AQ48" s="64"/>
      <c r="AR48" s="1"/>
      <c r="AS48" s="63"/>
      <c r="AT48" s="113">
        <f t="shared" si="2"/>
        <v>23</v>
      </c>
      <c r="AU48" s="5"/>
      <c r="AV48" s="2"/>
      <c r="AW48" s="65"/>
    </row>
    <row r="49" spans="1:49" ht="14.95" customHeight="1" x14ac:dyDescent="0.25">
      <c r="A49" s="74" t="s">
        <v>11</v>
      </c>
      <c r="B49" s="104">
        <v>1</v>
      </c>
      <c r="C49" s="64" t="s">
        <v>163</v>
      </c>
      <c r="D49" s="1">
        <v>4</v>
      </c>
      <c r="E49" s="63" t="s">
        <v>55</v>
      </c>
      <c r="F49" s="165">
        <v>5</v>
      </c>
      <c r="G49" s="63" t="s">
        <v>54</v>
      </c>
      <c r="H49" s="104">
        <v>5</v>
      </c>
      <c r="I49" s="64" t="s">
        <v>54</v>
      </c>
      <c r="J49" s="104">
        <v>1</v>
      </c>
      <c r="K49" s="64" t="s">
        <v>163</v>
      </c>
      <c r="L49" s="1">
        <v>0</v>
      </c>
      <c r="M49" s="2" t="s">
        <v>57</v>
      </c>
      <c r="N49" s="1">
        <v>0</v>
      </c>
      <c r="O49" s="63" t="s">
        <v>57</v>
      </c>
      <c r="P49" s="104">
        <v>0</v>
      </c>
      <c r="Q49" s="64" t="s">
        <v>57</v>
      </c>
      <c r="R49" s="1">
        <v>1</v>
      </c>
      <c r="S49" s="63" t="s">
        <v>56</v>
      </c>
      <c r="T49" s="104">
        <v>0</v>
      </c>
      <c r="U49" s="64" t="s">
        <v>57</v>
      </c>
      <c r="V49" s="1">
        <v>0</v>
      </c>
      <c r="W49" s="63" t="s">
        <v>57</v>
      </c>
      <c r="X49" s="104">
        <v>0</v>
      </c>
      <c r="Y49" s="64" t="s">
        <v>57</v>
      </c>
      <c r="Z49" s="104">
        <v>1</v>
      </c>
      <c r="AA49" s="163" t="s">
        <v>116</v>
      </c>
      <c r="AB49" s="1">
        <v>4</v>
      </c>
      <c r="AC49" s="63" t="s">
        <v>55</v>
      </c>
      <c r="AD49" s="104">
        <v>0</v>
      </c>
      <c r="AE49" s="64" t="s">
        <v>57</v>
      </c>
      <c r="AF49" s="104"/>
      <c r="AG49" s="64"/>
      <c r="AH49" s="284"/>
      <c r="AI49" s="285"/>
      <c r="AJ49" s="1"/>
      <c r="AK49" s="63"/>
      <c r="AL49" s="104"/>
      <c r="AM49" s="64"/>
      <c r="AN49" s="1"/>
      <c r="AO49" s="63"/>
      <c r="AP49" s="104"/>
      <c r="AQ49" s="64"/>
      <c r="AR49" s="1"/>
      <c r="AS49" s="63"/>
      <c r="AT49" s="113">
        <f t="shared" si="2"/>
        <v>22</v>
      </c>
      <c r="AU49" s="5"/>
      <c r="AV49" s="2"/>
      <c r="AW49" s="65"/>
    </row>
    <row r="50" spans="1:49" ht="14.95" customHeight="1" thickBot="1" x14ac:dyDescent="0.3">
      <c r="A50" s="76" t="s">
        <v>25</v>
      </c>
      <c r="B50" s="108">
        <v>5</v>
      </c>
      <c r="C50" s="105" t="s">
        <v>54</v>
      </c>
      <c r="D50" s="107">
        <v>1</v>
      </c>
      <c r="E50" s="781" t="s">
        <v>56</v>
      </c>
      <c r="F50" s="818">
        <v>1</v>
      </c>
      <c r="G50" s="106" t="s">
        <v>56</v>
      </c>
      <c r="H50" s="108">
        <v>0</v>
      </c>
      <c r="I50" s="105" t="s">
        <v>57</v>
      </c>
      <c r="J50" s="107">
        <v>1</v>
      </c>
      <c r="K50" s="106" t="s">
        <v>56</v>
      </c>
      <c r="L50" s="108">
        <v>4</v>
      </c>
      <c r="M50" s="570" t="s">
        <v>55</v>
      </c>
      <c r="N50" s="107">
        <v>0</v>
      </c>
      <c r="O50" s="106" t="s">
        <v>57</v>
      </c>
      <c r="P50" s="108">
        <v>5</v>
      </c>
      <c r="Q50" s="105" t="s">
        <v>54</v>
      </c>
      <c r="R50" s="107">
        <v>0</v>
      </c>
      <c r="S50" s="106" t="s">
        <v>57</v>
      </c>
      <c r="T50" s="108">
        <v>0</v>
      </c>
      <c r="U50" s="105" t="s">
        <v>57</v>
      </c>
      <c r="V50" s="107">
        <v>1</v>
      </c>
      <c r="W50" s="106" t="s">
        <v>56</v>
      </c>
      <c r="X50" s="108">
        <v>0</v>
      </c>
      <c r="Y50" s="105" t="s">
        <v>57</v>
      </c>
      <c r="Z50" s="108">
        <v>1</v>
      </c>
      <c r="AA50" s="899" t="s">
        <v>56</v>
      </c>
      <c r="AB50" s="107">
        <v>0</v>
      </c>
      <c r="AC50" s="164" t="s">
        <v>57</v>
      </c>
      <c r="AD50" s="108">
        <v>0</v>
      </c>
      <c r="AE50" s="899" t="s">
        <v>57</v>
      </c>
      <c r="AF50" s="107"/>
      <c r="AG50" s="106"/>
      <c r="AH50" s="107"/>
      <c r="AI50" s="106"/>
      <c r="AJ50" s="107"/>
      <c r="AK50" s="106"/>
      <c r="AL50" s="108"/>
      <c r="AM50" s="105"/>
      <c r="AN50" s="107"/>
      <c r="AO50" s="106"/>
      <c r="AP50" s="108"/>
      <c r="AQ50" s="105"/>
      <c r="AR50" s="107"/>
      <c r="AS50" s="106"/>
      <c r="AT50" s="114">
        <f t="shared" si="2"/>
        <v>19</v>
      </c>
      <c r="AU50" s="5"/>
      <c r="AV50" s="2"/>
      <c r="AW50" s="65"/>
    </row>
    <row r="51" spans="1:49" x14ac:dyDescent="0.25">
      <c r="A51" s="5"/>
      <c r="B51" s="2"/>
      <c r="C51" s="63"/>
      <c r="D51" s="170"/>
      <c r="E51" s="64"/>
      <c r="F51" s="2"/>
      <c r="G51" s="63"/>
      <c r="H51" s="170"/>
      <c r="I51" s="64"/>
      <c r="J51" s="170"/>
      <c r="K51" s="64"/>
      <c r="L51" s="2"/>
      <c r="M51" s="63"/>
      <c r="N51" s="2"/>
      <c r="O51" s="63"/>
      <c r="P51" s="170"/>
      <c r="Q51" s="64"/>
      <c r="R51" s="2"/>
      <c r="S51" s="63"/>
      <c r="T51" s="170"/>
      <c r="U51" s="64"/>
      <c r="V51" s="2"/>
      <c r="W51" s="63"/>
      <c r="X51" s="170"/>
      <c r="Y51" s="64"/>
      <c r="Z51" s="63"/>
      <c r="AA51" s="63"/>
      <c r="AB51" s="170"/>
      <c r="AC51" s="64"/>
      <c r="AD51" s="170"/>
      <c r="AE51" s="64"/>
      <c r="AF51" s="2"/>
      <c r="AG51" s="63"/>
      <c r="AH51" s="170"/>
      <c r="AI51" s="64"/>
      <c r="AJ51" s="2"/>
      <c r="AK51" s="63"/>
      <c r="AL51" s="2"/>
      <c r="AM51" s="63"/>
      <c r="AN51" s="170"/>
      <c r="AO51" s="64"/>
      <c r="AP51" s="116"/>
      <c r="AQ51" s="285"/>
      <c r="AR51" s="170"/>
      <c r="AS51" s="64"/>
      <c r="AT51" s="65"/>
    </row>
    <row r="52" spans="1:49" ht="29.25" thickBot="1" x14ac:dyDescent="0.3">
      <c r="A52" s="5" t="s">
        <v>910</v>
      </c>
      <c r="AP52" s="5"/>
    </row>
    <row r="53" spans="1:49" ht="14.95" thickBot="1" x14ac:dyDescent="0.3">
      <c r="A53" s="4" t="s">
        <v>78</v>
      </c>
      <c r="B53" s="974" t="s">
        <v>271</v>
      </c>
      <c r="C53" s="975"/>
      <c r="D53" s="975"/>
      <c r="E53" s="975"/>
      <c r="F53" s="975"/>
      <c r="G53" s="975"/>
      <c r="H53" s="975"/>
      <c r="I53" s="975"/>
      <c r="J53" s="975"/>
      <c r="K53" s="975"/>
      <c r="L53" s="975"/>
      <c r="M53" s="975"/>
      <c r="N53" s="975"/>
      <c r="O53" s="975"/>
      <c r="P53" s="975"/>
      <c r="Q53" s="975"/>
      <c r="R53" s="975"/>
      <c r="S53" s="975"/>
      <c r="T53" s="975"/>
      <c r="U53" s="975"/>
      <c r="V53" s="854" t="s">
        <v>87</v>
      </c>
      <c r="W53" s="854"/>
      <c r="X53" s="766"/>
      <c r="Y53" s="766"/>
      <c r="Z53" s="766"/>
      <c r="AA53" s="766"/>
      <c r="AB53" s="766"/>
      <c r="AC53" s="766"/>
      <c r="AD53" s="766"/>
      <c r="AE53" s="766"/>
      <c r="AF53" s="767"/>
      <c r="AG53" s="767"/>
      <c r="AH53" s="767"/>
      <c r="AI53" s="767"/>
      <c r="AJ53" s="767"/>
      <c r="AK53" s="767"/>
      <c r="AL53" s="768"/>
      <c r="AM53" s="769"/>
      <c r="AN53" s="769"/>
      <c r="AO53" s="769"/>
      <c r="AP53" s="769"/>
      <c r="AQ53" s="769"/>
      <c r="AR53" s="770"/>
      <c r="AS53" s="770"/>
      <c r="AT53" s="99"/>
    </row>
    <row r="54" spans="1:49" x14ac:dyDescent="0.25">
      <c r="A54" s="70" t="s">
        <v>51</v>
      </c>
      <c r="B54" s="961">
        <v>14</v>
      </c>
      <c r="C54" s="962"/>
      <c r="D54" s="961">
        <v>15</v>
      </c>
      <c r="E54" s="962"/>
      <c r="F54" s="961">
        <v>16</v>
      </c>
      <c r="G54" s="971"/>
      <c r="H54" s="961">
        <v>17</v>
      </c>
      <c r="I54" s="962"/>
      <c r="J54" s="961">
        <v>18</v>
      </c>
      <c r="K54" s="962"/>
      <c r="L54" s="961">
        <v>19</v>
      </c>
      <c r="M54" s="962"/>
      <c r="N54" s="961">
        <v>20</v>
      </c>
      <c r="O54" s="971"/>
      <c r="P54" s="961">
        <v>21</v>
      </c>
      <c r="Q54" s="962"/>
      <c r="R54" s="961">
        <v>22</v>
      </c>
      <c r="S54" s="962"/>
      <c r="T54" s="111" t="s">
        <v>38</v>
      </c>
    </row>
    <row r="55" spans="1:49" x14ac:dyDescent="0.25">
      <c r="A55" s="72"/>
      <c r="B55" s="1" t="s">
        <v>52</v>
      </c>
      <c r="C55" s="2" t="s">
        <v>53</v>
      </c>
      <c r="D55" s="1" t="s">
        <v>52</v>
      </c>
      <c r="E55" s="2" t="s">
        <v>53</v>
      </c>
      <c r="F55" s="1" t="s">
        <v>52</v>
      </c>
      <c r="G55" s="2" t="s">
        <v>53</v>
      </c>
      <c r="H55" s="1" t="s">
        <v>52</v>
      </c>
      <c r="I55" s="2" t="s">
        <v>53</v>
      </c>
      <c r="J55" s="1" t="s">
        <v>52</v>
      </c>
      <c r="K55" s="2" t="s">
        <v>53</v>
      </c>
      <c r="L55" s="1" t="s">
        <v>52</v>
      </c>
      <c r="M55" s="2" t="s">
        <v>53</v>
      </c>
      <c r="N55" s="1" t="s">
        <v>52</v>
      </c>
      <c r="O55" s="161" t="s">
        <v>53</v>
      </c>
      <c r="P55" s="1" t="s">
        <v>52</v>
      </c>
      <c r="Q55" s="2" t="s">
        <v>53</v>
      </c>
      <c r="R55" s="1" t="s">
        <v>52</v>
      </c>
      <c r="S55" s="2" t="s">
        <v>53</v>
      </c>
      <c r="T55" s="112"/>
    </row>
    <row r="56" spans="1:49" x14ac:dyDescent="0.25">
      <c r="A56" s="74" t="s">
        <v>106</v>
      </c>
      <c r="B56" s="1">
        <v>5</v>
      </c>
      <c r="C56" s="63" t="s">
        <v>54</v>
      </c>
      <c r="D56" s="104">
        <v>5</v>
      </c>
      <c r="E56" s="64" t="s">
        <v>54</v>
      </c>
      <c r="F56" s="104">
        <v>0</v>
      </c>
      <c r="G56" s="64" t="s">
        <v>57</v>
      </c>
      <c r="H56" s="1">
        <v>4</v>
      </c>
      <c r="I56" s="63" t="s">
        <v>55</v>
      </c>
      <c r="J56" s="1">
        <v>4</v>
      </c>
      <c r="K56" s="63" t="s">
        <v>55</v>
      </c>
      <c r="L56" s="104">
        <v>5</v>
      </c>
      <c r="M56" s="64" t="s">
        <v>54</v>
      </c>
      <c r="N56" s="104">
        <v>5</v>
      </c>
      <c r="O56" s="163" t="s">
        <v>54</v>
      </c>
      <c r="P56" s="1">
        <v>5</v>
      </c>
      <c r="Q56" s="63" t="s">
        <v>54</v>
      </c>
      <c r="R56" s="104">
        <v>5</v>
      </c>
      <c r="S56" s="64" t="s">
        <v>54</v>
      </c>
      <c r="T56" s="113">
        <f t="shared" ref="T56:T67" si="3">SUM(B56+D56+F56+H56+J56+L56+N56+P56+R56)</f>
        <v>38</v>
      </c>
      <c r="U56">
        <v>7</v>
      </c>
      <c r="V56">
        <v>1</v>
      </c>
      <c r="W56">
        <v>1</v>
      </c>
    </row>
    <row r="57" spans="1:49" x14ac:dyDescent="0.25">
      <c r="A57" s="74" t="s">
        <v>22</v>
      </c>
      <c r="B57" s="104">
        <v>5</v>
      </c>
      <c r="C57" s="64" t="s">
        <v>54</v>
      </c>
      <c r="D57" s="1">
        <v>5</v>
      </c>
      <c r="E57" s="63" t="s">
        <v>54</v>
      </c>
      <c r="F57" s="1">
        <v>4</v>
      </c>
      <c r="G57" s="63" t="s">
        <v>55</v>
      </c>
      <c r="H57" s="104">
        <v>1</v>
      </c>
      <c r="I57" s="64" t="s">
        <v>56</v>
      </c>
      <c r="J57" s="1">
        <v>5</v>
      </c>
      <c r="K57" s="63" t="s">
        <v>54</v>
      </c>
      <c r="L57" s="104">
        <v>5</v>
      </c>
      <c r="M57" s="64" t="s">
        <v>54</v>
      </c>
      <c r="N57" s="1">
        <v>5</v>
      </c>
      <c r="O57" s="162" t="s">
        <v>54</v>
      </c>
      <c r="P57" s="104">
        <v>5</v>
      </c>
      <c r="Q57" s="64" t="s">
        <v>54</v>
      </c>
      <c r="R57" s="1">
        <v>2</v>
      </c>
      <c r="S57" s="63" t="s">
        <v>58</v>
      </c>
      <c r="T57" s="113">
        <f t="shared" si="3"/>
        <v>37</v>
      </c>
      <c r="U57">
        <v>7</v>
      </c>
      <c r="V57">
        <v>0</v>
      </c>
      <c r="W57">
        <v>2</v>
      </c>
    </row>
    <row r="58" spans="1:49" x14ac:dyDescent="0.25">
      <c r="A58" s="74" t="s">
        <v>165</v>
      </c>
      <c r="B58" s="104">
        <v>4</v>
      </c>
      <c r="C58" s="64" t="s">
        <v>55</v>
      </c>
      <c r="D58" s="1">
        <v>5</v>
      </c>
      <c r="E58" s="63" t="s">
        <v>54</v>
      </c>
      <c r="F58" s="104">
        <v>1</v>
      </c>
      <c r="G58" s="64" t="s">
        <v>56</v>
      </c>
      <c r="H58" s="1">
        <v>0</v>
      </c>
      <c r="I58" s="63" t="s">
        <v>57</v>
      </c>
      <c r="J58" s="1">
        <v>5</v>
      </c>
      <c r="K58" s="63" t="s">
        <v>54</v>
      </c>
      <c r="L58" s="104">
        <v>5</v>
      </c>
      <c r="M58" s="64" t="s">
        <v>54</v>
      </c>
      <c r="N58" s="1">
        <v>1</v>
      </c>
      <c r="O58" s="162" t="s">
        <v>116</v>
      </c>
      <c r="P58" s="104">
        <v>5</v>
      </c>
      <c r="Q58" s="64" t="s">
        <v>54</v>
      </c>
      <c r="R58" s="1">
        <v>5</v>
      </c>
      <c r="S58" s="63" t="s">
        <v>54</v>
      </c>
      <c r="T58" s="113">
        <f t="shared" si="3"/>
        <v>31</v>
      </c>
      <c r="U58">
        <v>7</v>
      </c>
      <c r="V58">
        <v>0</v>
      </c>
      <c r="W58">
        <v>2</v>
      </c>
    </row>
    <row r="59" spans="1:49" x14ac:dyDescent="0.25">
      <c r="A59" s="74" t="s">
        <v>28</v>
      </c>
      <c r="B59" s="104">
        <v>5</v>
      </c>
      <c r="C59" s="64" t="s">
        <v>54</v>
      </c>
      <c r="D59" s="1">
        <v>5</v>
      </c>
      <c r="E59" s="63" t="s">
        <v>54</v>
      </c>
      <c r="F59" s="1">
        <v>4</v>
      </c>
      <c r="G59" s="63" t="s">
        <v>55</v>
      </c>
      <c r="H59" s="104">
        <v>5</v>
      </c>
      <c r="I59" s="64" t="s">
        <v>54</v>
      </c>
      <c r="J59" s="1">
        <v>4</v>
      </c>
      <c r="K59" s="63" t="s">
        <v>55</v>
      </c>
      <c r="L59" s="104">
        <v>5</v>
      </c>
      <c r="M59" s="64" t="s">
        <v>54</v>
      </c>
      <c r="N59" s="1">
        <v>0</v>
      </c>
      <c r="O59" s="162" t="s">
        <v>57</v>
      </c>
      <c r="P59" s="104">
        <v>1</v>
      </c>
      <c r="Q59" s="64" t="s">
        <v>56</v>
      </c>
      <c r="R59" s="1">
        <v>0</v>
      </c>
      <c r="S59" s="63" t="s">
        <v>57</v>
      </c>
      <c r="T59" s="113">
        <f t="shared" si="3"/>
        <v>29</v>
      </c>
      <c r="U59">
        <v>5</v>
      </c>
      <c r="V59">
        <v>0</v>
      </c>
      <c r="W59">
        <v>4</v>
      </c>
    </row>
    <row r="60" spans="1:49" x14ac:dyDescent="0.25">
      <c r="A60" s="74" t="s">
        <v>19</v>
      </c>
      <c r="B60" s="1">
        <v>1</v>
      </c>
      <c r="C60" s="63" t="s">
        <v>56</v>
      </c>
      <c r="D60" s="104">
        <v>5</v>
      </c>
      <c r="E60" s="64" t="s">
        <v>54</v>
      </c>
      <c r="F60" s="104">
        <v>5</v>
      </c>
      <c r="G60" s="64" t="s">
        <v>54</v>
      </c>
      <c r="H60" s="1">
        <v>5</v>
      </c>
      <c r="I60" s="63" t="s">
        <v>54</v>
      </c>
      <c r="J60" s="104">
        <v>0</v>
      </c>
      <c r="K60" s="64" t="s">
        <v>57</v>
      </c>
      <c r="L60" s="1">
        <v>1</v>
      </c>
      <c r="M60" s="63" t="s">
        <v>56</v>
      </c>
      <c r="N60" s="104">
        <v>5</v>
      </c>
      <c r="O60" s="163" t="s">
        <v>54</v>
      </c>
      <c r="P60" s="1">
        <v>1</v>
      </c>
      <c r="Q60" s="63" t="s">
        <v>116</v>
      </c>
      <c r="R60" s="104">
        <v>2</v>
      </c>
      <c r="S60" s="64" t="s">
        <v>58</v>
      </c>
      <c r="T60" s="113">
        <f t="shared" si="3"/>
        <v>25</v>
      </c>
      <c r="U60">
        <v>6</v>
      </c>
      <c r="V60">
        <v>0</v>
      </c>
      <c r="W60">
        <v>3</v>
      </c>
    </row>
    <row r="61" spans="1:49" x14ac:dyDescent="0.25">
      <c r="A61" s="74" t="s">
        <v>27</v>
      </c>
      <c r="B61" s="1">
        <v>1</v>
      </c>
      <c r="C61" s="63" t="s">
        <v>56</v>
      </c>
      <c r="D61" s="104">
        <v>0</v>
      </c>
      <c r="E61" s="64" t="s">
        <v>57</v>
      </c>
      <c r="F61" s="1">
        <v>4</v>
      </c>
      <c r="G61" s="63" t="s">
        <v>55</v>
      </c>
      <c r="H61" s="104">
        <v>5</v>
      </c>
      <c r="I61" s="64" t="s">
        <v>54</v>
      </c>
      <c r="J61" s="1">
        <v>5</v>
      </c>
      <c r="K61" s="63" t="s">
        <v>54</v>
      </c>
      <c r="L61" s="104">
        <v>4</v>
      </c>
      <c r="M61" s="64" t="s">
        <v>55</v>
      </c>
      <c r="N61" s="104">
        <v>0</v>
      </c>
      <c r="O61" s="163" t="s">
        <v>57</v>
      </c>
      <c r="P61" s="284">
        <v>5</v>
      </c>
      <c r="Q61" s="285" t="s">
        <v>54</v>
      </c>
      <c r="R61" s="104">
        <v>0</v>
      </c>
      <c r="S61" s="64" t="s">
        <v>57</v>
      </c>
      <c r="T61" s="113">
        <f t="shared" si="3"/>
        <v>24</v>
      </c>
      <c r="U61">
        <v>5</v>
      </c>
      <c r="V61">
        <v>1</v>
      </c>
      <c r="W61">
        <v>3</v>
      </c>
    </row>
    <row r="62" spans="1:49" x14ac:dyDescent="0.25">
      <c r="A62" s="74" t="s">
        <v>9</v>
      </c>
      <c r="B62" s="104">
        <v>4</v>
      </c>
      <c r="C62" s="64" t="s">
        <v>55</v>
      </c>
      <c r="D62" s="1">
        <v>0</v>
      </c>
      <c r="E62" s="63" t="s">
        <v>57</v>
      </c>
      <c r="F62" s="1">
        <v>0</v>
      </c>
      <c r="G62" s="63" t="s">
        <v>57</v>
      </c>
      <c r="H62" s="104">
        <v>5</v>
      </c>
      <c r="I62" s="64" t="s">
        <v>54</v>
      </c>
      <c r="J62" s="104">
        <v>0</v>
      </c>
      <c r="K62" s="64" t="s">
        <v>57</v>
      </c>
      <c r="L62" s="1">
        <v>5</v>
      </c>
      <c r="M62" s="63" t="s">
        <v>932</v>
      </c>
      <c r="N62" s="1">
        <v>4</v>
      </c>
      <c r="O62" s="162" t="s">
        <v>55</v>
      </c>
      <c r="P62" s="104">
        <v>0</v>
      </c>
      <c r="Q62" s="64">
        <v>1</v>
      </c>
      <c r="R62" s="104">
        <v>5</v>
      </c>
      <c r="S62" s="64" t="s">
        <v>54</v>
      </c>
      <c r="T62" s="113">
        <f t="shared" si="3"/>
        <v>23</v>
      </c>
      <c r="U62">
        <v>5</v>
      </c>
      <c r="V62">
        <v>0</v>
      </c>
      <c r="W62">
        <v>4</v>
      </c>
    </row>
    <row r="63" spans="1:49" x14ac:dyDescent="0.25">
      <c r="A63" s="74" t="s">
        <v>24</v>
      </c>
      <c r="B63" s="1">
        <v>5</v>
      </c>
      <c r="C63" s="63" t="s">
        <v>54</v>
      </c>
      <c r="D63" s="104">
        <v>0</v>
      </c>
      <c r="E63" s="64" t="s">
        <v>57</v>
      </c>
      <c r="F63" s="1">
        <v>0</v>
      </c>
      <c r="G63" s="63" t="s">
        <v>57</v>
      </c>
      <c r="H63" s="104">
        <v>5</v>
      </c>
      <c r="I63" s="64" t="s">
        <v>54</v>
      </c>
      <c r="J63" s="104">
        <v>5</v>
      </c>
      <c r="K63" s="64" t="s">
        <v>54</v>
      </c>
      <c r="L63" s="1">
        <v>0</v>
      </c>
      <c r="M63" s="63" t="s">
        <v>57</v>
      </c>
      <c r="N63" s="104">
        <v>0</v>
      </c>
      <c r="O63" s="163" t="s">
        <v>57</v>
      </c>
      <c r="P63" s="1">
        <v>0</v>
      </c>
      <c r="Q63" s="63" t="s">
        <v>57</v>
      </c>
      <c r="R63" s="104">
        <v>5</v>
      </c>
      <c r="S63" s="64" t="s">
        <v>54</v>
      </c>
      <c r="T63" s="113">
        <f t="shared" si="3"/>
        <v>20</v>
      </c>
      <c r="U63">
        <v>4</v>
      </c>
      <c r="V63">
        <v>0</v>
      </c>
      <c r="W63">
        <v>5</v>
      </c>
    </row>
    <row r="64" spans="1:49" x14ac:dyDescent="0.25">
      <c r="A64" s="74" t="s">
        <v>23</v>
      </c>
      <c r="B64" s="104">
        <v>0</v>
      </c>
      <c r="C64" s="64" t="s">
        <v>57</v>
      </c>
      <c r="D64" s="1">
        <v>0</v>
      </c>
      <c r="E64" s="63" t="s">
        <v>57</v>
      </c>
      <c r="F64" s="104">
        <v>5</v>
      </c>
      <c r="G64" s="64" t="s">
        <v>54</v>
      </c>
      <c r="H64" s="1">
        <v>0</v>
      </c>
      <c r="I64" s="63" t="s">
        <v>57</v>
      </c>
      <c r="J64" s="104">
        <v>0</v>
      </c>
      <c r="K64" s="64" t="s">
        <v>57</v>
      </c>
      <c r="L64" s="1">
        <v>0</v>
      </c>
      <c r="M64" s="63" t="s">
        <v>57</v>
      </c>
      <c r="N64" s="104">
        <v>5</v>
      </c>
      <c r="O64" s="163" t="s">
        <v>54</v>
      </c>
      <c r="P64" s="104">
        <v>5</v>
      </c>
      <c r="Q64" s="64" t="s">
        <v>54</v>
      </c>
      <c r="R64" s="1">
        <v>5</v>
      </c>
      <c r="S64" s="63" t="s">
        <v>54</v>
      </c>
      <c r="T64" s="113">
        <f t="shared" si="3"/>
        <v>20</v>
      </c>
      <c r="U64">
        <v>4</v>
      </c>
      <c r="V64">
        <v>0</v>
      </c>
      <c r="W64">
        <v>5</v>
      </c>
    </row>
    <row r="65" spans="1:49" x14ac:dyDescent="0.25">
      <c r="A65" s="74" t="s">
        <v>26</v>
      </c>
      <c r="B65" s="1">
        <v>0</v>
      </c>
      <c r="C65" s="63" t="s">
        <v>57</v>
      </c>
      <c r="D65" s="104">
        <v>0</v>
      </c>
      <c r="E65" s="64" t="s">
        <v>57</v>
      </c>
      <c r="F65" s="104">
        <v>4</v>
      </c>
      <c r="G65" s="64" t="s">
        <v>55</v>
      </c>
      <c r="H65" s="1">
        <v>0</v>
      </c>
      <c r="I65" s="63" t="s">
        <v>57</v>
      </c>
      <c r="J65" s="1">
        <v>0</v>
      </c>
      <c r="K65" s="63" t="s">
        <v>57</v>
      </c>
      <c r="L65" s="1">
        <v>0</v>
      </c>
      <c r="M65" s="63" t="s">
        <v>57</v>
      </c>
      <c r="N65" s="104">
        <v>4</v>
      </c>
      <c r="O65" s="163" t="s">
        <v>55</v>
      </c>
      <c r="P65" s="1">
        <v>0</v>
      </c>
      <c r="Q65" s="63" t="s">
        <v>57</v>
      </c>
      <c r="R65" s="1">
        <v>1</v>
      </c>
      <c r="S65" s="63" t="s">
        <v>56</v>
      </c>
      <c r="T65" s="113">
        <f t="shared" si="3"/>
        <v>9</v>
      </c>
      <c r="U65">
        <v>2</v>
      </c>
      <c r="V65">
        <v>0</v>
      </c>
      <c r="W65">
        <v>7</v>
      </c>
    </row>
    <row r="66" spans="1:49" x14ac:dyDescent="0.25">
      <c r="A66" s="74" t="s">
        <v>25</v>
      </c>
      <c r="B66" s="104">
        <v>0</v>
      </c>
      <c r="C66" s="64" t="s">
        <v>57</v>
      </c>
      <c r="D66" s="1">
        <v>5</v>
      </c>
      <c r="E66" s="63" t="s">
        <v>54</v>
      </c>
      <c r="F66" s="104">
        <v>0</v>
      </c>
      <c r="G66" s="64" t="s">
        <v>57</v>
      </c>
      <c r="H66" s="1">
        <v>0</v>
      </c>
      <c r="I66" s="63" t="s">
        <v>57</v>
      </c>
      <c r="J66" s="104">
        <v>1</v>
      </c>
      <c r="K66" s="64" t="s">
        <v>56</v>
      </c>
      <c r="L66" s="1">
        <v>0</v>
      </c>
      <c r="M66" s="63" t="s">
        <v>57</v>
      </c>
      <c r="N66" s="1">
        <v>1</v>
      </c>
      <c r="O66" s="162" t="s">
        <v>56</v>
      </c>
      <c r="P66" s="104">
        <v>0</v>
      </c>
      <c r="Q66" s="163" t="s">
        <v>57</v>
      </c>
      <c r="R66" s="1">
        <v>0</v>
      </c>
      <c r="S66" s="63" t="s">
        <v>57</v>
      </c>
      <c r="T66" s="113">
        <f t="shared" si="3"/>
        <v>7</v>
      </c>
      <c r="U66">
        <v>1</v>
      </c>
      <c r="V66">
        <v>0</v>
      </c>
      <c r="W66">
        <v>8</v>
      </c>
    </row>
    <row r="67" spans="1:49" ht="14.95" customHeight="1" thickBot="1" x14ac:dyDescent="0.3">
      <c r="A67" s="76" t="s">
        <v>11</v>
      </c>
      <c r="B67" s="108">
        <v>0</v>
      </c>
      <c r="C67" s="105" t="s">
        <v>57</v>
      </c>
      <c r="D67" s="107">
        <v>0</v>
      </c>
      <c r="E67" s="106" t="s">
        <v>57</v>
      </c>
      <c r="F67" s="108">
        <v>1</v>
      </c>
      <c r="G67" s="105" t="s">
        <v>56</v>
      </c>
      <c r="H67" s="107">
        <v>0</v>
      </c>
      <c r="I67" s="106" t="s">
        <v>57</v>
      </c>
      <c r="J67" s="108">
        <v>0</v>
      </c>
      <c r="K67" s="105" t="s">
        <v>57</v>
      </c>
      <c r="L67" s="107">
        <v>0</v>
      </c>
      <c r="M67" s="106" t="s">
        <v>57</v>
      </c>
      <c r="N67" s="107">
        <v>1</v>
      </c>
      <c r="O67" s="164" t="s">
        <v>116</v>
      </c>
      <c r="P67" s="108">
        <v>4</v>
      </c>
      <c r="Q67" s="899" t="s">
        <v>55</v>
      </c>
      <c r="R67" s="107">
        <v>0</v>
      </c>
      <c r="S67" s="900" t="s">
        <v>57</v>
      </c>
      <c r="T67" s="114">
        <f t="shared" si="3"/>
        <v>6</v>
      </c>
      <c r="U67">
        <v>1</v>
      </c>
      <c r="V67">
        <v>0</v>
      </c>
      <c r="W67">
        <v>8</v>
      </c>
    </row>
    <row r="68" spans="1:49" ht="29.25" thickBot="1" x14ac:dyDescent="0.3">
      <c r="A68" s="5" t="s">
        <v>266</v>
      </c>
      <c r="AP68" s="5"/>
    </row>
    <row r="69" spans="1:49" ht="14.95" thickBot="1" x14ac:dyDescent="0.3">
      <c r="A69" s="4" t="s">
        <v>78</v>
      </c>
      <c r="B69" s="974" t="s">
        <v>216</v>
      </c>
      <c r="C69" s="975"/>
      <c r="D69" s="975"/>
      <c r="E69" s="975"/>
      <c r="F69" s="975"/>
      <c r="G69" s="975"/>
      <c r="H69" s="975"/>
      <c r="I69" s="975"/>
      <c r="J69" s="975"/>
      <c r="K69" s="975"/>
      <c r="L69" s="975"/>
      <c r="M69" s="975"/>
      <c r="N69" s="975"/>
      <c r="O69" s="975"/>
      <c r="P69" s="975"/>
      <c r="Q69" s="975"/>
      <c r="R69" s="975"/>
      <c r="S69" s="975"/>
      <c r="T69" s="975"/>
      <c r="U69" s="975"/>
      <c r="V69" s="972" t="s">
        <v>87</v>
      </c>
      <c r="W69" s="973"/>
      <c r="X69" s="965" t="s">
        <v>271</v>
      </c>
      <c r="Y69" s="966"/>
      <c r="Z69" s="966"/>
      <c r="AA69" s="966"/>
      <c r="AB69" s="966"/>
      <c r="AC69" s="966"/>
      <c r="AD69" s="966"/>
      <c r="AE69" s="966"/>
      <c r="AF69" s="966"/>
      <c r="AG69" s="966"/>
      <c r="AH69" s="966"/>
      <c r="AI69" s="966"/>
      <c r="AJ69" s="966"/>
      <c r="AK69" s="966"/>
      <c r="AL69" s="967"/>
      <c r="AM69" s="580"/>
      <c r="AN69" s="580"/>
      <c r="AO69" s="580"/>
      <c r="AP69" s="580"/>
      <c r="AQ69" s="580"/>
      <c r="AR69" s="99"/>
      <c r="AS69" s="99"/>
      <c r="AT69" s="99"/>
    </row>
    <row r="70" spans="1:49" x14ac:dyDescent="0.25">
      <c r="A70" s="70" t="s">
        <v>51</v>
      </c>
      <c r="B70" s="961">
        <v>12</v>
      </c>
      <c r="C70" s="962"/>
      <c r="D70" s="961">
        <v>13</v>
      </c>
      <c r="E70" s="971"/>
      <c r="F70" s="961">
        <v>14</v>
      </c>
      <c r="G70" s="962"/>
      <c r="H70" s="961">
        <v>15</v>
      </c>
      <c r="I70" s="962"/>
      <c r="J70" s="961">
        <v>16</v>
      </c>
      <c r="K70" s="971"/>
      <c r="L70" s="961">
        <v>17</v>
      </c>
      <c r="M70" s="962"/>
      <c r="N70" s="961">
        <v>18</v>
      </c>
      <c r="O70" s="962"/>
      <c r="P70" s="961">
        <v>19</v>
      </c>
      <c r="Q70" s="962"/>
      <c r="R70" s="961">
        <v>20</v>
      </c>
      <c r="S70" s="971"/>
      <c r="T70" s="961">
        <v>21</v>
      </c>
      <c r="U70" s="962"/>
      <c r="V70" s="961">
        <v>22</v>
      </c>
      <c r="W70" s="962"/>
      <c r="X70" s="963">
        <v>1</v>
      </c>
      <c r="Y70" s="968"/>
      <c r="Z70" s="963">
        <v>2</v>
      </c>
      <c r="AA70" s="964"/>
      <c r="AB70" s="969">
        <v>3</v>
      </c>
      <c r="AC70" s="970"/>
      <c r="AD70" s="963">
        <v>4</v>
      </c>
      <c r="AE70" s="968"/>
      <c r="AF70" s="963">
        <v>5</v>
      </c>
      <c r="AG70" s="964"/>
      <c r="AH70" s="963">
        <v>6</v>
      </c>
      <c r="AI70" s="968"/>
      <c r="AJ70" s="963">
        <v>7</v>
      </c>
      <c r="AK70" s="968"/>
      <c r="AL70" s="111" t="s">
        <v>38</v>
      </c>
      <c r="AM70" s="115"/>
      <c r="AP70" s="5"/>
      <c r="AQ70" s="116"/>
      <c r="AR70" s="116"/>
      <c r="AU70" s="70"/>
      <c r="AV70" s="853" t="s">
        <v>31</v>
      </c>
      <c r="AW70" s="103" t="s">
        <v>38</v>
      </c>
    </row>
    <row r="71" spans="1:49" x14ac:dyDescent="0.25">
      <c r="A71" s="72"/>
      <c r="B71" s="1" t="s">
        <v>52</v>
      </c>
      <c r="C71" s="2" t="s">
        <v>53</v>
      </c>
      <c r="D71" s="1" t="s">
        <v>52</v>
      </c>
      <c r="E71" s="2" t="s">
        <v>53</v>
      </c>
      <c r="F71" s="1" t="s">
        <v>52</v>
      </c>
      <c r="G71" s="2" t="s">
        <v>53</v>
      </c>
      <c r="H71" s="1" t="s">
        <v>52</v>
      </c>
      <c r="I71" s="2" t="s">
        <v>53</v>
      </c>
      <c r="J71" s="1" t="s">
        <v>52</v>
      </c>
      <c r="K71" s="2" t="s">
        <v>53</v>
      </c>
      <c r="L71" s="1" t="s">
        <v>52</v>
      </c>
      <c r="M71" s="2" t="s">
        <v>53</v>
      </c>
      <c r="N71" s="1" t="s">
        <v>52</v>
      </c>
      <c r="O71" s="2" t="s">
        <v>53</v>
      </c>
      <c r="P71" s="1" t="s">
        <v>52</v>
      </c>
      <c r="Q71" s="2" t="s">
        <v>53</v>
      </c>
      <c r="R71" s="1" t="s">
        <v>52</v>
      </c>
      <c r="S71" s="161" t="s">
        <v>53</v>
      </c>
      <c r="T71" s="1" t="s">
        <v>52</v>
      </c>
      <c r="U71" s="2" t="s">
        <v>53</v>
      </c>
      <c r="V71" s="1" t="s">
        <v>52</v>
      </c>
      <c r="W71" s="2" t="s">
        <v>53</v>
      </c>
      <c r="X71" s="78" t="s">
        <v>52</v>
      </c>
      <c r="Y71" s="79" t="s">
        <v>53</v>
      </c>
      <c r="Z71" s="1" t="s">
        <v>52</v>
      </c>
      <c r="AA71" s="2" t="s">
        <v>53</v>
      </c>
      <c r="AB71" s="1" t="s">
        <v>52</v>
      </c>
      <c r="AC71" s="2" t="s">
        <v>53</v>
      </c>
      <c r="AD71" s="78" t="s">
        <v>52</v>
      </c>
      <c r="AE71" s="79" t="s">
        <v>53</v>
      </c>
      <c r="AF71" s="1" t="s">
        <v>52</v>
      </c>
      <c r="AG71" s="2" t="s">
        <v>53</v>
      </c>
      <c r="AH71" s="78" t="s">
        <v>52</v>
      </c>
      <c r="AI71" s="79" t="s">
        <v>53</v>
      </c>
      <c r="AJ71" s="1" t="s">
        <v>52</v>
      </c>
      <c r="AK71" s="2" t="s">
        <v>53</v>
      </c>
      <c r="AL71" s="112"/>
      <c r="AP71" s="5"/>
      <c r="AQ71" s="2"/>
      <c r="AR71" s="116"/>
      <c r="AU71" s="72"/>
      <c r="AV71" s="1"/>
      <c r="AW71" s="73"/>
    </row>
    <row r="72" spans="1:49" x14ac:dyDescent="0.25">
      <c r="A72" s="74" t="s">
        <v>22</v>
      </c>
      <c r="B72" s="1">
        <v>1</v>
      </c>
      <c r="C72" s="63" t="s">
        <v>56</v>
      </c>
      <c r="D72" s="104">
        <v>5</v>
      </c>
      <c r="E72" s="170" t="s">
        <v>54</v>
      </c>
      <c r="F72" s="1">
        <v>1</v>
      </c>
      <c r="G72" s="63" t="s">
        <v>56</v>
      </c>
      <c r="H72" s="104">
        <v>1</v>
      </c>
      <c r="I72" s="64" t="s">
        <v>56</v>
      </c>
      <c r="J72" s="104">
        <v>4</v>
      </c>
      <c r="K72" s="64" t="s">
        <v>55</v>
      </c>
      <c r="L72" s="1">
        <v>0</v>
      </c>
      <c r="M72" s="63" t="s">
        <v>57</v>
      </c>
      <c r="N72" s="104">
        <v>5</v>
      </c>
      <c r="O72" s="64" t="s">
        <v>54</v>
      </c>
      <c r="P72" s="1">
        <v>1</v>
      </c>
      <c r="Q72" s="63" t="s">
        <v>56</v>
      </c>
      <c r="R72" s="1">
        <v>1</v>
      </c>
      <c r="S72" s="162" t="s">
        <v>56</v>
      </c>
      <c r="T72" s="104">
        <v>5</v>
      </c>
      <c r="U72" s="64" t="s">
        <v>54</v>
      </c>
      <c r="V72" s="1">
        <v>5</v>
      </c>
      <c r="W72" s="63" t="s">
        <v>54</v>
      </c>
      <c r="X72" s="1">
        <v>0</v>
      </c>
      <c r="Y72" s="63" t="s">
        <v>57</v>
      </c>
      <c r="Z72" s="104">
        <v>4</v>
      </c>
      <c r="AA72" s="64" t="s">
        <v>55</v>
      </c>
      <c r="AB72" s="1">
        <v>0</v>
      </c>
      <c r="AC72" s="63" t="s">
        <v>57</v>
      </c>
      <c r="AD72" s="104">
        <v>4</v>
      </c>
      <c r="AE72" s="64" t="s">
        <v>55</v>
      </c>
      <c r="AF72" s="104">
        <v>0</v>
      </c>
      <c r="AG72" s="64" t="s">
        <v>57</v>
      </c>
      <c r="AH72" s="1">
        <v>5</v>
      </c>
      <c r="AI72" s="63" t="s">
        <v>54</v>
      </c>
      <c r="AJ72" s="104">
        <v>4</v>
      </c>
      <c r="AK72" s="64" t="s">
        <v>55</v>
      </c>
      <c r="AL72" s="113">
        <f>SUM(B72+D72+F72+H72+J72+L72+N72+P72+R72+T72+V72+X72+Z72+AB72+AD72+AF72+AH72+AJ72)</f>
        <v>46</v>
      </c>
      <c r="AP72" s="5"/>
      <c r="AQ72" s="2"/>
      <c r="AR72" s="65"/>
      <c r="AU72" s="74" t="s">
        <v>28</v>
      </c>
      <c r="AV72" s="1">
        <v>18</v>
      </c>
      <c r="AW72" s="75">
        <v>63</v>
      </c>
    </row>
    <row r="73" spans="1:49" x14ac:dyDescent="0.25">
      <c r="A73" s="74" t="s">
        <v>165</v>
      </c>
      <c r="B73" s="1">
        <v>1</v>
      </c>
      <c r="C73" s="63" t="s">
        <v>56</v>
      </c>
      <c r="D73" s="104">
        <v>1</v>
      </c>
      <c r="E73" s="170" t="s">
        <v>57</v>
      </c>
      <c r="F73" s="1">
        <v>1</v>
      </c>
      <c r="G73" s="63" t="s">
        <v>163</v>
      </c>
      <c r="H73" s="104">
        <v>4</v>
      </c>
      <c r="I73" s="64" t="s">
        <v>55</v>
      </c>
      <c r="J73" s="1">
        <v>5</v>
      </c>
      <c r="K73" s="63" t="s">
        <v>54</v>
      </c>
      <c r="L73" s="104">
        <v>1</v>
      </c>
      <c r="M73" s="64" t="s">
        <v>56</v>
      </c>
      <c r="N73" s="1">
        <v>1</v>
      </c>
      <c r="O73" s="63" t="s">
        <v>56</v>
      </c>
      <c r="P73" s="104">
        <v>4</v>
      </c>
      <c r="Q73" s="64" t="s">
        <v>55</v>
      </c>
      <c r="R73" s="1">
        <v>4</v>
      </c>
      <c r="S73" s="162" t="s">
        <v>55</v>
      </c>
      <c r="T73" s="104">
        <v>2</v>
      </c>
      <c r="U73" s="64" t="s">
        <v>58</v>
      </c>
      <c r="V73" s="1">
        <v>4</v>
      </c>
      <c r="W73" s="63" t="s">
        <v>55</v>
      </c>
      <c r="X73" s="104">
        <v>5</v>
      </c>
      <c r="Y73" s="64" t="s">
        <v>54</v>
      </c>
      <c r="Z73" s="284">
        <v>1</v>
      </c>
      <c r="AA73" s="285" t="s">
        <v>56</v>
      </c>
      <c r="AB73" s="104">
        <v>4</v>
      </c>
      <c r="AC73" s="64" t="s">
        <v>55</v>
      </c>
      <c r="AD73" s="1">
        <v>4</v>
      </c>
      <c r="AE73" s="63" t="s">
        <v>55</v>
      </c>
      <c r="AF73" s="104">
        <v>3</v>
      </c>
      <c r="AG73" s="64" t="s">
        <v>639</v>
      </c>
      <c r="AH73" s="1">
        <v>0</v>
      </c>
      <c r="AI73" s="63" t="s">
        <v>57</v>
      </c>
      <c r="AJ73" s="104">
        <v>1</v>
      </c>
      <c r="AK73" s="64" t="s">
        <v>56</v>
      </c>
      <c r="AL73" s="113">
        <f t="shared" ref="AL73:AL83" si="4">SUM(B73+D73+F73+H73+J73+L73+N73+P73+R73+T73+V73+X73+Z73+AB73+AD73+AF73+AH73+AJ73)</f>
        <v>46</v>
      </c>
      <c r="AP73" s="5"/>
      <c r="AQ73" s="2"/>
      <c r="AR73" s="65"/>
      <c r="AU73" s="74" t="s">
        <v>19</v>
      </c>
      <c r="AV73" s="1">
        <v>18</v>
      </c>
      <c r="AW73" s="75">
        <v>55</v>
      </c>
    </row>
    <row r="74" spans="1:49" x14ac:dyDescent="0.25">
      <c r="A74" s="74" t="s">
        <v>28</v>
      </c>
      <c r="B74" s="104">
        <v>4</v>
      </c>
      <c r="C74" s="64" t="s">
        <v>55</v>
      </c>
      <c r="D74" s="1">
        <v>1</v>
      </c>
      <c r="E74" s="2" t="s">
        <v>56</v>
      </c>
      <c r="F74" s="104">
        <v>5</v>
      </c>
      <c r="G74" s="64" t="s">
        <v>54</v>
      </c>
      <c r="H74" s="1">
        <v>4</v>
      </c>
      <c r="I74" s="63" t="s">
        <v>55</v>
      </c>
      <c r="J74" s="1">
        <v>5</v>
      </c>
      <c r="K74" s="63" t="s">
        <v>54</v>
      </c>
      <c r="L74" s="104">
        <v>5</v>
      </c>
      <c r="M74" s="64" t="s">
        <v>54</v>
      </c>
      <c r="N74" s="1">
        <v>5</v>
      </c>
      <c r="O74" s="63" t="s">
        <v>54</v>
      </c>
      <c r="P74" s="104">
        <v>1</v>
      </c>
      <c r="Q74" s="64" t="s">
        <v>56</v>
      </c>
      <c r="R74" s="104">
        <v>4</v>
      </c>
      <c r="S74" s="163" t="s">
        <v>55</v>
      </c>
      <c r="T74" s="1">
        <v>0</v>
      </c>
      <c r="U74" s="63" t="s">
        <v>57</v>
      </c>
      <c r="V74" s="104">
        <v>5</v>
      </c>
      <c r="W74" s="64" t="s">
        <v>54</v>
      </c>
      <c r="X74" s="104">
        <v>4</v>
      </c>
      <c r="Y74" s="64" t="s">
        <v>55</v>
      </c>
      <c r="Z74" s="284">
        <v>1</v>
      </c>
      <c r="AA74" s="285" t="s">
        <v>56</v>
      </c>
      <c r="AB74" s="1">
        <v>4</v>
      </c>
      <c r="AC74" s="63" t="s">
        <v>55</v>
      </c>
      <c r="AD74" s="104">
        <v>1</v>
      </c>
      <c r="AE74" s="64" t="s">
        <v>56</v>
      </c>
      <c r="AF74" s="104">
        <v>5</v>
      </c>
      <c r="AG74" s="64" t="s">
        <v>54</v>
      </c>
      <c r="AH74" s="1">
        <v>5</v>
      </c>
      <c r="AI74" s="63" t="s">
        <v>54</v>
      </c>
      <c r="AJ74" s="104">
        <v>4</v>
      </c>
      <c r="AK74" s="64" t="s">
        <v>55</v>
      </c>
      <c r="AL74" s="113">
        <f t="shared" si="4"/>
        <v>63</v>
      </c>
      <c r="AP74" s="5"/>
      <c r="AQ74" s="2"/>
      <c r="AR74" s="65"/>
      <c r="AU74" s="74" t="s">
        <v>24</v>
      </c>
      <c r="AV74" s="1">
        <v>18</v>
      </c>
      <c r="AW74" s="75">
        <v>54</v>
      </c>
    </row>
    <row r="75" spans="1:49" x14ac:dyDescent="0.25">
      <c r="A75" s="74" t="s">
        <v>24</v>
      </c>
      <c r="B75" s="1">
        <v>0</v>
      </c>
      <c r="C75" s="63" t="s">
        <v>57</v>
      </c>
      <c r="D75" s="104">
        <v>4</v>
      </c>
      <c r="E75" s="170" t="s">
        <v>55</v>
      </c>
      <c r="F75" s="104">
        <v>4</v>
      </c>
      <c r="G75" s="64" t="s">
        <v>55</v>
      </c>
      <c r="H75" s="1">
        <v>1</v>
      </c>
      <c r="I75" s="63" t="s">
        <v>56</v>
      </c>
      <c r="J75" s="1">
        <v>5</v>
      </c>
      <c r="K75" s="63" t="s">
        <v>54</v>
      </c>
      <c r="L75" s="104">
        <v>4</v>
      </c>
      <c r="M75" s="64" t="s">
        <v>55</v>
      </c>
      <c r="N75" s="1">
        <v>5</v>
      </c>
      <c r="O75" s="63" t="s">
        <v>54</v>
      </c>
      <c r="P75" s="104">
        <v>5</v>
      </c>
      <c r="Q75" s="64" t="s">
        <v>54</v>
      </c>
      <c r="R75" s="1">
        <v>1</v>
      </c>
      <c r="S75" s="162" t="s">
        <v>56</v>
      </c>
      <c r="T75" s="104">
        <v>5</v>
      </c>
      <c r="U75" s="64" t="s">
        <v>54</v>
      </c>
      <c r="V75" s="1">
        <v>2</v>
      </c>
      <c r="W75" s="63" t="s">
        <v>116</v>
      </c>
      <c r="X75" s="104">
        <v>4</v>
      </c>
      <c r="Y75" s="64" t="s">
        <v>55</v>
      </c>
      <c r="Z75" s="104">
        <v>5</v>
      </c>
      <c r="AA75" s="64" t="s">
        <v>54</v>
      </c>
      <c r="AB75" s="1">
        <v>1</v>
      </c>
      <c r="AC75" s="63" t="s">
        <v>56</v>
      </c>
      <c r="AD75" s="104">
        <v>0</v>
      </c>
      <c r="AE75" s="64" t="s">
        <v>57</v>
      </c>
      <c r="AF75" s="1">
        <v>1</v>
      </c>
      <c r="AG75" s="63" t="s">
        <v>56</v>
      </c>
      <c r="AH75" s="104">
        <v>5</v>
      </c>
      <c r="AI75" s="64" t="s">
        <v>54</v>
      </c>
      <c r="AJ75" s="1">
        <v>2</v>
      </c>
      <c r="AK75" s="63" t="s">
        <v>116</v>
      </c>
      <c r="AL75" s="113">
        <f t="shared" si="4"/>
        <v>54</v>
      </c>
      <c r="AP75" s="5"/>
      <c r="AQ75" s="2"/>
      <c r="AR75" s="65"/>
      <c r="AU75" s="74" t="s">
        <v>25</v>
      </c>
      <c r="AV75" s="1">
        <v>18</v>
      </c>
      <c r="AW75" s="75">
        <v>53</v>
      </c>
    </row>
    <row r="76" spans="1:49" x14ac:dyDescent="0.25">
      <c r="A76" s="74" t="s">
        <v>9</v>
      </c>
      <c r="B76" s="1">
        <v>5</v>
      </c>
      <c r="C76" s="63" t="s">
        <v>54</v>
      </c>
      <c r="D76" s="104">
        <v>5</v>
      </c>
      <c r="E76" s="170" t="s">
        <v>54</v>
      </c>
      <c r="F76" s="104">
        <v>5</v>
      </c>
      <c r="G76" s="64" t="s">
        <v>54</v>
      </c>
      <c r="H76" s="1">
        <v>5</v>
      </c>
      <c r="I76" s="63" t="s">
        <v>54</v>
      </c>
      <c r="J76" s="104">
        <v>0</v>
      </c>
      <c r="K76" s="64" t="s">
        <v>57</v>
      </c>
      <c r="L76" s="1">
        <v>1</v>
      </c>
      <c r="M76" s="63" t="s">
        <v>56</v>
      </c>
      <c r="N76" s="1">
        <v>0</v>
      </c>
      <c r="O76" s="63" t="s">
        <v>57</v>
      </c>
      <c r="P76" s="104">
        <v>1</v>
      </c>
      <c r="Q76" s="64" t="s">
        <v>56</v>
      </c>
      <c r="R76" s="1">
        <v>1</v>
      </c>
      <c r="S76" s="162" t="s">
        <v>56</v>
      </c>
      <c r="T76" s="104">
        <v>4</v>
      </c>
      <c r="U76" s="64" t="s">
        <v>55</v>
      </c>
      <c r="V76" s="1">
        <v>1</v>
      </c>
      <c r="W76" s="63" t="s">
        <v>56</v>
      </c>
      <c r="X76" s="284">
        <v>1</v>
      </c>
      <c r="Y76" s="285" t="s">
        <v>56</v>
      </c>
      <c r="Z76" s="104">
        <v>4</v>
      </c>
      <c r="AA76" s="64" t="s">
        <v>55</v>
      </c>
      <c r="AB76" s="1">
        <v>0</v>
      </c>
      <c r="AC76" s="63" t="s">
        <v>57</v>
      </c>
      <c r="AD76" s="104">
        <v>1</v>
      </c>
      <c r="AE76" s="64" t="s">
        <v>56</v>
      </c>
      <c r="AF76" s="104">
        <v>4</v>
      </c>
      <c r="AG76" s="64" t="s">
        <v>55</v>
      </c>
      <c r="AH76" s="1">
        <v>5</v>
      </c>
      <c r="AI76" s="63" t="s">
        <v>54</v>
      </c>
      <c r="AJ76" s="104">
        <v>2</v>
      </c>
      <c r="AK76" s="64" t="s">
        <v>58</v>
      </c>
      <c r="AL76" s="113">
        <f t="shared" si="4"/>
        <v>45</v>
      </c>
      <c r="AP76" s="5"/>
      <c r="AQ76" s="2"/>
      <c r="AR76" s="65"/>
      <c r="AU76" s="74" t="s">
        <v>27</v>
      </c>
      <c r="AV76" s="1">
        <v>18</v>
      </c>
      <c r="AW76" s="75">
        <v>47</v>
      </c>
    </row>
    <row r="77" spans="1:49" x14ac:dyDescent="0.25">
      <c r="A77" s="74" t="s">
        <v>26</v>
      </c>
      <c r="B77" s="104">
        <v>5</v>
      </c>
      <c r="C77" s="64" t="s">
        <v>54</v>
      </c>
      <c r="D77" s="1">
        <v>0</v>
      </c>
      <c r="E77" s="2" t="s">
        <v>57</v>
      </c>
      <c r="F77" s="1">
        <v>1</v>
      </c>
      <c r="G77" s="63" t="s">
        <v>56</v>
      </c>
      <c r="H77" s="104">
        <v>4</v>
      </c>
      <c r="I77" s="64" t="s">
        <v>55</v>
      </c>
      <c r="J77" s="1">
        <v>0</v>
      </c>
      <c r="K77" s="63" t="s">
        <v>57</v>
      </c>
      <c r="L77" s="104">
        <v>0</v>
      </c>
      <c r="M77" s="64" t="s">
        <v>57</v>
      </c>
      <c r="N77" s="1">
        <v>0</v>
      </c>
      <c r="O77" s="63" t="s">
        <v>57</v>
      </c>
      <c r="P77" s="1">
        <v>4</v>
      </c>
      <c r="Q77" s="63" t="s">
        <v>55</v>
      </c>
      <c r="R77" s="104">
        <v>1</v>
      </c>
      <c r="S77" s="163" t="s">
        <v>56</v>
      </c>
      <c r="T77" s="1">
        <v>1</v>
      </c>
      <c r="U77" s="63" t="s">
        <v>56</v>
      </c>
      <c r="V77" s="104">
        <v>1</v>
      </c>
      <c r="W77" s="64" t="s">
        <v>56</v>
      </c>
      <c r="X77" s="1">
        <v>0</v>
      </c>
      <c r="Y77" s="63" t="s">
        <v>57</v>
      </c>
      <c r="Z77" s="284">
        <v>0</v>
      </c>
      <c r="AA77" s="285" t="s">
        <v>57</v>
      </c>
      <c r="AB77" s="104">
        <v>4</v>
      </c>
      <c r="AC77" s="64" t="s">
        <v>55</v>
      </c>
      <c r="AD77" s="1">
        <v>0</v>
      </c>
      <c r="AE77" s="63" t="s">
        <v>57</v>
      </c>
      <c r="AF77" s="1">
        <v>0</v>
      </c>
      <c r="AG77" s="63" t="s">
        <v>57</v>
      </c>
      <c r="AH77" s="104">
        <v>0</v>
      </c>
      <c r="AI77" s="64" t="s">
        <v>57</v>
      </c>
      <c r="AJ77" s="1">
        <v>2</v>
      </c>
      <c r="AK77" s="63" t="s">
        <v>58</v>
      </c>
      <c r="AL77" s="113">
        <f t="shared" si="4"/>
        <v>23</v>
      </c>
      <c r="AP77" s="5"/>
      <c r="AQ77" s="2"/>
      <c r="AR77" s="65"/>
      <c r="AU77" s="74" t="s">
        <v>165</v>
      </c>
      <c r="AV77" s="1">
        <v>18</v>
      </c>
      <c r="AW77" s="75">
        <v>46</v>
      </c>
    </row>
    <row r="78" spans="1:49" x14ac:dyDescent="0.25">
      <c r="A78" s="74" t="s">
        <v>11</v>
      </c>
      <c r="B78" s="104"/>
      <c r="C78" s="64"/>
      <c r="D78" s="1"/>
      <c r="E78" s="63"/>
      <c r="F78" s="1"/>
      <c r="G78" s="63"/>
      <c r="H78" s="104"/>
      <c r="I78" s="64"/>
      <c r="J78" s="104"/>
      <c r="K78" s="64"/>
      <c r="L78" s="1"/>
      <c r="M78" s="63"/>
      <c r="N78" s="1"/>
      <c r="O78" s="63"/>
      <c r="P78" s="104"/>
      <c r="Q78" s="64"/>
      <c r="R78" s="1"/>
      <c r="S78" s="162"/>
      <c r="T78" s="165"/>
      <c r="U78" s="63"/>
      <c r="V78" s="1"/>
      <c r="W78" s="63"/>
      <c r="X78" s="104">
        <v>4</v>
      </c>
      <c r="Y78" s="64" t="s">
        <v>55</v>
      </c>
      <c r="Z78" s="284">
        <v>0</v>
      </c>
      <c r="AA78" s="285" t="s">
        <v>57</v>
      </c>
      <c r="AB78" s="1">
        <v>1</v>
      </c>
      <c r="AC78" s="63" t="s">
        <v>56</v>
      </c>
      <c r="AD78" s="104">
        <v>5</v>
      </c>
      <c r="AE78" s="64" t="s">
        <v>54</v>
      </c>
      <c r="AF78" s="1">
        <v>2</v>
      </c>
      <c r="AG78" s="63" t="s">
        <v>58</v>
      </c>
      <c r="AH78" s="104">
        <v>0</v>
      </c>
      <c r="AI78" s="64">
        <v>1</v>
      </c>
      <c r="AJ78" s="1">
        <v>0</v>
      </c>
      <c r="AK78" s="63" t="s">
        <v>57</v>
      </c>
      <c r="AL78" s="113">
        <f t="shared" si="4"/>
        <v>12</v>
      </c>
      <c r="AP78" s="5"/>
      <c r="AQ78" s="2"/>
      <c r="AR78" s="65"/>
      <c r="AU78" s="74" t="s">
        <v>23</v>
      </c>
      <c r="AV78" s="1">
        <v>18</v>
      </c>
      <c r="AW78" s="75">
        <v>46</v>
      </c>
    </row>
    <row r="79" spans="1:49" x14ac:dyDescent="0.25">
      <c r="A79" s="74" t="s">
        <v>25</v>
      </c>
      <c r="B79" s="1">
        <v>0</v>
      </c>
      <c r="C79" s="63" t="s">
        <v>57</v>
      </c>
      <c r="D79" s="104">
        <v>5</v>
      </c>
      <c r="E79" s="170" t="s">
        <v>54</v>
      </c>
      <c r="F79" s="104">
        <v>4</v>
      </c>
      <c r="G79" s="64" t="s">
        <v>55</v>
      </c>
      <c r="H79" s="1">
        <v>0</v>
      </c>
      <c r="I79" s="63" t="s">
        <v>57</v>
      </c>
      <c r="J79" s="104">
        <v>2</v>
      </c>
      <c r="K79" s="64" t="s">
        <v>116</v>
      </c>
      <c r="L79" s="1">
        <v>4</v>
      </c>
      <c r="M79" s="63" t="s">
        <v>55</v>
      </c>
      <c r="N79" s="104">
        <v>1</v>
      </c>
      <c r="O79" s="64" t="s">
        <v>163</v>
      </c>
      <c r="P79" s="1">
        <v>4</v>
      </c>
      <c r="Q79" s="63" t="s">
        <v>55</v>
      </c>
      <c r="R79" s="1">
        <v>5</v>
      </c>
      <c r="S79" s="162" t="s">
        <v>54</v>
      </c>
      <c r="T79" s="104">
        <v>5</v>
      </c>
      <c r="U79" s="64" t="s">
        <v>54</v>
      </c>
      <c r="V79" s="1">
        <v>0</v>
      </c>
      <c r="W79" s="63" t="s">
        <v>57</v>
      </c>
      <c r="X79" s="104">
        <v>4</v>
      </c>
      <c r="Y79" s="64" t="s">
        <v>55</v>
      </c>
      <c r="Z79" s="104">
        <v>5</v>
      </c>
      <c r="AA79" s="64" t="s">
        <v>54</v>
      </c>
      <c r="AB79" s="104">
        <v>5</v>
      </c>
      <c r="AC79" s="64" t="s">
        <v>54</v>
      </c>
      <c r="AD79" s="1">
        <v>0</v>
      </c>
      <c r="AE79" s="63" t="s">
        <v>57</v>
      </c>
      <c r="AF79" s="104">
        <v>5</v>
      </c>
      <c r="AG79" s="64" t="s">
        <v>54</v>
      </c>
      <c r="AH79" s="1">
        <v>0</v>
      </c>
      <c r="AI79" s="63" t="s">
        <v>57</v>
      </c>
      <c r="AJ79" s="104">
        <v>4</v>
      </c>
      <c r="AK79" s="64" t="s">
        <v>55</v>
      </c>
      <c r="AL79" s="113">
        <f t="shared" si="4"/>
        <v>53</v>
      </c>
      <c r="AP79" s="5"/>
      <c r="AQ79" s="2"/>
      <c r="AR79" s="65"/>
      <c r="AU79" s="74" t="s">
        <v>22</v>
      </c>
      <c r="AV79" s="1">
        <v>18</v>
      </c>
      <c r="AW79" s="75">
        <v>46</v>
      </c>
    </row>
    <row r="80" spans="1:49" x14ac:dyDescent="0.25">
      <c r="A80" s="74" t="s">
        <v>27</v>
      </c>
      <c r="B80" s="104">
        <v>4</v>
      </c>
      <c r="C80" s="64" t="s">
        <v>55</v>
      </c>
      <c r="D80" s="1">
        <v>0</v>
      </c>
      <c r="E80" s="2" t="s">
        <v>57</v>
      </c>
      <c r="F80" s="1">
        <v>4</v>
      </c>
      <c r="G80" s="63" t="s">
        <v>55</v>
      </c>
      <c r="H80" s="104">
        <v>1</v>
      </c>
      <c r="I80" s="64" t="s">
        <v>56</v>
      </c>
      <c r="J80" s="104">
        <v>5</v>
      </c>
      <c r="K80" s="64" t="s">
        <v>54</v>
      </c>
      <c r="L80" s="1">
        <v>1</v>
      </c>
      <c r="M80" s="63" t="s">
        <v>56</v>
      </c>
      <c r="N80" s="104">
        <v>4</v>
      </c>
      <c r="O80" s="64" t="s">
        <v>55</v>
      </c>
      <c r="P80" s="1">
        <v>0</v>
      </c>
      <c r="Q80" s="63" t="s">
        <v>57</v>
      </c>
      <c r="R80" s="104">
        <v>4</v>
      </c>
      <c r="S80" s="163" t="s">
        <v>55</v>
      </c>
      <c r="T80" s="284">
        <v>2</v>
      </c>
      <c r="U80" s="285" t="s">
        <v>58</v>
      </c>
      <c r="V80" s="104">
        <v>5</v>
      </c>
      <c r="W80" s="64" t="s">
        <v>54</v>
      </c>
      <c r="X80" s="1">
        <v>1</v>
      </c>
      <c r="Y80" s="63" t="s">
        <v>56</v>
      </c>
      <c r="Z80" s="104">
        <v>5</v>
      </c>
      <c r="AA80" s="64" t="s">
        <v>54</v>
      </c>
      <c r="AB80" s="1">
        <v>1</v>
      </c>
      <c r="AC80" s="63" t="s">
        <v>56</v>
      </c>
      <c r="AD80" s="104">
        <v>4</v>
      </c>
      <c r="AE80" s="64" t="s">
        <v>55</v>
      </c>
      <c r="AF80" s="1">
        <v>1</v>
      </c>
      <c r="AG80" s="63" t="s">
        <v>56</v>
      </c>
      <c r="AH80" s="104">
        <v>4</v>
      </c>
      <c r="AI80" s="64" t="s">
        <v>55</v>
      </c>
      <c r="AJ80" s="1">
        <v>1</v>
      </c>
      <c r="AK80" s="63" t="s">
        <v>56</v>
      </c>
      <c r="AL80" s="113">
        <f t="shared" si="4"/>
        <v>47</v>
      </c>
      <c r="AP80" s="5"/>
      <c r="AQ80" s="2"/>
      <c r="AR80" s="65"/>
      <c r="AU80" s="74" t="s">
        <v>9</v>
      </c>
      <c r="AV80" s="1">
        <v>18</v>
      </c>
      <c r="AW80" s="75">
        <v>45</v>
      </c>
    </row>
    <row r="81" spans="1:49" x14ac:dyDescent="0.25">
      <c r="A81" s="74" t="s">
        <v>19</v>
      </c>
      <c r="B81" s="1">
        <v>1</v>
      </c>
      <c r="C81" s="63" t="s">
        <v>56</v>
      </c>
      <c r="D81" s="104">
        <v>5</v>
      </c>
      <c r="E81" s="170" t="s">
        <v>54</v>
      </c>
      <c r="F81" s="1">
        <v>1</v>
      </c>
      <c r="G81" s="63" t="s">
        <v>56</v>
      </c>
      <c r="H81" s="104">
        <v>5</v>
      </c>
      <c r="I81" s="64" t="s">
        <v>54</v>
      </c>
      <c r="J81" s="1">
        <v>0</v>
      </c>
      <c r="K81" s="63" t="s">
        <v>57</v>
      </c>
      <c r="L81" s="104">
        <v>4</v>
      </c>
      <c r="M81" s="64" t="s">
        <v>55</v>
      </c>
      <c r="N81" s="104">
        <v>5</v>
      </c>
      <c r="O81" s="64" t="s">
        <v>54</v>
      </c>
      <c r="P81" s="1">
        <v>1</v>
      </c>
      <c r="Q81" s="63" t="s">
        <v>56</v>
      </c>
      <c r="R81" s="1">
        <v>4</v>
      </c>
      <c r="S81" s="162" t="s">
        <v>55</v>
      </c>
      <c r="T81" s="104">
        <v>5</v>
      </c>
      <c r="U81" s="64" t="s">
        <v>54</v>
      </c>
      <c r="V81" s="1">
        <v>1</v>
      </c>
      <c r="W81" s="63" t="s">
        <v>56</v>
      </c>
      <c r="X81" s="1">
        <v>1</v>
      </c>
      <c r="Y81" s="63" t="s">
        <v>56</v>
      </c>
      <c r="Z81" s="104">
        <v>4</v>
      </c>
      <c r="AA81" s="64" t="s">
        <v>55</v>
      </c>
      <c r="AB81" s="104">
        <v>4</v>
      </c>
      <c r="AC81" s="64" t="s">
        <v>55</v>
      </c>
      <c r="AD81" s="1">
        <v>4</v>
      </c>
      <c r="AE81" s="63" t="s">
        <v>55</v>
      </c>
      <c r="AF81" s="1">
        <v>4</v>
      </c>
      <c r="AG81" s="63" t="s">
        <v>55</v>
      </c>
      <c r="AH81" s="104">
        <v>5</v>
      </c>
      <c r="AI81" s="64" t="s">
        <v>54</v>
      </c>
      <c r="AJ81" s="1">
        <v>1</v>
      </c>
      <c r="AK81" s="63" t="s">
        <v>56</v>
      </c>
      <c r="AL81" s="113">
        <f t="shared" si="4"/>
        <v>55</v>
      </c>
      <c r="AP81" s="5"/>
      <c r="AQ81" s="2"/>
      <c r="AR81" s="65"/>
      <c r="AU81" s="74" t="s">
        <v>106</v>
      </c>
      <c r="AV81" s="1">
        <v>18</v>
      </c>
      <c r="AW81" s="75">
        <v>37</v>
      </c>
    </row>
    <row r="82" spans="1:49" x14ac:dyDescent="0.25">
      <c r="A82" s="74" t="s">
        <v>106</v>
      </c>
      <c r="B82" s="104">
        <v>4</v>
      </c>
      <c r="C82" s="64" t="s">
        <v>55</v>
      </c>
      <c r="D82" s="1">
        <v>5</v>
      </c>
      <c r="E82" s="2" t="s">
        <v>54</v>
      </c>
      <c r="F82" s="104">
        <v>1</v>
      </c>
      <c r="G82" s="64" t="s">
        <v>56</v>
      </c>
      <c r="H82" s="1">
        <v>1</v>
      </c>
      <c r="I82" s="63" t="s">
        <v>56</v>
      </c>
      <c r="J82" s="104">
        <v>1</v>
      </c>
      <c r="K82" s="64" t="s">
        <v>56</v>
      </c>
      <c r="L82" s="1">
        <v>0</v>
      </c>
      <c r="M82" s="63" t="s">
        <v>57</v>
      </c>
      <c r="N82" s="104">
        <v>5</v>
      </c>
      <c r="O82" s="64" t="s">
        <v>54</v>
      </c>
      <c r="P82" s="1">
        <v>5</v>
      </c>
      <c r="Q82" s="63" t="s">
        <v>54</v>
      </c>
      <c r="R82" s="104">
        <v>0</v>
      </c>
      <c r="S82" s="163" t="s">
        <v>57</v>
      </c>
      <c r="T82" s="1">
        <v>0</v>
      </c>
      <c r="U82" s="63" t="s">
        <v>57</v>
      </c>
      <c r="V82" s="104">
        <v>4</v>
      </c>
      <c r="W82" s="64" t="s">
        <v>55</v>
      </c>
      <c r="X82" s="1">
        <v>1</v>
      </c>
      <c r="Y82" s="63" t="s">
        <v>56</v>
      </c>
      <c r="Z82" s="284">
        <v>0</v>
      </c>
      <c r="AA82" s="285" t="s">
        <v>57</v>
      </c>
      <c r="AB82" s="104">
        <v>4</v>
      </c>
      <c r="AC82" s="64" t="s">
        <v>55</v>
      </c>
      <c r="AD82" s="1">
        <v>0</v>
      </c>
      <c r="AE82" s="63" t="s">
        <v>57</v>
      </c>
      <c r="AF82" s="1">
        <v>0</v>
      </c>
      <c r="AG82" s="63" t="s">
        <v>57</v>
      </c>
      <c r="AH82" s="104">
        <v>1</v>
      </c>
      <c r="AI82" s="64" t="s">
        <v>56</v>
      </c>
      <c r="AJ82" s="1">
        <v>5</v>
      </c>
      <c r="AK82" s="63" t="s">
        <v>54</v>
      </c>
      <c r="AL82" s="113">
        <f t="shared" si="4"/>
        <v>37</v>
      </c>
      <c r="AP82" s="5"/>
      <c r="AQ82" s="2"/>
      <c r="AR82" s="65"/>
      <c r="AU82" s="167" t="s">
        <v>26</v>
      </c>
      <c r="AV82" s="1">
        <v>18</v>
      </c>
      <c r="AW82" s="75">
        <v>23</v>
      </c>
    </row>
    <row r="83" spans="1:49" ht="14.95" thickBot="1" x14ac:dyDescent="0.3">
      <c r="A83" s="76" t="s">
        <v>23</v>
      </c>
      <c r="B83" s="107">
        <v>4</v>
      </c>
      <c r="C83" s="106" t="s">
        <v>55</v>
      </c>
      <c r="D83" s="108">
        <v>1</v>
      </c>
      <c r="E83" s="570" t="s">
        <v>116</v>
      </c>
      <c r="F83" s="107">
        <v>4</v>
      </c>
      <c r="G83" s="106" t="s">
        <v>55</v>
      </c>
      <c r="H83" s="108">
        <v>0</v>
      </c>
      <c r="I83" s="105" t="s">
        <v>57</v>
      </c>
      <c r="J83" s="107">
        <v>2</v>
      </c>
      <c r="K83" s="106" t="s">
        <v>194</v>
      </c>
      <c r="L83" s="108">
        <v>4</v>
      </c>
      <c r="M83" s="105" t="s">
        <v>55</v>
      </c>
      <c r="N83" s="108">
        <v>0</v>
      </c>
      <c r="O83" s="105" t="s">
        <v>57</v>
      </c>
      <c r="P83" s="107">
        <v>5</v>
      </c>
      <c r="Q83" s="106" t="s">
        <v>54</v>
      </c>
      <c r="R83" s="107">
        <v>4</v>
      </c>
      <c r="S83" s="164" t="s">
        <v>55</v>
      </c>
      <c r="T83" s="108">
        <v>0</v>
      </c>
      <c r="U83" s="105" t="s">
        <v>57</v>
      </c>
      <c r="V83" s="107">
        <v>5</v>
      </c>
      <c r="W83" s="106" t="s">
        <v>54</v>
      </c>
      <c r="X83" s="107">
        <v>4</v>
      </c>
      <c r="Y83" s="106" t="s">
        <v>55</v>
      </c>
      <c r="Z83" s="108">
        <v>0</v>
      </c>
      <c r="AA83" s="105" t="s">
        <v>57</v>
      </c>
      <c r="AB83" s="107">
        <v>1</v>
      </c>
      <c r="AC83" s="106" t="s">
        <v>56</v>
      </c>
      <c r="AD83" s="108">
        <v>4</v>
      </c>
      <c r="AE83" s="105" t="s">
        <v>55</v>
      </c>
      <c r="AF83" s="107">
        <v>4</v>
      </c>
      <c r="AG83" s="106" t="s">
        <v>55</v>
      </c>
      <c r="AH83" s="108">
        <v>0</v>
      </c>
      <c r="AI83" s="105" t="s">
        <v>57</v>
      </c>
      <c r="AJ83" s="107">
        <v>4</v>
      </c>
      <c r="AK83" s="106" t="s">
        <v>55</v>
      </c>
      <c r="AL83" s="114">
        <f t="shared" si="4"/>
        <v>46</v>
      </c>
      <c r="AP83" s="5"/>
      <c r="AQ83" s="2"/>
      <c r="AR83" s="65"/>
      <c r="AU83" s="156" t="s">
        <v>11</v>
      </c>
      <c r="AV83" s="108">
        <v>7</v>
      </c>
      <c r="AW83" s="77">
        <v>12</v>
      </c>
    </row>
    <row r="84" spans="1:49" x14ac:dyDescent="0.25">
      <c r="A84" s="5"/>
      <c r="B84" s="2"/>
      <c r="C84" s="63"/>
      <c r="D84" s="170"/>
      <c r="E84" s="64"/>
      <c r="F84" s="2"/>
      <c r="G84" s="63"/>
      <c r="H84" s="170"/>
      <c r="I84" s="64"/>
      <c r="J84" s="170"/>
      <c r="K84" s="64"/>
      <c r="L84" s="2"/>
      <c r="M84" s="63"/>
      <c r="N84" s="2"/>
      <c r="O84" s="63"/>
      <c r="P84" s="170"/>
      <c r="Q84" s="64"/>
      <c r="R84" s="2"/>
      <c r="S84" s="63"/>
      <c r="T84" s="170"/>
      <c r="U84" s="64"/>
      <c r="V84" s="2"/>
      <c r="W84" s="63"/>
      <c r="X84" s="170"/>
      <c r="Y84" s="64"/>
      <c r="Z84" s="63"/>
      <c r="AA84" s="63"/>
      <c r="AB84" s="170"/>
      <c r="AC84" s="64"/>
      <c r="AD84" s="170"/>
      <c r="AE84" s="64"/>
      <c r="AF84" s="2"/>
      <c r="AG84" s="63"/>
      <c r="AH84" s="170"/>
      <c r="AI84" s="64"/>
      <c r="AJ84" s="2"/>
      <c r="AK84" s="63"/>
      <c r="AL84" s="2"/>
      <c r="AM84" s="63"/>
      <c r="AN84" s="170"/>
      <c r="AO84" s="64"/>
      <c r="AP84" s="116"/>
      <c r="AQ84" s="285"/>
      <c r="AR84" s="170"/>
      <c r="AS84" s="64"/>
      <c r="AT84" s="65"/>
    </row>
    <row r="85" spans="1:49" x14ac:dyDescent="0.25">
      <c r="A85" s="100" t="s">
        <v>107</v>
      </c>
    </row>
  </sheetData>
  <sortState xmlns:xlrd2="http://schemas.microsoft.com/office/spreadsheetml/2017/richdata2" ref="A56:T67">
    <sortCondition descending="1" ref="T56:T67"/>
  </sortState>
  <mergeCells count="83">
    <mergeCell ref="AR37:AS37"/>
    <mergeCell ref="B37:C37"/>
    <mergeCell ref="AL37:AM37"/>
    <mergeCell ref="AN37:AO37"/>
    <mergeCell ref="AP37:AQ37"/>
    <mergeCell ref="D37:E37"/>
    <mergeCell ref="F37:G37"/>
    <mergeCell ref="H37:I37"/>
    <mergeCell ref="AH37:AI37"/>
    <mergeCell ref="AJ37:AK37"/>
    <mergeCell ref="V37:W37"/>
    <mergeCell ref="X37:Y37"/>
    <mergeCell ref="Z37:AA37"/>
    <mergeCell ref="AB37:AC37"/>
    <mergeCell ref="AD37:AE37"/>
    <mergeCell ref="J37:K37"/>
    <mergeCell ref="AR20:AS20"/>
    <mergeCell ref="Z20:AA20"/>
    <mergeCell ref="AU35:BE35"/>
    <mergeCell ref="AB20:AC20"/>
    <mergeCell ref="AD20:AE20"/>
    <mergeCell ref="AF20:AG20"/>
    <mergeCell ref="AP20:AQ20"/>
    <mergeCell ref="AN20:AO20"/>
    <mergeCell ref="AL20:AM20"/>
    <mergeCell ref="AH20:AI20"/>
    <mergeCell ref="AJ20:AK20"/>
    <mergeCell ref="R20:S20"/>
    <mergeCell ref="T20:U20"/>
    <mergeCell ref="P37:Q37"/>
    <mergeCell ref="F1:G1"/>
    <mergeCell ref="D1:E1"/>
    <mergeCell ref="H1:I1"/>
    <mergeCell ref="J1:K1"/>
    <mergeCell ref="L1:M1"/>
    <mergeCell ref="H70:I70"/>
    <mergeCell ref="J70:K70"/>
    <mergeCell ref="B53:U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B70:C70"/>
    <mergeCell ref="D70:E70"/>
    <mergeCell ref="F70:G70"/>
    <mergeCell ref="B69:U69"/>
    <mergeCell ref="AF37:AG37"/>
    <mergeCell ref="V20:W20"/>
    <mergeCell ref="X20:Y20"/>
    <mergeCell ref="B36:U36"/>
    <mergeCell ref="L37:M37"/>
    <mergeCell ref="N37:O37"/>
    <mergeCell ref="B20:C20"/>
    <mergeCell ref="D20:E20"/>
    <mergeCell ref="F20:G20"/>
    <mergeCell ref="H20:I20"/>
    <mergeCell ref="J20:K20"/>
    <mergeCell ref="R37:S37"/>
    <mergeCell ref="T37:U37"/>
    <mergeCell ref="L20:M20"/>
    <mergeCell ref="N20:O20"/>
    <mergeCell ref="P20:Q20"/>
    <mergeCell ref="B1:C1"/>
    <mergeCell ref="AF70:AG70"/>
    <mergeCell ref="X69:AL69"/>
    <mergeCell ref="AH70:AI70"/>
    <mergeCell ref="AJ70:AK70"/>
    <mergeCell ref="Z70:AA70"/>
    <mergeCell ref="AB70:AC70"/>
    <mergeCell ref="AD70:AE70"/>
    <mergeCell ref="X70:Y70"/>
    <mergeCell ref="L70:M70"/>
    <mergeCell ref="N70:O70"/>
    <mergeCell ref="T70:U70"/>
    <mergeCell ref="V70:W70"/>
    <mergeCell ref="P70:Q70"/>
    <mergeCell ref="R70:S70"/>
    <mergeCell ref="V69:W6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82"/>
  <sheetViews>
    <sheetView topLeftCell="A235" workbookViewId="0">
      <selection activeCell="S251" sqref="S251"/>
    </sheetView>
  </sheetViews>
  <sheetFormatPr defaultColWidth="8.875" defaultRowHeight="14.3" x14ac:dyDescent="0.25"/>
  <cols>
    <col min="1" max="1" width="4.125" customWidth="1"/>
    <col min="2" max="2" width="4.375" customWidth="1"/>
    <col min="3" max="3" width="17.75" customWidth="1"/>
    <col min="4" max="9" width="5.125" customWidth="1"/>
    <col min="10" max="10" width="6.75" customWidth="1"/>
    <col min="11" max="12" width="5.125" customWidth="1"/>
  </cols>
  <sheetData>
    <row r="1" spans="1:17" ht="15.8" thickBot="1" x14ac:dyDescent="0.3">
      <c r="A1" s="8" t="s">
        <v>29</v>
      </c>
      <c r="B1" s="9" t="s">
        <v>30</v>
      </c>
      <c r="C1" s="9"/>
      <c r="D1" s="9" t="s">
        <v>31</v>
      </c>
      <c r="E1" s="10" t="s">
        <v>32</v>
      </c>
      <c r="F1" s="9" t="s">
        <v>33</v>
      </c>
      <c r="G1" s="9" t="s">
        <v>34</v>
      </c>
      <c r="H1" s="9" t="s">
        <v>35</v>
      </c>
      <c r="I1" s="9" t="s">
        <v>36</v>
      </c>
      <c r="J1" s="10" t="s">
        <v>267</v>
      </c>
      <c r="K1" s="9" t="s">
        <v>37</v>
      </c>
      <c r="L1" s="10" t="s">
        <v>38</v>
      </c>
    </row>
    <row r="2" spans="1:17" ht="14.95" thickBot="1" x14ac:dyDescent="0.3">
      <c r="A2" s="658" t="s">
        <v>946</v>
      </c>
      <c r="B2" s="572" t="s">
        <v>39</v>
      </c>
      <c r="C2" s="735" t="s">
        <v>1008</v>
      </c>
      <c r="D2" s="736">
        <f>exeterpremplayed</f>
        <v>22</v>
      </c>
      <c r="E2" s="737">
        <f>exeterpremwon</f>
        <v>15</v>
      </c>
      <c r="F2" s="736">
        <f>exeterpremdrawn</f>
        <v>0</v>
      </c>
      <c r="G2" s="736">
        <f>exeterpremlost</f>
        <v>7</v>
      </c>
      <c r="H2" s="736">
        <f>exeterpremptsscored</f>
        <v>630</v>
      </c>
      <c r="I2" s="736">
        <f>exeterpremptsagainst</f>
        <v>443</v>
      </c>
      <c r="J2" s="737">
        <f t="shared" ref="J2" si="0">SUM(H2-I2)</f>
        <v>187</v>
      </c>
      <c r="K2" s="736">
        <f>exeterpremtrybonusscored+exeterpremlosingbonusscored</f>
        <v>14</v>
      </c>
      <c r="L2" s="737">
        <f t="shared" ref="L2" si="1">SUM(E2*4+F2*2+K2)</f>
        <v>74</v>
      </c>
      <c r="M2" s="7"/>
    </row>
    <row r="3" spans="1:17" ht="14.95" thickBot="1" x14ac:dyDescent="0.3">
      <c r="A3" s="458" t="s">
        <v>946</v>
      </c>
      <c r="B3" s="864" t="s">
        <v>39</v>
      </c>
      <c r="C3" s="735" t="s">
        <v>1009</v>
      </c>
      <c r="D3" s="736">
        <f>waspspremplayed</f>
        <v>22</v>
      </c>
      <c r="E3" s="737">
        <f>waspspremwon</f>
        <v>14</v>
      </c>
      <c r="F3" s="736">
        <f>waspspremdrawn</f>
        <v>0</v>
      </c>
      <c r="G3" s="736">
        <f>waspspremlost</f>
        <v>8</v>
      </c>
      <c r="H3" s="736">
        <f>waspspremptsscored</f>
        <v>662</v>
      </c>
      <c r="I3" s="736">
        <f>waspspremptsagainst</f>
        <v>497</v>
      </c>
      <c r="J3" s="737">
        <f t="shared" ref="J3:J13" si="2">SUM(H3-I3)</f>
        <v>165</v>
      </c>
      <c r="K3" s="736">
        <f>waspspremtrybonusscored+waspspremlosingbonusscored</f>
        <v>15</v>
      </c>
      <c r="L3" s="737">
        <f t="shared" ref="L3:L12" si="3">SUM(E3*4+F3*2+K3)</f>
        <v>71</v>
      </c>
      <c r="M3" s="7"/>
    </row>
    <row r="4" spans="1:17" ht="14.95" thickBot="1" x14ac:dyDescent="0.3">
      <c r="A4" s="525" t="s">
        <v>927</v>
      </c>
      <c r="B4" s="675" t="s">
        <v>521</v>
      </c>
      <c r="C4" s="526" t="s">
        <v>1010</v>
      </c>
      <c r="D4" s="527">
        <f>bstplayed</f>
        <v>22</v>
      </c>
      <c r="E4" s="528">
        <f>bstwon</f>
        <v>14</v>
      </c>
      <c r="F4" s="527">
        <f>bstdrew</f>
        <v>1</v>
      </c>
      <c r="G4" s="527">
        <f>bstlost</f>
        <v>7</v>
      </c>
      <c r="H4" s="527">
        <f>bstscored</f>
        <v>561</v>
      </c>
      <c r="I4" s="527">
        <f>bstagainst</f>
        <v>457</v>
      </c>
      <c r="J4" s="528">
        <f t="shared" si="2"/>
        <v>104</v>
      </c>
      <c r="K4" s="527">
        <f>bsttrybonusscored+bstlosingbonusscored</f>
        <v>11</v>
      </c>
      <c r="L4" s="528">
        <f t="shared" si="3"/>
        <v>69</v>
      </c>
      <c r="Q4" t="s">
        <v>87</v>
      </c>
    </row>
    <row r="5" spans="1:17" ht="14.95" thickBot="1" x14ac:dyDescent="0.3">
      <c r="A5" s="821" t="s">
        <v>927</v>
      </c>
      <c r="B5" s="675" t="s">
        <v>526</v>
      </c>
      <c r="C5" s="822" t="s">
        <v>1011</v>
      </c>
      <c r="D5" s="823">
        <f>bathpld</f>
        <v>22</v>
      </c>
      <c r="E5" s="824">
        <f>bathwon</f>
        <v>14</v>
      </c>
      <c r="F5" s="823">
        <f>bathdrawn</f>
        <v>1</v>
      </c>
      <c r="G5" s="823">
        <f>bathlost</f>
        <v>7</v>
      </c>
      <c r="H5" s="823">
        <f>bathscored</f>
        <v>520</v>
      </c>
      <c r="I5" s="823">
        <f>bathconceded</f>
        <v>457</v>
      </c>
      <c r="J5" s="824">
        <f t="shared" si="2"/>
        <v>63</v>
      </c>
      <c r="K5" s="823">
        <f>bathtrybonus+bathbonus</f>
        <v>9</v>
      </c>
      <c r="L5" s="824">
        <f t="shared" si="3"/>
        <v>67</v>
      </c>
      <c r="M5" s="7"/>
    </row>
    <row r="6" spans="1:17" ht="14.95" thickBot="1" x14ac:dyDescent="0.3">
      <c r="A6" s="865">
        <v>5</v>
      </c>
      <c r="B6" s="680" t="s">
        <v>526</v>
      </c>
      <c r="C6" s="866" t="s">
        <v>1012</v>
      </c>
      <c r="D6" s="867">
        <f>salepremplayed</f>
        <v>22</v>
      </c>
      <c r="E6" s="868">
        <f>salepremwon</f>
        <v>13</v>
      </c>
      <c r="F6" s="867">
        <f>salepremdrawn</f>
        <v>0</v>
      </c>
      <c r="G6" s="867">
        <f>salepremlost</f>
        <v>9</v>
      </c>
      <c r="H6" s="867">
        <f>salepremptsscored</f>
        <v>546</v>
      </c>
      <c r="I6" s="867">
        <f>salepremptsdagainst</f>
        <v>375</v>
      </c>
      <c r="J6" s="868">
        <f t="shared" si="2"/>
        <v>171</v>
      </c>
      <c r="K6" s="867">
        <f>salepremtrybonusscored+salepremlosingbonusscored</f>
        <v>12</v>
      </c>
      <c r="L6" s="868">
        <f t="shared" si="3"/>
        <v>64</v>
      </c>
    </row>
    <row r="7" spans="1:17" ht="14.95" thickBot="1" x14ac:dyDescent="0.3">
      <c r="A7" s="579">
        <v>6</v>
      </c>
      <c r="B7" s="459" t="s">
        <v>39</v>
      </c>
      <c r="C7" s="862" t="s">
        <v>1013</v>
      </c>
      <c r="D7" s="863">
        <f>harlequinspremplayedthisone</f>
        <v>22</v>
      </c>
      <c r="E7" s="578">
        <f>harlequinspremwon</f>
        <v>10</v>
      </c>
      <c r="F7" s="863">
        <f>harlequinspremdrawn</f>
        <v>1</v>
      </c>
      <c r="G7" s="863">
        <f>harlequinspremlost</f>
        <v>11</v>
      </c>
      <c r="H7" s="863">
        <f>harlequinspremptsscored</f>
        <v>517</v>
      </c>
      <c r="I7" s="863">
        <f>harlequinspremptsagaiants</f>
        <v>560</v>
      </c>
      <c r="J7" s="578">
        <f t="shared" si="2"/>
        <v>-43</v>
      </c>
      <c r="K7" s="578">
        <f>harlequinspremtrybonusscored+harlequinspremlosingbonusscored</f>
        <v>9</v>
      </c>
      <c r="L7" s="578">
        <f t="shared" si="3"/>
        <v>51</v>
      </c>
      <c r="M7" s="7"/>
    </row>
    <row r="8" spans="1:17" ht="14.95" thickBot="1" x14ac:dyDescent="0.3">
      <c r="A8" s="578">
        <v>7</v>
      </c>
      <c r="B8" s="459" t="s">
        <v>536</v>
      </c>
      <c r="C8" s="575" t="s">
        <v>1014</v>
      </c>
      <c r="D8" s="576">
        <f>gloucesterpremplayed</f>
        <v>22</v>
      </c>
      <c r="E8" s="577">
        <f>gloucesterpremwon</f>
        <v>8</v>
      </c>
      <c r="F8" s="576">
        <f>gloucesterpremdrawsn</f>
        <v>0</v>
      </c>
      <c r="G8" s="576">
        <f>gloucesterpremlost</f>
        <v>14</v>
      </c>
      <c r="H8" s="576">
        <f>gloucesterpremptsscored</f>
        <v>515</v>
      </c>
      <c r="I8" s="576">
        <f>gloucesterpremptsagainst</f>
        <v>513</v>
      </c>
      <c r="J8" s="577">
        <f t="shared" si="2"/>
        <v>2</v>
      </c>
      <c r="K8" s="576">
        <f>gloucesterpremtrybonusscored+gloucesterpremlosingbonusscored</f>
        <v>14</v>
      </c>
      <c r="L8" s="577">
        <f t="shared" si="3"/>
        <v>46</v>
      </c>
    </row>
    <row r="9" spans="1:17" ht="14.95" thickBot="1" x14ac:dyDescent="0.3">
      <c r="A9" s="578">
        <v>8</v>
      </c>
      <c r="B9" s="459" t="s">
        <v>526</v>
      </c>
      <c r="C9" s="575" t="s">
        <v>1015</v>
      </c>
      <c r="D9" s="576">
        <f>northamptonpremplayed</f>
        <v>22</v>
      </c>
      <c r="E9" s="577">
        <f>northamptonpremwon</f>
        <v>8</v>
      </c>
      <c r="F9" s="576">
        <f>northamptonpremdrawn</f>
        <v>0</v>
      </c>
      <c r="G9" s="576">
        <f>northamptonpremlost</f>
        <v>14</v>
      </c>
      <c r="H9" s="576">
        <f>northamptonpremptsscored</f>
        <v>438</v>
      </c>
      <c r="I9" s="576">
        <f>northamptonpremptsagainst</f>
        <v>547</v>
      </c>
      <c r="J9" s="577">
        <f t="shared" si="2"/>
        <v>-109</v>
      </c>
      <c r="K9" s="576">
        <f>Nortbscored+northamptonpremlosingbonusscored</f>
        <v>10</v>
      </c>
      <c r="L9" s="577">
        <f t="shared" si="3"/>
        <v>42</v>
      </c>
    </row>
    <row r="10" spans="1:17" ht="14.95" thickBot="1" x14ac:dyDescent="0.3">
      <c r="A10" s="420">
        <v>9</v>
      </c>
      <c r="B10" s="460" t="s">
        <v>39</v>
      </c>
      <c r="C10" s="659" t="s">
        <v>23</v>
      </c>
      <c r="D10" s="660">
        <f>worcesterpremplayed</f>
        <v>22</v>
      </c>
      <c r="E10" s="661">
        <f>worcesterpremwon</f>
        <v>8</v>
      </c>
      <c r="F10" s="660">
        <f>worcesterpremdrawn</f>
        <v>0</v>
      </c>
      <c r="G10" s="660">
        <f>worcesterpremlostr</f>
        <v>14</v>
      </c>
      <c r="H10" s="660">
        <f>worcesterpremptsscored</f>
        <v>398</v>
      </c>
      <c r="I10" s="660">
        <f>worcesterpremptsagainst</f>
        <v>578</v>
      </c>
      <c r="J10" s="661">
        <f t="shared" si="2"/>
        <v>-180</v>
      </c>
      <c r="K10" s="660">
        <f>worcesterpremtrybonusscored+worcesterpremlosingbonusscored</f>
        <v>10</v>
      </c>
      <c r="L10" s="661">
        <f t="shared" si="3"/>
        <v>42</v>
      </c>
    </row>
    <row r="11" spans="1:17" ht="14.95" thickBot="1" x14ac:dyDescent="0.3">
      <c r="A11" s="393">
        <v>10</v>
      </c>
      <c r="B11" s="460" t="s">
        <v>39</v>
      </c>
      <c r="C11" s="659" t="s">
        <v>11</v>
      </c>
      <c r="D11" s="660">
        <f>newcastlepremplayed</f>
        <v>22</v>
      </c>
      <c r="E11" s="661">
        <f>newcastlepremwon</f>
        <v>6</v>
      </c>
      <c r="F11" s="660">
        <f>newcastlepremdrawn</f>
        <v>1</v>
      </c>
      <c r="G11" s="660">
        <f>newcastlepremlost</f>
        <v>15</v>
      </c>
      <c r="H11" s="660">
        <f>newcastlepremptsscored</f>
        <v>386</v>
      </c>
      <c r="I11" s="660">
        <f>newcastlepremptsagaionst</f>
        <v>633</v>
      </c>
      <c r="J11" s="661">
        <f t="shared" si="2"/>
        <v>-247</v>
      </c>
      <c r="K11" s="660">
        <f>newcastlepremtrybonusscored+newcastlepremlosingbonusscored</f>
        <v>8</v>
      </c>
      <c r="L11" s="661">
        <f t="shared" si="3"/>
        <v>34</v>
      </c>
    </row>
    <row r="12" spans="1:17" ht="14.95" thickBot="1" x14ac:dyDescent="0.3">
      <c r="A12" s="420">
        <v>11</v>
      </c>
      <c r="B12" s="460" t="s">
        <v>39</v>
      </c>
      <c r="C12" s="659" t="s">
        <v>26</v>
      </c>
      <c r="D12" s="660">
        <f>leicesterpremplayed</f>
        <v>22</v>
      </c>
      <c r="E12" s="661">
        <f>leicesterpremwon</f>
        <v>6</v>
      </c>
      <c r="F12" s="660">
        <f>leicesterpremdrawn</f>
        <v>1</v>
      </c>
      <c r="G12" s="660">
        <f>leicesterpremlost</f>
        <v>15</v>
      </c>
      <c r="H12" s="660">
        <f>leicesterpremptsscored</f>
        <v>374</v>
      </c>
      <c r="I12" s="660">
        <f>leicesterpremptsagainst</f>
        <v>609</v>
      </c>
      <c r="J12" s="661">
        <f t="shared" si="2"/>
        <v>-235</v>
      </c>
      <c r="K12" s="660">
        <f>leicesterpremtrybonusscored+leicesterpremlosingbonusscored</f>
        <v>3</v>
      </c>
      <c r="L12" s="661">
        <f t="shared" si="3"/>
        <v>29</v>
      </c>
    </row>
    <row r="13" spans="1:17" ht="14.95" thickBot="1" x14ac:dyDescent="0.3">
      <c r="A13" s="529" t="s">
        <v>50</v>
      </c>
      <c r="B13" s="457" t="s">
        <v>39</v>
      </c>
      <c r="C13" s="694" t="s">
        <v>539</v>
      </c>
      <c r="D13" s="695">
        <f>saracenspremplayed</f>
        <v>22</v>
      </c>
      <c r="E13" s="695">
        <f>saracenspremwon</f>
        <v>13</v>
      </c>
      <c r="F13" s="695">
        <f>saracenspremdrawn</f>
        <v>1</v>
      </c>
      <c r="G13" s="695">
        <f>saracenspremlost</f>
        <v>8</v>
      </c>
      <c r="H13" s="695">
        <f>saracenspremptsscored</f>
        <v>583</v>
      </c>
      <c r="I13" s="695">
        <f>saracenspremptsagainst</f>
        <v>461</v>
      </c>
      <c r="J13" s="695">
        <f t="shared" si="2"/>
        <v>122</v>
      </c>
      <c r="K13" s="695">
        <f>saracenspremtrybonusscored+saracenspremlosingbonusscored</f>
        <v>13</v>
      </c>
      <c r="L13" s="695">
        <f>SUM(E13*4+F13*2+K13-105)</f>
        <v>-38</v>
      </c>
    </row>
    <row r="14" spans="1:17" ht="14.95" x14ac:dyDescent="0.25">
      <c r="C14" s="129"/>
      <c r="D14">
        <f>SUM(D2:D13)</f>
        <v>264</v>
      </c>
      <c r="E14">
        <f t="shared" ref="E14:L14" si="4">SUM(E2:E13)</f>
        <v>129</v>
      </c>
      <c r="F14">
        <f t="shared" si="4"/>
        <v>6</v>
      </c>
      <c r="G14">
        <f t="shared" si="4"/>
        <v>129</v>
      </c>
      <c r="H14">
        <f t="shared" si="4"/>
        <v>6130</v>
      </c>
      <c r="I14">
        <f t="shared" si="4"/>
        <v>6130</v>
      </c>
      <c r="J14">
        <f t="shared" si="4"/>
        <v>0</v>
      </c>
      <c r="K14">
        <f t="shared" si="4"/>
        <v>128</v>
      </c>
      <c r="L14">
        <f t="shared" si="4"/>
        <v>551</v>
      </c>
    </row>
    <row r="15" spans="1:17" x14ac:dyDescent="0.25">
      <c r="A15" t="s">
        <v>770</v>
      </c>
    </row>
    <row r="17" spans="1:12" ht="14.95" x14ac:dyDescent="0.25">
      <c r="A17" s="4" t="s">
        <v>987</v>
      </c>
    </row>
    <row r="18" spans="1:12" ht="14.95" x14ac:dyDescent="0.25">
      <c r="A18" s="642" t="s">
        <v>988</v>
      </c>
    </row>
    <row r="19" spans="1:12" ht="14.95" x14ac:dyDescent="0.25">
      <c r="A19" s="642" t="s">
        <v>989</v>
      </c>
    </row>
    <row r="20" spans="1:12" ht="14.95" x14ac:dyDescent="0.25">
      <c r="A20" s="642" t="s">
        <v>990</v>
      </c>
    </row>
    <row r="21" spans="1:12" ht="14.95" x14ac:dyDescent="0.25">
      <c r="A21" s="642" t="s">
        <v>991</v>
      </c>
    </row>
    <row r="22" spans="1:12" ht="14.95" x14ac:dyDescent="0.25">
      <c r="A22" s="642" t="s">
        <v>984</v>
      </c>
    </row>
    <row r="23" spans="1:12" ht="14.95" x14ac:dyDescent="0.25">
      <c r="A23" s="642" t="s">
        <v>985</v>
      </c>
    </row>
    <row r="24" spans="1:12" ht="14.95" x14ac:dyDescent="0.25">
      <c r="A24" s="642" t="s">
        <v>986</v>
      </c>
    </row>
    <row r="25" spans="1:12" ht="14.95" x14ac:dyDescent="0.25">
      <c r="A25" s="642"/>
    </row>
    <row r="26" spans="1:12" ht="14.95" x14ac:dyDescent="0.25">
      <c r="A26" s="286" t="s">
        <v>983</v>
      </c>
    </row>
    <row r="27" spans="1:12" ht="15.8" thickBot="1" x14ac:dyDescent="0.3">
      <c r="A27" s="642"/>
    </row>
    <row r="28" spans="1:12" ht="15.8" thickBot="1" x14ac:dyDescent="0.3">
      <c r="A28" s="662" t="s">
        <v>29</v>
      </c>
      <c r="B28" s="663" t="s">
        <v>30</v>
      </c>
      <c r="C28" s="663"/>
      <c r="D28" s="663" t="s">
        <v>31</v>
      </c>
      <c r="E28" s="664" t="s">
        <v>32</v>
      </c>
      <c r="F28" s="663" t="s">
        <v>33</v>
      </c>
      <c r="G28" s="663" t="s">
        <v>34</v>
      </c>
      <c r="H28" s="663" t="s">
        <v>35</v>
      </c>
      <c r="I28" s="663" t="s">
        <v>36</v>
      </c>
      <c r="J28" s="664" t="s">
        <v>267</v>
      </c>
      <c r="K28" s="663" t="s">
        <v>37</v>
      </c>
      <c r="L28" s="664" t="s">
        <v>38</v>
      </c>
    </row>
    <row r="29" spans="1:12" ht="14.95" thickBot="1" x14ac:dyDescent="0.3">
      <c r="A29" s="670" t="s">
        <v>946</v>
      </c>
      <c r="B29" s="666" t="s">
        <v>39</v>
      </c>
      <c r="C29" s="671" t="s">
        <v>273</v>
      </c>
      <c r="D29" s="672">
        <v>21</v>
      </c>
      <c r="E29" s="673">
        <v>15</v>
      </c>
      <c r="F29" s="672">
        <v>0</v>
      </c>
      <c r="G29" s="672">
        <v>6</v>
      </c>
      <c r="H29" s="672">
        <v>625</v>
      </c>
      <c r="I29" s="672">
        <v>397</v>
      </c>
      <c r="J29" s="673">
        <v>228</v>
      </c>
      <c r="K29" s="672">
        <v>14</v>
      </c>
      <c r="L29" s="673">
        <v>74</v>
      </c>
    </row>
    <row r="30" spans="1:12" ht="14.95" thickBot="1" x14ac:dyDescent="0.3">
      <c r="A30" s="670">
        <v>2</v>
      </c>
      <c r="B30" s="666" t="s">
        <v>39</v>
      </c>
      <c r="C30" s="671" t="s">
        <v>106</v>
      </c>
      <c r="D30" s="672">
        <v>21</v>
      </c>
      <c r="E30" s="673">
        <v>13</v>
      </c>
      <c r="F30" s="672">
        <v>0</v>
      </c>
      <c r="G30" s="672">
        <v>8</v>
      </c>
      <c r="H30" s="672">
        <v>616</v>
      </c>
      <c r="I30" s="672">
        <v>492</v>
      </c>
      <c r="J30" s="673">
        <v>124</v>
      </c>
      <c r="K30" s="672">
        <v>14</v>
      </c>
      <c r="L30" s="673">
        <v>66</v>
      </c>
    </row>
    <row r="31" spans="1:12" ht="14.95" thickBot="1" x14ac:dyDescent="0.3">
      <c r="A31" s="674">
        <v>3</v>
      </c>
      <c r="B31" s="675" t="s">
        <v>39</v>
      </c>
      <c r="C31" s="676" t="s">
        <v>274</v>
      </c>
      <c r="D31" s="677">
        <v>21</v>
      </c>
      <c r="E31" s="678">
        <v>14</v>
      </c>
      <c r="F31" s="677">
        <v>0</v>
      </c>
      <c r="G31" s="677">
        <v>7</v>
      </c>
      <c r="H31" s="677">
        <v>503</v>
      </c>
      <c r="I31" s="677">
        <v>440</v>
      </c>
      <c r="J31" s="678">
        <v>63</v>
      </c>
      <c r="K31" s="677">
        <v>9</v>
      </c>
      <c r="L31" s="678">
        <v>65</v>
      </c>
    </row>
    <row r="32" spans="1:12" ht="14.95" thickBot="1" x14ac:dyDescent="0.3">
      <c r="A32" s="674">
        <v>4</v>
      </c>
      <c r="B32" s="675" t="s">
        <v>39</v>
      </c>
      <c r="C32" s="676" t="s">
        <v>27</v>
      </c>
      <c r="D32" s="677">
        <v>21</v>
      </c>
      <c r="E32" s="678">
        <v>13</v>
      </c>
      <c r="F32" s="677">
        <v>0</v>
      </c>
      <c r="G32" s="677">
        <v>8</v>
      </c>
      <c r="H32" s="677">
        <v>546</v>
      </c>
      <c r="I32" s="677">
        <v>355</v>
      </c>
      <c r="J32" s="678">
        <v>191</v>
      </c>
      <c r="K32" s="677">
        <v>12</v>
      </c>
      <c r="L32" s="678">
        <v>64</v>
      </c>
    </row>
    <row r="33" spans="1:12" ht="14.95" thickBot="1" x14ac:dyDescent="0.3">
      <c r="A33" s="679">
        <v>5</v>
      </c>
      <c r="B33" s="680" t="s">
        <v>39</v>
      </c>
      <c r="C33" s="681" t="s">
        <v>165</v>
      </c>
      <c r="D33" s="682">
        <v>21</v>
      </c>
      <c r="E33" s="683">
        <v>13</v>
      </c>
      <c r="F33" s="682">
        <v>1</v>
      </c>
      <c r="G33" s="682">
        <v>7</v>
      </c>
      <c r="H33" s="682">
        <v>525</v>
      </c>
      <c r="I33" s="682">
        <v>450</v>
      </c>
      <c r="J33" s="683">
        <v>75</v>
      </c>
      <c r="K33" s="682">
        <v>10</v>
      </c>
      <c r="L33" s="683">
        <v>64</v>
      </c>
    </row>
    <row r="34" spans="1:12" ht="14.95" thickBot="1" x14ac:dyDescent="0.3">
      <c r="A34" s="679">
        <v>6</v>
      </c>
      <c r="B34" s="680" t="s">
        <v>39</v>
      </c>
      <c r="C34" s="681" t="s">
        <v>9</v>
      </c>
      <c r="D34" s="682">
        <v>21</v>
      </c>
      <c r="E34" s="683">
        <v>9</v>
      </c>
      <c r="F34" s="682">
        <v>1</v>
      </c>
      <c r="G34" s="682">
        <v>11</v>
      </c>
      <c r="H34" s="682">
        <v>485</v>
      </c>
      <c r="I34" s="682">
        <v>534</v>
      </c>
      <c r="J34" s="683">
        <v>-49</v>
      </c>
      <c r="K34" s="683">
        <v>8</v>
      </c>
      <c r="L34" s="683">
        <v>46</v>
      </c>
    </row>
    <row r="35" spans="1:12" ht="14.95" thickBot="1" x14ac:dyDescent="0.3">
      <c r="A35" s="679">
        <v>7</v>
      </c>
      <c r="B35" s="680" t="s">
        <v>39</v>
      </c>
      <c r="C35" s="681" t="s">
        <v>25</v>
      </c>
      <c r="D35" s="682">
        <v>21</v>
      </c>
      <c r="E35" s="683">
        <v>8</v>
      </c>
      <c r="F35" s="682">
        <v>0</v>
      </c>
      <c r="G35" s="682">
        <v>13</v>
      </c>
      <c r="H35" s="682">
        <v>438</v>
      </c>
      <c r="I35" s="682">
        <v>527</v>
      </c>
      <c r="J35" s="683">
        <v>-89</v>
      </c>
      <c r="K35" s="682">
        <v>10</v>
      </c>
      <c r="L35" s="683">
        <v>42</v>
      </c>
    </row>
    <row r="36" spans="1:12" ht="14.95" thickBot="1" x14ac:dyDescent="0.3">
      <c r="A36" s="679">
        <v>8</v>
      </c>
      <c r="B36" s="680" t="s">
        <v>39</v>
      </c>
      <c r="C36" s="681" t="s">
        <v>24</v>
      </c>
      <c r="D36" s="682">
        <v>21</v>
      </c>
      <c r="E36" s="683">
        <v>7</v>
      </c>
      <c r="F36" s="682">
        <v>0</v>
      </c>
      <c r="G36" s="682">
        <v>14</v>
      </c>
      <c r="H36" s="682">
        <v>495</v>
      </c>
      <c r="I36" s="682">
        <v>513</v>
      </c>
      <c r="J36" s="683">
        <v>-18</v>
      </c>
      <c r="K36" s="682">
        <v>13</v>
      </c>
      <c r="L36" s="683">
        <v>41</v>
      </c>
    </row>
    <row r="37" spans="1:12" ht="14.95" thickBot="1" x14ac:dyDescent="0.3">
      <c r="A37" s="684">
        <v>9</v>
      </c>
      <c r="B37" s="685" t="s">
        <v>39</v>
      </c>
      <c r="C37" s="686" t="s">
        <v>23</v>
      </c>
      <c r="D37" s="687">
        <v>21</v>
      </c>
      <c r="E37" s="688">
        <v>7</v>
      </c>
      <c r="F37" s="687">
        <v>0</v>
      </c>
      <c r="G37" s="687">
        <v>14</v>
      </c>
      <c r="H37" s="687">
        <v>378</v>
      </c>
      <c r="I37" s="687">
        <v>578</v>
      </c>
      <c r="J37" s="688">
        <v>-200</v>
      </c>
      <c r="K37" s="687">
        <v>9</v>
      </c>
      <c r="L37" s="688">
        <v>37</v>
      </c>
    </row>
    <row r="38" spans="1:12" ht="14.95" thickBot="1" x14ac:dyDescent="0.3">
      <c r="A38" s="684">
        <v>10</v>
      </c>
      <c r="B38" s="685" t="s">
        <v>39</v>
      </c>
      <c r="C38" s="686" t="s">
        <v>11</v>
      </c>
      <c r="D38" s="687">
        <v>21</v>
      </c>
      <c r="E38" s="688">
        <v>6</v>
      </c>
      <c r="F38" s="687">
        <v>1</v>
      </c>
      <c r="G38" s="687">
        <v>14</v>
      </c>
      <c r="H38" s="687">
        <v>379</v>
      </c>
      <c r="I38" s="687">
        <v>597</v>
      </c>
      <c r="J38" s="688">
        <v>-218</v>
      </c>
      <c r="K38" s="687">
        <v>8</v>
      </c>
      <c r="L38" s="688">
        <v>34</v>
      </c>
    </row>
    <row r="39" spans="1:12" ht="14.95" thickBot="1" x14ac:dyDescent="0.3">
      <c r="A39" s="684">
        <v>11</v>
      </c>
      <c r="B39" s="685" t="s">
        <v>39</v>
      </c>
      <c r="C39" s="686" t="s">
        <v>26</v>
      </c>
      <c r="D39" s="687">
        <v>21</v>
      </c>
      <c r="E39" s="688">
        <v>6</v>
      </c>
      <c r="F39" s="687">
        <v>1</v>
      </c>
      <c r="G39" s="687">
        <v>14</v>
      </c>
      <c r="H39" s="687">
        <v>348</v>
      </c>
      <c r="I39" s="687">
        <v>577</v>
      </c>
      <c r="J39" s="688">
        <v>-229</v>
      </c>
      <c r="K39" s="687">
        <v>2</v>
      </c>
      <c r="L39" s="688">
        <v>28</v>
      </c>
    </row>
    <row r="40" spans="1:12" ht="14.95" thickBot="1" x14ac:dyDescent="0.3">
      <c r="A40" s="689" t="s">
        <v>50</v>
      </c>
      <c r="B40" s="690" t="s">
        <v>39</v>
      </c>
      <c r="C40" s="691" t="s">
        <v>539</v>
      </c>
      <c r="D40" s="693">
        <v>21</v>
      </c>
      <c r="E40" s="693">
        <v>13</v>
      </c>
      <c r="F40" s="693">
        <v>0</v>
      </c>
      <c r="G40" s="693">
        <v>8</v>
      </c>
      <c r="H40" s="693">
        <v>566</v>
      </c>
      <c r="I40" s="693">
        <v>444</v>
      </c>
      <c r="J40" s="693">
        <v>122</v>
      </c>
      <c r="K40" s="693">
        <v>13</v>
      </c>
      <c r="L40" s="693">
        <v>-40</v>
      </c>
    </row>
    <row r="41" spans="1:12" x14ac:dyDescent="0.25">
      <c r="A41" s="99" t="s">
        <v>770</v>
      </c>
    </row>
    <row r="42" spans="1:12" ht="14.95" x14ac:dyDescent="0.25">
      <c r="A42" s="642"/>
    </row>
    <row r="43" spans="1:12" ht="14.95" x14ac:dyDescent="0.25">
      <c r="A43" s="286" t="s">
        <v>947</v>
      </c>
    </row>
    <row r="44" spans="1:12" ht="15.8" thickBot="1" x14ac:dyDescent="0.3">
      <c r="A44" s="642"/>
    </row>
    <row r="45" spans="1:12" ht="15.8" thickBot="1" x14ac:dyDescent="0.3">
      <c r="A45" s="662" t="s">
        <v>29</v>
      </c>
      <c r="B45" s="663" t="s">
        <v>30</v>
      </c>
      <c r="C45" s="663"/>
      <c r="D45" s="663" t="s">
        <v>31</v>
      </c>
      <c r="E45" s="664" t="s">
        <v>32</v>
      </c>
      <c r="F45" s="663" t="s">
        <v>33</v>
      </c>
      <c r="G45" s="663" t="s">
        <v>34</v>
      </c>
      <c r="H45" s="663" t="s">
        <v>35</v>
      </c>
      <c r="I45" s="663" t="s">
        <v>36</v>
      </c>
      <c r="J45" s="664" t="s">
        <v>267</v>
      </c>
      <c r="K45" s="663" t="s">
        <v>37</v>
      </c>
      <c r="L45" s="664" t="s">
        <v>38</v>
      </c>
    </row>
    <row r="46" spans="1:12" ht="14.95" thickBot="1" x14ac:dyDescent="0.3">
      <c r="A46" s="670" t="s">
        <v>946</v>
      </c>
      <c r="B46" s="666" t="s">
        <v>39</v>
      </c>
      <c r="C46" s="671" t="s">
        <v>273</v>
      </c>
      <c r="D46" s="672">
        <v>20</v>
      </c>
      <c r="E46" s="673">
        <v>15</v>
      </c>
      <c r="F46" s="672">
        <v>0</v>
      </c>
      <c r="G46" s="672">
        <v>5</v>
      </c>
      <c r="H46" s="672">
        <v>606</v>
      </c>
      <c r="I46" s="672">
        <v>375</v>
      </c>
      <c r="J46" s="673">
        <v>231</v>
      </c>
      <c r="K46" s="672">
        <v>13</v>
      </c>
      <c r="L46" s="673">
        <v>73</v>
      </c>
    </row>
    <row r="47" spans="1:12" ht="14.95" thickBot="1" x14ac:dyDescent="0.3">
      <c r="A47" s="670">
        <v>2</v>
      </c>
      <c r="B47" s="666" t="s">
        <v>521</v>
      </c>
      <c r="C47" s="671" t="s">
        <v>106</v>
      </c>
      <c r="D47" s="672">
        <v>20</v>
      </c>
      <c r="E47" s="673">
        <v>12</v>
      </c>
      <c r="F47" s="672">
        <v>0</v>
      </c>
      <c r="G47" s="672">
        <v>8</v>
      </c>
      <c r="H47" s="672">
        <v>584</v>
      </c>
      <c r="I47" s="672">
        <v>469</v>
      </c>
      <c r="J47" s="673">
        <v>115</v>
      </c>
      <c r="K47" s="672">
        <v>13</v>
      </c>
      <c r="L47" s="673">
        <v>61</v>
      </c>
    </row>
    <row r="48" spans="1:12" ht="14.95" thickBot="1" x14ac:dyDescent="0.3">
      <c r="A48" s="674">
        <v>3</v>
      </c>
      <c r="B48" s="675" t="s">
        <v>521</v>
      </c>
      <c r="C48" s="676" t="s">
        <v>274</v>
      </c>
      <c r="D48" s="677">
        <v>20</v>
      </c>
      <c r="E48" s="678">
        <v>13</v>
      </c>
      <c r="F48" s="677">
        <v>0</v>
      </c>
      <c r="G48" s="677">
        <v>7</v>
      </c>
      <c r="H48" s="677">
        <v>472</v>
      </c>
      <c r="I48" s="677">
        <v>420</v>
      </c>
      <c r="J48" s="678">
        <v>52</v>
      </c>
      <c r="K48" s="677">
        <v>8</v>
      </c>
      <c r="L48" s="678">
        <v>60</v>
      </c>
    </row>
    <row r="49" spans="1:12" ht="14.95" thickBot="1" x14ac:dyDescent="0.3">
      <c r="A49" s="674">
        <v>4</v>
      </c>
      <c r="B49" s="675" t="s">
        <v>525</v>
      </c>
      <c r="C49" s="676" t="s">
        <v>27</v>
      </c>
      <c r="D49" s="677">
        <v>20</v>
      </c>
      <c r="E49" s="678">
        <v>12</v>
      </c>
      <c r="F49" s="677">
        <v>0</v>
      </c>
      <c r="G49" s="677">
        <v>8</v>
      </c>
      <c r="H49" s="677">
        <v>512</v>
      </c>
      <c r="I49" s="677">
        <v>341</v>
      </c>
      <c r="J49" s="678">
        <v>171</v>
      </c>
      <c r="K49" s="677">
        <v>11</v>
      </c>
      <c r="L49" s="678">
        <v>59</v>
      </c>
    </row>
    <row r="50" spans="1:12" ht="14.95" thickBot="1" x14ac:dyDescent="0.3">
      <c r="A50" s="679">
        <v>5</v>
      </c>
      <c r="B50" s="680" t="s">
        <v>525</v>
      </c>
      <c r="C50" s="681" t="s">
        <v>165</v>
      </c>
      <c r="D50" s="682">
        <v>20</v>
      </c>
      <c r="E50" s="683">
        <v>12</v>
      </c>
      <c r="F50" s="682">
        <v>1</v>
      </c>
      <c r="G50" s="682">
        <v>7</v>
      </c>
      <c r="H50" s="682">
        <v>485</v>
      </c>
      <c r="I50" s="682">
        <v>447</v>
      </c>
      <c r="J50" s="683">
        <v>38</v>
      </c>
      <c r="K50" s="682">
        <v>9</v>
      </c>
      <c r="L50" s="683">
        <v>59</v>
      </c>
    </row>
    <row r="51" spans="1:12" ht="14.95" thickBot="1" x14ac:dyDescent="0.3">
      <c r="A51" s="679">
        <v>6</v>
      </c>
      <c r="B51" s="680" t="s">
        <v>39</v>
      </c>
      <c r="C51" s="681" t="s">
        <v>9</v>
      </c>
      <c r="D51" s="682">
        <v>20</v>
      </c>
      <c r="E51" s="683">
        <v>9</v>
      </c>
      <c r="F51" s="682">
        <v>1</v>
      </c>
      <c r="G51" s="682">
        <v>10</v>
      </c>
      <c r="H51" s="682">
        <v>462</v>
      </c>
      <c r="I51" s="682">
        <v>502</v>
      </c>
      <c r="J51" s="683">
        <v>-40</v>
      </c>
      <c r="K51" s="683">
        <v>8</v>
      </c>
      <c r="L51" s="683">
        <v>46</v>
      </c>
    </row>
    <row r="52" spans="1:12" ht="14.95" thickBot="1" x14ac:dyDescent="0.3">
      <c r="A52" s="679">
        <v>7</v>
      </c>
      <c r="B52" s="680" t="s">
        <v>39</v>
      </c>
      <c r="C52" s="681" t="s">
        <v>25</v>
      </c>
      <c r="D52" s="682">
        <v>20</v>
      </c>
      <c r="E52" s="683">
        <v>8</v>
      </c>
      <c r="F52" s="682">
        <v>0</v>
      </c>
      <c r="G52" s="682">
        <v>12</v>
      </c>
      <c r="H52" s="682">
        <v>424</v>
      </c>
      <c r="I52" s="682">
        <v>493</v>
      </c>
      <c r="J52" s="683">
        <v>-69</v>
      </c>
      <c r="K52" s="682">
        <v>10</v>
      </c>
      <c r="L52" s="683">
        <v>42</v>
      </c>
    </row>
    <row r="53" spans="1:12" ht="14.95" thickBot="1" x14ac:dyDescent="0.3">
      <c r="A53" s="679">
        <v>8</v>
      </c>
      <c r="B53" s="680" t="s">
        <v>39</v>
      </c>
      <c r="C53" s="681" t="s">
        <v>24</v>
      </c>
      <c r="D53" s="682">
        <v>20</v>
      </c>
      <c r="E53" s="683">
        <v>7</v>
      </c>
      <c r="F53" s="682">
        <v>0</v>
      </c>
      <c r="G53" s="682">
        <v>13</v>
      </c>
      <c r="H53" s="682">
        <v>475</v>
      </c>
      <c r="I53" s="682">
        <v>482</v>
      </c>
      <c r="J53" s="683">
        <v>-7</v>
      </c>
      <c r="K53" s="682">
        <v>13</v>
      </c>
      <c r="L53" s="683">
        <v>41</v>
      </c>
    </row>
    <row r="54" spans="1:12" ht="14.95" thickBot="1" x14ac:dyDescent="0.3">
      <c r="A54" s="684">
        <v>9</v>
      </c>
      <c r="B54" s="685" t="s">
        <v>536</v>
      </c>
      <c r="C54" s="686" t="s">
        <v>23</v>
      </c>
      <c r="D54" s="687">
        <v>20</v>
      </c>
      <c r="E54" s="688">
        <v>6</v>
      </c>
      <c r="F54" s="687">
        <v>0</v>
      </c>
      <c r="G54" s="687">
        <v>14</v>
      </c>
      <c r="H54" s="687">
        <v>338</v>
      </c>
      <c r="I54" s="687">
        <v>551</v>
      </c>
      <c r="J54" s="688">
        <v>-213</v>
      </c>
      <c r="K54" s="687">
        <v>8</v>
      </c>
      <c r="L54" s="688">
        <v>32</v>
      </c>
    </row>
    <row r="55" spans="1:12" ht="14.95" thickBot="1" x14ac:dyDescent="0.3">
      <c r="A55" s="684">
        <v>10</v>
      </c>
      <c r="B55" s="685" t="s">
        <v>526</v>
      </c>
      <c r="C55" s="686" t="s">
        <v>11</v>
      </c>
      <c r="D55" s="687">
        <v>20</v>
      </c>
      <c r="E55" s="688">
        <v>5</v>
      </c>
      <c r="F55" s="687">
        <v>1</v>
      </c>
      <c r="G55" s="687">
        <v>14</v>
      </c>
      <c r="H55" s="687">
        <v>357</v>
      </c>
      <c r="I55" s="687">
        <v>578</v>
      </c>
      <c r="J55" s="688">
        <v>-221</v>
      </c>
      <c r="K55" s="687">
        <v>8</v>
      </c>
      <c r="L55" s="688">
        <v>30</v>
      </c>
    </row>
    <row r="56" spans="1:12" ht="14.95" thickBot="1" x14ac:dyDescent="0.3">
      <c r="A56" s="684">
        <v>11</v>
      </c>
      <c r="B56" s="685" t="s">
        <v>39</v>
      </c>
      <c r="C56" s="686" t="s">
        <v>26</v>
      </c>
      <c r="D56" s="687">
        <v>20</v>
      </c>
      <c r="E56" s="688">
        <v>6</v>
      </c>
      <c r="F56" s="687">
        <v>1</v>
      </c>
      <c r="G56" s="687">
        <v>13</v>
      </c>
      <c r="H56" s="687">
        <v>345</v>
      </c>
      <c r="I56" s="687">
        <v>537</v>
      </c>
      <c r="J56" s="688">
        <v>-192</v>
      </c>
      <c r="K56" s="687">
        <v>2</v>
      </c>
      <c r="L56" s="688">
        <v>28</v>
      </c>
    </row>
    <row r="57" spans="1:12" ht="14.95" thickBot="1" x14ac:dyDescent="0.3">
      <c r="A57" s="689" t="s">
        <v>50</v>
      </c>
      <c r="B57" s="690" t="s">
        <v>39</v>
      </c>
      <c r="C57" s="691" t="s">
        <v>539</v>
      </c>
      <c r="D57" s="693">
        <v>20</v>
      </c>
      <c r="E57" s="693">
        <v>13</v>
      </c>
      <c r="F57" s="693">
        <v>0</v>
      </c>
      <c r="G57" s="693">
        <v>7</v>
      </c>
      <c r="H57" s="693">
        <v>539</v>
      </c>
      <c r="I57" s="693">
        <v>404</v>
      </c>
      <c r="J57" s="693">
        <v>135</v>
      </c>
      <c r="K57" s="693">
        <v>12</v>
      </c>
      <c r="L57" s="693">
        <v>-41</v>
      </c>
    </row>
    <row r="58" spans="1:12" x14ac:dyDescent="0.25">
      <c r="A58" s="99" t="s">
        <v>770</v>
      </c>
    </row>
    <row r="59" spans="1:12" ht="14.95" x14ac:dyDescent="0.25">
      <c r="A59" s="642"/>
    </row>
    <row r="60" spans="1:12" ht="14.95" x14ac:dyDescent="0.25">
      <c r="A60" s="286" t="s">
        <v>934</v>
      </c>
    </row>
    <row r="61" spans="1:12" ht="15.8" thickBot="1" x14ac:dyDescent="0.3">
      <c r="A61" s="642"/>
    </row>
    <row r="62" spans="1:12" ht="15.8" thickBot="1" x14ac:dyDescent="0.3">
      <c r="A62" s="662" t="s">
        <v>29</v>
      </c>
      <c r="B62" s="663" t="s">
        <v>30</v>
      </c>
      <c r="C62" s="663"/>
      <c r="D62" s="663" t="s">
        <v>31</v>
      </c>
      <c r="E62" s="664" t="s">
        <v>32</v>
      </c>
      <c r="F62" s="663" t="s">
        <v>33</v>
      </c>
      <c r="G62" s="663" t="s">
        <v>34</v>
      </c>
      <c r="H62" s="663" t="s">
        <v>35</v>
      </c>
      <c r="I62" s="663" t="s">
        <v>36</v>
      </c>
      <c r="J62" s="664" t="s">
        <v>267</v>
      </c>
      <c r="K62" s="663" t="s">
        <v>37</v>
      </c>
      <c r="L62" s="664" t="s">
        <v>38</v>
      </c>
    </row>
    <row r="63" spans="1:12" ht="14.95" thickBot="1" x14ac:dyDescent="0.3">
      <c r="A63" s="670" t="s">
        <v>927</v>
      </c>
      <c r="B63" s="666" t="s">
        <v>39</v>
      </c>
      <c r="C63" s="671" t="s">
        <v>273</v>
      </c>
      <c r="D63" s="672">
        <v>19</v>
      </c>
      <c r="E63" s="673">
        <v>15</v>
      </c>
      <c r="F63" s="672">
        <v>0</v>
      </c>
      <c r="G63" s="672">
        <v>4</v>
      </c>
      <c r="H63" s="672">
        <v>589</v>
      </c>
      <c r="I63" s="672">
        <v>335</v>
      </c>
      <c r="J63" s="673">
        <v>254</v>
      </c>
      <c r="K63" s="672">
        <v>13</v>
      </c>
      <c r="L63" s="673">
        <v>73</v>
      </c>
    </row>
    <row r="64" spans="1:12" ht="14.95" thickBot="1" x14ac:dyDescent="0.3">
      <c r="A64" s="670">
        <v>2</v>
      </c>
      <c r="B64" s="666" t="s">
        <v>39</v>
      </c>
      <c r="C64" s="671" t="s">
        <v>27</v>
      </c>
      <c r="D64" s="672">
        <v>19</v>
      </c>
      <c r="E64" s="673">
        <v>12</v>
      </c>
      <c r="F64" s="672">
        <v>0</v>
      </c>
      <c r="G64" s="672">
        <v>7</v>
      </c>
      <c r="H64" s="672">
        <v>490</v>
      </c>
      <c r="I64" s="672">
        <v>304</v>
      </c>
      <c r="J64" s="673">
        <v>186</v>
      </c>
      <c r="K64" s="672">
        <v>11</v>
      </c>
      <c r="L64" s="673">
        <v>59</v>
      </c>
    </row>
    <row r="65" spans="1:12" ht="14.95" thickBot="1" x14ac:dyDescent="0.3">
      <c r="A65" s="674">
        <v>3</v>
      </c>
      <c r="B65" s="675" t="s">
        <v>39</v>
      </c>
      <c r="C65" s="676" t="s">
        <v>165</v>
      </c>
      <c r="D65" s="677">
        <v>19</v>
      </c>
      <c r="E65" s="678">
        <v>12</v>
      </c>
      <c r="F65" s="677">
        <v>1</v>
      </c>
      <c r="G65" s="677">
        <v>6</v>
      </c>
      <c r="H65" s="677">
        <v>450</v>
      </c>
      <c r="I65" s="677">
        <v>388</v>
      </c>
      <c r="J65" s="678">
        <v>62</v>
      </c>
      <c r="K65" s="677">
        <v>8</v>
      </c>
      <c r="L65" s="678">
        <v>58</v>
      </c>
    </row>
    <row r="66" spans="1:12" ht="14.95" thickBot="1" x14ac:dyDescent="0.3">
      <c r="A66" s="674">
        <v>4</v>
      </c>
      <c r="B66" s="675" t="s">
        <v>39</v>
      </c>
      <c r="C66" s="676" t="s">
        <v>106</v>
      </c>
      <c r="D66" s="677">
        <v>19</v>
      </c>
      <c r="E66" s="678">
        <v>11</v>
      </c>
      <c r="F66" s="677">
        <v>0</v>
      </c>
      <c r="G66" s="677">
        <v>8</v>
      </c>
      <c r="H66" s="677">
        <v>525</v>
      </c>
      <c r="I66" s="677">
        <v>434</v>
      </c>
      <c r="J66" s="678">
        <v>91</v>
      </c>
      <c r="K66" s="677">
        <v>12</v>
      </c>
      <c r="L66" s="678">
        <v>56</v>
      </c>
    </row>
    <row r="67" spans="1:12" ht="14.95" thickBot="1" x14ac:dyDescent="0.3">
      <c r="A67" s="679">
        <v>5</v>
      </c>
      <c r="B67" s="680" t="s">
        <v>39</v>
      </c>
      <c r="C67" s="681" t="s">
        <v>274</v>
      </c>
      <c r="D67" s="682">
        <v>19</v>
      </c>
      <c r="E67" s="683">
        <v>12</v>
      </c>
      <c r="F67" s="682">
        <v>0</v>
      </c>
      <c r="G67" s="682">
        <v>7</v>
      </c>
      <c r="H67" s="682">
        <v>435</v>
      </c>
      <c r="I67" s="682">
        <v>398</v>
      </c>
      <c r="J67" s="683">
        <v>37</v>
      </c>
      <c r="K67" s="682">
        <v>7</v>
      </c>
      <c r="L67" s="683">
        <v>55</v>
      </c>
    </row>
    <row r="68" spans="1:12" ht="14.95" thickBot="1" x14ac:dyDescent="0.3">
      <c r="A68" s="679">
        <v>6</v>
      </c>
      <c r="B68" s="680" t="s">
        <v>521</v>
      </c>
      <c r="C68" s="681" t="s">
        <v>9</v>
      </c>
      <c r="D68" s="682">
        <v>19</v>
      </c>
      <c r="E68" s="683">
        <v>8</v>
      </c>
      <c r="F68" s="682">
        <v>1</v>
      </c>
      <c r="G68" s="682">
        <v>10</v>
      </c>
      <c r="H68" s="682">
        <v>434</v>
      </c>
      <c r="I68" s="682">
        <v>487</v>
      </c>
      <c r="J68" s="683">
        <v>-53</v>
      </c>
      <c r="K68" s="683">
        <v>8</v>
      </c>
      <c r="L68" s="683">
        <v>42</v>
      </c>
    </row>
    <row r="69" spans="1:12" ht="14.95" thickBot="1" x14ac:dyDescent="0.3">
      <c r="A69" s="679">
        <v>7</v>
      </c>
      <c r="B69" s="680" t="s">
        <v>526</v>
      </c>
      <c r="C69" s="681" t="s">
        <v>25</v>
      </c>
      <c r="D69" s="682">
        <v>19</v>
      </c>
      <c r="E69" s="683">
        <v>8</v>
      </c>
      <c r="F69" s="682">
        <v>0</v>
      </c>
      <c r="G69" s="682">
        <v>11</v>
      </c>
      <c r="H69" s="682">
        <v>400</v>
      </c>
      <c r="I69" s="682">
        <v>465</v>
      </c>
      <c r="J69" s="683">
        <v>-65</v>
      </c>
      <c r="K69" s="682">
        <v>9</v>
      </c>
      <c r="L69" s="683">
        <v>41</v>
      </c>
    </row>
    <row r="70" spans="1:12" ht="14.95" thickBot="1" x14ac:dyDescent="0.3">
      <c r="A70" s="679">
        <v>8</v>
      </c>
      <c r="B70" s="680" t="s">
        <v>526</v>
      </c>
      <c r="C70" s="681" t="s">
        <v>24</v>
      </c>
      <c r="D70" s="682">
        <v>19</v>
      </c>
      <c r="E70" s="683">
        <v>7</v>
      </c>
      <c r="F70" s="682">
        <v>0</v>
      </c>
      <c r="G70" s="682">
        <v>12</v>
      </c>
      <c r="H70" s="682">
        <v>460</v>
      </c>
      <c r="I70" s="682">
        <v>454</v>
      </c>
      <c r="J70" s="683">
        <v>6</v>
      </c>
      <c r="K70" s="682">
        <v>13</v>
      </c>
      <c r="L70" s="683">
        <v>41</v>
      </c>
    </row>
    <row r="71" spans="1:12" ht="14.95" thickBot="1" x14ac:dyDescent="0.3">
      <c r="A71" s="684">
        <v>9</v>
      </c>
      <c r="B71" s="685" t="s">
        <v>39</v>
      </c>
      <c r="C71" s="686" t="s">
        <v>11</v>
      </c>
      <c r="D71" s="687">
        <v>19</v>
      </c>
      <c r="E71" s="688">
        <v>5</v>
      </c>
      <c r="F71" s="687">
        <v>1</v>
      </c>
      <c r="G71" s="687">
        <v>13</v>
      </c>
      <c r="H71" s="687">
        <v>332</v>
      </c>
      <c r="I71" s="687">
        <v>538</v>
      </c>
      <c r="J71" s="688">
        <v>-206</v>
      </c>
      <c r="K71" s="687">
        <v>7</v>
      </c>
      <c r="L71" s="688">
        <v>29</v>
      </c>
    </row>
    <row r="72" spans="1:12" ht="14.95" thickBot="1" x14ac:dyDescent="0.3">
      <c r="A72" s="684">
        <v>10</v>
      </c>
      <c r="B72" s="685" t="s">
        <v>39</v>
      </c>
      <c r="C72" s="686" t="s">
        <v>23</v>
      </c>
      <c r="D72" s="687">
        <v>19</v>
      </c>
      <c r="E72" s="688">
        <v>5</v>
      </c>
      <c r="F72" s="687">
        <v>0</v>
      </c>
      <c r="G72" s="687">
        <v>14</v>
      </c>
      <c r="H72" s="687">
        <v>298</v>
      </c>
      <c r="I72" s="687">
        <v>526</v>
      </c>
      <c r="J72" s="688">
        <v>-228</v>
      </c>
      <c r="K72" s="687">
        <v>7</v>
      </c>
      <c r="L72" s="688">
        <v>27</v>
      </c>
    </row>
    <row r="73" spans="1:12" ht="14.95" thickBot="1" x14ac:dyDescent="0.3">
      <c r="A73" s="684">
        <v>11</v>
      </c>
      <c r="B73" s="685" t="s">
        <v>39</v>
      </c>
      <c r="C73" s="686" t="s">
        <v>26</v>
      </c>
      <c r="D73" s="687">
        <v>19</v>
      </c>
      <c r="E73" s="688">
        <v>5</v>
      </c>
      <c r="F73" s="687">
        <v>1</v>
      </c>
      <c r="G73" s="687">
        <v>13</v>
      </c>
      <c r="H73" s="687">
        <v>317</v>
      </c>
      <c r="I73" s="687">
        <v>513</v>
      </c>
      <c r="J73" s="688">
        <v>-196</v>
      </c>
      <c r="K73" s="687">
        <v>2</v>
      </c>
      <c r="L73" s="688">
        <v>24</v>
      </c>
    </row>
    <row r="74" spans="1:12" ht="14.95" thickBot="1" x14ac:dyDescent="0.3">
      <c r="A74" s="689" t="s">
        <v>50</v>
      </c>
      <c r="B74" s="690" t="s">
        <v>39</v>
      </c>
      <c r="C74" s="691" t="s">
        <v>539</v>
      </c>
      <c r="D74" s="693">
        <v>19</v>
      </c>
      <c r="E74" s="693">
        <v>12</v>
      </c>
      <c r="F74" s="693">
        <v>0</v>
      </c>
      <c r="G74" s="693">
        <v>7</v>
      </c>
      <c r="H74" s="693">
        <v>499</v>
      </c>
      <c r="I74" s="693">
        <v>387</v>
      </c>
      <c r="J74" s="693">
        <v>112</v>
      </c>
      <c r="K74" s="693">
        <v>11</v>
      </c>
      <c r="L74" s="693">
        <v>-46</v>
      </c>
    </row>
    <row r="75" spans="1:12" x14ac:dyDescent="0.25">
      <c r="A75" s="99" t="s">
        <v>770</v>
      </c>
    </row>
    <row r="76" spans="1:12" ht="14.95" x14ac:dyDescent="0.25">
      <c r="A76" s="642"/>
    </row>
    <row r="77" spans="1:12" ht="14.95" x14ac:dyDescent="0.25">
      <c r="A77" s="286" t="s">
        <v>921</v>
      </c>
    </row>
    <row r="78" spans="1:12" ht="15.8" thickBot="1" x14ac:dyDescent="0.3">
      <c r="A78" s="642"/>
    </row>
    <row r="79" spans="1:12" ht="15.8" thickBot="1" x14ac:dyDescent="0.3">
      <c r="A79" s="662" t="s">
        <v>29</v>
      </c>
      <c r="B79" s="663" t="s">
        <v>30</v>
      </c>
      <c r="C79" s="663"/>
      <c r="D79" s="663" t="s">
        <v>31</v>
      </c>
      <c r="E79" s="664" t="s">
        <v>32</v>
      </c>
      <c r="F79" s="663" t="s">
        <v>33</v>
      </c>
      <c r="G79" s="663" t="s">
        <v>34</v>
      </c>
      <c r="H79" s="663" t="s">
        <v>35</v>
      </c>
      <c r="I79" s="663" t="s">
        <v>36</v>
      </c>
      <c r="J79" s="664" t="s">
        <v>267</v>
      </c>
      <c r="K79" s="663" t="s">
        <v>37</v>
      </c>
      <c r="L79" s="664" t="s">
        <v>38</v>
      </c>
    </row>
    <row r="80" spans="1:12" ht="14.95" thickBot="1" x14ac:dyDescent="0.3">
      <c r="A80" s="670">
        <v>1</v>
      </c>
      <c r="B80" s="666" t="s">
        <v>39</v>
      </c>
      <c r="C80" s="671" t="s">
        <v>273</v>
      </c>
      <c r="D80" s="672">
        <v>18</v>
      </c>
      <c r="E80" s="673">
        <v>14</v>
      </c>
      <c r="F80" s="672">
        <v>0</v>
      </c>
      <c r="G80" s="672">
        <v>4</v>
      </c>
      <c r="H80" s="672">
        <v>554</v>
      </c>
      <c r="I80" s="672">
        <v>313</v>
      </c>
      <c r="J80" s="673">
        <v>241</v>
      </c>
      <c r="K80" s="672">
        <v>12</v>
      </c>
      <c r="L80" s="673">
        <v>68</v>
      </c>
    </row>
    <row r="81" spans="1:12" ht="14.95" thickBot="1" x14ac:dyDescent="0.3">
      <c r="A81" s="670">
        <v>2</v>
      </c>
      <c r="B81" s="666" t="s">
        <v>39</v>
      </c>
      <c r="C81" s="671" t="s">
        <v>27</v>
      </c>
      <c r="D81" s="672">
        <v>18</v>
      </c>
      <c r="E81" s="673">
        <v>11</v>
      </c>
      <c r="F81" s="672">
        <v>0</v>
      </c>
      <c r="G81" s="672">
        <v>7</v>
      </c>
      <c r="H81" s="672">
        <v>466</v>
      </c>
      <c r="I81" s="672">
        <v>287</v>
      </c>
      <c r="J81" s="673">
        <v>179</v>
      </c>
      <c r="K81" s="672">
        <v>11</v>
      </c>
      <c r="L81" s="673">
        <v>55</v>
      </c>
    </row>
    <row r="82" spans="1:12" ht="14.95" thickBot="1" x14ac:dyDescent="0.3">
      <c r="A82" s="674">
        <v>3</v>
      </c>
      <c r="B82" s="675" t="s">
        <v>39</v>
      </c>
      <c r="C82" s="676" t="s">
        <v>165</v>
      </c>
      <c r="D82" s="677">
        <v>18</v>
      </c>
      <c r="E82" s="678">
        <v>11</v>
      </c>
      <c r="F82" s="677">
        <v>1</v>
      </c>
      <c r="G82" s="677">
        <v>6</v>
      </c>
      <c r="H82" s="677">
        <v>403</v>
      </c>
      <c r="I82" s="677">
        <v>378</v>
      </c>
      <c r="J82" s="678">
        <v>25</v>
      </c>
      <c r="K82" s="677">
        <v>7</v>
      </c>
      <c r="L82" s="678">
        <v>53</v>
      </c>
    </row>
    <row r="83" spans="1:12" ht="14.95" thickBot="1" x14ac:dyDescent="0.3">
      <c r="A83" s="674">
        <v>4</v>
      </c>
      <c r="B83" s="675" t="s">
        <v>39</v>
      </c>
      <c r="C83" s="676" t="s">
        <v>106</v>
      </c>
      <c r="D83" s="677">
        <v>18</v>
      </c>
      <c r="E83" s="678">
        <v>10</v>
      </c>
      <c r="F83" s="677">
        <v>0</v>
      </c>
      <c r="G83" s="677">
        <v>8</v>
      </c>
      <c r="H83" s="677">
        <v>471</v>
      </c>
      <c r="I83" s="677">
        <v>427</v>
      </c>
      <c r="J83" s="678">
        <v>44</v>
      </c>
      <c r="K83" s="677">
        <v>11</v>
      </c>
      <c r="L83" s="678">
        <v>51</v>
      </c>
    </row>
    <row r="84" spans="1:12" ht="14.95" thickBot="1" x14ac:dyDescent="0.3">
      <c r="A84" s="679">
        <v>5</v>
      </c>
      <c r="B84" s="680" t="s">
        <v>39</v>
      </c>
      <c r="C84" s="681" t="s">
        <v>274</v>
      </c>
      <c r="D84" s="682">
        <v>18</v>
      </c>
      <c r="E84" s="683">
        <v>11</v>
      </c>
      <c r="F84" s="682">
        <v>0</v>
      </c>
      <c r="G84" s="682">
        <v>7</v>
      </c>
      <c r="H84" s="682">
        <v>395</v>
      </c>
      <c r="I84" s="682">
        <v>383</v>
      </c>
      <c r="J84" s="683">
        <v>12</v>
      </c>
      <c r="K84" s="682">
        <v>6</v>
      </c>
      <c r="L84" s="683">
        <v>50</v>
      </c>
    </row>
    <row r="85" spans="1:12" ht="14.95" thickBot="1" x14ac:dyDescent="0.3">
      <c r="A85" s="679">
        <v>6</v>
      </c>
      <c r="B85" s="680" t="s">
        <v>39</v>
      </c>
      <c r="C85" s="681" t="s">
        <v>25</v>
      </c>
      <c r="D85" s="682">
        <v>18</v>
      </c>
      <c r="E85" s="683">
        <v>8</v>
      </c>
      <c r="F85" s="682">
        <v>0</v>
      </c>
      <c r="G85" s="682">
        <v>10</v>
      </c>
      <c r="H85" s="682">
        <v>390</v>
      </c>
      <c r="I85" s="682">
        <v>418</v>
      </c>
      <c r="J85" s="683">
        <v>-28</v>
      </c>
      <c r="K85" s="682">
        <v>9</v>
      </c>
      <c r="L85" s="683">
        <v>41</v>
      </c>
    </row>
    <row r="86" spans="1:12" ht="14.95" thickBot="1" x14ac:dyDescent="0.3">
      <c r="A86" s="679">
        <v>7</v>
      </c>
      <c r="B86" s="680" t="s">
        <v>536</v>
      </c>
      <c r="C86" s="681" t="s">
        <v>24</v>
      </c>
      <c r="D86" s="682">
        <v>18</v>
      </c>
      <c r="E86" s="683">
        <v>7</v>
      </c>
      <c r="F86" s="682">
        <v>0</v>
      </c>
      <c r="G86" s="682">
        <v>11</v>
      </c>
      <c r="H86" s="682">
        <v>438</v>
      </c>
      <c r="I86" s="682">
        <v>419</v>
      </c>
      <c r="J86" s="683">
        <v>19</v>
      </c>
      <c r="K86" s="682">
        <v>13</v>
      </c>
      <c r="L86" s="683">
        <v>41</v>
      </c>
    </row>
    <row r="87" spans="1:12" ht="14.95" thickBot="1" x14ac:dyDescent="0.3">
      <c r="A87" s="679">
        <v>8</v>
      </c>
      <c r="B87" s="680" t="s">
        <v>526</v>
      </c>
      <c r="C87" s="681" t="s">
        <v>9</v>
      </c>
      <c r="D87" s="682">
        <v>18</v>
      </c>
      <c r="E87" s="683">
        <v>7</v>
      </c>
      <c r="F87" s="682">
        <v>1</v>
      </c>
      <c r="G87" s="682">
        <v>10</v>
      </c>
      <c r="H87" s="682">
        <v>396</v>
      </c>
      <c r="I87" s="682">
        <v>472</v>
      </c>
      <c r="J87" s="683">
        <v>-76</v>
      </c>
      <c r="K87" s="683">
        <v>7</v>
      </c>
      <c r="L87" s="683">
        <v>37</v>
      </c>
    </row>
    <row r="88" spans="1:12" ht="14.95" thickBot="1" x14ac:dyDescent="0.3">
      <c r="A88" s="684">
        <v>9</v>
      </c>
      <c r="B88" s="685" t="s">
        <v>39</v>
      </c>
      <c r="C88" s="686" t="s">
        <v>11</v>
      </c>
      <c r="D88" s="687">
        <v>18</v>
      </c>
      <c r="E88" s="688">
        <v>5</v>
      </c>
      <c r="F88" s="687">
        <v>1</v>
      </c>
      <c r="G88" s="687">
        <v>12</v>
      </c>
      <c r="H88" s="687">
        <v>317</v>
      </c>
      <c r="I88" s="687">
        <v>500</v>
      </c>
      <c r="J88" s="688">
        <v>-183</v>
      </c>
      <c r="K88" s="687">
        <v>7</v>
      </c>
      <c r="L88" s="688">
        <v>29</v>
      </c>
    </row>
    <row r="89" spans="1:12" ht="14.95" thickBot="1" x14ac:dyDescent="0.3">
      <c r="A89" s="684">
        <v>10</v>
      </c>
      <c r="B89" s="685" t="s">
        <v>39</v>
      </c>
      <c r="C89" s="686" t="s">
        <v>23</v>
      </c>
      <c r="D89" s="687">
        <v>18</v>
      </c>
      <c r="E89" s="688">
        <v>5</v>
      </c>
      <c r="F89" s="687">
        <v>0</v>
      </c>
      <c r="G89" s="687">
        <v>13</v>
      </c>
      <c r="H89" s="687">
        <v>283</v>
      </c>
      <c r="I89" s="687">
        <v>486</v>
      </c>
      <c r="J89" s="688">
        <v>-203</v>
      </c>
      <c r="K89" s="687">
        <v>7</v>
      </c>
      <c r="L89" s="688">
        <v>27</v>
      </c>
    </row>
    <row r="90" spans="1:12" ht="14.95" thickBot="1" x14ac:dyDescent="0.3">
      <c r="A90" s="684">
        <v>11</v>
      </c>
      <c r="B90" s="685" t="s">
        <v>39</v>
      </c>
      <c r="C90" s="686" t="s">
        <v>26</v>
      </c>
      <c r="D90" s="687">
        <v>18</v>
      </c>
      <c r="E90" s="688">
        <v>5</v>
      </c>
      <c r="F90" s="687">
        <v>1</v>
      </c>
      <c r="G90" s="687">
        <v>12</v>
      </c>
      <c r="H90" s="687">
        <v>310</v>
      </c>
      <c r="I90" s="687">
        <v>459</v>
      </c>
      <c r="J90" s="688">
        <v>-149</v>
      </c>
      <c r="K90" s="687">
        <v>2</v>
      </c>
      <c r="L90" s="688">
        <v>24</v>
      </c>
    </row>
    <row r="91" spans="1:12" ht="14.95" thickBot="1" x14ac:dyDescent="0.3">
      <c r="A91" s="689" t="s">
        <v>50</v>
      </c>
      <c r="B91" s="690" t="s">
        <v>39</v>
      </c>
      <c r="C91" s="691" t="s">
        <v>539</v>
      </c>
      <c r="D91" s="693">
        <v>18</v>
      </c>
      <c r="E91" s="693">
        <v>12</v>
      </c>
      <c r="F91" s="693">
        <v>0</v>
      </c>
      <c r="G91" s="693">
        <v>6</v>
      </c>
      <c r="H91" s="693">
        <v>482</v>
      </c>
      <c r="I91" s="693">
        <v>363</v>
      </c>
      <c r="J91" s="693">
        <v>119</v>
      </c>
      <c r="K91" s="693">
        <v>10</v>
      </c>
      <c r="L91" s="693">
        <v>-47</v>
      </c>
    </row>
    <row r="92" spans="1:12" x14ac:dyDescent="0.25">
      <c r="A92" s="99" t="s">
        <v>770</v>
      </c>
      <c r="B92" s="859"/>
      <c r="C92" s="127"/>
      <c r="D92" s="860"/>
      <c r="E92" s="860"/>
      <c r="F92" s="860"/>
      <c r="G92" s="860"/>
      <c r="H92" s="860"/>
      <c r="I92" s="860"/>
      <c r="J92" s="860"/>
      <c r="K92" s="860"/>
      <c r="L92" s="860"/>
    </row>
    <row r="93" spans="1:12" ht="14.95" x14ac:dyDescent="0.25">
      <c r="A93" s="642"/>
    </row>
    <row r="94" spans="1:12" ht="14.95" x14ac:dyDescent="0.25">
      <c r="A94" s="286" t="s">
        <v>911</v>
      </c>
    </row>
    <row r="95" spans="1:12" ht="15.8" thickBot="1" x14ac:dyDescent="0.3">
      <c r="A95" s="642"/>
    </row>
    <row r="96" spans="1:12" ht="15.8" thickBot="1" x14ac:dyDescent="0.3">
      <c r="A96" s="662" t="s">
        <v>29</v>
      </c>
      <c r="B96" s="663" t="s">
        <v>30</v>
      </c>
      <c r="C96" s="663"/>
      <c r="D96" s="663" t="s">
        <v>31</v>
      </c>
      <c r="E96" s="664" t="s">
        <v>32</v>
      </c>
      <c r="F96" s="663" t="s">
        <v>33</v>
      </c>
      <c r="G96" s="663" t="s">
        <v>34</v>
      </c>
      <c r="H96" s="663" t="s">
        <v>35</v>
      </c>
      <c r="I96" s="663" t="s">
        <v>36</v>
      </c>
      <c r="J96" s="664" t="s">
        <v>267</v>
      </c>
      <c r="K96" s="663" t="s">
        <v>37</v>
      </c>
      <c r="L96" s="664" t="s">
        <v>38</v>
      </c>
    </row>
    <row r="97" spans="1:12" ht="14.95" thickBot="1" x14ac:dyDescent="0.3">
      <c r="A97" s="658">
        <v>1</v>
      </c>
      <c r="B97" s="572" t="s">
        <v>39</v>
      </c>
      <c r="C97" s="735" t="s">
        <v>273</v>
      </c>
      <c r="D97" s="672">
        <v>17</v>
      </c>
      <c r="E97" s="673">
        <v>13</v>
      </c>
      <c r="F97" s="672">
        <v>0</v>
      </c>
      <c r="G97" s="672">
        <v>4</v>
      </c>
      <c r="H97" s="672">
        <v>532</v>
      </c>
      <c r="I97" s="672">
        <v>294</v>
      </c>
      <c r="J97" s="673">
        <v>238</v>
      </c>
      <c r="K97" s="672">
        <v>12</v>
      </c>
      <c r="L97" s="673">
        <v>64</v>
      </c>
    </row>
    <row r="98" spans="1:12" ht="14.95" thickBot="1" x14ac:dyDescent="0.3">
      <c r="A98" s="658">
        <v>2</v>
      </c>
      <c r="B98" s="572" t="s">
        <v>536</v>
      </c>
      <c r="C98" s="820" t="s">
        <v>27</v>
      </c>
      <c r="D98" s="856">
        <v>17</v>
      </c>
      <c r="E98" s="857">
        <v>10</v>
      </c>
      <c r="F98" s="856">
        <v>0</v>
      </c>
      <c r="G98" s="856">
        <v>7</v>
      </c>
      <c r="H98" s="856">
        <v>426</v>
      </c>
      <c r="I98" s="856">
        <v>256</v>
      </c>
      <c r="J98" s="857">
        <v>170</v>
      </c>
      <c r="K98" s="856">
        <v>10</v>
      </c>
      <c r="L98" s="857">
        <v>50</v>
      </c>
    </row>
    <row r="99" spans="1:12" ht="14.95" thickBot="1" x14ac:dyDescent="0.3">
      <c r="A99" s="525">
        <v>3</v>
      </c>
      <c r="B99" s="675" t="s">
        <v>526</v>
      </c>
      <c r="C99" s="526" t="s">
        <v>165</v>
      </c>
      <c r="D99" s="677">
        <v>17</v>
      </c>
      <c r="E99" s="678">
        <v>10</v>
      </c>
      <c r="F99" s="677">
        <v>1</v>
      </c>
      <c r="G99" s="677">
        <v>6</v>
      </c>
      <c r="H99" s="677">
        <v>367</v>
      </c>
      <c r="I99" s="677">
        <v>365</v>
      </c>
      <c r="J99" s="678">
        <v>2</v>
      </c>
      <c r="K99" s="677">
        <v>6</v>
      </c>
      <c r="L99" s="678">
        <v>48</v>
      </c>
    </row>
    <row r="100" spans="1:12" ht="14.95" thickBot="1" x14ac:dyDescent="0.3">
      <c r="A100" s="821">
        <v>4</v>
      </c>
      <c r="B100" s="456" t="s">
        <v>536</v>
      </c>
      <c r="C100" s="822" t="s">
        <v>106</v>
      </c>
      <c r="D100" s="677">
        <v>17</v>
      </c>
      <c r="E100" s="678">
        <v>9</v>
      </c>
      <c r="F100" s="677">
        <v>0</v>
      </c>
      <c r="G100" s="677">
        <v>8</v>
      </c>
      <c r="H100" s="677">
        <v>443</v>
      </c>
      <c r="I100" s="677">
        <v>409</v>
      </c>
      <c r="J100" s="678">
        <v>34</v>
      </c>
      <c r="K100" s="677">
        <v>11</v>
      </c>
      <c r="L100" s="678">
        <v>47</v>
      </c>
    </row>
    <row r="101" spans="1:12" ht="14.95" thickBot="1" x14ac:dyDescent="0.3">
      <c r="A101" s="578">
        <v>5</v>
      </c>
      <c r="B101" s="459" t="s">
        <v>526</v>
      </c>
      <c r="C101" s="819" t="s">
        <v>274</v>
      </c>
      <c r="D101" s="682">
        <v>17</v>
      </c>
      <c r="E101" s="683">
        <v>10</v>
      </c>
      <c r="F101" s="682">
        <v>0</v>
      </c>
      <c r="G101" s="682">
        <v>7</v>
      </c>
      <c r="H101" s="682">
        <v>354</v>
      </c>
      <c r="I101" s="682">
        <v>356</v>
      </c>
      <c r="J101" s="683">
        <v>-2</v>
      </c>
      <c r="K101" s="682">
        <v>5</v>
      </c>
      <c r="L101" s="683">
        <v>45</v>
      </c>
    </row>
    <row r="102" spans="1:12" ht="14.95" thickBot="1" x14ac:dyDescent="0.3">
      <c r="A102" s="578">
        <v>6</v>
      </c>
      <c r="B102" s="459" t="s">
        <v>39</v>
      </c>
      <c r="C102" s="819" t="s">
        <v>25</v>
      </c>
      <c r="D102" s="682">
        <v>17</v>
      </c>
      <c r="E102" s="683">
        <v>8</v>
      </c>
      <c r="F102" s="682">
        <v>0</v>
      </c>
      <c r="G102" s="682">
        <v>9</v>
      </c>
      <c r="H102" s="682">
        <v>371</v>
      </c>
      <c r="I102" s="682">
        <v>396</v>
      </c>
      <c r="J102" s="683">
        <v>-25</v>
      </c>
      <c r="K102" s="682">
        <v>8</v>
      </c>
      <c r="L102" s="683">
        <v>40</v>
      </c>
    </row>
    <row r="103" spans="1:12" ht="14.95" thickBot="1" x14ac:dyDescent="0.3">
      <c r="A103" s="579">
        <v>7</v>
      </c>
      <c r="B103" s="459" t="s">
        <v>39</v>
      </c>
      <c r="C103" s="855" t="s">
        <v>9</v>
      </c>
      <c r="D103" s="682">
        <v>17</v>
      </c>
      <c r="E103" s="683">
        <v>7</v>
      </c>
      <c r="F103" s="682">
        <v>1</v>
      </c>
      <c r="G103" s="682">
        <v>9</v>
      </c>
      <c r="H103" s="682">
        <v>369</v>
      </c>
      <c r="I103" s="682">
        <v>431</v>
      </c>
      <c r="J103" s="683">
        <v>-62</v>
      </c>
      <c r="K103" s="683">
        <v>7</v>
      </c>
      <c r="L103" s="683">
        <v>37</v>
      </c>
    </row>
    <row r="104" spans="1:12" ht="14.95" thickBot="1" x14ac:dyDescent="0.3">
      <c r="A104" s="578">
        <v>8</v>
      </c>
      <c r="B104" s="459" t="s">
        <v>39</v>
      </c>
      <c r="C104" s="575" t="s">
        <v>24</v>
      </c>
      <c r="D104" s="682">
        <v>17</v>
      </c>
      <c r="E104" s="683">
        <v>6</v>
      </c>
      <c r="F104" s="682">
        <v>0</v>
      </c>
      <c r="G104" s="682">
        <v>11</v>
      </c>
      <c r="H104" s="682">
        <v>402</v>
      </c>
      <c r="I104" s="682">
        <v>396</v>
      </c>
      <c r="J104" s="683">
        <v>6</v>
      </c>
      <c r="K104" s="682">
        <v>12</v>
      </c>
      <c r="L104" s="683">
        <v>36</v>
      </c>
    </row>
    <row r="105" spans="1:12" ht="14.95" thickBot="1" x14ac:dyDescent="0.3">
      <c r="A105" s="684">
        <v>9</v>
      </c>
      <c r="B105" s="685" t="s">
        <v>39</v>
      </c>
      <c r="C105" s="686" t="s">
        <v>11</v>
      </c>
      <c r="D105" s="687">
        <v>17</v>
      </c>
      <c r="E105" s="688">
        <v>5</v>
      </c>
      <c r="F105" s="687">
        <v>1</v>
      </c>
      <c r="G105" s="687">
        <v>11</v>
      </c>
      <c r="H105" s="687">
        <v>294</v>
      </c>
      <c r="I105" s="687">
        <v>464</v>
      </c>
      <c r="J105" s="688">
        <v>-170</v>
      </c>
      <c r="K105" s="687">
        <v>7</v>
      </c>
      <c r="L105" s="688">
        <v>29</v>
      </c>
    </row>
    <row r="106" spans="1:12" ht="14.95" thickBot="1" x14ac:dyDescent="0.3">
      <c r="A106" s="684">
        <v>10</v>
      </c>
      <c r="B106" s="685" t="s">
        <v>39</v>
      </c>
      <c r="C106" s="686" t="s">
        <v>23</v>
      </c>
      <c r="D106" s="687">
        <v>17</v>
      </c>
      <c r="E106" s="688">
        <v>5</v>
      </c>
      <c r="F106" s="687">
        <v>0</v>
      </c>
      <c r="G106" s="687">
        <v>12</v>
      </c>
      <c r="H106" s="687">
        <v>270</v>
      </c>
      <c r="I106" s="687">
        <v>450</v>
      </c>
      <c r="J106" s="688">
        <v>-180</v>
      </c>
      <c r="K106" s="687">
        <v>7</v>
      </c>
      <c r="L106" s="688">
        <v>27</v>
      </c>
    </row>
    <row r="107" spans="1:12" ht="14.95" thickBot="1" x14ac:dyDescent="0.3">
      <c r="A107" s="684">
        <v>11</v>
      </c>
      <c r="B107" s="685" t="s">
        <v>39</v>
      </c>
      <c r="C107" s="686" t="s">
        <v>26</v>
      </c>
      <c r="D107" s="687">
        <v>17</v>
      </c>
      <c r="E107" s="688">
        <v>5</v>
      </c>
      <c r="F107" s="687">
        <v>1</v>
      </c>
      <c r="G107" s="687">
        <v>11</v>
      </c>
      <c r="H107" s="687">
        <v>279</v>
      </c>
      <c r="I107" s="687">
        <v>419</v>
      </c>
      <c r="J107" s="688">
        <v>-140</v>
      </c>
      <c r="K107" s="687">
        <v>2</v>
      </c>
      <c r="L107" s="688">
        <v>24</v>
      </c>
    </row>
    <row r="108" spans="1:12" ht="14.95" thickBot="1" x14ac:dyDescent="0.3">
      <c r="A108" s="689" t="s">
        <v>50</v>
      </c>
      <c r="B108" s="690" t="s">
        <v>39</v>
      </c>
      <c r="C108" s="691" t="s">
        <v>539</v>
      </c>
      <c r="D108" s="693">
        <v>17</v>
      </c>
      <c r="E108" s="693">
        <v>12</v>
      </c>
      <c r="F108" s="693">
        <v>0</v>
      </c>
      <c r="G108" s="693">
        <v>5</v>
      </c>
      <c r="H108" s="693">
        <v>464</v>
      </c>
      <c r="I108" s="693">
        <v>335</v>
      </c>
      <c r="J108" s="693">
        <v>129</v>
      </c>
      <c r="K108" s="693">
        <v>10</v>
      </c>
      <c r="L108" s="693">
        <v>-47</v>
      </c>
    </row>
    <row r="109" spans="1:12" x14ac:dyDescent="0.25">
      <c r="A109" t="s">
        <v>770</v>
      </c>
    </row>
    <row r="110" spans="1:12" ht="14.95" x14ac:dyDescent="0.25">
      <c r="A110" s="642"/>
    </row>
    <row r="111" spans="1:12" ht="14.95" x14ac:dyDescent="0.25">
      <c r="A111" s="286" t="s">
        <v>900</v>
      </c>
    </row>
    <row r="113" spans="1:12" ht="15.8" thickBot="1" x14ac:dyDescent="0.3">
      <c r="A113" s="662" t="s">
        <v>29</v>
      </c>
      <c r="B113" s="663" t="s">
        <v>30</v>
      </c>
      <c r="C113" s="663"/>
      <c r="D113" s="663" t="s">
        <v>31</v>
      </c>
      <c r="E113" s="664" t="s">
        <v>32</v>
      </c>
      <c r="F113" s="663" t="s">
        <v>33</v>
      </c>
      <c r="G113" s="663" t="s">
        <v>34</v>
      </c>
      <c r="H113" s="663" t="s">
        <v>35</v>
      </c>
      <c r="I113" s="663" t="s">
        <v>36</v>
      </c>
      <c r="J113" s="664" t="s">
        <v>267</v>
      </c>
      <c r="K113" s="663" t="s">
        <v>37</v>
      </c>
      <c r="L113" s="664" t="s">
        <v>38</v>
      </c>
    </row>
    <row r="114" spans="1:12" ht="14.95" thickBot="1" x14ac:dyDescent="0.3">
      <c r="A114" s="670">
        <v>1</v>
      </c>
      <c r="B114" s="666" t="s">
        <v>39</v>
      </c>
      <c r="C114" s="671" t="s">
        <v>273</v>
      </c>
      <c r="D114" s="672">
        <v>16</v>
      </c>
      <c r="E114" s="673">
        <v>12</v>
      </c>
      <c r="F114" s="672">
        <v>0</v>
      </c>
      <c r="G114" s="672">
        <v>4</v>
      </c>
      <c r="H114" s="672">
        <v>473</v>
      </c>
      <c r="I114" s="672">
        <v>287</v>
      </c>
      <c r="J114" s="673">
        <v>186</v>
      </c>
      <c r="K114" s="672">
        <v>11</v>
      </c>
      <c r="L114" s="673">
        <v>59</v>
      </c>
    </row>
    <row r="115" spans="1:12" ht="14.95" thickBot="1" x14ac:dyDescent="0.3">
      <c r="A115" s="670">
        <v>2</v>
      </c>
      <c r="B115" s="666" t="s">
        <v>39</v>
      </c>
      <c r="C115" s="671" t="s">
        <v>165</v>
      </c>
      <c r="D115" s="672">
        <v>16</v>
      </c>
      <c r="E115" s="673">
        <v>10</v>
      </c>
      <c r="F115" s="672">
        <v>1</v>
      </c>
      <c r="G115" s="672">
        <v>5</v>
      </c>
      <c r="H115" s="672">
        <v>360</v>
      </c>
      <c r="I115" s="672">
        <v>325</v>
      </c>
      <c r="J115" s="673">
        <v>35</v>
      </c>
      <c r="K115" s="672">
        <v>6</v>
      </c>
      <c r="L115" s="673">
        <v>48</v>
      </c>
    </row>
    <row r="116" spans="1:12" ht="14.95" thickBot="1" x14ac:dyDescent="0.3">
      <c r="A116" s="674">
        <v>3</v>
      </c>
      <c r="B116" s="675" t="s">
        <v>536</v>
      </c>
      <c r="C116" s="676" t="s">
        <v>27</v>
      </c>
      <c r="D116" s="677">
        <v>16</v>
      </c>
      <c r="E116" s="678">
        <v>9</v>
      </c>
      <c r="F116" s="677">
        <v>0</v>
      </c>
      <c r="G116" s="677">
        <v>7</v>
      </c>
      <c r="H116" s="677">
        <v>386</v>
      </c>
      <c r="I116" s="677">
        <v>249</v>
      </c>
      <c r="J116" s="678">
        <v>137</v>
      </c>
      <c r="K116" s="677">
        <v>9</v>
      </c>
      <c r="L116" s="678">
        <v>45</v>
      </c>
    </row>
    <row r="117" spans="1:12" ht="14.95" thickBot="1" x14ac:dyDescent="0.3">
      <c r="A117" s="674">
        <v>4</v>
      </c>
      <c r="B117" s="675" t="s">
        <v>536</v>
      </c>
      <c r="C117" s="676" t="s">
        <v>274</v>
      </c>
      <c r="D117" s="677">
        <v>16</v>
      </c>
      <c r="E117" s="678">
        <v>10</v>
      </c>
      <c r="F117" s="677">
        <v>0</v>
      </c>
      <c r="G117" s="677">
        <v>6</v>
      </c>
      <c r="H117" s="677">
        <v>331</v>
      </c>
      <c r="I117" s="677">
        <v>329</v>
      </c>
      <c r="J117" s="678">
        <v>2</v>
      </c>
      <c r="K117" s="677">
        <v>4</v>
      </c>
      <c r="L117" s="678">
        <v>44</v>
      </c>
    </row>
    <row r="118" spans="1:12" ht="14.95" thickBot="1" x14ac:dyDescent="0.3">
      <c r="A118" s="679">
        <v>5</v>
      </c>
      <c r="B118" s="680" t="s">
        <v>525</v>
      </c>
      <c r="C118" s="681" t="s">
        <v>106</v>
      </c>
      <c r="D118" s="682">
        <v>16</v>
      </c>
      <c r="E118" s="683">
        <v>8</v>
      </c>
      <c r="F118" s="682">
        <v>0</v>
      </c>
      <c r="G118" s="682">
        <v>8</v>
      </c>
      <c r="H118" s="682">
        <v>416</v>
      </c>
      <c r="I118" s="682">
        <v>386</v>
      </c>
      <c r="J118" s="683">
        <v>30</v>
      </c>
      <c r="K118" s="682">
        <v>11</v>
      </c>
      <c r="L118" s="683">
        <v>43</v>
      </c>
    </row>
    <row r="119" spans="1:12" ht="14.95" thickBot="1" x14ac:dyDescent="0.3">
      <c r="A119" s="679">
        <v>6</v>
      </c>
      <c r="B119" s="680" t="s">
        <v>39</v>
      </c>
      <c r="C119" s="681" t="s">
        <v>25</v>
      </c>
      <c r="D119" s="682">
        <v>16</v>
      </c>
      <c r="E119" s="683">
        <v>8</v>
      </c>
      <c r="F119" s="682">
        <v>0</v>
      </c>
      <c r="G119" s="682">
        <v>8</v>
      </c>
      <c r="H119" s="682">
        <v>354</v>
      </c>
      <c r="I119" s="682">
        <v>366</v>
      </c>
      <c r="J119" s="683">
        <v>-12</v>
      </c>
      <c r="K119" s="682">
        <v>8</v>
      </c>
      <c r="L119" s="683">
        <v>40</v>
      </c>
    </row>
    <row r="120" spans="1:12" ht="14.95" thickBot="1" x14ac:dyDescent="0.3">
      <c r="A120" s="684">
        <v>7</v>
      </c>
      <c r="B120" s="685" t="s">
        <v>39</v>
      </c>
      <c r="C120" s="686" t="s">
        <v>9</v>
      </c>
      <c r="D120" s="687">
        <v>16</v>
      </c>
      <c r="E120" s="688">
        <v>6</v>
      </c>
      <c r="F120" s="687">
        <v>1</v>
      </c>
      <c r="G120" s="687">
        <v>9</v>
      </c>
      <c r="H120" s="687">
        <v>339</v>
      </c>
      <c r="I120" s="687">
        <v>414</v>
      </c>
      <c r="J120" s="688">
        <v>-75</v>
      </c>
      <c r="K120" s="688">
        <v>6</v>
      </c>
      <c r="L120" s="688">
        <v>32</v>
      </c>
    </row>
    <row r="121" spans="1:12" ht="14.95" thickBot="1" x14ac:dyDescent="0.3">
      <c r="A121" s="684">
        <v>8</v>
      </c>
      <c r="B121" s="685" t="s">
        <v>39</v>
      </c>
      <c r="C121" s="686" t="s">
        <v>24</v>
      </c>
      <c r="D121" s="687">
        <v>16</v>
      </c>
      <c r="E121" s="688">
        <v>5</v>
      </c>
      <c r="F121" s="687">
        <v>0</v>
      </c>
      <c r="G121" s="687">
        <v>11</v>
      </c>
      <c r="H121" s="687">
        <v>356</v>
      </c>
      <c r="I121" s="687">
        <v>366</v>
      </c>
      <c r="J121" s="688">
        <v>-10</v>
      </c>
      <c r="K121" s="687">
        <v>11</v>
      </c>
      <c r="L121" s="688">
        <v>31</v>
      </c>
    </row>
    <row r="122" spans="1:12" ht="14.95" thickBot="1" x14ac:dyDescent="0.3">
      <c r="A122" s="684">
        <v>9</v>
      </c>
      <c r="B122" s="685" t="s">
        <v>39</v>
      </c>
      <c r="C122" s="686" t="s">
        <v>11</v>
      </c>
      <c r="D122" s="687">
        <v>16</v>
      </c>
      <c r="E122" s="688">
        <v>5</v>
      </c>
      <c r="F122" s="687">
        <v>1</v>
      </c>
      <c r="G122" s="687">
        <v>10</v>
      </c>
      <c r="H122" s="687">
        <v>282</v>
      </c>
      <c r="I122" s="687">
        <v>424</v>
      </c>
      <c r="J122" s="688">
        <v>-142</v>
      </c>
      <c r="K122" s="687">
        <v>7</v>
      </c>
      <c r="L122" s="688">
        <v>29</v>
      </c>
    </row>
    <row r="123" spans="1:12" ht="14.95" thickBot="1" x14ac:dyDescent="0.3">
      <c r="A123" s="684">
        <v>10</v>
      </c>
      <c r="B123" s="685" t="s">
        <v>39</v>
      </c>
      <c r="C123" s="686" t="s">
        <v>23</v>
      </c>
      <c r="D123" s="687">
        <v>16</v>
      </c>
      <c r="E123" s="688">
        <v>5</v>
      </c>
      <c r="F123" s="687">
        <v>0</v>
      </c>
      <c r="G123" s="687">
        <v>11</v>
      </c>
      <c r="H123" s="687">
        <v>263</v>
      </c>
      <c r="I123" s="687">
        <v>391</v>
      </c>
      <c r="J123" s="688">
        <v>-128</v>
      </c>
      <c r="K123" s="687">
        <v>7</v>
      </c>
      <c r="L123" s="688">
        <v>27</v>
      </c>
    </row>
    <row r="124" spans="1:12" ht="14.95" thickBot="1" x14ac:dyDescent="0.3">
      <c r="A124" s="684">
        <v>11</v>
      </c>
      <c r="B124" s="685" t="s">
        <v>39</v>
      </c>
      <c r="C124" s="686" t="s">
        <v>26</v>
      </c>
      <c r="D124" s="687">
        <v>16</v>
      </c>
      <c r="E124" s="688">
        <v>5</v>
      </c>
      <c r="F124" s="687">
        <v>1</v>
      </c>
      <c r="G124" s="687">
        <v>10</v>
      </c>
      <c r="H124" s="687">
        <v>249</v>
      </c>
      <c r="I124" s="687">
        <v>373</v>
      </c>
      <c r="J124" s="688">
        <v>-124</v>
      </c>
      <c r="K124" s="687">
        <v>2</v>
      </c>
      <c r="L124" s="688">
        <v>24</v>
      </c>
    </row>
    <row r="125" spans="1:12" ht="14.95" thickBot="1" x14ac:dyDescent="0.3">
      <c r="A125" s="689" t="s">
        <v>50</v>
      </c>
      <c r="B125" s="690" t="s">
        <v>39</v>
      </c>
      <c r="C125" s="691" t="s">
        <v>539</v>
      </c>
      <c r="D125" s="693">
        <v>16</v>
      </c>
      <c r="E125" s="693">
        <v>11</v>
      </c>
      <c r="F125" s="693">
        <v>0</v>
      </c>
      <c r="G125" s="693">
        <v>5</v>
      </c>
      <c r="H125" s="693">
        <v>424</v>
      </c>
      <c r="I125" s="693">
        <v>323</v>
      </c>
      <c r="J125" s="693">
        <v>101</v>
      </c>
      <c r="K125" s="693">
        <v>9</v>
      </c>
      <c r="L125" s="693">
        <v>-52</v>
      </c>
    </row>
    <row r="126" spans="1:12" x14ac:dyDescent="0.25">
      <c r="A126" t="s">
        <v>770</v>
      </c>
    </row>
    <row r="127" spans="1:12" ht="14.95" x14ac:dyDescent="0.25">
      <c r="A127" s="642"/>
    </row>
    <row r="128" spans="1:12" ht="14.95" x14ac:dyDescent="0.25">
      <c r="A128" s="286" t="s">
        <v>892</v>
      </c>
    </row>
    <row r="130" spans="1:12" ht="15.8" thickBot="1" x14ac:dyDescent="0.3">
      <c r="A130" s="662" t="s">
        <v>29</v>
      </c>
      <c r="B130" s="663" t="s">
        <v>30</v>
      </c>
      <c r="C130" s="663"/>
      <c r="D130" s="663" t="s">
        <v>31</v>
      </c>
      <c r="E130" s="664" t="s">
        <v>32</v>
      </c>
      <c r="F130" s="663" t="s">
        <v>33</v>
      </c>
      <c r="G130" s="663" t="s">
        <v>34</v>
      </c>
      <c r="H130" s="663" t="s">
        <v>35</v>
      </c>
      <c r="I130" s="663" t="s">
        <v>36</v>
      </c>
      <c r="J130" s="664" t="s">
        <v>267</v>
      </c>
      <c r="K130" s="663" t="s">
        <v>37</v>
      </c>
      <c r="L130" s="664" t="s">
        <v>38</v>
      </c>
    </row>
    <row r="131" spans="1:12" ht="14.95" thickBot="1" x14ac:dyDescent="0.3">
      <c r="A131" s="670">
        <v>1</v>
      </c>
      <c r="B131" s="666" t="s">
        <v>39</v>
      </c>
      <c r="C131" s="671" t="s">
        <v>273</v>
      </c>
      <c r="D131" s="672">
        <v>15</v>
      </c>
      <c r="E131" s="673">
        <v>11</v>
      </c>
      <c r="F131" s="672">
        <v>0</v>
      </c>
      <c r="G131" s="672">
        <v>4</v>
      </c>
      <c r="H131" s="672">
        <v>448</v>
      </c>
      <c r="I131" s="672">
        <v>265</v>
      </c>
      <c r="J131" s="673">
        <v>183</v>
      </c>
      <c r="K131" s="672">
        <v>11</v>
      </c>
      <c r="L131" s="673">
        <v>55</v>
      </c>
    </row>
    <row r="132" spans="1:12" ht="14.95" thickBot="1" x14ac:dyDescent="0.3">
      <c r="A132" s="670">
        <v>2</v>
      </c>
      <c r="B132" s="666" t="s">
        <v>39</v>
      </c>
      <c r="C132" s="671" t="s">
        <v>165</v>
      </c>
      <c r="D132" s="672">
        <v>15</v>
      </c>
      <c r="E132" s="673">
        <v>10</v>
      </c>
      <c r="F132" s="672">
        <v>1</v>
      </c>
      <c r="G132" s="672">
        <v>4</v>
      </c>
      <c r="H132" s="672">
        <v>338</v>
      </c>
      <c r="I132" s="672">
        <v>300</v>
      </c>
      <c r="J132" s="673">
        <v>38</v>
      </c>
      <c r="K132" s="672">
        <v>5</v>
      </c>
      <c r="L132" s="673">
        <v>47</v>
      </c>
    </row>
    <row r="133" spans="1:12" ht="14.95" thickBot="1" x14ac:dyDescent="0.3">
      <c r="A133" s="674">
        <v>3</v>
      </c>
      <c r="B133" s="675" t="s">
        <v>536</v>
      </c>
      <c r="C133" s="676" t="s">
        <v>106</v>
      </c>
      <c r="D133" s="677">
        <v>15</v>
      </c>
      <c r="E133" s="678">
        <v>8</v>
      </c>
      <c r="F133" s="677">
        <v>0</v>
      </c>
      <c r="G133" s="677">
        <v>7</v>
      </c>
      <c r="H133" s="677">
        <v>405</v>
      </c>
      <c r="I133" s="677">
        <v>366</v>
      </c>
      <c r="J133" s="678">
        <v>39</v>
      </c>
      <c r="K133" s="677">
        <v>11</v>
      </c>
      <c r="L133" s="678">
        <v>43</v>
      </c>
    </row>
    <row r="134" spans="1:12" ht="14.95" thickBot="1" x14ac:dyDescent="0.3">
      <c r="A134" s="674">
        <v>4</v>
      </c>
      <c r="B134" s="675" t="s">
        <v>526</v>
      </c>
      <c r="C134" s="676" t="s">
        <v>27</v>
      </c>
      <c r="D134" s="677">
        <v>15</v>
      </c>
      <c r="E134" s="678">
        <v>8</v>
      </c>
      <c r="F134" s="677">
        <v>0</v>
      </c>
      <c r="G134" s="677">
        <v>7</v>
      </c>
      <c r="H134" s="677">
        <v>366</v>
      </c>
      <c r="I134" s="677">
        <v>238</v>
      </c>
      <c r="J134" s="678">
        <v>128</v>
      </c>
      <c r="K134" s="677">
        <v>9</v>
      </c>
      <c r="L134" s="678">
        <v>41</v>
      </c>
    </row>
    <row r="135" spans="1:12" ht="14.95" thickBot="1" x14ac:dyDescent="0.3">
      <c r="A135" s="679">
        <v>5</v>
      </c>
      <c r="B135" s="680" t="s">
        <v>39</v>
      </c>
      <c r="C135" s="681" t="s">
        <v>274</v>
      </c>
      <c r="D135" s="682">
        <v>15</v>
      </c>
      <c r="E135" s="683">
        <v>9</v>
      </c>
      <c r="F135" s="682">
        <v>0</v>
      </c>
      <c r="G135" s="682">
        <v>6</v>
      </c>
      <c r="H135" s="682">
        <v>313</v>
      </c>
      <c r="I135" s="682">
        <v>326</v>
      </c>
      <c r="J135" s="683">
        <v>-13</v>
      </c>
      <c r="K135" s="682">
        <v>4</v>
      </c>
      <c r="L135" s="683">
        <v>40</v>
      </c>
    </row>
    <row r="136" spans="1:12" ht="14.95" thickBot="1" x14ac:dyDescent="0.3">
      <c r="A136" s="679">
        <v>6</v>
      </c>
      <c r="B136" s="680" t="s">
        <v>39</v>
      </c>
      <c r="C136" s="681" t="s">
        <v>25</v>
      </c>
      <c r="D136" s="682">
        <v>15</v>
      </c>
      <c r="E136" s="683">
        <v>8</v>
      </c>
      <c r="F136" s="682">
        <v>0</v>
      </c>
      <c r="G136" s="682">
        <v>7</v>
      </c>
      <c r="H136" s="682">
        <v>351</v>
      </c>
      <c r="I136" s="682">
        <v>348</v>
      </c>
      <c r="J136" s="683">
        <v>3</v>
      </c>
      <c r="K136" s="682">
        <v>8</v>
      </c>
      <c r="L136" s="683">
        <v>40</v>
      </c>
    </row>
    <row r="137" spans="1:12" ht="14.95" thickBot="1" x14ac:dyDescent="0.3">
      <c r="A137" s="684">
        <v>7</v>
      </c>
      <c r="B137" s="685" t="s">
        <v>39</v>
      </c>
      <c r="C137" s="686" t="s">
        <v>9</v>
      </c>
      <c r="D137" s="687">
        <v>15</v>
      </c>
      <c r="E137" s="688">
        <v>6</v>
      </c>
      <c r="F137" s="687">
        <v>1</v>
      </c>
      <c r="G137" s="687">
        <v>8</v>
      </c>
      <c r="H137" s="687">
        <v>325</v>
      </c>
      <c r="I137" s="687">
        <v>385</v>
      </c>
      <c r="J137" s="688">
        <v>-60</v>
      </c>
      <c r="K137" s="688">
        <v>6</v>
      </c>
      <c r="L137" s="688">
        <v>32</v>
      </c>
    </row>
    <row r="138" spans="1:12" ht="14.95" thickBot="1" x14ac:dyDescent="0.3">
      <c r="A138" s="684">
        <v>8</v>
      </c>
      <c r="B138" s="685" t="s">
        <v>39</v>
      </c>
      <c r="C138" s="686" t="s">
        <v>24</v>
      </c>
      <c r="D138" s="687">
        <v>15</v>
      </c>
      <c r="E138" s="688">
        <v>5</v>
      </c>
      <c r="F138" s="687">
        <v>0</v>
      </c>
      <c r="G138" s="687">
        <v>10</v>
      </c>
      <c r="H138" s="687">
        <v>336</v>
      </c>
      <c r="I138" s="687">
        <v>330</v>
      </c>
      <c r="J138" s="688">
        <v>6</v>
      </c>
      <c r="K138" s="687">
        <v>11</v>
      </c>
      <c r="L138" s="688">
        <v>31</v>
      </c>
    </row>
    <row r="139" spans="1:12" ht="14.95" thickBot="1" x14ac:dyDescent="0.3">
      <c r="A139" s="684">
        <v>9</v>
      </c>
      <c r="B139" s="685" t="s">
        <v>39</v>
      </c>
      <c r="C139" s="686" t="s">
        <v>11</v>
      </c>
      <c r="D139" s="687">
        <v>15</v>
      </c>
      <c r="E139" s="688">
        <v>5</v>
      </c>
      <c r="F139" s="687">
        <v>1</v>
      </c>
      <c r="G139" s="687">
        <v>9</v>
      </c>
      <c r="H139" s="687">
        <v>275</v>
      </c>
      <c r="I139" s="687">
        <v>411</v>
      </c>
      <c r="J139" s="688">
        <v>-136</v>
      </c>
      <c r="K139" s="687">
        <v>6</v>
      </c>
      <c r="L139" s="688">
        <v>28</v>
      </c>
    </row>
    <row r="140" spans="1:12" ht="14.95" thickBot="1" x14ac:dyDescent="0.3">
      <c r="A140" s="684">
        <v>10</v>
      </c>
      <c r="B140" s="685" t="s">
        <v>39</v>
      </c>
      <c r="C140" s="686" t="s">
        <v>23</v>
      </c>
      <c r="D140" s="687">
        <v>15</v>
      </c>
      <c r="E140" s="688">
        <v>4</v>
      </c>
      <c r="F140" s="687">
        <v>0</v>
      </c>
      <c r="G140" s="687">
        <v>11</v>
      </c>
      <c r="H140" s="687">
        <v>234</v>
      </c>
      <c r="I140" s="687">
        <v>377</v>
      </c>
      <c r="J140" s="688">
        <v>-143</v>
      </c>
      <c r="K140" s="687">
        <v>6</v>
      </c>
      <c r="L140" s="688">
        <v>22</v>
      </c>
    </row>
    <row r="141" spans="1:12" ht="14.95" thickBot="1" x14ac:dyDescent="0.3">
      <c r="A141" s="684">
        <v>11</v>
      </c>
      <c r="B141" s="685" t="s">
        <v>39</v>
      </c>
      <c r="C141" s="686" t="s">
        <v>26</v>
      </c>
      <c r="D141" s="687">
        <v>15</v>
      </c>
      <c r="E141" s="688">
        <v>4</v>
      </c>
      <c r="F141" s="687">
        <v>1</v>
      </c>
      <c r="G141" s="687">
        <v>10</v>
      </c>
      <c r="H141" s="687">
        <v>236</v>
      </c>
      <c r="I141" s="687">
        <v>366</v>
      </c>
      <c r="J141" s="688">
        <v>-130</v>
      </c>
      <c r="K141" s="687">
        <v>2</v>
      </c>
      <c r="L141" s="688">
        <v>20</v>
      </c>
    </row>
    <row r="142" spans="1:12" ht="14.95" thickBot="1" x14ac:dyDescent="0.3">
      <c r="A142" s="689" t="s">
        <v>50</v>
      </c>
      <c r="B142" s="690" t="s">
        <v>39</v>
      </c>
      <c r="C142" s="691" t="s">
        <v>539</v>
      </c>
      <c r="D142" s="693">
        <v>15</v>
      </c>
      <c r="E142" s="693">
        <v>10</v>
      </c>
      <c r="F142" s="693">
        <v>0</v>
      </c>
      <c r="G142" s="693">
        <v>5</v>
      </c>
      <c r="H142" s="693">
        <v>388</v>
      </c>
      <c r="I142" s="693">
        <v>303</v>
      </c>
      <c r="J142" s="693">
        <v>85</v>
      </c>
      <c r="K142" s="693">
        <v>8</v>
      </c>
      <c r="L142" s="693">
        <v>-57</v>
      </c>
    </row>
    <row r="143" spans="1:12" x14ac:dyDescent="0.25">
      <c r="A143" t="s">
        <v>770</v>
      </c>
    </row>
    <row r="145" spans="1:12" ht="14.95" x14ac:dyDescent="0.25">
      <c r="A145" s="286" t="s">
        <v>883</v>
      </c>
    </row>
    <row r="146" spans="1:12" ht="15.8" thickBot="1" x14ac:dyDescent="0.3">
      <c r="A146" s="642"/>
    </row>
    <row r="147" spans="1:12" ht="15.8" thickBot="1" x14ac:dyDescent="0.3">
      <c r="A147" s="662" t="s">
        <v>29</v>
      </c>
      <c r="B147" s="663" t="s">
        <v>30</v>
      </c>
      <c r="C147" s="663"/>
      <c r="D147" s="663" t="s">
        <v>31</v>
      </c>
      <c r="E147" s="664" t="s">
        <v>32</v>
      </c>
      <c r="F147" s="663" t="s">
        <v>33</v>
      </c>
      <c r="G147" s="663" t="s">
        <v>34</v>
      </c>
      <c r="H147" s="663" t="s">
        <v>35</v>
      </c>
      <c r="I147" s="663" t="s">
        <v>36</v>
      </c>
      <c r="J147" s="664" t="s">
        <v>267</v>
      </c>
      <c r="K147" s="663" t="s">
        <v>37</v>
      </c>
      <c r="L147" s="664" t="s">
        <v>38</v>
      </c>
    </row>
    <row r="148" spans="1:12" ht="14.95" thickBot="1" x14ac:dyDescent="0.3">
      <c r="A148" s="670">
        <v>1</v>
      </c>
      <c r="B148" s="666" t="s">
        <v>39</v>
      </c>
      <c r="C148" s="671" t="s">
        <v>273</v>
      </c>
      <c r="D148" s="672">
        <v>14</v>
      </c>
      <c r="E148" s="673">
        <v>10</v>
      </c>
      <c r="F148" s="672">
        <v>0</v>
      </c>
      <c r="G148" s="672">
        <v>4</v>
      </c>
      <c r="H148" s="672">
        <v>416</v>
      </c>
      <c r="I148" s="672">
        <v>243</v>
      </c>
      <c r="J148" s="673">
        <v>173</v>
      </c>
      <c r="K148" s="672">
        <v>10</v>
      </c>
      <c r="L148" s="673">
        <v>50</v>
      </c>
    </row>
    <row r="149" spans="1:12" ht="14.95" thickBot="1" x14ac:dyDescent="0.3">
      <c r="A149" s="670">
        <v>2</v>
      </c>
      <c r="B149" s="666" t="s">
        <v>536</v>
      </c>
      <c r="C149" s="671" t="s">
        <v>165</v>
      </c>
      <c r="D149" s="672">
        <v>14</v>
      </c>
      <c r="E149" s="673">
        <v>9</v>
      </c>
      <c r="F149" s="672">
        <v>1</v>
      </c>
      <c r="G149" s="672">
        <v>4</v>
      </c>
      <c r="H149" s="672">
        <v>305</v>
      </c>
      <c r="I149" s="672">
        <v>276</v>
      </c>
      <c r="J149" s="673">
        <v>29</v>
      </c>
      <c r="K149" s="672">
        <v>4</v>
      </c>
      <c r="L149" s="673">
        <v>42</v>
      </c>
    </row>
    <row r="150" spans="1:12" ht="14.95" thickBot="1" x14ac:dyDescent="0.3">
      <c r="A150" s="674">
        <v>3</v>
      </c>
      <c r="B150" s="675" t="s">
        <v>526</v>
      </c>
      <c r="C150" s="676" t="s">
        <v>27</v>
      </c>
      <c r="D150" s="677">
        <v>14</v>
      </c>
      <c r="E150" s="678">
        <v>8</v>
      </c>
      <c r="F150" s="677">
        <v>0</v>
      </c>
      <c r="G150" s="677">
        <v>6</v>
      </c>
      <c r="H150" s="677">
        <v>344</v>
      </c>
      <c r="I150" s="677">
        <v>206</v>
      </c>
      <c r="J150" s="678">
        <v>138</v>
      </c>
      <c r="K150" s="677">
        <v>9</v>
      </c>
      <c r="L150" s="678">
        <v>41</v>
      </c>
    </row>
    <row r="151" spans="1:12" ht="14.95" thickBot="1" x14ac:dyDescent="0.3">
      <c r="A151" s="674">
        <v>4</v>
      </c>
      <c r="B151" s="675" t="s">
        <v>536</v>
      </c>
      <c r="C151" s="676" t="s">
        <v>106</v>
      </c>
      <c r="D151" s="677">
        <v>14</v>
      </c>
      <c r="E151" s="678">
        <v>7</v>
      </c>
      <c r="F151" s="677">
        <v>0</v>
      </c>
      <c r="G151" s="677">
        <v>7</v>
      </c>
      <c r="H151" s="677">
        <v>373</v>
      </c>
      <c r="I151" s="677">
        <v>349</v>
      </c>
      <c r="J151" s="678">
        <v>24</v>
      </c>
      <c r="K151" s="677">
        <v>10</v>
      </c>
      <c r="L151" s="678">
        <v>38</v>
      </c>
    </row>
    <row r="152" spans="1:12" ht="14.95" thickBot="1" x14ac:dyDescent="0.3">
      <c r="A152" s="679">
        <v>5</v>
      </c>
      <c r="B152" s="680" t="s">
        <v>536</v>
      </c>
      <c r="C152" s="681" t="s">
        <v>274</v>
      </c>
      <c r="D152" s="682">
        <v>14</v>
      </c>
      <c r="E152" s="683">
        <v>8</v>
      </c>
      <c r="F152" s="682">
        <v>0</v>
      </c>
      <c r="G152" s="682">
        <v>6</v>
      </c>
      <c r="H152" s="682">
        <v>275</v>
      </c>
      <c r="I152" s="682">
        <v>310</v>
      </c>
      <c r="J152" s="683">
        <v>-35</v>
      </c>
      <c r="K152" s="682">
        <v>3</v>
      </c>
      <c r="L152" s="683">
        <v>35</v>
      </c>
    </row>
    <row r="153" spans="1:12" ht="14.95" thickBot="1" x14ac:dyDescent="0.3">
      <c r="A153" s="679">
        <v>6</v>
      </c>
      <c r="B153" s="680" t="s">
        <v>525</v>
      </c>
      <c r="C153" s="681" t="s">
        <v>25</v>
      </c>
      <c r="D153" s="682">
        <v>14</v>
      </c>
      <c r="E153" s="683">
        <v>7</v>
      </c>
      <c r="F153" s="682">
        <v>0</v>
      </c>
      <c r="G153" s="682">
        <v>7</v>
      </c>
      <c r="H153" s="682">
        <v>324</v>
      </c>
      <c r="I153" s="682">
        <v>345</v>
      </c>
      <c r="J153" s="683">
        <v>-21</v>
      </c>
      <c r="K153" s="682">
        <v>7</v>
      </c>
      <c r="L153" s="683">
        <v>35</v>
      </c>
    </row>
    <row r="154" spans="1:12" ht="14.95" thickBot="1" x14ac:dyDescent="0.3">
      <c r="A154" s="684">
        <v>7</v>
      </c>
      <c r="B154" s="685" t="s">
        <v>39</v>
      </c>
      <c r="C154" s="686" t="s">
        <v>9</v>
      </c>
      <c r="D154" s="687">
        <v>14</v>
      </c>
      <c r="E154" s="688">
        <v>6</v>
      </c>
      <c r="F154" s="687">
        <v>1</v>
      </c>
      <c r="G154" s="687">
        <v>7</v>
      </c>
      <c r="H154" s="687">
        <v>301</v>
      </c>
      <c r="I154" s="687">
        <v>347</v>
      </c>
      <c r="J154" s="688">
        <v>-46</v>
      </c>
      <c r="K154" s="688">
        <v>6</v>
      </c>
      <c r="L154" s="688">
        <v>32</v>
      </c>
    </row>
    <row r="155" spans="1:12" ht="14.95" thickBot="1" x14ac:dyDescent="0.3">
      <c r="A155" s="684">
        <v>8</v>
      </c>
      <c r="B155" s="685" t="s">
        <v>536</v>
      </c>
      <c r="C155" s="686" t="s">
        <v>24</v>
      </c>
      <c r="D155" s="687">
        <v>14</v>
      </c>
      <c r="E155" s="688">
        <v>5</v>
      </c>
      <c r="F155" s="687">
        <v>0</v>
      </c>
      <c r="G155" s="687">
        <v>9</v>
      </c>
      <c r="H155" s="687">
        <v>312</v>
      </c>
      <c r="I155" s="687">
        <v>297</v>
      </c>
      <c r="J155" s="688">
        <v>15</v>
      </c>
      <c r="K155" s="687">
        <v>11</v>
      </c>
      <c r="L155" s="688">
        <v>31</v>
      </c>
    </row>
    <row r="156" spans="1:12" ht="14.95" thickBot="1" x14ac:dyDescent="0.3">
      <c r="A156" s="684">
        <v>9</v>
      </c>
      <c r="B156" s="685" t="s">
        <v>526</v>
      </c>
      <c r="C156" s="686" t="s">
        <v>11</v>
      </c>
      <c r="D156" s="687">
        <v>14</v>
      </c>
      <c r="E156" s="688">
        <v>5</v>
      </c>
      <c r="F156" s="687">
        <v>1</v>
      </c>
      <c r="G156" s="687">
        <v>8</v>
      </c>
      <c r="H156" s="687">
        <v>272</v>
      </c>
      <c r="I156" s="687">
        <v>384</v>
      </c>
      <c r="J156" s="688">
        <v>-112</v>
      </c>
      <c r="K156" s="687">
        <v>6</v>
      </c>
      <c r="L156" s="688">
        <v>28</v>
      </c>
    </row>
    <row r="157" spans="1:12" ht="14.95" thickBot="1" x14ac:dyDescent="0.3">
      <c r="A157" s="684">
        <v>10</v>
      </c>
      <c r="B157" s="685" t="s">
        <v>39</v>
      </c>
      <c r="C157" s="686" t="s">
        <v>23</v>
      </c>
      <c r="D157" s="687">
        <v>14</v>
      </c>
      <c r="E157" s="688">
        <v>4</v>
      </c>
      <c r="F157" s="687">
        <v>0</v>
      </c>
      <c r="G157" s="687">
        <v>10</v>
      </c>
      <c r="H157" s="687">
        <v>217</v>
      </c>
      <c r="I157" s="687">
        <v>345</v>
      </c>
      <c r="J157" s="688">
        <v>-128</v>
      </c>
      <c r="K157" s="687">
        <v>6</v>
      </c>
      <c r="L157" s="688">
        <v>22</v>
      </c>
    </row>
    <row r="158" spans="1:12" ht="14.95" thickBot="1" x14ac:dyDescent="0.3">
      <c r="A158" s="684">
        <v>11</v>
      </c>
      <c r="B158" s="685" t="s">
        <v>39</v>
      </c>
      <c r="C158" s="686" t="s">
        <v>26</v>
      </c>
      <c r="D158" s="687">
        <v>14</v>
      </c>
      <c r="E158" s="688">
        <v>4</v>
      </c>
      <c r="F158" s="687">
        <v>1</v>
      </c>
      <c r="G158" s="687">
        <v>9</v>
      </c>
      <c r="H158" s="687">
        <v>220</v>
      </c>
      <c r="I158" s="687">
        <v>328</v>
      </c>
      <c r="J158" s="688">
        <v>-108</v>
      </c>
      <c r="K158" s="687">
        <v>2</v>
      </c>
      <c r="L158" s="688">
        <v>20</v>
      </c>
    </row>
    <row r="159" spans="1:12" ht="14.95" thickBot="1" x14ac:dyDescent="0.3">
      <c r="A159" s="689" t="s">
        <v>50</v>
      </c>
      <c r="B159" s="690" t="s">
        <v>39</v>
      </c>
      <c r="C159" s="691" t="s">
        <v>539</v>
      </c>
      <c r="D159" s="693">
        <v>14</v>
      </c>
      <c r="E159" s="693">
        <v>9</v>
      </c>
      <c r="F159" s="693">
        <v>0</v>
      </c>
      <c r="G159" s="693">
        <v>5</v>
      </c>
      <c r="H159" s="693">
        <v>350</v>
      </c>
      <c r="I159" s="693">
        <v>279</v>
      </c>
      <c r="J159" s="693">
        <v>71</v>
      </c>
      <c r="K159" s="693">
        <v>7</v>
      </c>
      <c r="L159" s="693">
        <v>-62</v>
      </c>
    </row>
    <row r="160" spans="1:12" x14ac:dyDescent="0.25">
      <c r="A160" t="s">
        <v>770</v>
      </c>
    </row>
    <row r="162" spans="1:12" ht="14.95" x14ac:dyDescent="0.25">
      <c r="A162" s="286" t="s">
        <v>882</v>
      </c>
    </row>
    <row r="163" spans="1:12" ht="15.8" thickBot="1" x14ac:dyDescent="0.3">
      <c r="A163" s="642"/>
    </row>
    <row r="164" spans="1:12" ht="15.8" thickBot="1" x14ac:dyDescent="0.3">
      <c r="A164" s="662" t="s">
        <v>29</v>
      </c>
      <c r="B164" s="663" t="s">
        <v>30</v>
      </c>
      <c r="C164" s="663"/>
      <c r="D164" s="663" t="s">
        <v>31</v>
      </c>
      <c r="E164" s="664" t="s">
        <v>32</v>
      </c>
      <c r="F164" s="663" t="s">
        <v>33</v>
      </c>
      <c r="G164" s="663" t="s">
        <v>34</v>
      </c>
      <c r="H164" s="663" t="s">
        <v>35</v>
      </c>
      <c r="I164" s="663" t="s">
        <v>36</v>
      </c>
      <c r="J164" s="664" t="s">
        <v>267</v>
      </c>
      <c r="K164" s="663" t="s">
        <v>37</v>
      </c>
      <c r="L164" s="664" t="s">
        <v>38</v>
      </c>
    </row>
    <row r="165" spans="1:12" ht="14.95" thickBot="1" x14ac:dyDescent="0.3">
      <c r="A165" s="670">
        <v>1</v>
      </c>
      <c r="B165" s="666" t="s">
        <v>39</v>
      </c>
      <c r="C165" s="671" t="s">
        <v>273</v>
      </c>
      <c r="D165" s="672">
        <v>13</v>
      </c>
      <c r="E165" s="673">
        <v>9</v>
      </c>
      <c r="F165" s="672">
        <v>0</v>
      </c>
      <c r="G165" s="672">
        <v>4</v>
      </c>
      <c r="H165" s="672">
        <v>390</v>
      </c>
      <c r="I165" s="672">
        <v>230</v>
      </c>
      <c r="J165" s="673">
        <v>160</v>
      </c>
      <c r="K165" s="672">
        <v>9</v>
      </c>
      <c r="L165" s="673">
        <v>45</v>
      </c>
    </row>
    <row r="166" spans="1:12" ht="14.95" thickBot="1" x14ac:dyDescent="0.3">
      <c r="A166" s="670">
        <v>2</v>
      </c>
      <c r="B166" s="666" t="s">
        <v>39</v>
      </c>
      <c r="C166" s="671" t="s">
        <v>27</v>
      </c>
      <c r="D166" s="672">
        <v>13</v>
      </c>
      <c r="E166" s="673">
        <v>8</v>
      </c>
      <c r="F166" s="672">
        <v>0</v>
      </c>
      <c r="G166" s="672">
        <v>5</v>
      </c>
      <c r="H166" s="672">
        <v>334</v>
      </c>
      <c r="I166" s="672">
        <v>190</v>
      </c>
      <c r="J166" s="673">
        <v>144</v>
      </c>
      <c r="K166" s="672">
        <v>8</v>
      </c>
      <c r="L166" s="673">
        <v>40</v>
      </c>
    </row>
    <row r="167" spans="1:12" ht="14.95" thickBot="1" x14ac:dyDescent="0.3">
      <c r="A167" s="674">
        <v>3</v>
      </c>
      <c r="B167" s="675" t="s">
        <v>39</v>
      </c>
      <c r="C167" s="676" t="s">
        <v>165</v>
      </c>
      <c r="D167" s="677">
        <v>13</v>
      </c>
      <c r="E167" s="678">
        <v>8</v>
      </c>
      <c r="F167" s="677">
        <v>1</v>
      </c>
      <c r="G167" s="677">
        <v>4</v>
      </c>
      <c r="H167" s="677">
        <v>289</v>
      </c>
      <c r="I167" s="677">
        <v>264</v>
      </c>
      <c r="J167" s="678">
        <v>25</v>
      </c>
      <c r="K167" s="677">
        <v>4</v>
      </c>
      <c r="L167" s="678">
        <v>38</v>
      </c>
    </row>
    <row r="168" spans="1:12" ht="14.95" thickBot="1" x14ac:dyDescent="0.3">
      <c r="A168" s="674">
        <v>4</v>
      </c>
      <c r="B168" s="675" t="s">
        <v>39</v>
      </c>
      <c r="C168" s="676" t="s">
        <v>25</v>
      </c>
      <c r="D168" s="677">
        <v>13</v>
      </c>
      <c r="E168" s="678">
        <v>7</v>
      </c>
      <c r="F168" s="677">
        <v>0</v>
      </c>
      <c r="G168" s="677">
        <v>6</v>
      </c>
      <c r="H168" s="677">
        <v>303</v>
      </c>
      <c r="I168" s="677">
        <v>311</v>
      </c>
      <c r="J168" s="678">
        <v>-8</v>
      </c>
      <c r="K168" s="677">
        <v>7</v>
      </c>
      <c r="L168" s="678">
        <v>35</v>
      </c>
    </row>
    <row r="169" spans="1:12" ht="14.95" thickBot="1" x14ac:dyDescent="0.3">
      <c r="A169" s="679">
        <v>5</v>
      </c>
      <c r="B169" s="680" t="s">
        <v>521</v>
      </c>
      <c r="C169" s="681" t="s">
        <v>106</v>
      </c>
      <c r="D169" s="682">
        <v>13</v>
      </c>
      <c r="E169" s="683">
        <v>6</v>
      </c>
      <c r="F169" s="682">
        <v>0</v>
      </c>
      <c r="G169" s="682">
        <v>7</v>
      </c>
      <c r="H169" s="682">
        <v>339</v>
      </c>
      <c r="I169" s="682">
        <v>328</v>
      </c>
      <c r="J169" s="683">
        <v>11</v>
      </c>
      <c r="K169" s="682">
        <v>9</v>
      </c>
      <c r="L169" s="683">
        <v>33</v>
      </c>
    </row>
    <row r="170" spans="1:12" ht="14.95" thickBot="1" x14ac:dyDescent="0.3">
      <c r="A170" s="679">
        <v>6</v>
      </c>
      <c r="B170" s="680" t="s">
        <v>39</v>
      </c>
      <c r="C170" s="681" t="s">
        <v>274</v>
      </c>
      <c r="D170" s="682">
        <v>13</v>
      </c>
      <c r="E170" s="683">
        <v>7</v>
      </c>
      <c r="F170" s="682">
        <v>0</v>
      </c>
      <c r="G170" s="682">
        <v>6</v>
      </c>
      <c r="H170" s="682">
        <v>241</v>
      </c>
      <c r="I170" s="682">
        <v>293</v>
      </c>
      <c r="J170" s="683">
        <v>-52</v>
      </c>
      <c r="K170" s="682">
        <v>2</v>
      </c>
      <c r="L170" s="683">
        <v>30</v>
      </c>
    </row>
    <row r="171" spans="1:12" ht="14.95" thickBot="1" x14ac:dyDescent="0.3">
      <c r="A171" s="684">
        <v>7</v>
      </c>
      <c r="B171" s="685" t="s">
        <v>521</v>
      </c>
      <c r="C171" s="686" t="s">
        <v>9</v>
      </c>
      <c r="D171" s="687">
        <v>13</v>
      </c>
      <c r="E171" s="688">
        <v>5</v>
      </c>
      <c r="F171" s="687">
        <v>1</v>
      </c>
      <c r="G171" s="687">
        <v>7</v>
      </c>
      <c r="H171" s="687">
        <v>285</v>
      </c>
      <c r="I171" s="687">
        <v>337</v>
      </c>
      <c r="J171" s="688">
        <v>-52</v>
      </c>
      <c r="K171" s="688">
        <v>6</v>
      </c>
      <c r="L171" s="688">
        <v>28</v>
      </c>
    </row>
    <row r="172" spans="1:12" ht="14.95" thickBot="1" x14ac:dyDescent="0.3">
      <c r="A172" s="684">
        <v>8</v>
      </c>
      <c r="B172" s="685" t="s">
        <v>525</v>
      </c>
      <c r="C172" s="686" t="s">
        <v>11</v>
      </c>
      <c r="D172" s="687">
        <v>13</v>
      </c>
      <c r="E172" s="688">
        <v>5</v>
      </c>
      <c r="F172" s="687">
        <v>1</v>
      </c>
      <c r="G172" s="687">
        <v>7</v>
      </c>
      <c r="H172" s="687">
        <v>255</v>
      </c>
      <c r="I172" s="687">
        <v>350</v>
      </c>
      <c r="J172" s="688">
        <v>-95</v>
      </c>
      <c r="K172" s="687">
        <v>6</v>
      </c>
      <c r="L172" s="688">
        <v>28</v>
      </c>
    </row>
    <row r="173" spans="1:12" ht="14.95" thickBot="1" x14ac:dyDescent="0.3">
      <c r="A173" s="684">
        <v>9</v>
      </c>
      <c r="B173" s="685" t="s">
        <v>525</v>
      </c>
      <c r="C173" s="686" t="s">
        <v>24</v>
      </c>
      <c r="D173" s="687">
        <v>13</v>
      </c>
      <c r="E173" s="688">
        <v>4</v>
      </c>
      <c r="F173" s="687">
        <v>0</v>
      </c>
      <c r="G173" s="687">
        <v>9</v>
      </c>
      <c r="H173" s="687">
        <v>268</v>
      </c>
      <c r="I173" s="687">
        <v>282</v>
      </c>
      <c r="J173" s="688">
        <v>-14</v>
      </c>
      <c r="K173" s="687">
        <v>10</v>
      </c>
      <c r="L173" s="688">
        <v>26</v>
      </c>
    </row>
    <row r="174" spans="1:12" ht="14.95" thickBot="1" x14ac:dyDescent="0.3">
      <c r="A174" s="684">
        <v>10</v>
      </c>
      <c r="B174" s="685" t="s">
        <v>39</v>
      </c>
      <c r="C174" s="686" t="s">
        <v>23</v>
      </c>
      <c r="D174" s="687">
        <v>13</v>
      </c>
      <c r="E174" s="688">
        <v>4</v>
      </c>
      <c r="F174" s="687">
        <v>0</v>
      </c>
      <c r="G174" s="687">
        <v>9</v>
      </c>
      <c r="H174" s="687">
        <v>202</v>
      </c>
      <c r="I174" s="687">
        <v>301</v>
      </c>
      <c r="J174" s="688">
        <v>-99</v>
      </c>
      <c r="K174" s="687">
        <v>6</v>
      </c>
      <c r="L174" s="688">
        <v>22</v>
      </c>
    </row>
    <row r="175" spans="1:12" ht="14.95" thickBot="1" x14ac:dyDescent="0.3">
      <c r="A175" s="684">
        <v>11</v>
      </c>
      <c r="B175" s="685" t="s">
        <v>39</v>
      </c>
      <c r="C175" s="686" t="s">
        <v>26</v>
      </c>
      <c r="D175" s="687">
        <v>13</v>
      </c>
      <c r="E175" s="688">
        <v>4</v>
      </c>
      <c r="F175" s="687">
        <v>1</v>
      </c>
      <c r="G175" s="687">
        <v>8</v>
      </c>
      <c r="H175" s="687">
        <v>207</v>
      </c>
      <c r="I175" s="687">
        <v>302</v>
      </c>
      <c r="J175" s="688">
        <v>-95</v>
      </c>
      <c r="K175" s="687">
        <v>2</v>
      </c>
      <c r="L175" s="688">
        <v>20</v>
      </c>
    </row>
    <row r="176" spans="1:12" ht="14.95" thickBot="1" x14ac:dyDescent="0.3">
      <c r="A176" s="689" t="s">
        <v>50</v>
      </c>
      <c r="B176" s="690" t="s">
        <v>39</v>
      </c>
      <c r="C176" s="691" t="s">
        <v>539</v>
      </c>
      <c r="D176" s="693">
        <v>13</v>
      </c>
      <c r="E176" s="693">
        <v>9</v>
      </c>
      <c r="F176" s="693">
        <v>0</v>
      </c>
      <c r="G176" s="693">
        <v>4</v>
      </c>
      <c r="H176" s="693">
        <v>338</v>
      </c>
      <c r="I176" s="693">
        <v>263</v>
      </c>
      <c r="J176" s="693">
        <v>75</v>
      </c>
      <c r="K176" s="693">
        <v>6</v>
      </c>
      <c r="L176" s="693">
        <v>-63</v>
      </c>
    </row>
    <row r="177" spans="1:12" x14ac:dyDescent="0.25">
      <c r="A177" t="s">
        <v>770</v>
      </c>
    </row>
    <row r="178" spans="1:12" ht="14.95" x14ac:dyDescent="0.25">
      <c r="A178" s="642"/>
    </row>
    <row r="179" spans="1:12" ht="14.95" x14ac:dyDescent="0.25">
      <c r="A179" s="286" t="s">
        <v>815</v>
      </c>
    </row>
    <row r="180" spans="1:12" ht="15.8" thickBot="1" x14ac:dyDescent="0.3">
      <c r="A180" s="642"/>
    </row>
    <row r="181" spans="1:12" ht="15.8" thickBot="1" x14ac:dyDescent="0.3">
      <c r="A181" s="662" t="s">
        <v>29</v>
      </c>
      <c r="B181" s="663" t="s">
        <v>30</v>
      </c>
      <c r="C181" s="663"/>
      <c r="D181" s="663" t="s">
        <v>31</v>
      </c>
      <c r="E181" s="664" t="s">
        <v>32</v>
      </c>
      <c r="F181" s="663" t="s">
        <v>33</v>
      </c>
      <c r="G181" s="663" t="s">
        <v>34</v>
      </c>
      <c r="H181" s="663" t="s">
        <v>35</v>
      </c>
      <c r="I181" s="663" t="s">
        <v>36</v>
      </c>
      <c r="J181" s="664" t="s">
        <v>267</v>
      </c>
      <c r="K181" s="663" t="s">
        <v>37</v>
      </c>
      <c r="L181" s="664" t="s">
        <v>38</v>
      </c>
    </row>
    <row r="182" spans="1:12" ht="14.95" thickBot="1" x14ac:dyDescent="0.3">
      <c r="A182" s="670">
        <v>1</v>
      </c>
      <c r="B182" s="666" t="s">
        <v>39</v>
      </c>
      <c r="C182" s="671" t="s">
        <v>273</v>
      </c>
      <c r="D182" s="672">
        <v>12</v>
      </c>
      <c r="E182" s="673">
        <v>8</v>
      </c>
      <c r="F182" s="672">
        <v>0</v>
      </c>
      <c r="G182" s="672">
        <v>4</v>
      </c>
      <c r="H182" s="672">
        <v>333</v>
      </c>
      <c r="I182" s="672">
        <v>210</v>
      </c>
      <c r="J182" s="673">
        <v>123</v>
      </c>
      <c r="K182" s="672">
        <v>8</v>
      </c>
      <c r="L182" s="673">
        <v>40</v>
      </c>
    </row>
    <row r="183" spans="1:12" ht="14.95" thickBot="1" x14ac:dyDescent="0.3">
      <c r="A183" s="670">
        <v>2</v>
      </c>
      <c r="B183" s="666" t="s">
        <v>39</v>
      </c>
      <c r="C183" s="671" t="s">
        <v>27</v>
      </c>
      <c r="D183" s="672">
        <v>12</v>
      </c>
      <c r="E183" s="673">
        <v>7</v>
      </c>
      <c r="F183" s="672">
        <v>0</v>
      </c>
      <c r="G183" s="672">
        <v>5</v>
      </c>
      <c r="H183" s="672">
        <v>295</v>
      </c>
      <c r="I183" s="672">
        <v>190</v>
      </c>
      <c r="J183" s="673">
        <v>105</v>
      </c>
      <c r="K183" s="672">
        <v>7</v>
      </c>
      <c r="L183" s="673">
        <v>35</v>
      </c>
    </row>
    <row r="184" spans="1:12" ht="14.95" thickBot="1" x14ac:dyDescent="0.3">
      <c r="A184" s="674">
        <v>3</v>
      </c>
      <c r="B184" s="675" t="s">
        <v>39</v>
      </c>
      <c r="C184" s="676" t="s">
        <v>165</v>
      </c>
      <c r="D184" s="677">
        <v>12</v>
      </c>
      <c r="E184" s="678">
        <v>7</v>
      </c>
      <c r="F184" s="677">
        <v>1</v>
      </c>
      <c r="G184" s="677">
        <v>4</v>
      </c>
      <c r="H184" s="677">
        <v>261</v>
      </c>
      <c r="I184" s="677">
        <v>249</v>
      </c>
      <c r="J184" s="678">
        <v>12</v>
      </c>
      <c r="K184" s="677">
        <v>4</v>
      </c>
      <c r="L184" s="678">
        <v>34</v>
      </c>
    </row>
    <row r="185" spans="1:12" ht="14.95" thickBot="1" x14ac:dyDescent="0.3">
      <c r="A185" s="674">
        <v>4</v>
      </c>
      <c r="B185" s="675" t="s">
        <v>39</v>
      </c>
      <c r="C185" s="676" t="s">
        <v>25</v>
      </c>
      <c r="D185" s="677">
        <v>12</v>
      </c>
      <c r="E185" s="678">
        <v>6</v>
      </c>
      <c r="F185" s="677">
        <v>0</v>
      </c>
      <c r="G185" s="677">
        <v>6</v>
      </c>
      <c r="H185" s="677">
        <v>287</v>
      </c>
      <c r="I185" s="677">
        <v>301</v>
      </c>
      <c r="J185" s="678">
        <v>-14</v>
      </c>
      <c r="K185" s="677">
        <v>7</v>
      </c>
      <c r="L185" s="678">
        <v>31</v>
      </c>
    </row>
    <row r="186" spans="1:12" ht="14.95" thickBot="1" x14ac:dyDescent="0.3">
      <c r="A186" s="679">
        <v>5</v>
      </c>
      <c r="B186" s="680" t="s">
        <v>39</v>
      </c>
      <c r="C186" s="681" t="s">
        <v>274</v>
      </c>
      <c r="D186" s="682">
        <v>12</v>
      </c>
      <c r="E186" s="683">
        <v>7</v>
      </c>
      <c r="F186" s="682">
        <v>0</v>
      </c>
      <c r="G186" s="682">
        <v>5</v>
      </c>
      <c r="H186" s="682">
        <v>221</v>
      </c>
      <c r="I186" s="682">
        <v>236</v>
      </c>
      <c r="J186" s="683">
        <v>-15</v>
      </c>
      <c r="K186" s="682">
        <v>2</v>
      </c>
      <c r="L186" s="683">
        <v>30</v>
      </c>
    </row>
    <row r="187" spans="1:12" ht="14.95" thickBot="1" x14ac:dyDescent="0.3">
      <c r="A187" s="679">
        <v>6</v>
      </c>
      <c r="B187" s="680" t="s">
        <v>521</v>
      </c>
      <c r="C187" s="681" t="s">
        <v>106</v>
      </c>
      <c r="D187" s="682">
        <v>12</v>
      </c>
      <c r="E187" s="683">
        <v>5</v>
      </c>
      <c r="F187" s="682">
        <v>0</v>
      </c>
      <c r="G187" s="682">
        <v>7</v>
      </c>
      <c r="H187" s="682">
        <v>300</v>
      </c>
      <c r="I187" s="682">
        <v>306</v>
      </c>
      <c r="J187" s="683">
        <v>-6</v>
      </c>
      <c r="K187" s="682">
        <v>8</v>
      </c>
      <c r="L187" s="683">
        <v>28</v>
      </c>
    </row>
    <row r="188" spans="1:12" ht="14.95" thickBot="1" x14ac:dyDescent="0.3">
      <c r="A188" s="684">
        <v>7</v>
      </c>
      <c r="B188" s="685" t="s">
        <v>521</v>
      </c>
      <c r="C188" s="686" t="s">
        <v>9</v>
      </c>
      <c r="D188" s="687">
        <v>12</v>
      </c>
      <c r="E188" s="688">
        <v>5</v>
      </c>
      <c r="F188" s="687">
        <v>1</v>
      </c>
      <c r="G188" s="687">
        <v>6</v>
      </c>
      <c r="H188" s="687">
        <v>270</v>
      </c>
      <c r="I188" s="687">
        <v>309</v>
      </c>
      <c r="J188" s="688">
        <v>-39</v>
      </c>
      <c r="K188" s="688">
        <v>6</v>
      </c>
      <c r="L188" s="688">
        <v>28</v>
      </c>
    </row>
    <row r="189" spans="1:12" ht="14.95" thickBot="1" x14ac:dyDescent="0.3">
      <c r="A189" s="684">
        <v>8</v>
      </c>
      <c r="B189" s="685" t="s">
        <v>525</v>
      </c>
      <c r="C189" s="686" t="s">
        <v>11</v>
      </c>
      <c r="D189" s="687">
        <v>12</v>
      </c>
      <c r="E189" s="688">
        <v>5</v>
      </c>
      <c r="F189" s="687">
        <v>1</v>
      </c>
      <c r="G189" s="687">
        <v>6</v>
      </c>
      <c r="H189" s="687">
        <v>255</v>
      </c>
      <c r="I189" s="687">
        <v>311</v>
      </c>
      <c r="J189" s="688">
        <v>-56</v>
      </c>
      <c r="K189" s="687">
        <v>6</v>
      </c>
      <c r="L189" s="688">
        <v>28</v>
      </c>
    </row>
    <row r="190" spans="1:12" ht="14.95" thickBot="1" x14ac:dyDescent="0.3">
      <c r="A190" s="684">
        <v>9</v>
      </c>
      <c r="B190" s="685" t="s">
        <v>525</v>
      </c>
      <c r="C190" s="686" t="s">
        <v>24</v>
      </c>
      <c r="D190" s="687">
        <v>12</v>
      </c>
      <c r="E190" s="688">
        <v>4</v>
      </c>
      <c r="F190" s="687">
        <v>0</v>
      </c>
      <c r="G190" s="687">
        <v>8</v>
      </c>
      <c r="H190" s="687">
        <v>246</v>
      </c>
      <c r="I190" s="687">
        <v>243</v>
      </c>
      <c r="J190" s="688">
        <v>3</v>
      </c>
      <c r="K190" s="687">
        <v>9</v>
      </c>
      <c r="L190" s="688">
        <v>25</v>
      </c>
    </row>
    <row r="191" spans="1:12" ht="14.95" thickBot="1" x14ac:dyDescent="0.3">
      <c r="A191" s="684">
        <v>10</v>
      </c>
      <c r="B191" s="685" t="s">
        <v>39</v>
      </c>
      <c r="C191" s="686" t="s">
        <v>23</v>
      </c>
      <c r="D191" s="687">
        <v>12</v>
      </c>
      <c r="E191" s="688">
        <v>4</v>
      </c>
      <c r="F191" s="687">
        <v>0</v>
      </c>
      <c r="G191" s="687">
        <v>8</v>
      </c>
      <c r="H191" s="687">
        <v>192</v>
      </c>
      <c r="I191" s="687">
        <v>285</v>
      </c>
      <c r="J191" s="688">
        <v>-93</v>
      </c>
      <c r="K191" s="687">
        <v>5</v>
      </c>
      <c r="L191" s="688">
        <v>21</v>
      </c>
    </row>
    <row r="192" spans="1:12" ht="14.95" thickBot="1" x14ac:dyDescent="0.3">
      <c r="A192" s="684">
        <v>11</v>
      </c>
      <c r="B192" s="685" t="s">
        <v>39</v>
      </c>
      <c r="C192" s="686" t="s">
        <v>26</v>
      </c>
      <c r="D192" s="687">
        <v>12</v>
      </c>
      <c r="E192" s="688">
        <v>4</v>
      </c>
      <c r="F192" s="687">
        <v>1</v>
      </c>
      <c r="G192" s="687">
        <v>7</v>
      </c>
      <c r="H192" s="687">
        <v>194</v>
      </c>
      <c r="I192" s="687">
        <v>278</v>
      </c>
      <c r="J192" s="688">
        <v>-84</v>
      </c>
      <c r="K192" s="687">
        <v>2</v>
      </c>
      <c r="L192" s="688">
        <v>20</v>
      </c>
    </row>
    <row r="193" spans="1:12" ht="14.95" thickBot="1" x14ac:dyDescent="0.3">
      <c r="A193" s="689" t="s">
        <v>50</v>
      </c>
      <c r="B193" s="690" t="s">
        <v>39</v>
      </c>
      <c r="C193" s="691" t="s">
        <v>539</v>
      </c>
      <c r="D193" s="693">
        <v>12</v>
      </c>
      <c r="E193" s="693">
        <v>8</v>
      </c>
      <c r="F193" s="693">
        <v>0</v>
      </c>
      <c r="G193" s="693">
        <v>4</v>
      </c>
      <c r="H193" s="693">
        <v>314</v>
      </c>
      <c r="I193" s="693">
        <v>250</v>
      </c>
      <c r="J193" s="693">
        <v>64</v>
      </c>
      <c r="K193" s="693">
        <v>6</v>
      </c>
      <c r="L193" s="693">
        <v>-67</v>
      </c>
    </row>
    <row r="194" spans="1:12" x14ac:dyDescent="0.25">
      <c r="A194" t="s">
        <v>770</v>
      </c>
    </row>
    <row r="195" spans="1:12" ht="14.95" x14ac:dyDescent="0.25">
      <c r="A195" s="642"/>
    </row>
    <row r="196" spans="1:12" ht="14.95" x14ac:dyDescent="0.25">
      <c r="A196" s="286" t="s">
        <v>809</v>
      </c>
    </row>
    <row r="197" spans="1:12" ht="15.8" thickBot="1" x14ac:dyDescent="0.3">
      <c r="A197" s="642"/>
    </row>
    <row r="198" spans="1:12" ht="15.8" thickBot="1" x14ac:dyDescent="0.3">
      <c r="A198" s="662" t="s">
        <v>29</v>
      </c>
      <c r="B198" s="663" t="s">
        <v>30</v>
      </c>
      <c r="C198" s="663"/>
      <c r="D198" s="663" t="s">
        <v>31</v>
      </c>
      <c r="E198" s="664" t="s">
        <v>32</v>
      </c>
      <c r="F198" s="663" t="s">
        <v>33</v>
      </c>
      <c r="G198" s="663" t="s">
        <v>34</v>
      </c>
      <c r="H198" s="663" t="s">
        <v>35</v>
      </c>
      <c r="I198" s="663" t="s">
        <v>36</v>
      </c>
      <c r="J198" s="664" t="s">
        <v>267</v>
      </c>
      <c r="K198" s="663" t="s">
        <v>37</v>
      </c>
      <c r="L198" s="664" t="s">
        <v>38</v>
      </c>
    </row>
    <row r="199" spans="1:12" ht="14.95" thickBot="1" x14ac:dyDescent="0.3">
      <c r="A199" s="670">
        <v>1</v>
      </c>
      <c r="B199" s="666" t="s">
        <v>39</v>
      </c>
      <c r="C199" s="671" t="s">
        <v>273</v>
      </c>
      <c r="D199" s="672">
        <v>11</v>
      </c>
      <c r="E199" s="673">
        <v>8</v>
      </c>
      <c r="F199" s="672">
        <v>0</v>
      </c>
      <c r="G199" s="672">
        <v>3</v>
      </c>
      <c r="H199" s="672">
        <v>303</v>
      </c>
      <c r="I199" s="672">
        <v>176</v>
      </c>
      <c r="J199" s="673">
        <v>127</v>
      </c>
      <c r="K199" s="672">
        <v>7</v>
      </c>
      <c r="L199" s="673">
        <v>39</v>
      </c>
    </row>
    <row r="200" spans="1:12" ht="14.95" thickBot="1" x14ac:dyDescent="0.3">
      <c r="A200" s="670">
        <v>2</v>
      </c>
      <c r="B200" s="666" t="s">
        <v>536</v>
      </c>
      <c r="C200" s="671" t="s">
        <v>27</v>
      </c>
      <c r="D200" s="672">
        <v>11</v>
      </c>
      <c r="E200" s="673">
        <v>6</v>
      </c>
      <c r="F200" s="672">
        <v>0</v>
      </c>
      <c r="G200" s="672">
        <v>5</v>
      </c>
      <c r="H200" s="672">
        <v>272</v>
      </c>
      <c r="I200" s="672">
        <v>173</v>
      </c>
      <c r="J200" s="673">
        <v>99</v>
      </c>
      <c r="K200" s="672">
        <v>7</v>
      </c>
      <c r="L200" s="673">
        <v>31</v>
      </c>
    </row>
    <row r="201" spans="1:12" ht="14.95" thickBot="1" x14ac:dyDescent="0.3">
      <c r="A201" s="674">
        <v>3</v>
      </c>
      <c r="B201" s="675" t="s">
        <v>536</v>
      </c>
      <c r="C201" s="676" t="s">
        <v>165</v>
      </c>
      <c r="D201" s="677">
        <v>11</v>
      </c>
      <c r="E201" s="678">
        <v>6</v>
      </c>
      <c r="F201" s="677">
        <v>1</v>
      </c>
      <c r="G201" s="677">
        <v>4</v>
      </c>
      <c r="H201" s="677">
        <v>242</v>
      </c>
      <c r="I201" s="677">
        <v>236</v>
      </c>
      <c r="J201" s="678">
        <v>6</v>
      </c>
      <c r="K201" s="677">
        <v>4</v>
      </c>
      <c r="L201" s="678">
        <v>30</v>
      </c>
    </row>
    <row r="202" spans="1:12" ht="14.95" thickBot="1" x14ac:dyDescent="0.3">
      <c r="A202" s="674">
        <v>4</v>
      </c>
      <c r="B202" s="675" t="s">
        <v>525</v>
      </c>
      <c r="C202" s="676" t="s">
        <v>25</v>
      </c>
      <c r="D202" s="677">
        <v>11</v>
      </c>
      <c r="E202" s="678">
        <v>6</v>
      </c>
      <c r="F202" s="677">
        <v>0</v>
      </c>
      <c r="G202" s="677">
        <v>5</v>
      </c>
      <c r="H202" s="677">
        <v>266</v>
      </c>
      <c r="I202" s="677">
        <v>274</v>
      </c>
      <c r="J202" s="678">
        <v>-8</v>
      </c>
      <c r="K202" s="677">
        <v>6</v>
      </c>
      <c r="L202" s="678">
        <v>30</v>
      </c>
    </row>
    <row r="203" spans="1:12" ht="14.95" thickBot="1" x14ac:dyDescent="0.3">
      <c r="A203" s="679">
        <v>5</v>
      </c>
      <c r="B203" s="680" t="s">
        <v>39</v>
      </c>
      <c r="C203" s="681" t="s">
        <v>274</v>
      </c>
      <c r="D203" s="682">
        <v>11</v>
      </c>
      <c r="E203" s="683">
        <v>7</v>
      </c>
      <c r="F203" s="682">
        <v>0</v>
      </c>
      <c r="G203" s="682">
        <v>4</v>
      </c>
      <c r="H203" s="682">
        <v>208</v>
      </c>
      <c r="I203" s="682">
        <v>217</v>
      </c>
      <c r="J203" s="683">
        <v>-9</v>
      </c>
      <c r="K203" s="682">
        <v>1</v>
      </c>
      <c r="L203" s="683">
        <v>29</v>
      </c>
    </row>
    <row r="204" spans="1:12" ht="14.95" thickBot="1" x14ac:dyDescent="0.3">
      <c r="A204" s="679">
        <v>6</v>
      </c>
      <c r="B204" s="680" t="s">
        <v>521</v>
      </c>
      <c r="C204" s="681" t="s">
        <v>11</v>
      </c>
      <c r="D204" s="682">
        <v>11</v>
      </c>
      <c r="E204" s="683">
        <v>5</v>
      </c>
      <c r="F204" s="682">
        <v>1</v>
      </c>
      <c r="G204" s="682">
        <v>5</v>
      </c>
      <c r="H204" s="682">
        <v>229</v>
      </c>
      <c r="I204" s="682">
        <v>275</v>
      </c>
      <c r="J204" s="683">
        <v>-46</v>
      </c>
      <c r="K204" s="682">
        <v>5</v>
      </c>
      <c r="L204" s="683">
        <v>27</v>
      </c>
    </row>
    <row r="205" spans="1:12" ht="14.95" thickBot="1" x14ac:dyDescent="0.3">
      <c r="A205" s="684">
        <v>7</v>
      </c>
      <c r="B205" s="685" t="s">
        <v>526</v>
      </c>
      <c r="C205" s="686" t="s">
        <v>24</v>
      </c>
      <c r="D205" s="687">
        <v>11</v>
      </c>
      <c r="E205" s="688">
        <v>4</v>
      </c>
      <c r="F205" s="687">
        <v>0</v>
      </c>
      <c r="G205" s="687">
        <v>7</v>
      </c>
      <c r="H205" s="687">
        <v>229</v>
      </c>
      <c r="I205" s="687">
        <v>220</v>
      </c>
      <c r="J205" s="688">
        <v>9</v>
      </c>
      <c r="K205" s="687">
        <v>8</v>
      </c>
      <c r="L205" s="688">
        <v>24</v>
      </c>
    </row>
    <row r="206" spans="1:12" ht="14.95" thickBot="1" x14ac:dyDescent="0.3">
      <c r="A206" s="684">
        <v>8</v>
      </c>
      <c r="B206" s="685" t="s">
        <v>521</v>
      </c>
      <c r="C206" s="686" t="s">
        <v>106</v>
      </c>
      <c r="D206" s="687">
        <v>11</v>
      </c>
      <c r="E206" s="688">
        <v>4</v>
      </c>
      <c r="F206" s="687">
        <v>0</v>
      </c>
      <c r="G206" s="687">
        <v>7</v>
      </c>
      <c r="H206" s="687">
        <v>264</v>
      </c>
      <c r="I206" s="687">
        <v>280</v>
      </c>
      <c r="J206" s="688">
        <v>-16</v>
      </c>
      <c r="K206" s="687">
        <v>7</v>
      </c>
      <c r="L206" s="688">
        <v>23</v>
      </c>
    </row>
    <row r="207" spans="1:12" ht="14.95" thickBot="1" x14ac:dyDescent="0.3">
      <c r="A207" s="684">
        <v>9</v>
      </c>
      <c r="B207" s="685" t="s">
        <v>525</v>
      </c>
      <c r="C207" s="686" t="s">
        <v>9</v>
      </c>
      <c r="D207" s="687">
        <v>11</v>
      </c>
      <c r="E207" s="688">
        <v>4</v>
      </c>
      <c r="F207" s="687">
        <v>1</v>
      </c>
      <c r="G207" s="687">
        <v>6</v>
      </c>
      <c r="H207" s="687">
        <v>236</v>
      </c>
      <c r="I207" s="687">
        <v>279</v>
      </c>
      <c r="J207" s="688">
        <v>-43</v>
      </c>
      <c r="K207" s="688">
        <v>5</v>
      </c>
      <c r="L207" s="688">
        <v>23</v>
      </c>
    </row>
    <row r="208" spans="1:12" ht="14.95" thickBot="1" x14ac:dyDescent="0.3">
      <c r="A208" s="684">
        <v>10</v>
      </c>
      <c r="B208" s="685" t="s">
        <v>526</v>
      </c>
      <c r="C208" s="686" t="s">
        <v>23</v>
      </c>
      <c r="D208" s="687">
        <v>11</v>
      </c>
      <c r="E208" s="688">
        <v>4</v>
      </c>
      <c r="F208" s="687">
        <v>0</v>
      </c>
      <c r="G208" s="687">
        <v>7</v>
      </c>
      <c r="H208" s="687">
        <v>184</v>
      </c>
      <c r="I208" s="687">
        <v>271</v>
      </c>
      <c r="J208" s="688">
        <v>-87</v>
      </c>
      <c r="K208" s="687">
        <v>4</v>
      </c>
      <c r="L208" s="688">
        <v>20</v>
      </c>
    </row>
    <row r="209" spans="1:12" ht="14.95" thickBot="1" x14ac:dyDescent="0.3">
      <c r="A209" s="684">
        <v>11</v>
      </c>
      <c r="B209" s="685" t="s">
        <v>39</v>
      </c>
      <c r="C209" s="686" t="s">
        <v>26</v>
      </c>
      <c r="D209" s="687">
        <v>11</v>
      </c>
      <c r="E209" s="688">
        <v>3</v>
      </c>
      <c r="F209" s="687">
        <v>1</v>
      </c>
      <c r="G209" s="687">
        <v>7</v>
      </c>
      <c r="H209" s="687">
        <v>180</v>
      </c>
      <c r="I209" s="687">
        <v>270</v>
      </c>
      <c r="J209" s="688">
        <v>-90</v>
      </c>
      <c r="K209" s="687">
        <v>2</v>
      </c>
      <c r="L209" s="688">
        <v>16</v>
      </c>
    </row>
    <row r="210" spans="1:12" ht="14.95" thickBot="1" x14ac:dyDescent="0.3">
      <c r="A210" s="689" t="s">
        <v>50</v>
      </c>
      <c r="B210" s="690" t="s">
        <v>39</v>
      </c>
      <c r="C210" s="691" t="s">
        <v>539</v>
      </c>
      <c r="D210" s="693">
        <v>11</v>
      </c>
      <c r="E210" s="693">
        <v>7</v>
      </c>
      <c r="F210" s="693">
        <v>0</v>
      </c>
      <c r="G210" s="693">
        <v>4</v>
      </c>
      <c r="H210" s="693">
        <v>287</v>
      </c>
      <c r="I210" s="693">
        <v>229</v>
      </c>
      <c r="J210" s="693">
        <v>58</v>
      </c>
      <c r="K210" s="693">
        <v>5</v>
      </c>
      <c r="L210" s="693">
        <v>-72</v>
      </c>
    </row>
    <row r="211" spans="1:12" x14ac:dyDescent="0.25">
      <c r="A211" t="s">
        <v>770</v>
      </c>
    </row>
    <row r="212" spans="1:12" ht="14.95" x14ac:dyDescent="0.25">
      <c r="A212" s="642"/>
    </row>
    <row r="213" spans="1:12" ht="14.95" x14ac:dyDescent="0.25">
      <c r="A213" s="286" t="s">
        <v>798</v>
      </c>
    </row>
    <row r="214" spans="1:12" ht="15.8" thickBot="1" x14ac:dyDescent="0.3">
      <c r="A214" s="642"/>
    </row>
    <row r="215" spans="1:12" ht="15.8" thickBot="1" x14ac:dyDescent="0.3">
      <c r="A215" s="662" t="s">
        <v>29</v>
      </c>
      <c r="B215" s="663" t="s">
        <v>30</v>
      </c>
      <c r="C215" s="663"/>
      <c r="D215" s="663" t="s">
        <v>31</v>
      </c>
      <c r="E215" s="664" t="s">
        <v>32</v>
      </c>
      <c r="F215" s="663" t="s">
        <v>33</v>
      </c>
      <c r="G215" s="663" t="s">
        <v>34</v>
      </c>
      <c r="H215" s="663" t="s">
        <v>35</v>
      </c>
      <c r="I215" s="663" t="s">
        <v>36</v>
      </c>
      <c r="J215" s="664" t="s">
        <v>267</v>
      </c>
      <c r="K215" s="663" t="s">
        <v>37</v>
      </c>
      <c r="L215" s="664" t="s">
        <v>38</v>
      </c>
    </row>
    <row r="216" spans="1:12" ht="14.95" thickBot="1" x14ac:dyDescent="0.3">
      <c r="A216" s="670">
        <v>1</v>
      </c>
      <c r="B216" s="666" t="s">
        <v>39</v>
      </c>
      <c r="C216" s="671" t="s">
        <v>273</v>
      </c>
      <c r="D216" s="672">
        <v>10</v>
      </c>
      <c r="E216" s="673">
        <v>7</v>
      </c>
      <c r="F216" s="672">
        <v>0</v>
      </c>
      <c r="G216" s="672">
        <v>3</v>
      </c>
      <c r="H216" s="672">
        <v>246</v>
      </c>
      <c r="I216" s="672">
        <v>169</v>
      </c>
      <c r="J216" s="673">
        <v>77</v>
      </c>
      <c r="K216" s="672">
        <v>6</v>
      </c>
      <c r="L216" s="673">
        <v>34</v>
      </c>
    </row>
    <row r="217" spans="1:12" ht="14.95" thickBot="1" x14ac:dyDescent="0.3">
      <c r="A217" s="665">
        <v>2</v>
      </c>
      <c r="B217" s="666" t="s">
        <v>39</v>
      </c>
      <c r="C217" s="667" t="s">
        <v>25</v>
      </c>
      <c r="D217" s="668">
        <v>10</v>
      </c>
      <c r="E217" s="669">
        <v>6</v>
      </c>
      <c r="F217" s="668">
        <v>0</v>
      </c>
      <c r="G217" s="668">
        <v>4</v>
      </c>
      <c r="H217" s="668">
        <v>259</v>
      </c>
      <c r="I217" s="668">
        <v>217</v>
      </c>
      <c r="J217" s="669">
        <v>42</v>
      </c>
      <c r="K217" s="668">
        <v>6</v>
      </c>
      <c r="L217" s="669">
        <v>30</v>
      </c>
    </row>
    <row r="218" spans="1:12" ht="14.95" thickBot="1" x14ac:dyDescent="0.3">
      <c r="A218" s="674">
        <v>3</v>
      </c>
      <c r="B218" s="675" t="s">
        <v>39</v>
      </c>
      <c r="C218" s="676" t="s">
        <v>27</v>
      </c>
      <c r="D218" s="677">
        <v>10</v>
      </c>
      <c r="E218" s="678">
        <v>5</v>
      </c>
      <c r="F218" s="677">
        <v>0</v>
      </c>
      <c r="G218" s="677">
        <v>5</v>
      </c>
      <c r="H218" s="677">
        <v>236</v>
      </c>
      <c r="I218" s="677">
        <v>170</v>
      </c>
      <c r="J218" s="678">
        <v>66</v>
      </c>
      <c r="K218" s="677">
        <v>6</v>
      </c>
      <c r="L218" s="678">
        <v>26</v>
      </c>
    </row>
    <row r="219" spans="1:12" ht="14.95" thickBot="1" x14ac:dyDescent="0.3">
      <c r="A219" s="674">
        <v>4</v>
      </c>
      <c r="B219" s="675" t="s">
        <v>536</v>
      </c>
      <c r="C219" s="676" t="s">
        <v>165</v>
      </c>
      <c r="D219" s="677">
        <v>10</v>
      </c>
      <c r="E219" s="678">
        <v>5</v>
      </c>
      <c r="F219" s="677">
        <v>1</v>
      </c>
      <c r="G219" s="677">
        <v>4</v>
      </c>
      <c r="H219" s="677">
        <v>229</v>
      </c>
      <c r="I219" s="677">
        <v>226</v>
      </c>
      <c r="J219" s="678">
        <v>3</v>
      </c>
      <c r="K219" s="677">
        <v>4</v>
      </c>
      <c r="L219" s="678">
        <v>26</v>
      </c>
    </row>
    <row r="220" spans="1:12" ht="14.95" thickBot="1" x14ac:dyDescent="0.3">
      <c r="A220" s="679">
        <v>5</v>
      </c>
      <c r="B220" s="680" t="s">
        <v>521</v>
      </c>
      <c r="C220" s="681" t="s">
        <v>274</v>
      </c>
      <c r="D220" s="682">
        <v>10</v>
      </c>
      <c r="E220" s="683">
        <v>6</v>
      </c>
      <c r="F220" s="682">
        <v>0</v>
      </c>
      <c r="G220" s="682">
        <v>4</v>
      </c>
      <c r="H220" s="682">
        <v>189</v>
      </c>
      <c r="I220" s="682">
        <v>205</v>
      </c>
      <c r="J220" s="683">
        <v>-16</v>
      </c>
      <c r="K220" s="682">
        <v>1</v>
      </c>
      <c r="L220" s="683">
        <v>25</v>
      </c>
    </row>
    <row r="221" spans="1:12" ht="14.95" thickBot="1" x14ac:dyDescent="0.3">
      <c r="A221" s="679">
        <v>6</v>
      </c>
      <c r="B221" s="680" t="s">
        <v>525</v>
      </c>
      <c r="C221" s="681" t="s">
        <v>24</v>
      </c>
      <c r="D221" s="682">
        <v>10</v>
      </c>
      <c r="E221" s="683">
        <v>4</v>
      </c>
      <c r="F221" s="682">
        <v>0</v>
      </c>
      <c r="G221" s="682">
        <v>6</v>
      </c>
      <c r="H221" s="682">
        <v>209</v>
      </c>
      <c r="I221" s="682">
        <v>196</v>
      </c>
      <c r="J221" s="683">
        <v>13</v>
      </c>
      <c r="K221" s="682">
        <v>7</v>
      </c>
      <c r="L221" s="683">
        <v>23</v>
      </c>
    </row>
    <row r="222" spans="1:12" ht="14.95" thickBot="1" x14ac:dyDescent="0.3">
      <c r="A222" s="684">
        <v>7</v>
      </c>
      <c r="B222" s="685" t="s">
        <v>526</v>
      </c>
      <c r="C222" s="686" t="s">
        <v>9</v>
      </c>
      <c r="D222" s="687">
        <v>10</v>
      </c>
      <c r="E222" s="688">
        <v>4</v>
      </c>
      <c r="F222" s="687">
        <v>1</v>
      </c>
      <c r="G222" s="687">
        <v>5</v>
      </c>
      <c r="H222" s="687">
        <v>224</v>
      </c>
      <c r="I222" s="687">
        <v>260</v>
      </c>
      <c r="J222" s="688">
        <v>-36</v>
      </c>
      <c r="K222" s="688">
        <v>4</v>
      </c>
      <c r="L222" s="688">
        <v>22</v>
      </c>
    </row>
    <row r="223" spans="1:12" ht="14.95" thickBot="1" x14ac:dyDescent="0.3">
      <c r="A223" s="684">
        <v>8</v>
      </c>
      <c r="B223" s="685" t="s">
        <v>521</v>
      </c>
      <c r="C223" s="686" t="s">
        <v>11</v>
      </c>
      <c r="D223" s="687">
        <v>10</v>
      </c>
      <c r="E223" s="688">
        <v>4</v>
      </c>
      <c r="F223" s="687">
        <v>1</v>
      </c>
      <c r="G223" s="687">
        <v>5</v>
      </c>
      <c r="H223" s="687">
        <v>205</v>
      </c>
      <c r="I223" s="687">
        <v>255</v>
      </c>
      <c r="J223" s="688">
        <v>-50</v>
      </c>
      <c r="K223" s="687">
        <v>4</v>
      </c>
      <c r="L223" s="688">
        <v>22</v>
      </c>
    </row>
    <row r="224" spans="1:12" ht="14.95" thickBot="1" x14ac:dyDescent="0.3">
      <c r="A224" s="684">
        <v>9</v>
      </c>
      <c r="B224" s="685" t="s">
        <v>526</v>
      </c>
      <c r="C224" s="686" t="s">
        <v>23</v>
      </c>
      <c r="D224" s="687">
        <v>10</v>
      </c>
      <c r="E224" s="688">
        <v>4</v>
      </c>
      <c r="F224" s="687">
        <v>0</v>
      </c>
      <c r="G224" s="687">
        <v>6</v>
      </c>
      <c r="H224" s="687">
        <v>174</v>
      </c>
      <c r="I224" s="687">
        <v>258</v>
      </c>
      <c r="J224" s="688">
        <v>-84</v>
      </c>
      <c r="K224" s="687">
        <v>3</v>
      </c>
      <c r="L224" s="688">
        <v>19</v>
      </c>
    </row>
    <row r="225" spans="1:12" ht="14.95" thickBot="1" x14ac:dyDescent="0.3">
      <c r="A225" s="684">
        <v>10</v>
      </c>
      <c r="B225" s="685" t="s">
        <v>526</v>
      </c>
      <c r="C225" s="686" t="s">
        <v>106</v>
      </c>
      <c r="D225" s="687">
        <v>10</v>
      </c>
      <c r="E225" s="688">
        <v>3</v>
      </c>
      <c r="F225" s="687">
        <v>0</v>
      </c>
      <c r="G225" s="687">
        <v>7</v>
      </c>
      <c r="H225" s="687">
        <v>204</v>
      </c>
      <c r="I225" s="687">
        <v>270</v>
      </c>
      <c r="J225" s="688">
        <v>-66</v>
      </c>
      <c r="K225" s="687">
        <v>6</v>
      </c>
      <c r="L225" s="688">
        <v>18</v>
      </c>
    </row>
    <row r="226" spans="1:12" ht="14.95" thickBot="1" x14ac:dyDescent="0.3">
      <c r="A226" s="684">
        <v>11</v>
      </c>
      <c r="B226" s="685" t="s">
        <v>39</v>
      </c>
      <c r="C226" s="686" t="s">
        <v>26</v>
      </c>
      <c r="D226" s="687">
        <v>10</v>
      </c>
      <c r="E226" s="688">
        <v>3</v>
      </c>
      <c r="F226" s="687">
        <v>1</v>
      </c>
      <c r="G226" s="687">
        <v>6</v>
      </c>
      <c r="H226" s="687">
        <v>177</v>
      </c>
      <c r="I226" s="687">
        <v>234</v>
      </c>
      <c r="J226" s="688">
        <v>-57</v>
      </c>
      <c r="K226" s="687">
        <v>2</v>
      </c>
      <c r="L226" s="688">
        <v>16</v>
      </c>
    </row>
    <row r="227" spans="1:12" ht="14.95" thickBot="1" x14ac:dyDescent="0.3">
      <c r="A227" s="689" t="s">
        <v>50</v>
      </c>
      <c r="B227" s="690" t="s">
        <v>39</v>
      </c>
      <c r="C227" s="691" t="s">
        <v>539</v>
      </c>
      <c r="D227" s="693">
        <v>10</v>
      </c>
      <c r="E227" s="693">
        <v>7</v>
      </c>
      <c r="F227" s="693">
        <v>0</v>
      </c>
      <c r="G227" s="693">
        <v>3</v>
      </c>
      <c r="H227" s="693">
        <v>277</v>
      </c>
      <c r="I227" s="693">
        <v>169</v>
      </c>
      <c r="J227" s="693">
        <v>108</v>
      </c>
      <c r="K227" s="693">
        <v>5</v>
      </c>
      <c r="L227" s="693">
        <v>-72</v>
      </c>
    </row>
    <row r="228" spans="1:12" x14ac:dyDescent="0.25">
      <c r="A228" t="s">
        <v>770</v>
      </c>
    </row>
    <row r="229" spans="1:12" ht="14.95" x14ac:dyDescent="0.25">
      <c r="A229" s="642"/>
    </row>
    <row r="230" spans="1:12" ht="14.95" x14ac:dyDescent="0.25">
      <c r="A230" s="286" t="s">
        <v>775</v>
      </c>
    </row>
    <row r="231" spans="1:12" ht="15.8" thickBot="1" x14ac:dyDescent="0.3">
      <c r="A231" s="642"/>
    </row>
    <row r="232" spans="1:12" ht="15.8" thickBot="1" x14ac:dyDescent="0.3">
      <c r="A232" s="662" t="s">
        <v>29</v>
      </c>
      <c r="B232" s="663" t="s">
        <v>30</v>
      </c>
      <c r="C232" s="663"/>
      <c r="D232" s="663" t="s">
        <v>31</v>
      </c>
      <c r="E232" s="664" t="s">
        <v>32</v>
      </c>
      <c r="F232" s="663" t="s">
        <v>33</v>
      </c>
      <c r="G232" s="663" t="s">
        <v>34</v>
      </c>
      <c r="H232" s="663" t="s">
        <v>35</v>
      </c>
      <c r="I232" s="663" t="s">
        <v>36</v>
      </c>
      <c r="J232" s="664" t="s">
        <v>267</v>
      </c>
      <c r="K232" s="663" t="s">
        <v>37</v>
      </c>
      <c r="L232" s="664" t="s">
        <v>38</v>
      </c>
    </row>
    <row r="233" spans="1:12" ht="14.95" thickBot="1" x14ac:dyDescent="0.3">
      <c r="A233" s="670">
        <v>1</v>
      </c>
      <c r="B233" s="666" t="s">
        <v>39</v>
      </c>
      <c r="C233" s="671" t="s">
        <v>273</v>
      </c>
      <c r="D233" s="672">
        <v>9</v>
      </c>
      <c r="E233" s="673">
        <v>6</v>
      </c>
      <c r="F233" s="672">
        <v>0</v>
      </c>
      <c r="G233" s="672">
        <v>3</v>
      </c>
      <c r="H233" s="672">
        <v>220</v>
      </c>
      <c r="I233" s="672">
        <v>154</v>
      </c>
      <c r="J233" s="673">
        <v>66</v>
      </c>
      <c r="K233" s="672">
        <v>6</v>
      </c>
      <c r="L233" s="673">
        <v>30</v>
      </c>
    </row>
    <row r="234" spans="1:12" ht="14.95" thickBot="1" x14ac:dyDescent="0.3">
      <c r="A234" s="665">
        <v>2</v>
      </c>
      <c r="B234" s="666" t="s">
        <v>39</v>
      </c>
      <c r="C234" s="667" t="s">
        <v>25</v>
      </c>
      <c r="D234" s="668">
        <v>9</v>
      </c>
      <c r="E234" s="669">
        <v>6</v>
      </c>
      <c r="F234" s="668">
        <v>0</v>
      </c>
      <c r="G234" s="668">
        <v>3</v>
      </c>
      <c r="H234" s="668">
        <v>245</v>
      </c>
      <c r="I234" s="668">
        <v>197</v>
      </c>
      <c r="J234" s="669">
        <v>48</v>
      </c>
      <c r="K234" s="668">
        <v>5</v>
      </c>
      <c r="L234" s="669">
        <v>29</v>
      </c>
    </row>
    <row r="235" spans="1:12" ht="14.95" thickBot="1" x14ac:dyDescent="0.3">
      <c r="A235" s="674">
        <v>3</v>
      </c>
      <c r="B235" s="675" t="s">
        <v>536</v>
      </c>
      <c r="C235" s="676" t="s">
        <v>27</v>
      </c>
      <c r="D235" s="677">
        <v>9</v>
      </c>
      <c r="E235" s="678">
        <v>5</v>
      </c>
      <c r="F235" s="677">
        <v>0</v>
      </c>
      <c r="G235" s="677">
        <v>4</v>
      </c>
      <c r="H235" s="677">
        <v>214</v>
      </c>
      <c r="I235" s="677">
        <v>134</v>
      </c>
      <c r="J235" s="678">
        <v>80</v>
      </c>
      <c r="K235" s="677">
        <v>6</v>
      </c>
      <c r="L235" s="678">
        <v>26</v>
      </c>
    </row>
    <row r="236" spans="1:12" ht="14.95" thickBot="1" x14ac:dyDescent="0.3">
      <c r="A236" s="674">
        <v>4</v>
      </c>
      <c r="B236" s="675" t="s">
        <v>526</v>
      </c>
      <c r="C236" s="676" t="s">
        <v>24</v>
      </c>
      <c r="D236" s="677">
        <v>9</v>
      </c>
      <c r="E236" s="678">
        <v>4</v>
      </c>
      <c r="F236" s="677">
        <v>0</v>
      </c>
      <c r="G236" s="677">
        <v>5</v>
      </c>
      <c r="H236" s="677">
        <v>194</v>
      </c>
      <c r="I236" s="677">
        <v>170</v>
      </c>
      <c r="J236" s="678">
        <v>24</v>
      </c>
      <c r="K236" s="677">
        <v>7</v>
      </c>
      <c r="L236" s="678">
        <v>23</v>
      </c>
    </row>
    <row r="237" spans="1:12" ht="14.95" thickBot="1" x14ac:dyDescent="0.3">
      <c r="A237" s="679">
        <v>5</v>
      </c>
      <c r="B237" s="680" t="s">
        <v>526</v>
      </c>
      <c r="C237" s="681" t="s">
        <v>165</v>
      </c>
      <c r="D237" s="682">
        <v>9</v>
      </c>
      <c r="E237" s="683">
        <v>4</v>
      </c>
      <c r="F237" s="682">
        <v>1</v>
      </c>
      <c r="G237" s="682">
        <v>4</v>
      </c>
      <c r="H237" s="682">
        <v>209</v>
      </c>
      <c r="I237" s="682">
        <v>212</v>
      </c>
      <c r="J237" s="683">
        <v>-3</v>
      </c>
      <c r="K237" s="682">
        <v>4</v>
      </c>
      <c r="L237" s="683">
        <v>22</v>
      </c>
    </row>
    <row r="238" spans="1:12" ht="14.95" thickBot="1" x14ac:dyDescent="0.3">
      <c r="A238" s="679">
        <v>6</v>
      </c>
      <c r="B238" s="680" t="s">
        <v>521</v>
      </c>
      <c r="C238" s="681" t="s">
        <v>9</v>
      </c>
      <c r="D238" s="682">
        <v>9</v>
      </c>
      <c r="E238" s="683">
        <v>4</v>
      </c>
      <c r="F238" s="682">
        <v>1</v>
      </c>
      <c r="G238" s="682">
        <v>4</v>
      </c>
      <c r="H238" s="682">
        <v>209</v>
      </c>
      <c r="I238" s="682">
        <v>231</v>
      </c>
      <c r="J238" s="683">
        <v>-22</v>
      </c>
      <c r="K238" s="683">
        <v>4</v>
      </c>
      <c r="L238" s="683">
        <v>22</v>
      </c>
    </row>
    <row r="239" spans="1:12" ht="14.95" thickBot="1" x14ac:dyDescent="0.3">
      <c r="A239" s="684">
        <v>7</v>
      </c>
      <c r="B239" s="685" t="s">
        <v>536</v>
      </c>
      <c r="C239" s="686" t="s">
        <v>274</v>
      </c>
      <c r="D239" s="687">
        <v>9</v>
      </c>
      <c r="E239" s="688">
        <v>5</v>
      </c>
      <c r="F239" s="687">
        <v>0</v>
      </c>
      <c r="G239" s="687">
        <v>4</v>
      </c>
      <c r="H239" s="687">
        <v>167</v>
      </c>
      <c r="I239" s="687">
        <v>184</v>
      </c>
      <c r="J239" s="688">
        <v>-17</v>
      </c>
      <c r="K239" s="687">
        <v>1</v>
      </c>
      <c r="L239" s="688">
        <v>21</v>
      </c>
    </row>
    <row r="240" spans="1:12" ht="14.95" thickBot="1" x14ac:dyDescent="0.3">
      <c r="A240" s="684">
        <v>8</v>
      </c>
      <c r="B240" s="685" t="s">
        <v>526</v>
      </c>
      <c r="C240" s="686" t="s">
        <v>23</v>
      </c>
      <c r="D240" s="687">
        <v>9</v>
      </c>
      <c r="E240" s="688">
        <v>4</v>
      </c>
      <c r="F240" s="687">
        <v>0</v>
      </c>
      <c r="G240" s="687">
        <v>5</v>
      </c>
      <c r="H240" s="687">
        <v>153</v>
      </c>
      <c r="I240" s="687">
        <v>236</v>
      </c>
      <c r="J240" s="688">
        <v>-83</v>
      </c>
      <c r="K240" s="687">
        <v>2</v>
      </c>
      <c r="L240" s="688">
        <v>18</v>
      </c>
    </row>
    <row r="241" spans="1:12" ht="14.95" thickBot="1" x14ac:dyDescent="0.3">
      <c r="A241" s="684">
        <v>9</v>
      </c>
      <c r="B241" s="685" t="s">
        <v>39</v>
      </c>
      <c r="C241" s="686" t="s">
        <v>106</v>
      </c>
      <c r="D241" s="687">
        <v>9</v>
      </c>
      <c r="E241" s="688">
        <v>3</v>
      </c>
      <c r="F241" s="687">
        <v>0</v>
      </c>
      <c r="G241" s="687">
        <v>6</v>
      </c>
      <c r="H241" s="687">
        <v>195</v>
      </c>
      <c r="I241" s="687">
        <v>252</v>
      </c>
      <c r="J241" s="688">
        <v>-57</v>
      </c>
      <c r="K241" s="687">
        <v>6</v>
      </c>
      <c r="L241" s="688">
        <v>18</v>
      </c>
    </row>
    <row r="242" spans="1:12" ht="14.95" thickBot="1" x14ac:dyDescent="0.3">
      <c r="A242" s="684">
        <v>10</v>
      </c>
      <c r="B242" s="685" t="s">
        <v>39</v>
      </c>
      <c r="C242" s="686" t="s">
        <v>11</v>
      </c>
      <c r="D242" s="687">
        <v>9</v>
      </c>
      <c r="E242" s="688">
        <v>3</v>
      </c>
      <c r="F242" s="687">
        <v>1</v>
      </c>
      <c r="G242" s="687">
        <v>5</v>
      </c>
      <c r="H242" s="687">
        <v>176</v>
      </c>
      <c r="I242" s="687">
        <v>240</v>
      </c>
      <c r="J242" s="688">
        <v>-64</v>
      </c>
      <c r="K242" s="687">
        <v>3</v>
      </c>
      <c r="L242" s="688">
        <v>17</v>
      </c>
    </row>
    <row r="243" spans="1:12" ht="14.95" thickBot="1" x14ac:dyDescent="0.3">
      <c r="A243" s="684">
        <v>11</v>
      </c>
      <c r="B243" s="685" t="s">
        <v>39</v>
      </c>
      <c r="C243" s="686" t="s">
        <v>26</v>
      </c>
      <c r="D243" s="687">
        <v>9</v>
      </c>
      <c r="E243" s="688">
        <v>2</v>
      </c>
      <c r="F243" s="687">
        <v>1</v>
      </c>
      <c r="G243" s="687">
        <v>6</v>
      </c>
      <c r="H243" s="687">
        <v>159</v>
      </c>
      <c r="I243" s="687">
        <v>225</v>
      </c>
      <c r="J243" s="688">
        <v>-66</v>
      </c>
      <c r="K243" s="687">
        <v>2</v>
      </c>
      <c r="L243" s="688">
        <v>12</v>
      </c>
    </row>
    <row r="244" spans="1:12" ht="14.95" thickBot="1" x14ac:dyDescent="0.3">
      <c r="A244" s="689" t="s">
        <v>50</v>
      </c>
      <c r="B244" s="690" t="s">
        <v>39</v>
      </c>
      <c r="C244" s="691" t="s">
        <v>539</v>
      </c>
      <c r="D244" s="693">
        <v>9</v>
      </c>
      <c r="E244" s="693">
        <v>6</v>
      </c>
      <c r="F244" s="693">
        <v>0</v>
      </c>
      <c r="G244" s="693">
        <v>3</v>
      </c>
      <c r="H244" s="693">
        <v>241</v>
      </c>
      <c r="I244" s="693">
        <v>147</v>
      </c>
      <c r="J244" s="693">
        <v>94</v>
      </c>
      <c r="K244" s="693">
        <v>4</v>
      </c>
      <c r="L244" s="693">
        <v>-77</v>
      </c>
    </row>
    <row r="245" spans="1:12" x14ac:dyDescent="0.25">
      <c r="A245" t="s">
        <v>770</v>
      </c>
    </row>
    <row r="246" spans="1:12" ht="14.95" x14ac:dyDescent="0.25">
      <c r="A246" s="642"/>
    </row>
    <row r="247" spans="1:12" ht="14.95" x14ac:dyDescent="0.25">
      <c r="A247" s="286" t="s">
        <v>738</v>
      </c>
    </row>
    <row r="248" spans="1:12" ht="15.8" thickBot="1" x14ac:dyDescent="0.3">
      <c r="A248" s="642"/>
    </row>
    <row r="249" spans="1:12" ht="15.8" thickBot="1" x14ac:dyDescent="0.3">
      <c r="A249" s="662" t="s">
        <v>29</v>
      </c>
      <c r="B249" s="663" t="s">
        <v>30</v>
      </c>
      <c r="C249" s="663"/>
      <c r="D249" s="663" t="s">
        <v>31</v>
      </c>
      <c r="E249" s="664" t="s">
        <v>32</v>
      </c>
      <c r="F249" s="663" t="s">
        <v>33</v>
      </c>
      <c r="G249" s="663" t="s">
        <v>34</v>
      </c>
      <c r="H249" s="663" t="s">
        <v>35</v>
      </c>
      <c r="I249" s="663" t="s">
        <v>36</v>
      </c>
      <c r="J249" s="664" t="s">
        <v>267</v>
      </c>
      <c r="K249" s="663" t="s">
        <v>37</v>
      </c>
      <c r="L249" s="664" t="s">
        <v>38</v>
      </c>
    </row>
    <row r="250" spans="1:12" ht="14.95" thickBot="1" x14ac:dyDescent="0.3">
      <c r="A250" s="670">
        <v>1</v>
      </c>
      <c r="B250" s="666" t="s">
        <v>39</v>
      </c>
      <c r="C250" s="671" t="s">
        <v>273</v>
      </c>
      <c r="D250" s="672">
        <v>8</v>
      </c>
      <c r="E250" s="673">
        <v>6</v>
      </c>
      <c r="F250" s="672">
        <v>0</v>
      </c>
      <c r="G250" s="672">
        <v>2</v>
      </c>
      <c r="H250" s="672">
        <v>201</v>
      </c>
      <c r="I250" s="672">
        <v>132</v>
      </c>
      <c r="J250" s="673">
        <v>69</v>
      </c>
      <c r="K250" s="672">
        <v>5</v>
      </c>
      <c r="L250" s="673">
        <v>29</v>
      </c>
    </row>
    <row r="251" spans="1:12" ht="14.95" thickBot="1" x14ac:dyDescent="0.3">
      <c r="A251" s="665">
        <v>2</v>
      </c>
      <c r="B251" s="666" t="s">
        <v>39</v>
      </c>
      <c r="C251" s="667" t="s">
        <v>25</v>
      </c>
      <c r="D251" s="668">
        <v>8</v>
      </c>
      <c r="E251" s="669">
        <v>6</v>
      </c>
      <c r="F251" s="668">
        <v>0</v>
      </c>
      <c r="G251" s="668">
        <v>2</v>
      </c>
      <c r="H251" s="668">
        <v>229</v>
      </c>
      <c r="I251" s="668">
        <v>177</v>
      </c>
      <c r="J251" s="669">
        <v>52</v>
      </c>
      <c r="K251" s="668">
        <v>4</v>
      </c>
      <c r="L251" s="669">
        <v>28</v>
      </c>
    </row>
    <row r="252" spans="1:12" ht="14.95" thickBot="1" x14ac:dyDescent="0.3">
      <c r="A252" s="674">
        <v>3</v>
      </c>
      <c r="B252" s="675" t="s">
        <v>39</v>
      </c>
      <c r="C252" s="676" t="s">
        <v>24</v>
      </c>
      <c r="D252" s="677">
        <v>8</v>
      </c>
      <c r="E252" s="678">
        <v>4</v>
      </c>
      <c r="F252" s="677">
        <v>0</v>
      </c>
      <c r="G252" s="677">
        <v>4</v>
      </c>
      <c r="H252" s="677">
        <v>178</v>
      </c>
      <c r="I252" s="677">
        <v>136</v>
      </c>
      <c r="J252" s="678">
        <v>42</v>
      </c>
      <c r="K252" s="677">
        <v>7</v>
      </c>
      <c r="L252" s="678">
        <v>23</v>
      </c>
    </row>
    <row r="253" spans="1:12" ht="14.95" thickBot="1" x14ac:dyDescent="0.3">
      <c r="A253" s="674">
        <v>4</v>
      </c>
      <c r="B253" s="675" t="s">
        <v>523</v>
      </c>
      <c r="C253" s="676" t="s">
        <v>27</v>
      </c>
      <c r="D253" s="677">
        <v>8</v>
      </c>
      <c r="E253" s="678">
        <v>4</v>
      </c>
      <c r="F253" s="677">
        <v>0</v>
      </c>
      <c r="G253" s="677">
        <v>4</v>
      </c>
      <c r="H253" s="677">
        <v>192</v>
      </c>
      <c r="I253" s="677">
        <v>115</v>
      </c>
      <c r="J253" s="678">
        <v>77</v>
      </c>
      <c r="K253" s="677">
        <v>6</v>
      </c>
      <c r="L253" s="678">
        <v>22</v>
      </c>
    </row>
    <row r="254" spans="1:12" ht="14.95" thickBot="1" x14ac:dyDescent="0.3">
      <c r="A254" s="679">
        <v>5</v>
      </c>
      <c r="B254" s="680" t="s">
        <v>526</v>
      </c>
      <c r="C254" s="681" t="s">
        <v>165</v>
      </c>
      <c r="D254" s="682">
        <v>8</v>
      </c>
      <c r="E254" s="683">
        <v>3</v>
      </c>
      <c r="F254" s="682">
        <v>1</v>
      </c>
      <c r="G254" s="682">
        <v>4</v>
      </c>
      <c r="H254" s="682">
        <v>175</v>
      </c>
      <c r="I254" s="682">
        <v>196</v>
      </c>
      <c r="J254" s="683">
        <v>-21</v>
      </c>
      <c r="K254" s="682">
        <v>4</v>
      </c>
      <c r="L254" s="683">
        <v>18</v>
      </c>
    </row>
    <row r="255" spans="1:12" ht="14.95" thickBot="1" x14ac:dyDescent="0.3">
      <c r="A255" s="679">
        <v>6</v>
      </c>
      <c r="B255" s="680" t="s">
        <v>526</v>
      </c>
      <c r="C255" s="681" t="s">
        <v>274</v>
      </c>
      <c r="D255" s="682">
        <v>8</v>
      </c>
      <c r="E255" s="683">
        <v>4</v>
      </c>
      <c r="F255" s="682">
        <v>0</v>
      </c>
      <c r="G255" s="682">
        <v>4</v>
      </c>
      <c r="H255" s="682">
        <v>154</v>
      </c>
      <c r="I255" s="682">
        <v>174</v>
      </c>
      <c r="J255" s="683">
        <v>-20</v>
      </c>
      <c r="K255" s="682">
        <v>1</v>
      </c>
      <c r="L255" s="683">
        <v>17</v>
      </c>
    </row>
    <row r="256" spans="1:12" ht="14.95" thickBot="1" x14ac:dyDescent="0.3">
      <c r="A256" s="684">
        <v>7</v>
      </c>
      <c r="B256" s="685" t="s">
        <v>526</v>
      </c>
      <c r="C256" s="686" t="s">
        <v>23</v>
      </c>
      <c r="D256" s="687">
        <v>8</v>
      </c>
      <c r="E256" s="688">
        <v>4</v>
      </c>
      <c r="F256" s="687">
        <v>0</v>
      </c>
      <c r="G256" s="687">
        <v>4</v>
      </c>
      <c r="H256" s="687">
        <v>127</v>
      </c>
      <c r="I256" s="687">
        <v>206</v>
      </c>
      <c r="J256" s="688">
        <v>-79</v>
      </c>
      <c r="K256" s="687">
        <v>1</v>
      </c>
      <c r="L256" s="688">
        <v>17</v>
      </c>
    </row>
    <row r="257" spans="1:12" ht="14.95" thickBot="1" x14ac:dyDescent="0.3">
      <c r="A257" s="684">
        <v>8</v>
      </c>
      <c r="B257" s="685" t="s">
        <v>39</v>
      </c>
      <c r="C257" s="686" t="s">
        <v>9</v>
      </c>
      <c r="D257" s="687">
        <v>8</v>
      </c>
      <c r="E257" s="688">
        <v>3</v>
      </c>
      <c r="F257" s="687">
        <v>1</v>
      </c>
      <c r="G257" s="687">
        <v>4</v>
      </c>
      <c r="H257" s="687">
        <v>168</v>
      </c>
      <c r="I257" s="687">
        <v>217</v>
      </c>
      <c r="J257" s="688">
        <v>-49</v>
      </c>
      <c r="K257" s="688">
        <v>3</v>
      </c>
      <c r="L257" s="688">
        <v>17</v>
      </c>
    </row>
    <row r="258" spans="1:12" ht="14.95" thickBot="1" x14ac:dyDescent="0.3">
      <c r="A258" s="684">
        <v>9</v>
      </c>
      <c r="B258" s="685" t="s">
        <v>536</v>
      </c>
      <c r="C258" s="686" t="s">
        <v>106</v>
      </c>
      <c r="D258" s="687">
        <v>8</v>
      </c>
      <c r="E258" s="688">
        <v>2</v>
      </c>
      <c r="F258" s="687">
        <v>0</v>
      </c>
      <c r="G258" s="687">
        <v>6</v>
      </c>
      <c r="H258" s="687">
        <v>165</v>
      </c>
      <c r="I258" s="687">
        <v>226</v>
      </c>
      <c r="J258" s="688">
        <v>-61</v>
      </c>
      <c r="K258" s="687">
        <v>5</v>
      </c>
      <c r="L258" s="688">
        <v>13</v>
      </c>
    </row>
    <row r="259" spans="1:12" ht="14.95" thickBot="1" x14ac:dyDescent="0.3">
      <c r="A259" s="684">
        <v>10</v>
      </c>
      <c r="B259" s="685" t="s">
        <v>526</v>
      </c>
      <c r="C259" s="686" t="s">
        <v>11</v>
      </c>
      <c r="D259" s="687">
        <v>8</v>
      </c>
      <c r="E259" s="688">
        <v>2</v>
      </c>
      <c r="F259" s="687">
        <v>1</v>
      </c>
      <c r="G259" s="687">
        <v>5</v>
      </c>
      <c r="H259" s="687">
        <v>156</v>
      </c>
      <c r="I259" s="687">
        <v>224</v>
      </c>
      <c r="J259" s="688">
        <v>-68</v>
      </c>
      <c r="K259" s="687">
        <v>3</v>
      </c>
      <c r="L259" s="688">
        <v>13</v>
      </c>
    </row>
    <row r="260" spans="1:12" ht="14.95" thickBot="1" x14ac:dyDescent="0.3">
      <c r="A260" s="684">
        <v>11</v>
      </c>
      <c r="B260" s="685" t="s">
        <v>39</v>
      </c>
      <c r="C260" s="686" t="s">
        <v>26</v>
      </c>
      <c r="D260" s="687">
        <v>8</v>
      </c>
      <c r="E260" s="688">
        <v>2</v>
      </c>
      <c r="F260" s="687">
        <v>1</v>
      </c>
      <c r="G260" s="687">
        <v>5</v>
      </c>
      <c r="H260" s="687">
        <v>149</v>
      </c>
      <c r="I260" s="687">
        <v>212</v>
      </c>
      <c r="J260" s="688">
        <v>-63</v>
      </c>
      <c r="K260" s="687">
        <v>1</v>
      </c>
      <c r="L260" s="688">
        <v>11</v>
      </c>
    </row>
    <row r="261" spans="1:12" ht="14.95" thickBot="1" x14ac:dyDescent="0.3">
      <c r="A261" s="689" t="s">
        <v>50</v>
      </c>
      <c r="B261" s="690" t="s">
        <v>39</v>
      </c>
      <c r="C261" s="694" t="s">
        <v>539</v>
      </c>
      <c r="D261" s="693">
        <v>8</v>
      </c>
      <c r="E261" s="693">
        <v>6</v>
      </c>
      <c r="F261" s="693">
        <v>0</v>
      </c>
      <c r="G261" s="693">
        <v>2</v>
      </c>
      <c r="H261" s="693">
        <v>227</v>
      </c>
      <c r="I261" s="693">
        <v>106</v>
      </c>
      <c r="J261" s="693">
        <v>121</v>
      </c>
      <c r="K261" s="693">
        <v>4</v>
      </c>
      <c r="L261" s="693">
        <v>-7</v>
      </c>
    </row>
    <row r="262" spans="1:12" x14ac:dyDescent="0.25">
      <c r="A262" t="s">
        <v>752</v>
      </c>
    </row>
    <row r="263" spans="1:12" ht="14.95" x14ac:dyDescent="0.25">
      <c r="A263" t="s">
        <v>1042</v>
      </c>
    </row>
    <row r="264" spans="1:12" ht="14.95" x14ac:dyDescent="0.25">
      <c r="A264" s="642"/>
    </row>
    <row r="265" spans="1:12" x14ac:dyDescent="0.25">
      <c r="A265" s="286" t="s">
        <v>724</v>
      </c>
    </row>
    <row r="266" spans="1:12" ht="14.95" thickBot="1" x14ac:dyDescent="0.3">
      <c r="A266" s="642"/>
    </row>
    <row r="267" spans="1:12" ht="14.95" thickBot="1" x14ac:dyDescent="0.3">
      <c r="A267" s="662" t="s">
        <v>29</v>
      </c>
      <c r="B267" s="663" t="s">
        <v>30</v>
      </c>
      <c r="C267" s="663"/>
      <c r="D267" s="663" t="s">
        <v>31</v>
      </c>
      <c r="E267" s="664" t="s">
        <v>32</v>
      </c>
      <c r="F267" s="663" t="s">
        <v>33</v>
      </c>
      <c r="G267" s="663" t="s">
        <v>34</v>
      </c>
      <c r="H267" s="663" t="s">
        <v>35</v>
      </c>
      <c r="I267" s="663" t="s">
        <v>36</v>
      </c>
      <c r="J267" s="664" t="s">
        <v>267</v>
      </c>
      <c r="K267" s="663" t="s">
        <v>37</v>
      </c>
      <c r="L267" s="664" t="s">
        <v>38</v>
      </c>
    </row>
    <row r="268" spans="1:12" ht="14.95" thickBot="1" x14ac:dyDescent="0.3">
      <c r="A268" s="670">
        <v>1</v>
      </c>
      <c r="B268" s="666" t="s">
        <v>39</v>
      </c>
      <c r="C268" s="671" t="s">
        <v>273</v>
      </c>
      <c r="D268" s="672">
        <v>7</v>
      </c>
      <c r="E268" s="673">
        <v>5</v>
      </c>
      <c r="F268" s="672">
        <v>0</v>
      </c>
      <c r="G268" s="672">
        <v>2</v>
      </c>
      <c r="H268" s="672">
        <v>156</v>
      </c>
      <c r="I268" s="672">
        <v>104</v>
      </c>
      <c r="J268" s="673">
        <v>52</v>
      </c>
      <c r="K268" s="672">
        <v>4</v>
      </c>
      <c r="L268" s="673">
        <v>24</v>
      </c>
    </row>
    <row r="269" spans="1:12" ht="14.95" thickBot="1" x14ac:dyDescent="0.3">
      <c r="A269" s="665">
        <v>2</v>
      </c>
      <c r="B269" s="666" t="s">
        <v>39</v>
      </c>
      <c r="C269" s="667" t="s">
        <v>25</v>
      </c>
      <c r="D269" s="668">
        <v>7</v>
      </c>
      <c r="E269" s="669">
        <v>5</v>
      </c>
      <c r="F269" s="668">
        <v>0</v>
      </c>
      <c r="G269" s="668">
        <v>2</v>
      </c>
      <c r="H269" s="668">
        <v>194</v>
      </c>
      <c r="I269" s="668">
        <v>146</v>
      </c>
      <c r="J269" s="669">
        <v>48</v>
      </c>
      <c r="K269" s="668">
        <v>3</v>
      </c>
      <c r="L269" s="669">
        <v>23</v>
      </c>
    </row>
    <row r="270" spans="1:12" ht="14.95" thickBot="1" x14ac:dyDescent="0.3">
      <c r="A270" s="674">
        <v>3</v>
      </c>
      <c r="B270" s="675" t="s">
        <v>521</v>
      </c>
      <c r="C270" s="676" t="s">
        <v>24</v>
      </c>
      <c r="D270" s="677">
        <v>7</v>
      </c>
      <c r="E270" s="678">
        <v>3</v>
      </c>
      <c r="F270" s="677">
        <v>0</v>
      </c>
      <c r="G270" s="677">
        <v>4</v>
      </c>
      <c r="H270" s="677">
        <v>149</v>
      </c>
      <c r="I270" s="677">
        <v>121</v>
      </c>
      <c r="J270" s="678">
        <v>28</v>
      </c>
      <c r="K270" s="677">
        <v>6</v>
      </c>
      <c r="L270" s="678">
        <v>18</v>
      </c>
    </row>
    <row r="271" spans="1:12" ht="14.95" thickBot="1" x14ac:dyDescent="0.3">
      <c r="A271" s="674">
        <v>4</v>
      </c>
      <c r="B271" s="675" t="s">
        <v>526</v>
      </c>
      <c r="C271" s="676" t="s">
        <v>165</v>
      </c>
      <c r="D271" s="677">
        <v>7</v>
      </c>
      <c r="E271" s="678">
        <v>3</v>
      </c>
      <c r="F271" s="677">
        <v>1</v>
      </c>
      <c r="G271" s="677">
        <v>3</v>
      </c>
      <c r="H271" s="677">
        <v>157</v>
      </c>
      <c r="I271" s="677">
        <v>165</v>
      </c>
      <c r="J271" s="678">
        <v>-8</v>
      </c>
      <c r="K271" s="677">
        <v>4</v>
      </c>
      <c r="L271" s="678">
        <v>18</v>
      </c>
    </row>
    <row r="272" spans="1:12" ht="14.95" thickBot="1" x14ac:dyDescent="0.3">
      <c r="A272" s="679">
        <v>5</v>
      </c>
      <c r="B272" s="680" t="s">
        <v>521</v>
      </c>
      <c r="C272" s="681" t="s">
        <v>274</v>
      </c>
      <c r="D272" s="682">
        <v>7</v>
      </c>
      <c r="E272" s="683">
        <v>4</v>
      </c>
      <c r="F272" s="682">
        <v>0</v>
      </c>
      <c r="G272" s="682">
        <v>3</v>
      </c>
      <c r="H272" s="682">
        <v>139</v>
      </c>
      <c r="I272" s="682">
        <v>145</v>
      </c>
      <c r="J272" s="683">
        <v>-6</v>
      </c>
      <c r="K272" s="682">
        <v>1</v>
      </c>
      <c r="L272" s="683">
        <v>17</v>
      </c>
    </row>
    <row r="273" spans="1:12" ht="14.95" thickBot="1" x14ac:dyDescent="0.3">
      <c r="A273" s="679">
        <v>6</v>
      </c>
      <c r="B273" s="680" t="s">
        <v>521</v>
      </c>
      <c r="C273" s="681" t="s">
        <v>23</v>
      </c>
      <c r="D273" s="682">
        <v>7</v>
      </c>
      <c r="E273" s="683">
        <v>4</v>
      </c>
      <c r="F273" s="682">
        <v>0</v>
      </c>
      <c r="G273" s="682">
        <v>3</v>
      </c>
      <c r="H273" s="682">
        <v>122</v>
      </c>
      <c r="I273" s="682">
        <v>144</v>
      </c>
      <c r="J273" s="683">
        <v>-22</v>
      </c>
      <c r="K273" s="682">
        <v>1</v>
      </c>
      <c r="L273" s="683">
        <v>17</v>
      </c>
    </row>
    <row r="274" spans="1:12" ht="14.95" thickBot="1" x14ac:dyDescent="0.3">
      <c r="A274" s="684">
        <v>7</v>
      </c>
      <c r="B274" s="685" t="s">
        <v>520</v>
      </c>
      <c r="C274" s="686" t="s">
        <v>27</v>
      </c>
      <c r="D274" s="687">
        <v>7</v>
      </c>
      <c r="E274" s="688">
        <v>3</v>
      </c>
      <c r="F274" s="687">
        <v>0</v>
      </c>
      <c r="G274" s="687">
        <v>4</v>
      </c>
      <c r="H274" s="687">
        <v>144</v>
      </c>
      <c r="I274" s="687">
        <v>105</v>
      </c>
      <c r="J274" s="688">
        <v>39</v>
      </c>
      <c r="K274" s="687">
        <v>5</v>
      </c>
      <c r="L274" s="688">
        <v>17</v>
      </c>
    </row>
    <row r="275" spans="1:12" ht="14.95" thickBot="1" x14ac:dyDescent="0.3">
      <c r="A275" s="684">
        <v>8</v>
      </c>
      <c r="B275" s="685" t="s">
        <v>525</v>
      </c>
      <c r="C275" s="686" t="s">
        <v>9</v>
      </c>
      <c r="D275" s="688">
        <v>7</v>
      </c>
      <c r="E275" s="688">
        <v>3</v>
      </c>
      <c r="F275" s="688">
        <v>1</v>
      </c>
      <c r="G275" s="688">
        <v>3</v>
      </c>
      <c r="H275" s="687">
        <v>158</v>
      </c>
      <c r="I275" s="687">
        <v>169</v>
      </c>
      <c r="J275" s="688">
        <v>-11</v>
      </c>
      <c r="K275" s="688">
        <v>3</v>
      </c>
      <c r="L275" s="688">
        <v>17</v>
      </c>
    </row>
    <row r="276" spans="1:12" ht="14.95" thickBot="1" x14ac:dyDescent="0.3">
      <c r="A276" s="684">
        <v>9</v>
      </c>
      <c r="B276" s="685" t="s">
        <v>39</v>
      </c>
      <c r="C276" s="686" t="s">
        <v>11</v>
      </c>
      <c r="D276" s="687">
        <v>7</v>
      </c>
      <c r="E276" s="688">
        <v>2</v>
      </c>
      <c r="F276" s="687">
        <v>1</v>
      </c>
      <c r="G276" s="687">
        <v>4</v>
      </c>
      <c r="H276" s="687">
        <v>128</v>
      </c>
      <c r="I276" s="687">
        <v>179</v>
      </c>
      <c r="J276" s="688">
        <v>-51</v>
      </c>
      <c r="K276" s="687">
        <v>2</v>
      </c>
      <c r="L276" s="688">
        <v>12</v>
      </c>
    </row>
    <row r="277" spans="1:12" ht="14.95" thickBot="1" x14ac:dyDescent="0.3">
      <c r="A277" s="684">
        <v>10</v>
      </c>
      <c r="B277" s="685" t="s">
        <v>39</v>
      </c>
      <c r="C277" s="686" t="s">
        <v>106</v>
      </c>
      <c r="D277" s="687">
        <v>7</v>
      </c>
      <c r="E277" s="688">
        <v>2</v>
      </c>
      <c r="F277" s="687">
        <v>0</v>
      </c>
      <c r="G277" s="687">
        <v>5</v>
      </c>
      <c r="H277" s="687">
        <v>134</v>
      </c>
      <c r="I277" s="687">
        <v>191</v>
      </c>
      <c r="J277" s="688">
        <v>-57</v>
      </c>
      <c r="K277" s="687">
        <v>3</v>
      </c>
      <c r="L277" s="688">
        <v>11</v>
      </c>
    </row>
    <row r="278" spans="1:12" ht="14.95" thickBot="1" x14ac:dyDescent="0.3">
      <c r="A278" s="684">
        <v>11</v>
      </c>
      <c r="B278" s="685" t="s">
        <v>39</v>
      </c>
      <c r="C278" s="686" t="s">
        <v>26</v>
      </c>
      <c r="D278" s="687">
        <v>7</v>
      </c>
      <c r="E278" s="688">
        <v>1</v>
      </c>
      <c r="F278" s="687">
        <v>1</v>
      </c>
      <c r="G278" s="687">
        <v>5</v>
      </c>
      <c r="H278" s="687">
        <v>118</v>
      </c>
      <c r="I278" s="687">
        <v>194</v>
      </c>
      <c r="J278" s="688">
        <v>-76</v>
      </c>
      <c r="K278" s="687">
        <v>0</v>
      </c>
      <c r="L278" s="688">
        <v>6</v>
      </c>
    </row>
    <row r="279" spans="1:12" ht="14.95" thickBot="1" x14ac:dyDescent="0.3">
      <c r="A279" s="689">
        <v>12</v>
      </c>
      <c r="B279" s="690" t="s">
        <v>39</v>
      </c>
      <c r="C279" s="691" t="s">
        <v>539</v>
      </c>
      <c r="D279" s="693">
        <v>7</v>
      </c>
      <c r="E279" s="693">
        <v>5</v>
      </c>
      <c r="F279" s="693">
        <v>0</v>
      </c>
      <c r="G279" s="693">
        <v>2</v>
      </c>
      <c r="H279" s="693">
        <v>165</v>
      </c>
      <c r="I279" s="693">
        <v>101</v>
      </c>
      <c r="J279" s="693">
        <v>64</v>
      </c>
      <c r="K279" s="693">
        <v>3</v>
      </c>
      <c r="L279" s="693">
        <v>-12</v>
      </c>
    </row>
    <row r="280" spans="1:12" x14ac:dyDescent="0.25">
      <c r="A280" s="642" t="s">
        <v>557</v>
      </c>
    </row>
    <row r="281" spans="1:12" x14ac:dyDescent="0.25">
      <c r="A281" s="642"/>
    </row>
    <row r="282" spans="1:12" x14ac:dyDescent="0.25">
      <c r="A282" s="286" t="s">
        <v>705</v>
      </c>
    </row>
    <row r="283" spans="1:12" ht="14.95" thickBot="1" x14ac:dyDescent="0.3">
      <c r="A283" s="642"/>
    </row>
    <row r="284" spans="1:12" ht="14.95" thickBot="1" x14ac:dyDescent="0.3">
      <c r="A284" s="662" t="s">
        <v>29</v>
      </c>
      <c r="B284" s="663" t="s">
        <v>30</v>
      </c>
      <c r="C284" s="663"/>
      <c r="D284" s="663" t="s">
        <v>31</v>
      </c>
      <c r="E284" s="664" t="s">
        <v>32</v>
      </c>
      <c r="F284" s="663" t="s">
        <v>33</v>
      </c>
      <c r="G284" s="663" t="s">
        <v>34</v>
      </c>
      <c r="H284" s="663" t="s">
        <v>35</v>
      </c>
      <c r="I284" s="663" t="s">
        <v>36</v>
      </c>
      <c r="J284" s="664" t="s">
        <v>267</v>
      </c>
      <c r="K284" s="663" t="s">
        <v>37</v>
      </c>
      <c r="L284" s="664" t="s">
        <v>38</v>
      </c>
    </row>
    <row r="285" spans="1:12" ht="14.95" thickBot="1" x14ac:dyDescent="0.3">
      <c r="A285" s="670">
        <v>1</v>
      </c>
      <c r="B285" s="666" t="s">
        <v>521</v>
      </c>
      <c r="C285" s="671" t="s">
        <v>273</v>
      </c>
      <c r="D285" s="672">
        <v>6</v>
      </c>
      <c r="E285" s="673">
        <v>4</v>
      </c>
      <c r="F285" s="672">
        <v>0</v>
      </c>
      <c r="G285" s="672">
        <v>2</v>
      </c>
      <c r="H285" s="672">
        <v>142</v>
      </c>
      <c r="I285" s="672">
        <v>97</v>
      </c>
      <c r="J285" s="673">
        <v>45</v>
      </c>
      <c r="K285" s="672">
        <v>4</v>
      </c>
      <c r="L285" s="673">
        <v>20</v>
      </c>
    </row>
    <row r="286" spans="1:12" ht="14.95" thickBot="1" x14ac:dyDescent="0.3">
      <c r="A286" s="665">
        <v>2</v>
      </c>
      <c r="B286" s="666" t="s">
        <v>526</v>
      </c>
      <c r="C286" s="667" t="s">
        <v>25</v>
      </c>
      <c r="D286" s="668">
        <v>6</v>
      </c>
      <c r="E286" s="669">
        <v>4</v>
      </c>
      <c r="F286" s="668">
        <v>0</v>
      </c>
      <c r="G286" s="668">
        <v>2</v>
      </c>
      <c r="H286" s="668">
        <v>161</v>
      </c>
      <c r="I286" s="668">
        <v>120</v>
      </c>
      <c r="J286" s="669">
        <v>41</v>
      </c>
      <c r="K286" s="668">
        <v>3</v>
      </c>
      <c r="L286" s="669">
        <v>19</v>
      </c>
    </row>
    <row r="287" spans="1:12" ht="14.95" thickBot="1" x14ac:dyDescent="0.3">
      <c r="A287" s="674">
        <v>3</v>
      </c>
      <c r="B287" s="675" t="s">
        <v>526</v>
      </c>
      <c r="C287" s="676" t="s">
        <v>165</v>
      </c>
      <c r="D287" s="677">
        <v>6</v>
      </c>
      <c r="E287" s="678">
        <v>3</v>
      </c>
      <c r="F287" s="677">
        <v>1</v>
      </c>
      <c r="G287" s="677">
        <v>2</v>
      </c>
      <c r="H287" s="677">
        <v>136</v>
      </c>
      <c r="I287" s="677">
        <v>139</v>
      </c>
      <c r="J287" s="678">
        <v>-3</v>
      </c>
      <c r="K287" s="677">
        <v>3</v>
      </c>
      <c r="L287" s="678">
        <v>17</v>
      </c>
    </row>
    <row r="288" spans="1:12" ht="14.95" thickBot="1" x14ac:dyDescent="0.3">
      <c r="A288" s="674">
        <v>4</v>
      </c>
      <c r="B288" s="675" t="s">
        <v>536</v>
      </c>
      <c r="C288" s="676" t="s">
        <v>27</v>
      </c>
      <c r="D288" s="677">
        <v>6</v>
      </c>
      <c r="E288" s="678">
        <v>3</v>
      </c>
      <c r="F288" s="677">
        <v>0</v>
      </c>
      <c r="G288" s="677">
        <v>3</v>
      </c>
      <c r="H288" s="677">
        <v>130</v>
      </c>
      <c r="I288" s="677">
        <v>89</v>
      </c>
      <c r="J288" s="678">
        <v>41</v>
      </c>
      <c r="K288" s="677">
        <v>4</v>
      </c>
      <c r="L288" s="678">
        <v>16</v>
      </c>
    </row>
    <row r="289" spans="1:12" ht="14.95" thickBot="1" x14ac:dyDescent="0.3">
      <c r="A289" s="679">
        <v>5</v>
      </c>
      <c r="B289" s="680" t="s">
        <v>521</v>
      </c>
      <c r="C289" s="681" t="s">
        <v>24</v>
      </c>
      <c r="D289" s="682">
        <v>6</v>
      </c>
      <c r="E289" s="683">
        <v>3</v>
      </c>
      <c r="F289" s="682">
        <v>0</v>
      </c>
      <c r="G289" s="682">
        <v>3</v>
      </c>
      <c r="H289" s="682">
        <v>123</v>
      </c>
      <c r="I289" s="682">
        <v>88</v>
      </c>
      <c r="J289" s="683">
        <v>35</v>
      </c>
      <c r="K289" s="682">
        <v>4</v>
      </c>
      <c r="L289" s="683">
        <v>16</v>
      </c>
    </row>
    <row r="290" spans="1:12" ht="14.95" thickBot="1" x14ac:dyDescent="0.3">
      <c r="A290" s="679">
        <v>6</v>
      </c>
      <c r="B290" s="680" t="s">
        <v>521</v>
      </c>
      <c r="C290" s="681" t="s">
        <v>9</v>
      </c>
      <c r="D290" s="683">
        <v>6</v>
      </c>
      <c r="E290" s="683">
        <v>3</v>
      </c>
      <c r="F290" s="683">
        <v>0</v>
      </c>
      <c r="G290" s="683">
        <v>3</v>
      </c>
      <c r="H290" s="682">
        <v>128</v>
      </c>
      <c r="I290" s="682">
        <v>139</v>
      </c>
      <c r="J290" s="683">
        <v>-11</v>
      </c>
      <c r="K290" s="683">
        <v>3</v>
      </c>
      <c r="L290" s="683">
        <v>15</v>
      </c>
    </row>
    <row r="291" spans="1:12" ht="14.95" thickBot="1" x14ac:dyDescent="0.3">
      <c r="A291" s="684">
        <v>7</v>
      </c>
      <c r="B291" s="685" t="s">
        <v>521</v>
      </c>
      <c r="C291" s="686" t="s">
        <v>274</v>
      </c>
      <c r="D291" s="687">
        <v>6</v>
      </c>
      <c r="E291" s="688">
        <v>3</v>
      </c>
      <c r="F291" s="687">
        <v>0</v>
      </c>
      <c r="G291" s="687">
        <v>3</v>
      </c>
      <c r="H291" s="687">
        <v>123</v>
      </c>
      <c r="I291" s="687">
        <v>131</v>
      </c>
      <c r="J291" s="688">
        <v>-8</v>
      </c>
      <c r="K291" s="687">
        <v>1</v>
      </c>
      <c r="L291" s="688">
        <v>13</v>
      </c>
    </row>
    <row r="292" spans="1:12" ht="14.95" thickBot="1" x14ac:dyDescent="0.3">
      <c r="A292" s="684">
        <v>8</v>
      </c>
      <c r="B292" s="685" t="s">
        <v>704</v>
      </c>
      <c r="C292" s="686" t="s">
        <v>23</v>
      </c>
      <c r="D292" s="687">
        <v>6</v>
      </c>
      <c r="E292" s="688">
        <v>3</v>
      </c>
      <c r="F292" s="687">
        <v>0</v>
      </c>
      <c r="G292" s="687">
        <v>3</v>
      </c>
      <c r="H292" s="687">
        <v>102</v>
      </c>
      <c r="I292" s="687">
        <v>138</v>
      </c>
      <c r="J292" s="688">
        <v>-36</v>
      </c>
      <c r="K292" s="687">
        <v>1</v>
      </c>
      <c r="L292" s="688">
        <v>13</v>
      </c>
    </row>
    <row r="293" spans="1:12" ht="14.95" thickBot="1" x14ac:dyDescent="0.3">
      <c r="A293" s="684">
        <v>9</v>
      </c>
      <c r="B293" s="685" t="s">
        <v>520</v>
      </c>
      <c r="C293" s="686" t="s">
        <v>11</v>
      </c>
      <c r="D293" s="687">
        <v>6</v>
      </c>
      <c r="E293" s="688">
        <v>2</v>
      </c>
      <c r="F293" s="687">
        <v>1</v>
      </c>
      <c r="G293" s="687">
        <v>3</v>
      </c>
      <c r="H293" s="687">
        <v>122</v>
      </c>
      <c r="I293" s="687">
        <v>159</v>
      </c>
      <c r="J293" s="688">
        <v>-37</v>
      </c>
      <c r="K293" s="687">
        <v>2</v>
      </c>
      <c r="L293" s="688">
        <v>12</v>
      </c>
    </row>
    <row r="294" spans="1:12" ht="14.95" thickBot="1" x14ac:dyDescent="0.3">
      <c r="A294" s="684">
        <v>10</v>
      </c>
      <c r="B294" s="685" t="s">
        <v>39</v>
      </c>
      <c r="C294" s="686" t="s">
        <v>106</v>
      </c>
      <c r="D294" s="687">
        <v>6</v>
      </c>
      <c r="E294" s="688">
        <v>1</v>
      </c>
      <c r="F294" s="687">
        <v>0</v>
      </c>
      <c r="G294" s="687">
        <v>5</v>
      </c>
      <c r="H294" s="687">
        <v>108</v>
      </c>
      <c r="I294" s="687">
        <v>170</v>
      </c>
      <c r="J294" s="688">
        <v>-62</v>
      </c>
      <c r="K294" s="687">
        <v>2</v>
      </c>
      <c r="L294" s="688">
        <v>6</v>
      </c>
    </row>
    <row r="295" spans="1:12" ht="14.95" thickBot="1" x14ac:dyDescent="0.3">
      <c r="A295" s="684">
        <v>11</v>
      </c>
      <c r="B295" s="685" t="s">
        <v>39</v>
      </c>
      <c r="C295" s="686" t="s">
        <v>26</v>
      </c>
      <c r="D295" s="687">
        <v>6</v>
      </c>
      <c r="E295" s="688">
        <v>1</v>
      </c>
      <c r="F295" s="687">
        <v>0</v>
      </c>
      <c r="G295" s="687">
        <v>5</v>
      </c>
      <c r="H295" s="687">
        <v>88</v>
      </c>
      <c r="I295" s="687">
        <v>164</v>
      </c>
      <c r="J295" s="688">
        <v>-76</v>
      </c>
      <c r="K295" s="687">
        <v>0</v>
      </c>
      <c r="L295" s="688">
        <v>4</v>
      </c>
    </row>
    <row r="296" spans="1:12" ht="14.95" thickBot="1" x14ac:dyDescent="0.3">
      <c r="A296" s="689">
        <v>12</v>
      </c>
      <c r="B296" s="690" t="s">
        <v>39</v>
      </c>
      <c r="C296" s="691" t="s">
        <v>539</v>
      </c>
      <c r="D296" s="693">
        <v>6</v>
      </c>
      <c r="E296" s="693">
        <v>5</v>
      </c>
      <c r="F296" s="693">
        <v>0</v>
      </c>
      <c r="G296" s="693">
        <v>1</v>
      </c>
      <c r="H296" s="693">
        <v>158</v>
      </c>
      <c r="I296" s="693">
        <v>87</v>
      </c>
      <c r="J296" s="693">
        <v>71</v>
      </c>
      <c r="K296" s="693">
        <v>2</v>
      </c>
      <c r="L296" s="693">
        <v>-13</v>
      </c>
    </row>
    <row r="297" spans="1:12" x14ac:dyDescent="0.25">
      <c r="A297" s="642" t="s">
        <v>557</v>
      </c>
    </row>
    <row r="298" spans="1:12" x14ac:dyDescent="0.25">
      <c r="A298" s="642"/>
    </row>
    <row r="299" spans="1:12" x14ac:dyDescent="0.25">
      <c r="A299" s="286" t="s">
        <v>642</v>
      </c>
    </row>
    <row r="300" spans="1:12" ht="14.95" thickBot="1" x14ac:dyDescent="0.3">
      <c r="A300" s="642"/>
    </row>
    <row r="301" spans="1:12" ht="14.95" thickBot="1" x14ac:dyDescent="0.3">
      <c r="A301" s="662" t="s">
        <v>29</v>
      </c>
      <c r="B301" s="663" t="s">
        <v>30</v>
      </c>
      <c r="C301" s="663"/>
      <c r="D301" s="663" t="s">
        <v>31</v>
      </c>
      <c r="E301" s="664" t="s">
        <v>32</v>
      </c>
      <c r="F301" s="663" t="s">
        <v>33</v>
      </c>
      <c r="G301" s="663" t="s">
        <v>34</v>
      </c>
      <c r="H301" s="663" t="s">
        <v>35</v>
      </c>
      <c r="I301" s="663" t="s">
        <v>36</v>
      </c>
      <c r="J301" s="664" t="s">
        <v>267</v>
      </c>
      <c r="K301" s="663" t="s">
        <v>37</v>
      </c>
      <c r="L301" s="664" t="s">
        <v>38</v>
      </c>
    </row>
    <row r="302" spans="1:12" ht="14.95" thickBot="1" x14ac:dyDescent="0.3">
      <c r="A302" s="665">
        <v>1</v>
      </c>
      <c r="B302" s="666" t="s">
        <v>536</v>
      </c>
      <c r="C302" s="667" t="s">
        <v>25</v>
      </c>
      <c r="D302" s="668">
        <v>5</v>
      </c>
      <c r="E302" s="669">
        <v>4</v>
      </c>
      <c r="F302" s="668">
        <v>0</v>
      </c>
      <c r="G302" s="668">
        <v>1</v>
      </c>
      <c r="H302" s="668">
        <v>151</v>
      </c>
      <c r="I302" s="668">
        <v>98</v>
      </c>
      <c r="J302" s="669">
        <v>53</v>
      </c>
      <c r="K302" s="668">
        <v>3</v>
      </c>
      <c r="L302" s="669">
        <v>19</v>
      </c>
    </row>
    <row r="303" spans="1:12" ht="14.95" thickBot="1" x14ac:dyDescent="0.3">
      <c r="A303" s="670">
        <v>2</v>
      </c>
      <c r="B303" s="666" t="s">
        <v>526</v>
      </c>
      <c r="C303" s="671" t="s">
        <v>165</v>
      </c>
      <c r="D303" s="672">
        <v>5</v>
      </c>
      <c r="E303" s="673">
        <v>3</v>
      </c>
      <c r="F303" s="672">
        <v>1</v>
      </c>
      <c r="G303" s="672">
        <v>1</v>
      </c>
      <c r="H303" s="672">
        <v>123</v>
      </c>
      <c r="I303" s="672">
        <v>92</v>
      </c>
      <c r="J303" s="673">
        <v>31</v>
      </c>
      <c r="K303" s="672">
        <v>3</v>
      </c>
      <c r="L303" s="673">
        <v>17</v>
      </c>
    </row>
    <row r="304" spans="1:12" ht="14.95" thickBot="1" x14ac:dyDescent="0.3">
      <c r="A304" s="674">
        <v>3</v>
      </c>
      <c r="B304" s="675" t="s">
        <v>521</v>
      </c>
      <c r="C304" s="676" t="s">
        <v>273</v>
      </c>
      <c r="D304" s="677">
        <v>5</v>
      </c>
      <c r="E304" s="678">
        <v>3</v>
      </c>
      <c r="F304" s="677">
        <v>0</v>
      </c>
      <c r="G304" s="677">
        <v>2</v>
      </c>
      <c r="H304" s="677">
        <v>111</v>
      </c>
      <c r="I304" s="677">
        <v>75</v>
      </c>
      <c r="J304" s="678">
        <v>36</v>
      </c>
      <c r="K304" s="677">
        <v>3</v>
      </c>
      <c r="L304" s="678">
        <v>15</v>
      </c>
    </row>
    <row r="305" spans="1:12" ht="14.95" thickBot="1" x14ac:dyDescent="0.3">
      <c r="A305" s="674">
        <v>4</v>
      </c>
      <c r="B305" s="675" t="s">
        <v>523</v>
      </c>
      <c r="C305" s="676" t="s">
        <v>23</v>
      </c>
      <c r="D305" s="677">
        <v>5</v>
      </c>
      <c r="E305" s="678">
        <v>3</v>
      </c>
      <c r="F305" s="677">
        <v>0</v>
      </c>
      <c r="G305" s="677">
        <v>2</v>
      </c>
      <c r="H305" s="677">
        <v>99</v>
      </c>
      <c r="I305" s="677">
        <v>102</v>
      </c>
      <c r="J305" s="678">
        <v>-3</v>
      </c>
      <c r="K305" s="677">
        <v>1</v>
      </c>
      <c r="L305" s="678">
        <v>13</v>
      </c>
    </row>
    <row r="306" spans="1:12" ht="14.95" thickBot="1" x14ac:dyDescent="0.3">
      <c r="A306" s="679">
        <v>5</v>
      </c>
      <c r="B306" s="680" t="s">
        <v>525</v>
      </c>
      <c r="C306" s="681" t="s">
        <v>27</v>
      </c>
      <c r="D306" s="682">
        <v>5</v>
      </c>
      <c r="E306" s="683">
        <v>2</v>
      </c>
      <c r="F306" s="682">
        <v>0</v>
      </c>
      <c r="G306" s="682">
        <v>3</v>
      </c>
      <c r="H306" s="682">
        <v>108</v>
      </c>
      <c r="I306" s="682">
        <v>79</v>
      </c>
      <c r="J306" s="683">
        <v>29</v>
      </c>
      <c r="K306" s="682">
        <v>4</v>
      </c>
      <c r="L306" s="683">
        <v>12</v>
      </c>
    </row>
    <row r="307" spans="1:12" ht="14.95" thickBot="1" x14ac:dyDescent="0.3">
      <c r="A307" s="679">
        <v>6</v>
      </c>
      <c r="B307" s="680" t="s">
        <v>39</v>
      </c>
      <c r="C307" s="681" t="s">
        <v>11</v>
      </c>
      <c r="D307" s="682">
        <v>5</v>
      </c>
      <c r="E307" s="683">
        <v>2</v>
      </c>
      <c r="F307" s="682">
        <v>1</v>
      </c>
      <c r="G307" s="682">
        <v>2</v>
      </c>
      <c r="H307" s="682">
        <v>112</v>
      </c>
      <c r="I307" s="682">
        <v>121</v>
      </c>
      <c r="J307" s="683">
        <v>-9</v>
      </c>
      <c r="K307" s="682">
        <v>2</v>
      </c>
      <c r="L307" s="683">
        <v>12</v>
      </c>
    </row>
    <row r="308" spans="1:12" ht="14.95" thickBot="1" x14ac:dyDescent="0.3">
      <c r="A308" s="684">
        <v>7</v>
      </c>
      <c r="B308" s="685" t="s">
        <v>520</v>
      </c>
      <c r="C308" s="686" t="s">
        <v>24</v>
      </c>
      <c r="D308" s="687">
        <v>5</v>
      </c>
      <c r="E308" s="688">
        <v>2</v>
      </c>
      <c r="F308" s="687">
        <v>0</v>
      </c>
      <c r="G308" s="687">
        <v>3</v>
      </c>
      <c r="H308" s="687">
        <v>87</v>
      </c>
      <c r="I308" s="687">
        <v>85</v>
      </c>
      <c r="J308" s="688">
        <v>2</v>
      </c>
      <c r="K308" s="687">
        <v>3</v>
      </c>
      <c r="L308" s="688">
        <v>11</v>
      </c>
    </row>
    <row r="309" spans="1:12" ht="14.95" thickBot="1" x14ac:dyDescent="0.3">
      <c r="A309" s="684">
        <v>8</v>
      </c>
      <c r="B309" s="685" t="s">
        <v>536</v>
      </c>
      <c r="C309" s="686" t="s">
        <v>9</v>
      </c>
      <c r="D309" s="688">
        <v>5</v>
      </c>
      <c r="E309" s="688">
        <v>2</v>
      </c>
      <c r="F309" s="688">
        <v>0</v>
      </c>
      <c r="G309" s="688">
        <v>3</v>
      </c>
      <c r="H309" s="687">
        <v>100</v>
      </c>
      <c r="I309" s="687">
        <v>117</v>
      </c>
      <c r="J309" s="688">
        <v>-17</v>
      </c>
      <c r="K309" s="688">
        <v>2</v>
      </c>
      <c r="L309" s="688">
        <v>10</v>
      </c>
    </row>
    <row r="310" spans="1:12" ht="14.95" thickBot="1" x14ac:dyDescent="0.3">
      <c r="A310" s="684">
        <v>9</v>
      </c>
      <c r="B310" s="685" t="s">
        <v>526</v>
      </c>
      <c r="C310" s="686" t="s">
        <v>274</v>
      </c>
      <c r="D310" s="687">
        <v>5</v>
      </c>
      <c r="E310" s="688">
        <v>2</v>
      </c>
      <c r="F310" s="687">
        <v>0</v>
      </c>
      <c r="G310" s="687">
        <v>3</v>
      </c>
      <c r="H310" s="687">
        <v>85</v>
      </c>
      <c r="I310" s="687">
        <v>121</v>
      </c>
      <c r="J310" s="688">
        <v>-36</v>
      </c>
      <c r="K310" s="687">
        <v>0</v>
      </c>
      <c r="L310" s="688">
        <v>8</v>
      </c>
    </row>
    <row r="311" spans="1:12" ht="14.95" thickBot="1" x14ac:dyDescent="0.3">
      <c r="A311" s="684">
        <v>10</v>
      </c>
      <c r="B311" s="685" t="s">
        <v>39</v>
      </c>
      <c r="C311" s="686" t="s">
        <v>106</v>
      </c>
      <c r="D311" s="687">
        <v>5</v>
      </c>
      <c r="E311" s="688">
        <v>1</v>
      </c>
      <c r="F311" s="687">
        <v>0</v>
      </c>
      <c r="G311" s="687">
        <v>4</v>
      </c>
      <c r="H311" s="687">
        <v>86</v>
      </c>
      <c r="I311" s="687">
        <v>142</v>
      </c>
      <c r="J311" s="688">
        <v>-56</v>
      </c>
      <c r="K311" s="687">
        <v>1</v>
      </c>
      <c r="L311" s="688">
        <v>5</v>
      </c>
    </row>
    <row r="312" spans="1:12" ht="14.95" thickBot="1" x14ac:dyDescent="0.3">
      <c r="A312" s="684">
        <v>11</v>
      </c>
      <c r="B312" s="685" t="s">
        <v>39</v>
      </c>
      <c r="C312" s="686" t="s">
        <v>26</v>
      </c>
      <c r="D312" s="687">
        <v>5</v>
      </c>
      <c r="E312" s="688">
        <v>1</v>
      </c>
      <c r="F312" s="687">
        <v>0</v>
      </c>
      <c r="G312" s="687">
        <v>4</v>
      </c>
      <c r="H312" s="687">
        <v>66</v>
      </c>
      <c r="I312" s="687">
        <v>133</v>
      </c>
      <c r="J312" s="688">
        <v>-67</v>
      </c>
      <c r="K312" s="687">
        <v>0</v>
      </c>
      <c r="L312" s="688">
        <v>4</v>
      </c>
    </row>
    <row r="313" spans="1:12" ht="14.95" thickBot="1" x14ac:dyDescent="0.3">
      <c r="A313" s="689">
        <v>12</v>
      </c>
      <c r="B313" s="690" t="s">
        <v>39</v>
      </c>
      <c r="C313" s="691" t="s">
        <v>539</v>
      </c>
      <c r="D313" s="693">
        <v>5</v>
      </c>
      <c r="E313" s="693">
        <v>4</v>
      </c>
      <c r="F313" s="693">
        <v>0</v>
      </c>
      <c r="G313" s="693">
        <v>1</v>
      </c>
      <c r="H313" s="693">
        <v>111</v>
      </c>
      <c r="I313" s="693">
        <v>74</v>
      </c>
      <c r="J313" s="693">
        <v>37</v>
      </c>
      <c r="K313" s="693">
        <v>1</v>
      </c>
      <c r="L313" s="693">
        <v>-18</v>
      </c>
    </row>
    <row r="314" spans="1:12" x14ac:dyDescent="0.25">
      <c r="A314" t="s">
        <v>557</v>
      </c>
    </row>
    <row r="315" spans="1:12" x14ac:dyDescent="0.25">
      <c r="A315" s="642"/>
    </row>
    <row r="316" spans="1:12" x14ac:dyDescent="0.25">
      <c r="A316" s="286" t="s">
        <v>556</v>
      </c>
    </row>
    <row r="317" spans="1:12" ht="14.95" thickBot="1" x14ac:dyDescent="0.3">
      <c r="A317" s="642"/>
    </row>
    <row r="318" spans="1:12" ht="14.95" thickBot="1" x14ac:dyDescent="0.3">
      <c r="A318" s="662" t="s">
        <v>29</v>
      </c>
      <c r="B318" s="663" t="s">
        <v>30</v>
      </c>
      <c r="C318" s="663"/>
      <c r="D318" s="663" t="s">
        <v>31</v>
      </c>
      <c r="E318" s="664" t="s">
        <v>32</v>
      </c>
      <c r="F318" s="663" t="s">
        <v>33</v>
      </c>
      <c r="G318" s="663" t="s">
        <v>34</v>
      </c>
      <c r="H318" s="663" t="s">
        <v>35</v>
      </c>
      <c r="I318" s="663" t="s">
        <v>36</v>
      </c>
      <c r="J318" s="664" t="s">
        <v>267</v>
      </c>
      <c r="K318" s="663" t="s">
        <v>37</v>
      </c>
      <c r="L318" s="664" t="s">
        <v>38</v>
      </c>
    </row>
    <row r="319" spans="1:12" ht="14.95" thickBot="1" x14ac:dyDescent="0.3">
      <c r="A319" s="670">
        <v>1</v>
      </c>
      <c r="B319" s="666" t="s">
        <v>536</v>
      </c>
      <c r="C319" s="671" t="s">
        <v>165</v>
      </c>
      <c r="D319" s="672">
        <v>4</v>
      </c>
      <c r="E319" s="673">
        <v>3</v>
      </c>
      <c r="F319" s="672">
        <v>0</v>
      </c>
      <c r="G319" s="672">
        <v>1</v>
      </c>
      <c r="H319" s="672">
        <v>96</v>
      </c>
      <c r="I319" s="672">
        <v>65</v>
      </c>
      <c r="J319" s="673">
        <v>31</v>
      </c>
      <c r="K319" s="672">
        <v>2</v>
      </c>
      <c r="L319" s="673">
        <v>14</v>
      </c>
    </row>
    <row r="320" spans="1:12" ht="14.95" thickBot="1" x14ac:dyDescent="0.3">
      <c r="A320" s="665">
        <v>2</v>
      </c>
      <c r="B320" s="666" t="s">
        <v>526</v>
      </c>
      <c r="C320" s="667" t="s">
        <v>25</v>
      </c>
      <c r="D320" s="668">
        <v>4</v>
      </c>
      <c r="E320" s="669">
        <v>3</v>
      </c>
      <c r="F320" s="668">
        <v>0</v>
      </c>
      <c r="G320" s="668">
        <v>1</v>
      </c>
      <c r="H320" s="668">
        <v>115</v>
      </c>
      <c r="I320" s="668">
        <v>85</v>
      </c>
      <c r="J320" s="669">
        <v>30</v>
      </c>
      <c r="K320" s="668">
        <v>2</v>
      </c>
      <c r="L320" s="669">
        <v>14</v>
      </c>
    </row>
    <row r="321" spans="1:12" ht="14.95" thickBot="1" x14ac:dyDescent="0.3">
      <c r="A321" s="674">
        <v>3</v>
      </c>
      <c r="B321" s="675" t="s">
        <v>523</v>
      </c>
      <c r="C321" s="676" t="s">
        <v>27</v>
      </c>
      <c r="D321" s="677">
        <v>4</v>
      </c>
      <c r="E321" s="678">
        <v>2</v>
      </c>
      <c r="F321" s="677">
        <v>0</v>
      </c>
      <c r="G321" s="677">
        <v>2</v>
      </c>
      <c r="H321" s="677">
        <v>95</v>
      </c>
      <c r="I321" s="677">
        <v>59</v>
      </c>
      <c r="J321" s="678">
        <v>36</v>
      </c>
      <c r="K321" s="677">
        <v>3</v>
      </c>
      <c r="L321" s="678">
        <v>11</v>
      </c>
    </row>
    <row r="322" spans="1:12" ht="14.95" thickBot="1" x14ac:dyDescent="0.3">
      <c r="A322" s="674">
        <v>4</v>
      </c>
      <c r="B322" s="675" t="s">
        <v>526</v>
      </c>
      <c r="C322" s="676" t="s">
        <v>24</v>
      </c>
      <c r="D322" s="677">
        <v>4</v>
      </c>
      <c r="E322" s="678">
        <v>2</v>
      </c>
      <c r="F322" s="677">
        <v>0</v>
      </c>
      <c r="G322" s="677">
        <v>2</v>
      </c>
      <c r="H322" s="677">
        <v>68</v>
      </c>
      <c r="I322" s="677">
        <v>62</v>
      </c>
      <c r="J322" s="678">
        <v>6</v>
      </c>
      <c r="K322" s="677">
        <v>2</v>
      </c>
      <c r="L322" s="678">
        <v>10</v>
      </c>
    </row>
    <row r="323" spans="1:12" ht="14.95" thickBot="1" x14ac:dyDescent="0.3">
      <c r="A323" s="679">
        <v>5</v>
      </c>
      <c r="B323" s="680" t="s">
        <v>39</v>
      </c>
      <c r="C323" s="681" t="s">
        <v>273</v>
      </c>
      <c r="D323" s="682">
        <v>4</v>
      </c>
      <c r="E323" s="683">
        <v>2</v>
      </c>
      <c r="F323" s="682">
        <v>0</v>
      </c>
      <c r="G323" s="682">
        <v>2</v>
      </c>
      <c r="H323" s="682">
        <v>73</v>
      </c>
      <c r="I323" s="682">
        <v>72</v>
      </c>
      <c r="J323" s="683">
        <v>1</v>
      </c>
      <c r="K323" s="682">
        <v>2</v>
      </c>
      <c r="L323" s="683">
        <v>10</v>
      </c>
    </row>
    <row r="324" spans="1:12" ht="14.95" thickBot="1" x14ac:dyDescent="0.3">
      <c r="A324" s="679">
        <v>6</v>
      </c>
      <c r="B324" s="680" t="s">
        <v>518</v>
      </c>
      <c r="C324" s="681" t="s">
        <v>11</v>
      </c>
      <c r="D324" s="682">
        <v>4</v>
      </c>
      <c r="E324" s="683">
        <v>2</v>
      </c>
      <c r="F324" s="682">
        <v>0</v>
      </c>
      <c r="G324" s="682">
        <v>2</v>
      </c>
      <c r="H324" s="682">
        <v>85</v>
      </c>
      <c r="I324" s="682">
        <v>94</v>
      </c>
      <c r="J324" s="683">
        <v>-9</v>
      </c>
      <c r="K324" s="682">
        <v>2</v>
      </c>
      <c r="L324" s="683">
        <v>10</v>
      </c>
    </row>
    <row r="325" spans="1:12" ht="14.95" thickBot="1" x14ac:dyDescent="0.3">
      <c r="A325" s="684">
        <v>7</v>
      </c>
      <c r="B325" s="685" t="s">
        <v>536</v>
      </c>
      <c r="C325" s="686" t="s">
        <v>23</v>
      </c>
      <c r="D325" s="687">
        <v>4</v>
      </c>
      <c r="E325" s="688">
        <v>2</v>
      </c>
      <c r="F325" s="687">
        <v>0</v>
      </c>
      <c r="G325" s="687">
        <v>2</v>
      </c>
      <c r="H325" s="687">
        <v>79</v>
      </c>
      <c r="I325" s="687">
        <v>89</v>
      </c>
      <c r="J325" s="688">
        <v>-10</v>
      </c>
      <c r="K325" s="687">
        <v>1</v>
      </c>
      <c r="L325" s="688">
        <v>9</v>
      </c>
    </row>
    <row r="326" spans="1:12" ht="14.95" thickBot="1" x14ac:dyDescent="0.3">
      <c r="A326" s="684">
        <v>8</v>
      </c>
      <c r="B326" s="685" t="s">
        <v>518</v>
      </c>
      <c r="C326" s="686" t="s">
        <v>274</v>
      </c>
      <c r="D326" s="687">
        <v>4</v>
      </c>
      <c r="E326" s="688">
        <v>2</v>
      </c>
      <c r="F326" s="687">
        <v>0</v>
      </c>
      <c r="G326" s="687">
        <v>2</v>
      </c>
      <c r="H326" s="687">
        <v>73</v>
      </c>
      <c r="I326" s="687">
        <v>96</v>
      </c>
      <c r="J326" s="688">
        <v>-23</v>
      </c>
      <c r="K326" s="687">
        <v>0</v>
      </c>
      <c r="L326" s="688">
        <v>8</v>
      </c>
    </row>
    <row r="327" spans="1:12" ht="14.95" thickBot="1" x14ac:dyDescent="0.3">
      <c r="A327" s="684">
        <v>9</v>
      </c>
      <c r="B327" s="685" t="s">
        <v>39</v>
      </c>
      <c r="C327" s="686" t="s">
        <v>9</v>
      </c>
      <c r="D327" s="688">
        <v>4</v>
      </c>
      <c r="E327" s="688">
        <v>1</v>
      </c>
      <c r="F327" s="688">
        <v>0</v>
      </c>
      <c r="G327" s="688">
        <v>3</v>
      </c>
      <c r="H327" s="688">
        <v>77</v>
      </c>
      <c r="I327" s="688">
        <v>98</v>
      </c>
      <c r="J327" s="688">
        <v>-21</v>
      </c>
      <c r="K327" s="688">
        <v>2</v>
      </c>
      <c r="L327" s="688">
        <v>6</v>
      </c>
    </row>
    <row r="328" spans="1:12" ht="14.95" thickBot="1" x14ac:dyDescent="0.3">
      <c r="A328" s="684">
        <v>10</v>
      </c>
      <c r="B328" s="685" t="s">
        <v>520</v>
      </c>
      <c r="C328" s="686" t="s">
        <v>106</v>
      </c>
      <c r="D328" s="687">
        <v>4</v>
      </c>
      <c r="E328" s="688">
        <v>1</v>
      </c>
      <c r="F328" s="687">
        <v>0</v>
      </c>
      <c r="G328" s="687">
        <v>3</v>
      </c>
      <c r="H328" s="687">
        <v>83</v>
      </c>
      <c r="I328" s="687">
        <v>104</v>
      </c>
      <c r="J328" s="688">
        <v>-21</v>
      </c>
      <c r="K328" s="687">
        <v>1</v>
      </c>
      <c r="L328" s="688">
        <v>5</v>
      </c>
    </row>
    <row r="329" spans="1:12" ht="14.95" thickBot="1" x14ac:dyDescent="0.3">
      <c r="A329" s="684">
        <v>11</v>
      </c>
      <c r="B329" s="685" t="s">
        <v>39</v>
      </c>
      <c r="C329" s="686" t="s">
        <v>26</v>
      </c>
      <c r="D329" s="687">
        <v>4</v>
      </c>
      <c r="E329" s="688">
        <v>1</v>
      </c>
      <c r="F329" s="687">
        <v>0</v>
      </c>
      <c r="G329" s="687">
        <v>3</v>
      </c>
      <c r="H329" s="687">
        <v>53</v>
      </c>
      <c r="I329" s="687">
        <v>97</v>
      </c>
      <c r="J329" s="688">
        <v>-44</v>
      </c>
      <c r="K329" s="687">
        <v>0</v>
      </c>
      <c r="L329" s="688">
        <v>4</v>
      </c>
    </row>
    <row r="330" spans="1:12" ht="14.95" thickBot="1" x14ac:dyDescent="0.3">
      <c r="A330" s="689">
        <v>12</v>
      </c>
      <c r="B330" s="690" t="s">
        <v>558</v>
      </c>
      <c r="C330" s="691" t="s">
        <v>539</v>
      </c>
      <c r="D330" s="693">
        <v>4</v>
      </c>
      <c r="E330" s="693">
        <v>3</v>
      </c>
      <c r="F330" s="693">
        <v>0</v>
      </c>
      <c r="G330" s="693">
        <v>1</v>
      </c>
      <c r="H330" s="693">
        <v>86</v>
      </c>
      <c r="I330" s="693">
        <v>62</v>
      </c>
      <c r="J330" s="693">
        <v>24</v>
      </c>
      <c r="K330" s="693">
        <v>1</v>
      </c>
      <c r="L330" s="693">
        <v>-22</v>
      </c>
    </row>
    <row r="331" spans="1:12" x14ac:dyDescent="0.25">
      <c r="A331" t="s">
        <v>557</v>
      </c>
    </row>
    <row r="333" spans="1:12" x14ac:dyDescent="0.25">
      <c r="A333" s="286" t="s">
        <v>537</v>
      </c>
    </row>
    <row r="334" spans="1:12" ht="14.95" thickBot="1" x14ac:dyDescent="0.3">
      <c r="A334" s="642"/>
    </row>
    <row r="335" spans="1:12" ht="14.95" thickBot="1" x14ac:dyDescent="0.3">
      <c r="A335" s="662" t="s">
        <v>29</v>
      </c>
      <c r="B335" s="663" t="s">
        <v>30</v>
      </c>
      <c r="C335" s="663"/>
      <c r="D335" s="663" t="s">
        <v>31</v>
      </c>
      <c r="E335" s="664" t="s">
        <v>32</v>
      </c>
      <c r="F335" s="663" t="s">
        <v>33</v>
      </c>
      <c r="G335" s="663" t="s">
        <v>34</v>
      </c>
      <c r="H335" s="663" t="s">
        <v>35</v>
      </c>
      <c r="I335" s="663" t="s">
        <v>36</v>
      </c>
      <c r="J335" s="664" t="s">
        <v>267</v>
      </c>
      <c r="K335" s="663" t="s">
        <v>37</v>
      </c>
      <c r="L335" s="664" t="s">
        <v>38</v>
      </c>
    </row>
    <row r="336" spans="1:12" ht="14.95" thickBot="1" x14ac:dyDescent="0.3">
      <c r="A336" s="665">
        <v>1</v>
      </c>
      <c r="B336" s="666" t="s">
        <v>39</v>
      </c>
      <c r="C336" s="667" t="s">
        <v>25</v>
      </c>
      <c r="D336" s="668">
        <v>3</v>
      </c>
      <c r="E336" s="669">
        <v>3</v>
      </c>
      <c r="F336" s="668">
        <v>0</v>
      </c>
      <c r="G336" s="668">
        <v>0</v>
      </c>
      <c r="H336" s="668">
        <v>102</v>
      </c>
      <c r="I336" s="668">
        <v>63</v>
      </c>
      <c r="J336" s="669">
        <v>39</v>
      </c>
      <c r="K336" s="668">
        <v>2</v>
      </c>
      <c r="L336" s="669">
        <v>14</v>
      </c>
    </row>
    <row r="337" spans="1:12" ht="14.95" thickBot="1" x14ac:dyDescent="0.3">
      <c r="A337" s="670">
        <v>2</v>
      </c>
      <c r="B337" s="666" t="s">
        <v>523</v>
      </c>
      <c r="C337" s="671" t="s">
        <v>165</v>
      </c>
      <c r="D337" s="672">
        <v>3</v>
      </c>
      <c r="E337" s="673">
        <v>2</v>
      </c>
      <c r="F337" s="672">
        <v>0</v>
      </c>
      <c r="G337" s="672">
        <v>1</v>
      </c>
      <c r="H337" s="672">
        <v>76</v>
      </c>
      <c r="I337" s="672">
        <v>48</v>
      </c>
      <c r="J337" s="673">
        <v>28</v>
      </c>
      <c r="K337" s="672">
        <v>2</v>
      </c>
      <c r="L337" s="673">
        <v>10</v>
      </c>
    </row>
    <row r="338" spans="1:12" ht="14.95" thickBot="1" x14ac:dyDescent="0.3">
      <c r="A338" s="674">
        <v>3</v>
      </c>
      <c r="B338" s="675" t="s">
        <v>526</v>
      </c>
      <c r="C338" s="676" t="s">
        <v>24</v>
      </c>
      <c r="D338" s="677">
        <v>3</v>
      </c>
      <c r="E338" s="678">
        <v>2</v>
      </c>
      <c r="F338" s="677">
        <v>0</v>
      </c>
      <c r="G338" s="677">
        <v>1</v>
      </c>
      <c r="H338" s="677">
        <v>56</v>
      </c>
      <c r="I338" s="677">
        <v>41</v>
      </c>
      <c r="J338" s="678">
        <v>15</v>
      </c>
      <c r="K338" s="677">
        <v>2</v>
      </c>
      <c r="L338" s="678">
        <v>10</v>
      </c>
    </row>
    <row r="339" spans="1:12" ht="14.95" thickBot="1" x14ac:dyDescent="0.3">
      <c r="A339" s="674">
        <v>4</v>
      </c>
      <c r="B339" s="675" t="s">
        <v>536</v>
      </c>
      <c r="C339" s="676" t="s">
        <v>19</v>
      </c>
      <c r="D339" s="678">
        <v>3</v>
      </c>
      <c r="E339" s="678">
        <v>2</v>
      </c>
      <c r="F339" s="678">
        <v>0</v>
      </c>
      <c r="G339" s="678">
        <v>1</v>
      </c>
      <c r="H339" s="678">
        <v>65</v>
      </c>
      <c r="I339" s="678">
        <v>50</v>
      </c>
      <c r="J339" s="678">
        <v>15</v>
      </c>
      <c r="K339" s="678">
        <v>1</v>
      </c>
      <c r="L339" s="678">
        <v>9</v>
      </c>
    </row>
    <row r="340" spans="1:12" ht="14.95" thickBot="1" x14ac:dyDescent="0.3">
      <c r="A340" s="679">
        <v>5</v>
      </c>
      <c r="B340" s="680" t="s">
        <v>521</v>
      </c>
      <c r="C340" s="681" t="s">
        <v>273</v>
      </c>
      <c r="D340" s="682">
        <v>3</v>
      </c>
      <c r="E340" s="683">
        <v>2</v>
      </c>
      <c r="F340" s="682">
        <v>0</v>
      </c>
      <c r="G340" s="682">
        <v>1</v>
      </c>
      <c r="H340" s="682">
        <v>56</v>
      </c>
      <c r="I340" s="682">
        <v>52</v>
      </c>
      <c r="J340" s="683">
        <v>4</v>
      </c>
      <c r="K340" s="682">
        <v>1</v>
      </c>
      <c r="L340" s="683">
        <v>9</v>
      </c>
    </row>
    <row r="341" spans="1:12" ht="14.95" thickBot="1" x14ac:dyDescent="0.3">
      <c r="A341" s="679">
        <v>6</v>
      </c>
      <c r="B341" s="680" t="s">
        <v>520</v>
      </c>
      <c r="C341" s="681" t="s">
        <v>27</v>
      </c>
      <c r="D341" s="682">
        <v>3</v>
      </c>
      <c r="E341" s="683">
        <v>1</v>
      </c>
      <c r="F341" s="682">
        <v>0</v>
      </c>
      <c r="G341" s="682">
        <v>2</v>
      </c>
      <c r="H341" s="682">
        <v>67</v>
      </c>
      <c r="I341" s="682">
        <v>41</v>
      </c>
      <c r="J341" s="683">
        <v>26</v>
      </c>
      <c r="K341" s="682">
        <v>3</v>
      </c>
      <c r="L341" s="683">
        <v>7</v>
      </c>
    </row>
    <row r="342" spans="1:12" ht="14.95" thickBot="1" x14ac:dyDescent="0.3">
      <c r="A342" s="684">
        <v>7</v>
      </c>
      <c r="B342" s="685" t="s">
        <v>518</v>
      </c>
      <c r="C342" s="686" t="s">
        <v>106</v>
      </c>
      <c r="D342" s="687">
        <v>3</v>
      </c>
      <c r="E342" s="688">
        <v>1</v>
      </c>
      <c r="F342" s="687">
        <v>0</v>
      </c>
      <c r="G342" s="687">
        <v>2</v>
      </c>
      <c r="H342" s="687">
        <v>65</v>
      </c>
      <c r="I342" s="687">
        <v>76</v>
      </c>
      <c r="J342" s="688">
        <v>-11</v>
      </c>
      <c r="K342" s="687">
        <v>1</v>
      </c>
      <c r="L342" s="688">
        <v>5</v>
      </c>
    </row>
    <row r="343" spans="1:12" ht="14.95" thickBot="1" x14ac:dyDescent="0.3">
      <c r="A343" s="684">
        <v>8</v>
      </c>
      <c r="B343" s="685" t="s">
        <v>39</v>
      </c>
      <c r="C343" s="686" t="s">
        <v>23</v>
      </c>
      <c r="D343" s="687">
        <v>3</v>
      </c>
      <c r="E343" s="688">
        <v>1</v>
      </c>
      <c r="F343" s="687">
        <v>0</v>
      </c>
      <c r="G343" s="687">
        <v>2</v>
      </c>
      <c r="H343" s="687">
        <v>60</v>
      </c>
      <c r="I343" s="687">
        <v>75</v>
      </c>
      <c r="J343" s="688">
        <v>-15</v>
      </c>
      <c r="K343" s="687">
        <v>1</v>
      </c>
      <c r="L343" s="688">
        <v>5</v>
      </c>
    </row>
    <row r="344" spans="1:12" ht="14.95" thickBot="1" x14ac:dyDescent="0.3">
      <c r="A344" s="684">
        <v>9</v>
      </c>
      <c r="B344" s="685" t="s">
        <v>520</v>
      </c>
      <c r="C344" s="686" t="s">
        <v>9</v>
      </c>
      <c r="D344" s="688">
        <v>3</v>
      </c>
      <c r="E344" s="688">
        <v>1</v>
      </c>
      <c r="F344" s="688">
        <v>0</v>
      </c>
      <c r="G344" s="688">
        <v>2</v>
      </c>
      <c r="H344" s="688">
        <v>63</v>
      </c>
      <c r="I344" s="688">
        <v>79</v>
      </c>
      <c r="J344" s="688">
        <v>-16</v>
      </c>
      <c r="K344" s="688">
        <v>1</v>
      </c>
      <c r="L344" s="688">
        <v>5</v>
      </c>
    </row>
    <row r="345" spans="1:12" ht="14.95" thickBot="1" x14ac:dyDescent="0.3">
      <c r="A345" s="684">
        <v>10</v>
      </c>
      <c r="B345" s="685" t="s">
        <v>39</v>
      </c>
      <c r="C345" s="686" t="s">
        <v>11</v>
      </c>
      <c r="D345" s="687">
        <v>3</v>
      </c>
      <c r="E345" s="688">
        <v>1</v>
      </c>
      <c r="F345" s="687">
        <v>0</v>
      </c>
      <c r="G345" s="687">
        <v>2</v>
      </c>
      <c r="H345" s="687">
        <v>49</v>
      </c>
      <c r="I345" s="687">
        <v>83</v>
      </c>
      <c r="J345" s="688">
        <v>-34</v>
      </c>
      <c r="K345" s="687">
        <v>1</v>
      </c>
      <c r="L345" s="688">
        <v>5</v>
      </c>
    </row>
    <row r="346" spans="1:12" ht="14.95" thickBot="1" x14ac:dyDescent="0.3">
      <c r="A346" s="684">
        <v>11</v>
      </c>
      <c r="B346" s="685" t="s">
        <v>536</v>
      </c>
      <c r="C346" s="686" t="s">
        <v>26</v>
      </c>
      <c r="D346" s="687">
        <v>3</v>
      </c>
      <c r="E346" s="688">
        <v>1</v>
      </c>
      <c r="F346" s="687">
        <v>0</v>
      </c>
      <c r="G346" s="687">
        <v>2</v>
      </c>
      <c r="H346" s="687">
        <v>42</v>
      </c>
      <c r="I346" s="687">
        <v>61</v>
      </c>
      <c r="J346" s="688">
        <v>-19</v>
      </c>
      <c r="K346" s="687">
        <v>0</v>
      </c>
      <c r="L346" s="688">
        <v>4</v>
      </c>
    </row>
    <row r="347" spans="1:12" ht="14.95" thickBot="1" x14ac:dyDescent="0.3">
      <c r="A347" s="689">
        <v>12</v>
      </c>
      <c r="B347" s="690" t="s">
        <v>520</v>
      </c>
      <c r="C347" s="691" t="s">
        <v>274</v>
      </c>
      <c r="D347" s="692">
        <v>3</v>
      </c>
      <c r="E347" s="693">
        <v>1</v>
      </c>
      <c r="F347" s="692">
        <v>0</v>
      </c>
      <c r="G347" s="692">
        <v>2</v>
      </c>
      <c r="H347" s="692">
        <v>51</v>
      </c>
      <c r="I347" s="692">
        <v>83</v>
      </c>
      <c r="J347" s="693">
        <v>-32</v>
      </c>
      <c r="K347" s="692">
        <v>0</v>
      </c>
      <c r="L347" s="693">
        <v>4</v>
      </c>
    </row>
    <row r="348" spans="1:12" x14ac:dyDescent="0.25">
      <c r="A348" s="642"/>
    </row>
    <row r="349" spans="1:12" x14ac:dyDescent="0.25">
      <c r="A349" s="286" t="s">
        <v>517</v>
      </c>
    </row>
    <row r="350" spans="1:12" ht="14.95" thickBot="1" x14ac:dyDescent="0.3"/>
    <row r="351" spans="1:12" ht="14.95" thickBot="1" x14ac:dyDescent="0.3">
      <c r="A351" s="8" t="s">
        <v>29</v>
      </c>
      <c r="B351" s="9" t="s">
        <v>30</v>
      </c>
      <c r="C351" s="9"/>
      <c r="D351" s="9" t="s">
        <v>31</v>
      </c>
      <c r="E351" s="10" t="s">
        <v>32</v>
      </c>
      <c r="F351" s="9" t="s">
        <v>33</v>
      </c>
      <c r="G351" s="9" t="s">
        <v>34</v>
      </c>
      <c r="H351" s="9" t="s">
        <v>35</v>
      </c>
      <c r="I351" s="9" t="s">
        <v>36</v>
      </c>
      <c r="J351" s="10" t="s">
        <v>267</v>
      </c>
      <c r="K351" s="9" t="s">
        <v>37</v>
      </c>
      <c r="L351" s="10" t="s">
        <v>38</v>
      </c>
    </row>
    <row r="352" spans="1:12" ht="14.95" thickBot="1" x14ac:dyDescent="0.3">
      <c r="A352" s="436">
        <v>1</v>
      </c>
      <c r="B352" s="572" t="s">
        <v>518</v>
      </c>
      <c r="C352" s="437" t="s">
        <v>25</v>
      </c>
      <c r="D352" s="438">
        <v>2</v>
      </c>
      <c r="E352" s="439">
        <v>2</v>
      </c>
      <c r="F352" s="438">
        <v>0</v>
      </c>
      <c r="G352" s="438">
        <v>0</v>
      </c>
      <c r="H352" s="438">
        <v>62</v>
      </c>
      <c r="I352" s="438">
        <v>41</v>
      </c>
      <c r="J352" s="439">
        <v>21</v>
      </c>
      <c r="K352" s="438">
        <v>1</v>
      </c>
      <c r="L352" s="439">
        <v>9</v>
      </c>
    </row>
    <row r="353" spans="1:12" ht="14.95" thickBot="1" x14ac:dyDescent="0.3">
      <c r="A353" s="458">
        <v>2</v>
      </c>
      <c r="B353" s="572" t="s">
        <v>518</v>
      </c>
      <c r="C353" s="437" t="s">
        <v>24</v>
      </c>
      <c r="D353" s="438">
        <v>2</v>
      </c>
      <c r="E353" s="439">
        <v>2</v>
      </c>
      <c r="F353" s="438">
        <v>0</v>
      </c>
      <c r="G353" s="438">
        <v>0</v>
      </c>
      <c r="H353" s="438">
        <v>43</v>
      </c>
      <c r="I353" s="438">
        <v>25</v>
      </c>
      <c r="J353" s="439">
        <v>18</v>
      </c>
      <c r="K353" s="438">
        <v>1</v>
      </c>
      <c r="L353" s="439">
        <v>9</v>
      </c>
    </row>
    <row r="354" spans="1:12" ht="14.95" thickBot="1" x14ac:dyDescent="0.3">
      <c r="A354" s="525">
        <v>3</v>
      </c>
      <c r="B354" s="456" t="s">
        <v>519</v>
      </c>
      <c r="C354" s="526" t="s">
        <v>27</v>
      </c>
      <c r="D354" s="527">
        <v>2</v>
      </c>
      <c r="E354" s="528">
        <v>1</v>
      </c>
      <c r="F354" s="527">
        <v>0</v>
      </c>
      <c r="G354" s="527">
        <v>1</v>
      </c>
      <c r="H354" s="527">
        <v>57</v>
      </c>
      <c r="I354" s="527">
        <v>25</v>
      </c>
      <c r="J354" s="528">
        <v>32</v>
      </c>
      <c r="K354" s="527">
        <v>2</v>
      </c>
      <c r="L354" s="528">
        <v>6</v>
      </c>
    </row>
    <row r="355" spans="1:12" ht="14.95" thickBot="1" x14ac:dyDescent="0.3">
      <c r="A355" s="525">
        <v>4</v>
      </c>
      <c r="B355" s="456" t="s">
        <v>520</v>
      </c>
      <c r="C355" s="526" t="s">
        <v>165</v>
      </c>
      <c r="D355" s="527">
        <v>2</v>
      </c>
      <c r="E355" s="528">
        <v>1</v>
      </c>
      <c r="F355" s="527">
        <v>0</v>
      </c>
      <c r="G355" s="527">
        <v>1</v>
      </c>
      <c r="H355" s="527">
        <v>60</v>
      </c>
      <c r="I355" s="527">
        <v>38</v>
      </c>
      <c r="J355" s="528">
        <v>22</v>
      </c>
      <c r="K355" s="527">
        <v>2</v>
      </c>
      <c r="L355" s="528">
        <v>6</v>
      </c>
    </row>
    <row r="356" spans="1:12" ht="14.95" thickBot="1" x14ac:dyDescent="0.3">
      <c r="A356" s="578">
        <v>5</v>
      </c>
      <c r="B356" s="459" t="s">
        <v>521</v>
      </c>
      <c r="C356" s="575" t="s">
        <v>19</v>
      </c>
      <c r="D356" s="576">
        <v>2</v>
      </c>
      <c r="E356" s="577">
        <v>1</v>
      </c>
      <c r="F356" s="576">
        <v>0</v>
      </c>
      <c r="G356" s="576">
        <v>1</v>
      </c>
      <c r="H356" s="576">
        <v>49</v>
      </c>
      <c r="I356" s="576">
        <v>37</v>
      </c>
      <c r="J356" s="577">
        <v>12</v>
      </c>
      <c r="K356" s="576">
        <v>1</v>
      </c>
      <c r="L356" s="577">
        <v>5</v>
      </c>
    </row>
    <row r="357" spans="1:12" ht="14.95" thickBot="1" x14ac:dyDescent="0.3">
      <c r="A357" s="579">
        <v>6</v>
      </c>
      <c r="B357" s="459" t="s">
        <v>518</v>
      </c>
      <c r="C357" s="575" t="s">
        <v>9</v>
      </c>
      <c r="D357" s="576">
        <v>2</v>
      </c>
      <c r="E357" s="577">
        <v>1</v>
      </c>
      <c r="F357" s="576">
        <v>0</v>
      </c>
      <c r="G357" s="576">
        <v>1</v>
      </c>
      <c r="H357" s="576">
        <v>41</v>
      </c>
      <c r="I357" s="576">
        <v>39</v>
      </c>
      <c r="J357" s="577">
        <v>2</v>
      </c>
      <c r="K357" s="576">
        <v>1</v>
      </c>
      <c r="L357" s="577">
        <v>5</v>
      </c>
    </row>
    <row r="358" spans="1:12" ht="14.95" thickBot="1" x14ac:dyDescent="0.3">
      <c r="A358" s="393">
        <v>7</v>
      </c>
      <c r="B358" s="460" t="s">
        <v>520</v>
      </c>
      <c r="C358" s="365" t="s">
        <v>273</v>
      </c>
      <c r="D358" s="643">
        <v>2</v>
      </c>
      <c r="E358" s="644">
        <v>1</v>
      </c>
      <c r="F358" s="643">
        <v>0</v>
      </c>
      <c r="G358" s="643">
        <v>1</v>
      </c>
      <c r="H358" s="643">
        <v>32</v>
      </c>
      <c r="I358" s="643">
        <v>32</v>
      </c>
      <c r="J358" s="645">
        <v>0</v>
      </c>
      <c r="K358" s="643">
        <v>1</v>
      </c>
      <c r="L358" s="645">
        <v>5</v>
      </c>
    </row>
    <row r="359" spans="1:12" ht="14.95" thickBot="1" x14ac:dyDescent="0.3">
      <c r="A359" s="420">
        <v>8</v>
      </c>
      <c r="B359" s="657" t="s">
        <v>522</v>
      </c>
      <c r="C359" s="646" t="s">
        <v>23</v>
      </c>
      <c r="D359" s="647">
        <v>2</v>
      </c>
      <c r="E359" s="645">
        <v>1</v>
      </c>
      <c r="F359" s="647">
        <v>0</v>
      </c>
      <c r="G359" s="647">
        <v>1</v>
      </c>
      <c r="H359" s="647">
        <v>40</v>
      </c>
      <c r="I359" s="647">
        <v>51</v>
      </c>
      <c r="J359" s="645">
        <v>-11</v>
      </c>
      <c r="K359" s="647">
        <v>0</v>
      </c>
      <c r="L359" s="645">
        <v>4</v>
      </c>
    </row>
    <row r="360" spans="1:12" ht="14.95" thickBot="1" x14ac:dyDescent="0.3">
      <c r="A360" s="420">
        <v>9</v>
      </c>
      <c r="B360" s="460" t="s">
        <v>523</v>
      </c>
      <c r="C360" s="646" t="s">
        <v>274</v>
      </c>
      <c r="D360" s="647">
        <v>2</v>
      </c>
      <c r="E360" s="645">
        <v>1</v>
      </c>
      <c r="F360" s="647">
        <v>0</v>
      </c>
      <c r="G360" s="647">
        <v>1</v>
      </c>
      <c r="H360" s="647">
        <v>29</v>
      </c>
      <c r="I360" s="647">
        <v>53</v>
      </c>
      <c r="J360" s="645">
        <v>-24</v>
      </c>
      <c r="K360" s="647">
        <v>0</v>
      </c>
      <c r="L360" s="645">
        <v>4</v>
      </c>
    </row>
    <row r="361" spans="1:12" ht="14.95" thickBot="1" x14ac:dyDescent="0.3">
      <c r="A361" s="393">
        <v>10</v>
      </c>
      <c r="B361" s="657" t="s">
        <v>524</v>
      </c>
      <c r="C361" s="646" t="s">
        <v>11</v>
      </c>
      <c r="D361" s="647">
        <v>2</v>
      </c>
      <c r="E361" s="645">
        <v>1</v>
      </c>
      <c r="F361" s="647">
        <v>0</v>
      </c>
      <c r="G361" s="647">
        <v>1</v>
      </c>
      <c r="H361" s="647">
        <v>36</v>
      </c>
      <c r="I361" s="647">
        <v>67</v>
      </c>
      <c r="J361" s="645">
        <v>-31</v>
      </c>
      <c r="K361" s="647">
        <v>0</v>
      </c>
      <c r="L361" s="645">
        <v>4</v>
      </c>
    </row>
    <row r="362" spans="1:12" ht="14.95" thickBot="1" x14ac:dyDescent="0.3">
      <c r="A362" s="420">
        <v>11</v>
      </c>
      <c r="B362" s="657" t="s">
        <v>525</v>
      </c>
      <c r="C362" s="646" t="s">
        <v>106</v>
      </c>
      <c r="D362" s="647">
        <v>2</v>
      </c>
      <c r="E362" s="645">
        <v>0</v>
      </c>
      <c r="F362" s="647">
        <v>0</v>
      </c>
      <c r="G362" s="647">
        <v>2</v>
      </c>
      <c r="H362" s="647">
        <v>35</v>
      </c>
      <c r="I362" s="647">
        <v>54</v>
      </c>
      <c r="J362" s="645">
        <v>-19</v>
      </c>
      <c r="K362" s="647">
        <v>1</v>
      </c>
      <c r="L362" s="645">
        <v>1</v>
      </c>
    </row>
    <row r="363" spans="1:12" ht="14.95" thickBot="1" x14ac:dyDescent="0.3">
      <c r="A363" s="529">
        <v>12</v>
      </c>
      <c r="B363" s="457" t="s">
        <v>526</v>
      </c>
      <c r="C363" s="530" t="s">
        <v>26</v>
      </c>
      <c r="D363" s="531">
        <v>2</v>
      </c>
      <c r="E363" s="532">
        <v>0</v>
      </c>
      <c r="F363" s="531">
        <v>0</v>
      </c>
      <c r="G363" s="531">
        <v>2</v>
      </c>
      <c r="H363" s="531">
        <v>26</v>
      </c>
      <c r="I363" s="531">
        <v>48</v>
      </c>
      <c r="J363" s="532">
        <v>-22</v>
      </c>
      <c r="K363" s="531">
        <v>0</v>
      </c>
      <c r="L363" s="532">
        <v>0</v>
      </c>
    </row>
    <row r="364" spans="1:12" x14ac:dyDescent="0.25">
      <c r="A364" s="648"/>
      <c r="B364" s="649"/>
      <c r="C364" s="650"/>
      <c r="D364" s="651"/>
      <c r="E364" s="652"/>
      <c r="F364" s="651"/>
      <c r="G364" s="651"/>
      <c r="H364" s="651"/>
      <c r="I364" s="651"/>
      <c r="J364" s="652"/>
      <c r="K364" s="651"/>
      <c r="L364" s="652"/>
    </row>
    <row r="365" spans="1:12" x14ac:dyDescent="0.25">
      <c r="A365" s="286" t="s">
        <v>272</v>
      </c>
    </row>
    <row r="366" spans="1:12" ht="14.95" thickBot="1" x14ac:dyDescent="0.3"/>
    <row r="367" spans="1:12" ht="14.95" thickBot="1" x14ac:dyDescent="0.3">
      <c r="A367" s="8" t="s">
        <v>29</v>
      </c>
      <c r="B367" s="9" t="s">
        <v>30</v>
      </c>
      <c r="C367" s="9"/>
      <c r="D367" s="9" t="s">
        <v>31</v>
      </c>
      <c r="E367" s="10" t="s">
        <v>32</v>
      </c>
      <c r="F367" s="9" t="s">
        <v>33</v>
      </c>
      <c r="G367" s="9" t="s">
        <v>34</v>
      </c>
      <c r="H367" s="9" t="s">
        <v>35</v>
      </c>
      <c r="I367" s="9" t="s">
        <v>36</v>
      </c>
      <c r="J367" s="10" t="s">
        <v>267</v>
      </c>
      <c r="K367" s="9" t="s">
        <v>37</v>
      </c>
      <c r="L367" s="10" t="s">
        <v>38</v>
      </c>
    </row>
    <row r="368" spans="1:12" ht="14.95" thickBot="1" x14ac:dyDescent="0.3">
      <c r="A368" s="436">
        <v>1</v>
      </c>
      <c r="B368" s="572" t="s">
        <v>39</v>
      </c>
      <c r="C368" s="437" t="s">
        <v>165</v>
      </c>
      <c r="D368" s="438">
        <v>1</v>
      </c>
      <c r="E368" s="439">
        <v>1</v>
      </c>
      <c r="F368" s="438">
        <v>0</v>
      </c>
      <c r="G368" s="438">
        <v>0</v>
      </c>
      <c r="H368" s="438">
        <v>43</v>
      </c>
      <c r="I368" s="438">
        <v>16</v>
      </c>
      <c r="J368" s="439">
        <v>27</v>
      </c>
      <c r="K368" s="438">
        <v>1</v>
      </c>
      <c r="L368" s="439">
        <v>5</v>
      </c>
    </row>
    <row r="369" spans="1:12" ht="14.95" thickBot="1" x14ac:dyDescent="0.3">
      <c r="A369" s="458">
        <v>2</v>
      </c>
      <c r="B369" s="572" t="s">
        <v>39</v>
      </c>
      <c r="C369" s="437" t="s">
        <v>23</v>
      </c>
      <c r="D369" s="438">
        <v>1</v>
      </c>
      <c r="E369" s="439">
        <v>1</v>
      </c>
      <c r="F369" s="438">
        <v>0</v>
      </c>
      <c r="G369" s="438">
        <v>0</v>
      </c>
      <c r="H369" s="438">
        <v>24</v>
      </c>
      <c r="I369" s="438">
        <v>16</v>
      </c>
      <c r="J369" s="439">
        <v>8</v>
      </c>
      <c r="K369" s="438">
        <v>0</v>
      </c>
      <c r="L369" s="439">
        <v>4</v>
      </c>
    </row>
    <row r="370" spans="1:12" ht="14.95" thickBot="1" x14ac:dyDescent="0.3">
      <c r="A370" s="525">
        <v>3</v>
      </c>
      <c r="B370" s="456" t="s">
        <v>39</v>
      </c>
      <c r="C370" s="526" t="s">
        <v>11</v>
      </c>
      <c r="D370" s="527">
        <v>1</v>
      </c>
      <c r="E370" s="528">
        <v>1</v>
      </c>
      <c r="F370" s="527">
        <v>0</v>
      </c>
      <c r="G370" s="527">
        <v>0</v>
      </c>
      <c r="H370" s="527">
        <v>29</v>
      </c>
      <c r="I370" s="527">
        <v>26</v>
      </c>
      <c r="J370" s="528">
        <v>3</v>
      </c>
      <c r="K370" s="527">
        <v>0</v>
      </c>
      <c r="L370" s="528">
        <v>4</v>
      </c>
    </row>
    <row r="371" spans="1:12" ht="14.95" thickBot="1" x14ac:dyDescent="0.3">
      <c r="A371" s="525">
        <v>4</v>
      </c>
      <c r="B371" s="456" t="s">
        <v>39</v>
      </c>
      <c r="C371" s="526" t="s">
        <v>273</v>
      </c>
      <c r="D371" s="527">
        <v>1</v>
      </c>
      <c r="E371" s="528">
        <v>1</v>
      </c>
      <c r="F371" s="527">
        <v>0</v>
      </c>
      <c r="G371" s="527">
        <v>0</v>
      </c>
      <c r="H371" s="527">
        <v>22</v>
      </c>
      <c r="I371" s="527">
        <v>19</v>
      </c>
      <c r="J371" s="528">
        <v>3</v>
      </c>
      <c r="K371" s="527">
        <v>0</v>
      </c>
      <c r="L371" s="528">
        <v>4</v>
      </c>
    </row>
    <row r="372" spans="1:12" ht="14.95" thickBot="1" x14ac:dyDescent="0.3">
      <c r="A372" s="578">
        <v>5</v>
      </c>
      <c r="B372" s="459" t="s">
        <v>39</v>
      </c>
      <c r="C372" s="575" t="s">
        <v>25</v>
      </c>
      <c r="D372" s="576">
        <v>1</v>
      </c>
      <c r="E372" s="577">
        <v>1</v>
      </c>
      <c r="F372" s="576">
        <v>0</v>
      </c>
      <c r="G372" s="576">
        <v>0</v>
      </c>
      <c r="H372" s="576">
        <v>27</v>
      </c>
      <c r="I372" s="576">
        <v>25</v>
      </c>
      <c r="J372" s="577">
        <v>2</v>
      </c>
      <c r="K372" s="576">
        <v>0</v>
      </c>
      <c r="L372" s="577">
        <v>4</v>
      </c>
    </row>
    <row r="373" spans="1:12" ht="14.95" thickBot="1" x14ac:dyDescent="0.3">
      <c r="A373" s="579">
        <v>6</v>
      </c>
      <c r="B373" s="459" t="s">
        <v>39</v>
      </c>
      <c r="C373" s="575" t="s">
        <v>24</v>
      </c>
      <c r="D373" s="576">
        <v>1</v>
      </c>
      <c r="E373" s="577">
        <v>1</v>
      </c>
      <c r="F373" s="576">
        <v>0</v>
      </c>
      <c r="G373" s="576">
        <v>0</v>
      </c>
      <c r="H373" s="576">
        <v>18</v>
      </c>
      <c r="I373" s="576">
        <v>16</v>
      </c>
      <c r="J373" s="577">
        <v>2</v>
      </c>
      <c r="K373" s="576">
        <v>0</v>
      </c>
      <c r="L373" s="577">
        <v>4</v>
      </c>
    </row>
    <row r="374" spans="1:12" ht="14.95" thickBot="1" x14ac:dyDescent="0.3">
      <c r="A374" s="393">
        <v>7</v>
      </c>
      <c r="B374" s="460" t="s">
        <v>39</v>
      </c>
      <c r="C374" s="365" t="s">
        <v>19</v>
      </c>
      <c r="D374" s="643">
        <v>1</v>
      </c>
      <c r="E374" s="644">
        <v>0</v>
      </c>
      <c r="F374" s="643">
        <v>0</v>
      </c>
      <c r="G374" s="643">
        <v>1</v>
      </c>
      <c r="H374" s="643">
        <v>25</v>
      </c>
      <c r="I374" s="643">
        <v>27</v>
      </c>
      <c r="J374" s="645">
        <v>-2</v>
      </c>
      <c r="K374" s="643">
        <v>1</v>
      </c>
      <c r="L374" s="645">
        <v>1</v>
      </c>
    </row>
    <row r="375" spans="1:12" ht="14.95" thickBot="1" x14ac:dyDescent="0.3">
      <c r="A375" s="420">
        <v>8</v>
      </c>
      <c r="B375" s="460" t="s">
        <v>39</v>
      </c>
      <c r="C375" s="646" t="s">
        <v>27</v>
      </c>
      <c r="D375" s="647">
        <v>1</v>
      </c>
      <c r="E375" s="645">
        <v>0</v>
      </c>
      <c r="F375" s="647">
        <v>0</v>
      </c>
      <c r="G375" s="647">
        <v>1</v>
      </c>
      <c r="H375" s="647">
        <v>16</v>
      </c>
      <c r="I375" s="647">
        <v>18</v>
      </c>
      <c r="J375" s="645">
        <v>-2</v>
      </c>
      <c r="K375" s="647">
        <v>1</v>
      </c>
      <c r="L375" s="645">
        <v>1</v>
      </c>
    </row>
    <row r="376" spans="1:12" ht="14.95" thickBot="1" x14ac:dyDescent="0.3">
      <c r="A376" s="420">
        <v>9</v>
      </c>
      <c r="B376" s="460" t="s">
        <v>39</v>
      </c>
      <c r="C376" s="646" t="s">
        <v>106</v>
      </c>
      <c r="D376" s="647">
        <v>1</v>
      </c>
      <c r="E376" s="645">
        <v>0</v>
      </c>
      <c r="F376" s="647">
        <v>0</v>
      </c>
      <c r="G376" s="647">
        <v>1</v>
      </c>
      <c r="H376" s="647">
        <v>26</v>
      </c>
      <c r="I376" s="647">
        <v>29</v>
      </c>
      <c r="J376" s="645">
        <v>-3</v>
      </c>
      <c r="K376" s="647">
        <v>1</v>
      </c>
      <c r="L376" s="645">
        <v>1</v>
      </c>
    </row>
    <row r="377" spans="1:12" ht="14.95" thickBot="1" x14ac:dyDescent="0.3">
      <c r="A377" s="393">
        <v>10</v>
      </c>
      <c r="B377" s="460" t="s">
        <v>39</v>
      </c>
      <c r="C377" s="646" t="s">
        <v>9</v>
      </c>
      <c r="D377" s="647">
        <v>1</v>
      </c>
      <c r="E377" s="645">
        <v>0</v>
      </c>
      <c r="F377" s="647">
        <v>0</v>
      </c>
      <c r="G377" s="647">
        <v>1</v>
      </c>
      <c r="H377" s="647">
        <v>19</v>
      </c>
      <c r="I377" s="647">
        <v>22</v>
      </c>
      <c r="J377" s="645">
        <v>-3</v>
      </c>
      <c r="K377" s="647">
        <v>1</v>
      </c>
      <c r="L377" s="645">
        <v>1</v>
      </c>
    </row>
    <row r="378" spans="1:12" ht="14.95" thickBot="1" x14ac:dyDescent="0.3">
      <c r="A378" s="420">
        <v>11</v>
      </c>
      <c r="B378" s="460" t="s">
        <v>39</v>
      </c>
      <c r="C378" s="646" t="s">
        <v>26</v>
      </c>
      <c r="D378" s="647">
        <v>1</v>
      </c>
      <c r="E378" s="645">
        <v>0</v>
      </c>
      <c r="F378" s="647">
        <v>0</v>
      </c>
      <c r="G378" s="647">
        <v>1</v>
      </c>
      <c r="H378" s="647">
        <v>16</v>
      </c>
      <c r="I378" s="647">
        <v>24</v>
      </c>
      <c r="J378" s="645">
        <v>-8</v>
      </c>
      <c r="K378" s="647">
        <v>0</v>
      </c>
      <c r="L378" s="645">
        <v>0</v>
      </c>
    </row>
    <row r="379" spans="1:12" ht="14.95" thickBot="1" x14ac:dyDescent="0.3">
      <c r="A379" s="529">
        <v>12</v>
      </c>
      <c r="B379" s="457" t="s">
        <v>39</v>
      </c>
      <c r="C379" s="530" t="s">
        <v>274</v>
      </c>
      <c r="D379" s="531">
        <v>1</v>
      </c>
      <c r="E379" s="532">
        <v>0</v>
      </c>
      <c r="F379" s="531">
        <v>0</v>
      </c>
      <c r="G379" s="531">
        <v>1</v>
      </c>
      <c r="H379" s="531">
        <v>16</v>
      </c>
      <c r="I379" s="531">
        <v>43</v>
      </c>
      <c r="J379" s="532">
        <v>-27</v>
      </c>
      <c r="K379" s="531">
        <v>0</v>
      </c>
      <c r="L379" s="532">
        <v>0</v>
      </c>
    </row>
    <row r="380" spans="1:12" x14ac:dyDescent="0.25">
      <c r="A380" s="648"/>
      <c r="B380" s="649"/>
      <c r="C380" s="650"/>
      <c r="D380" s="651"/>
      <c r="E380" s="652"/>
      <c r="F380" s="651"/>
      <c r="G380" s="651"/>
      <c r="H380" s="651"/>
      <c r="I380" s="651"/>
      <c r="J380" s="652"/>
      <c r="K380" s="651"/>
      <c r="L380" s="652"/>
    </row>
    <row r="381" spans="1:12" x14ac:dyDescent="0.25">
      <c r="A381" s="648"/>
      <c r="B381" s="649"/>
      <c r="C381" s="650"/>
      <c r="D381" s="651"/>
      <c r="E381" s="652"/>
      <c r="F381" s="651"/>
      <c r="G381" s="651"/>
      <c r="H381" s="651"/>
      <c r="I381" s="651"/>
      <c r="J381" s="652"/>
      <c r="K381" s="651"/>
      <c r="L381" s="652"/>
    </row>
    <row r="382" spans="1:12" x14ac:dyDescent="0.25">
      <c r="A382" s="100" t="s">
        <v>107</v>
      </c>
    </row>
  </sheetData>
  <sortState xmlns:xlrd2="http://schemas.microsoft.com/office/spreadsheetml/2017/richdata2" ref="A3:L13">
    <sortCondition descending="1" ref="L3:L13"/>
    <sortCondition descending="1" ref="E3:E13"/>
    <sortCondition descending="1" ref="J3:J13"/>
    <sortCondition descending="1" ref="H3:H13"/>
  </sortState>
  <conditionalFormatting sqref="P8">
    <cfRule type="expression" dxfId="1" priority="1">
      <formula>"a13"</formula>
    </cfRule>
  </conditionalFormatting>
  <conditionalFormatting sqref="P11">
    <cfRule type="expression" dxfId="0" priority="2">
      <formula>"A13:L13"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63"/>
  <sheetViews>
    <sheetView topLeftCell="A103" workbookViewId="0">
      <selection activeCell="L117" sqref="L117"/>
    </sheetView>
  </sheetViews>
  <sheetFormatPr defaultColWidth="8.875" defaultRowHeight="14.3" x14ac:dyDescent="0.25"/>
  <cols>
    <col min="1" max="1" width="11.375" customWidth="1"/>
    <col min="2" max="2" width="5.25" customWidth="1"/>
    <col min="3" max="3" width="12.75" customWidth="1"/>
    <col min="4" max="4" width="2.75" customWidth="1"/>
    <col min="5" max="5" width="0.875" customWidth="1"/>
    <col min="6" max="6" width="2.75" customWidth="1"/>
    <col min="7" max="7" width="13.125" bestFit="1" customWidth="1"/>
    <col min="8" max="8" width="18" bestFit="1" customWidth="1"/>
    <col min="9" max="9" width="11.125" bestFit="1" customWidth="1"/>
    <col min="13" max="13" width="11.375" customWidth="1"/>
    <col min="16" max="16" width="12.875" customWidth="1"/>
    <col min="17" max="17" width="17.375" bestFit="1" customWidth="1"/>
  </cols>
  <sheetData>
    <row r="1" spans="1:18" x14ac:dyDescent="0.25">
      <c r="A1" s="507" t="s">
        <v>342</v>
      </c>
      <c r="B1" s="714"/>
      <c r="C1" s="714"/>
      <c r="D1" s="714"/>
      <c r="E1" s="714"/>
      <c r="F1" s="714"/>
      <c r="G1" s="714"/>
      <c r="H1" s="714"/>
      <c r="I1" s="714"/>
      <c r="K1" s="184" t="s">
        <v>629</v>
      </c>
      <c r="L1" s="210"/>
      <c r="M1" s="210"/>
      <c r="N1" s="210"/>
      <c r="O1" s="210"/>
      <c r="P1" s="210"/>
      <c r="Q1" s="210"/>
      <c r="R1" s="210"/>
    </row>
    <row r="2" spans="1:18" x14ac:dyDescent="0.25">
      <c r="A2" s="715" t="s">
        <v>109</v>
      </c>
      <c r="B2" s="716"/>
      <c r="C2" s="507"/>
      <c r="D2" s="507"/>
      <c r="E2" s="507"/>
      <c r="F2" s="507"/>
      <c r="G2" s="507"/>
      <c r="H2" s="507"/>
      <c r="I2" s="507" t="s">
        <v>221</v>
      </c>
      <c r="K2" s="613" t="s">
        <v>109</v>
      </c>
      <c r="L2" s="614"/>
      <c r="M2" s="184"/>
      <c r="N2" s="184"/>
      <c r="O2" s="184"/>
      <c r="P2" s="184"/>
      <c r="Q2" s="184"/>
      <c r="R2" s="184" t="s">
        <v>221</v>
      </c>
    </row>
    <row r="3" spans="1:18" x14ac:dyDescent="0.25">
      <c r="A3" s="717">
        <v>43374</v>
      </c>
      <c r="B3" s="718">
        <v>0.82291666666666663</v>
      </c>
      <c r="C3" s="714" t="s">
        <v>165</v>
      </c>
      <c r="D3" s="719">
        <v>43</v>
      </c>
      <c r="E3" s="720" t="s">
        <v>247</v>
      </c>
      <c r="F3" s="721">
        <v>16</v>
      </c>
      <c r="G3" s="714" t="s">
        <v>22</v>
      </c>
      <c r="H3" s="714" t="s">
        <v>248</v>
      </c>
      <c r="I3" s="714" t="s">
        <v>146</v>
      </c>
      <c r="K3" s="615">
        <v>44075</v>
      </c>
      <c r="L3" s="616">
        <v>0.82291666666666663</v>
      </c>
      <c r="M3" s="210" t="s">
        <v>9</v>
      </c>
      <c r="N3" s="617">
        <v>24</v>
      </c>
      <c r="O3" s="618" t="s">
        <v>334</v>
      </c>
      <c r="P3" s="210" t="s">
        <v>165</v>
      </c>
      <c r="Q3" s="210" t="s">
        <v>333</v>
      </c>
      <c r="R3" s="210" t="s">
        <v>146</v>
      </c>
    </row>
    <row r="4" spans="1:18" x14ac:dyDescent="0.25">
      <c r="A4" s="717">
        <v>43739</v>
      </c>
      <c r="B4" s="718">
        <v>0.625</v>
      </c>
      <c r="C4" s="714" t="s">
        <v>28</v>
      </c>
      <c r="D4" s="719">
        <v>22</v>
      </c>
      <c r="E4" s="720" t="s">
        <v>247</v>
      </c>
      <c r="F4" s="721">
        <v>19</v>
      </c>
      <c r="G4" s="714" t="s">
        <v>9</v>
      </c>
      <c r="H4" s="714" t="s">
        <v>250</v>
      </c>
      <c r="I4" s="714"/>
      <c r="K4" s="615">
        <v>44440</v>
      </c>
      <c r="L4" s="616">
        <v>0.54166666666666663</v>
      </c>
      <c r="M4" s="210" t="s">
        <v>106</v>
      </c>
      <c r="N4" s="617">
        <v>28</v>
      </c>
      <c r="O4" s="618" t="s">
        <v>335</v>
      </c>
      <c r="P4" s="210" t="s">
        <v>19</v>
      </c>
      <c r="Q4" s="210" t="s">
        <v>253</v>
      </c>
      <c r="R4" s="210" t="s">
        <v>146</v>
      </c>
    </row>
    <row r="5" spans="1:18" x14ac:dyDescent="0.25">
      <c r="A5" s="717">
        <v>43739</v>
      </c>
      <c r="B5" s="718">
        <v>0.625</v>
      </c>
      <c r="C5" s="714" t="s">
        <v>27</v>
      </c>
      <c r="D5" s="719">
        <v>16</v>
      </c>
      <c r="E5" s="720" t="s">
        <v>247</v>
      </c>
      <c r="F5" s="721">
        <v>18</v>
      </c>
      <c r="G5" s="714" t="s">
        <v>24</v>
      </c>
      <c r="H5" s="714" t="s">
        <v>341</v>
      </c>
      <c r="I5" s="714"/>
      <c r="K5" s="615">
        <v>44440</v>
      </c>
      <c r="L5" s="616">
        <v>0.625</v>
      </c>
      <c r="M5" s="210" t="s">
        <v>28</v>
      </c>
      <c r="N5" s="617">
        <v>28</v>
      </c>
      <c r="O5" s="618" t="s">
        <v>336</v>
      </c>
      <c r="P5" s="210" t="s">
        <v>22</v>
      </c>
      <c r="Q5" s="210" t="s">
        <v>250</v>
      </c>
      <c r="R5" s="210"/>
    </row>
    <row r="6" spans="1:18" x14ac:dyDescent="0.25">
      <c r="A6" s="717">
        <v>43739</v>
      </c>
      <c r="B6" s="718">
        <v>0.625</v>
      </c>
      <c r="C6" s="714" t="s">
        <v>19</v>
      </c>
      <c r="D6" s="719">
        <v>25</v>
      </c>
      <c r="E6" s="720" t="s">
        <v>247</v>
      </c>
      <c r="F6" s="721">
        <v>27</v>
      </c>
      <c r="G6" s="714" t="s">
        <v>25</v>
      </c>
      <c r="H6" s="714" t="s">
        <v>254</v>
      </c>
      <c r="I6" s="714" t="s">
        <v>146</v>
      </c>
      <c r="K6" s="615">
        <v>44440</v>
      </c>
      <c r="L6" s="616">
        <v>0.625</v>
      </c>
      <c r="M6" s="210" t="s">
        <v>24</v>
      </c>
      <c r="N6" s="617">
        <v>29</v>
      </c>
      <c r="O6" s="618" t="s">
        <v>337</v>
      </c>
      <c r="P6" s="210" t="s">
        <v>11</v>
      </c>
      <c r="Q6" s="210" t="s">
        <v>340</v>
      </c>
      <c r="R6" s="210"/>
    </row>
    <row r="7" spans="1:18" x14ac:dyDescent="0.25">
      <c r="A7" s="717">
        <v>43739</v>
      </c>
      <c r="B7" s="718">
        <v>0.625</v>
      </c>
      <c r="C7" s="714" t="s">
        <v>23</v>
      </c>
      <c r="D7" s="719">
        <v>24</v>
      </c>
      <c r="E7" s="720" t="s">
        <v>247</v>
      </c>
      <c r="F7" s="721">
        <v>16</v>
      </c>
      <c r="G7" s="714" t="s">
        <v>26</v>
      </c>
      <c r="H7" s="714" t="s">
        <v>249</v>
      </c>
      <c r="I7" s="714"/>
      <c r="K7" s="615">
        <v>44440</v>
      </c>
      <c r="L7" s="616">
        <v>0.625</v>
      </c>
      <c r="M7" s="210" t="s">
        <v>27</v>
      </c>
      <c r="N7" s="617">
        <v>39</v>
      </c>
      <c r="O7" s="618" t="s">
        <v>338</v>
      </c>
      <c r="P7" s="210" t="s">
        <v>25</v>
      </c>
      <c r="Q7" s="210" t="s">
        <v>341</v>
      </c>
      <c r="R7" s="210"/>
    </row>
    <row r="8" spans="1:18" x14ac:dyDescent="0.25">
      <c r="A8" s="717">
        <v>44105</v>
      </c>
      <c r="B8" s="718">
        <v>0.625</v>
      </c>
      <c r="C8" s="714" t="s">
        <v>106</v>
      </c>
      <c r="D8" s="719">
        <v>26</v>
      </c>
      <c r="E8" s="720" t="s">
        <v>247</v>
      </c>
      <c r="F8" s="721">
        <v>29</v>
      </c>
      <c r="G8" s="714" t="s">
        <v>11</v>
      </c>
      <c r="H8" s="714" t="s">
        <v>253</v>
      </c>
      <c r="I8" s="714" t="s">
        <v>146</v>
      </c>
      <c r="K8" s="615">
        <v>44440</v>
      </c>
      <c r="L8" s="616">
        <v>0.625</v>
      </c>
      <c r="M8" s="210" t="s">
        <v>23</v>
      </c>
      <c r="N8" s="617">
        <v>57</v>
      </c>
      <c r="O8" s="618" t="s">
        <v>339</v>
      </c>
      <c r="P8" s="210" t="s">
        <v>26</v>
      </c>
      <c r="Q8" s="210" t="s">
        <v>249</v>
      </c>
      <c r="R8" s="210"/>
    </row>
    <row r="9" spans="1:18" x14ac:dyDescent="0.25">
      <c r="A9" s="715" t="s">
        <v>110</v>
      </c>
      <c r="B9" s="716"/>
      <c r="C9" s="507"/>
      <c r="D9" s="722"/>
      <c r="E9" s="719"/>
      <c r="F9" s="723"/>
      <c r="G9" s="507"/>
      <c r="H9" s="507"/>
      <c r="I9" s="507"/>
      <c r="K9" s="613" t="s">
        <v>110</v>
      </c>
      <c r="L9" s="614"/>
      <c r="M9" s="184"/>
      <c r="N9" s="225"/>
      <c r="O9" s="617"/>
      <c r="P9" s="184"/>
      <c r="Q9" s="184"/>
      <c r="R9" s="184"/>
    </row>
    <row r="10" spans="1:18" x14ac:dyDescent="0.25">
      <c r="A10" s="717">
        <v>45931</v>
      </c>
      <c r="B10" s="718">
        <v>0.82291666666666663</v>
      </c>
      <c r="C10" s="714" t="s">
        <v>22</v>
      </c>
      <c r="D10" s="719">
        <v>13</v>
      </c>
      <c r="E10" s="720" t="s">
        <v>247</v>
      </c>
      <c r="F10" s="721">
        <v>10</v>
      </c>
      <c r="G10" s="714" t="s">
        <v>28</v>
      </c>
      <c r="H10" s="714" t="s">
        <v>371</v>
      </c>
      <c r="I10" s="714" t="s">
        <v>146</v>
      </c>
      <c r="K10" s="615">
        <v>46631</v>
      </c>
      <c r="L10" s="616">
        <v>0.82291666666666663</v>
      </c>
      <c r="M10" s="210" t="s">
        <v>165</v>
      </c>
      <c r="N10" s="617">
        <v>20</v>
      </c>
      <c r="O10" s="618" t="s">
        <v>362</v>
      </c>
      <c r="P10" s="210" t="s">
        <v>24</v>
      </c>
      <c r="Q10" s="210" t="s">
        <v>248</v>
      </c>
      <c r="R10" s="210"/>
    </row>
    <row r="11" spans="1:18" x14ac:dyDescent="0.25">
      <c r="A11" s="717">
        <v>46296</v>
      </c>
      <c r="B11" s="718">
        <v>0.58333333333333337</v>
      </c>
      <c r="C11" s="714" t="s">
        <v>25</v>
      </c>
      <c r="D11" s="719">
        <v>35</v>
      </c>
      <c r="E11" s="720" t="s">
        <v>247</v>
      </c>
      <c r="F11" s="721">
        <v>16</v>
      </c>
      <c r="G11" s="714" t="s">
        <v>23</v>
      </c>
      <c r="H11" s="714" t="s">
        <v>377</v>
      </c>
      <c r="I11" s="714"/>
      <c r="K11" s="615">
        <v>46631</v>
      </c>
      <c r="L11" s="616">
        <v>0.82291666666666663</v>
      </c>
      <c r="M11" s="210" t="s">
        <v>26</v>
      </c>
      <c r="N11" s="617">
        <v>27</v>
      </c>
      <c r="O11" s="618" t="s">
        <v>364</v>
      </c>
      <c r="P11" s="210" t="s">
        <v>28</v>
      </c>
      <c r="Q11" s="210" t="s">
        <v>365</v>
      </c>
      <c r="R11" s="210" t="s">
        <v>146</v>
      </c>
    </row>
    <row r="12" spans="1:18" x14ac:dyDescent="0.25">
      <c r="A12" s="717">
        <v>46296</v>
      </c>
      <c r="B12" s="718">
        <v>0.625</v>
      </c>
      <c r="C12" s="714" t="s">
        <v>24</v>
      </c>
      <c r="D12" s="719">
        <v>25</v>
      </c>
      <c r="E12" s="720" t="s">
        <v>247</v>
      </c>
      <c r="F12" s="721">
        <v>9</v>
      </c>
      <c r="G12" s="714" t="s">
        <v>106</v>
      </c>
      <c r="H12" s="714" t="s">
        <v>340</v>
      </c>
      <c r="I12" s="714" t="s">
        <v>146</v>
      </c>
      <c r="K12" s="615">
        <v>46997</v>
      </c>
      <c r="L12" s="616">
        <v>0.625</v>
      </c>
      <c r="M12" s="210" t="s">
        <v>22</v>
      </c>
      <c r="N12" s="617">
        <v>36</v>
      </c>
      <c r="O12" s="618" t="s">
        <v>370</v>
      </c>
      <c r="P12" s="210" t="s">
        <v>23</v>
      </c>
      <c r="Q12" s="210" t="s">
        <v>371</v>
      </c>
      <c r="R12" s="210"/>
    </row>
    <row r="13" spans="1:18" x14ac:dyDescent="0.25">
      <c r="A13" s="717">
        <v>46296</v>
      </c>
      <c r="B13" s="718">
        <v>0.625</v>
      </c>
      <c r="C13" s="714" t="s">
        <v>9</v>
      </c>
      <c r="D13" s="719">
        <v>22</v>
      </c>
      <c r="E13" s="720" t="s">
        <v>247</v>
      </c>
      <c r="F13" s="721">
        <v>17</v>
      </c>
      <c r="G13" s="714" t="s">
        <v>165</v>
      </c>
      <c r="H13" s="714" t="s">
        <v>333</v>
      </c>
      <c r="I13" s="714"/>
      <c r="K13" s="615">
        <v>46997</v>
      </c>
      <c r="L13" s="616">
        <v>0.625</v>
      </c>
      <c r="M13" s="210" t="s">
        <v>11</v>
      </c>
      <c r="N13" s="617">
        <v>18</v>
      </c>
      <c r="O13" s="618" t="s">
        <v>372</v>
      </c>
      <c r="P13" s="210" t="s">
        <v>9</v>
      </c>
      <c r="Q13" s="210" t="s">
        <v>373</v>
      </c>
      <c r="R13" s="210"/>
    </row>
    <row r="14" spans="1:18" x14ac:dyDescent="0.25">
      <c r="A14" s="717">
        <v>46296</v>
      </c>
      <c r="B14" s="718">
        <v>0.625</v>
      </c>
      <c r="C14" s="714" t="s">
        <v>11</v>
      </c>
      <c r="D14" s="719">
        <v>7</v>
      </c>
      <c r="E14" s="720" t="s">
        <v>247</v>
      </c>
      <c r="F14" s="721">
        <v>41</v>
      </c>
      <c r="G14" s="714" t="s">
        <v>27</v>
      </c>
      <c r="H14" s="714" t="s">
        <v>373</v>
      </c>
      <c r="I14" s="714"/>
      <c r="K14" s="615">
        <v>46997</v>
      </c>
      <c r="L14" s="616">
        <v>0.625</v>
      </c>
      <c r="M14" s="210" t="s">
        <v>25</v>
      </c>
      <c r="N14" s="617">
        <v>32</v>
      </c>
      <c r="O14" s="618" t="s">
        <v>376</v>
      </c>
      <c r="P14" s="210" t="s">
        <v>106</v>
      </c>
      <c r="Q14" s="210" t="s">
        <v>377</v>
      </c>
      <c r="R14" s="210" t="s">
        <v>146</v>
      </c>
    </row>
    <row r="15" spans="1:18" x14ac:dyDescent="0.25">
      <c r="A15" s="717">
        <v>46661</v>
      </c>
      <c r="B15" s="718">
        <v>0.625</v>
      </c>
      <c r="C15" s="714" t="s">
        <v>26</v>
      </c>
      <c r="D15" s="719">
        <v>10</v>
      </c>
      <c r="E15" s="720" t="s">
        <v>247</v>
      </c>
      <c r="F15" s="721">
        <v>24</v>
      </c>
      <c r="G15" s="714" t="s">
        <v>19</v>
      </c>
      <c r="H15" s="714" t="s">
        <v>365</v>
      </c>
      <c r="I15" s="714" t="s">
        <v>146</v>
      </c>
      <c r="K15" s="615">
        <v>46997</v>
      </c>
      <c r="L15" s="616">
        <v>0.625</v>
      </c>
      <c r="M15" s="210" t="s">
        <v>19</v>
      </c>
      <c r="N15" s="617">
        <v>17</v>
      </c>
      <c r="O15" s="618" t="s">
        <v>376</v>
      </c>
      <c r="P15" s="210" t="s">
        <v>27</v>
      </c>
      <c r="Q15" s="210" t="s">
        <v>254</v>
      </c>
      <c r="R15" s="210"/>
    </row>
    <row r="16" spans="1:18" x14ac:dyDescent="0.25">
      <c r="A16" s="715" t="s">
        <v>111</v>
      </c>
      <c r="B16" s="716"/>
      <c r="C16" s="507"/>
      <c r="D16" s="722"/>
      <c r="E16" s="719"/>
      <c r="F16" s="723"/>
      <c r="G16" s="507"/>
      <c r="H16" s="507"/>
      <c r="I16" s="507"/>
      <c r="K16" s="613" t="s">
        <v>111</v>
      </c>
      <c r="L16" s="614"/>
      <c r="M16" s="184"/>
      <c r="N16" s="225"/>
      <c r="O16" s="617"/>
      <c r="P16" s="184"/>
      <c r="Q16" s="184"/>
      <c r="R16" s="184"/>
    </row>
    <row r="17" spans="1:18" x14ac:dyDescent="0.25">
      <c r="A17" s="717">
        <v>37196</v>
      </c>
      <c r="B17" s="718">
        <v>0.82291666666666663</v>
      </c>
      <c r="C17" s="714" t="s">
        <v>165</v>
      </c>
      <c r="D17" s="719">
        <v>16</v>
      </c>
      <c r="E17" s="720" t="s">
        <v>247</v>
      </c>
      <c r="F17" s="721">
        <v>10</v>
      </c>
      <c r="G17" s="714" t="s">
        <v>27</v>
      </c>
      <c r="H17" s="714" t="s">
        <v>248</v>
      </c>
      <c r="I17" s="714"/>
      <c r="K17" s="615">
        <v>38261</v>
      </c>
      <c r="L17" s="616">
        <v>0.82291666666666663</v>
      </c>
      <c r="M17" s="210" t="s">
        <v>23</v>
      </c>
      <c r="N17" s="617">
        <v>19</v>
      </c>
      <c r="O17" s="618" t="s">
        <v>382</v>
      </c>
      <c r="P17" s="210" t="s">
        <v>28</v>
      </c>
      <c r="Q17" s="210" t="s">
        <v>249</v>
      </c>
      <c r="R17" s="210" t="s">
        <v>146</v>
      </c>
    </row>
    <row r="18" spans="1:18" x14ac:dyDescent="0.25">
      <c r="A18" s="717">
        <v>37196</v>
      </c>
      <c r="B18" s="718">
        <v>0.82291666666666663</v>
      </c>
      <c r="C18" s="714" t="s">
        <v>25</v>
      </c>
      <c r="D18" s="719">
        <v>40</v>
      </c>
      <c r="E18" s="720" t="s">
        <v>247</v>
      </c>
      <c r="F18" s="721">
        <v>22</v>
      </c>
      <c r="G18" s="714" t="s">
        <v>9</v>
      </c>
      <c r="H18" s="714" t="s">
        <v>377</v>
      </c>
      <c r="I18" s="714" t="s">
        <v>146</v>
      </c>
      <c r="K18" s="615">
        <v>38626</v>
      </c>
      <c r="L18" s="616">
        <v>0.625</v>
      </c>
      <c r="M18" s="210" t="s">
        <v>22</v>
      </c>
      <c r="N18" s="617">
        <v>7</v>
      </c>
      <c r="O18" s="618" t="s">
        <v>338</v>
      </c>
      <c r="P18" s="210" t="s">
        <v>26</v>
      </c>
      <c r="Q18" s="210" t="s">
        <v>371</v>
      </c>
      <c r="R18" s="210"/>
    </row>
    <row r="19" spans="1:18" x14ac:dyDescent="0.25">
      <c r="A19" s="717">
        <v>37561</v>
      </c>
      <c r="B19" s="718">
        <v>0.625</v>
      </c>
      <c r="C19" s="714" t="s">
        <v>26</v>
      </c>
      <c r="D19" s="719">
        <v>16</v>
      </c>
      <c r="E19" s="720" t="s">
        <v>247</v>
      </c>
      <c r="F19" s="721">
        <v>13</v>
      </c>
      <c r="G19" s="714" t="s">
        <v>24</v>
      </c>
      <c r="H19" s="714" t="s">
        <v>365</v>
      </c>
      <c r="I19" s="714" t="s">
        <v>146</v>
      </c>
      <c r="K19" s="615">
        <v>38626</v>
      </c>
      <c r="L19" s="616">
        <v>0.625</v>
      </c>
      <c r="M19" s="210" t="s">
        <v>9</v>
      </c>
      <c r="N19" s="617">
        <v>40</v>
      </c>
      <c r="O19" s="618" t="s">
        <v>383</v>
      </c>
      <c r="P19" s="210" t="s">
        <v>24</v>
      </c>
      <c r="Q19" s="210" t="s">
        <v>333</v>
      </c>
      <c r="R19" s="210"/>
    </row>
    <row r="20" spans="1:18" x14ac:dyDescent="0.25">
      <c r="A20" s="717">
        <v>37561</v>
      </c>
      <c r="B20" s="718">
        <v>0.625</v>
      </c>
      <c r="C20" s="714" t="s">
        <v>19</v>
      </c>
      <c r="D20" s="719">
        <v>16</v>
      </c>
      <c r="E20" s="720" t="s">
        <v>247</v>
      </c>
      <c r="F20" s="721">
        <v>13</v>
      </c>
      <c r="G20" s="714" t="s">
        <v>11</v>
      </c>
      <c r="H20" s="714" t="s">
        <v>254</v>
      </c>
      <c r="I20" s="714"/>
      <c r="K20" s="615">
        <v>38626</v>
      </c>
      <c r="L20" s="616">
        <v>0.625</v>
      </c>
      <c r="M20" s="210" t="s">
        <v>27</v>
      </c>
      <c r="N20" s="617">
        <v>31</v>
      </c>
      <c r="O20" s="618" t="s">
        <v>384</v>
      </c>
      <c r="P20" s="210" t="s">
        <v>106</v>
      </c>
      <c r="Q20" s="210" t="s">
        <v>341</v>
      </c>
      <c r="R20" s="210"/>
    </row>
    <row r="21" spans="1:18" x14ac:dyDescent="0.25">
      <c r="A21" s="717">
        <v>37561</v>
      </c>
      <c r="B21" s="718">
        <v>0.625</v>
      </c>
      <c r="C21" s="714" t="s">
        <v>106</v>
      </c>
      <c r="D21" s="719">
        <v>30</v>
      </c>
      <c r="E21" s="720" t="s">
        <v>247</v>
      </c>
      <c r="F21" s="721">
        <v>22</v>
      </c>
      <c r="G21" s="714" t="s">
        <v>22</v>
      </c>
      <c r="H21" s="714" t="s">
        <v>253</v>
      </c>
      <c r="I21" s="714"/>
      <c r="K21" s="615">
        <v>38991</v>
      </c>
      <c r="L21" s="616">
        <v>0.625</v>
      </c>
      <c r="M21" s="210" t="s">
        <v>165</v>
      </c>
      <c r="N21" s="617">
        <v>44</v>
      </c>
      <c r="O21" s="618" t="s">
        <v>385</v>
      </c>
      <c r="P21" s="210" t="s">
        <v>11</v>
      </c>
      <c r="Q21" s="210" t="s">
        <v>248</v>
      </c>
      <c r="R21" s="210"/>
    </row>
    <row r="22" spans="1:18" x14ac:dyDescent="0.25">
      <c r="A22" s="717">
        <v>37926</v>
      </c>
      <c r="B22" s="718">
        <v>0.625</v>
      </c>
      <c r="C22" s="714" t="s">
        <v>23</v>
      </c>
      <c r="D22" s="719">
        <v>20</v>
      </c>
      <c r="E22" s="720" t="s">
        <v>247</v>
      </c>
      <c r="F22" s="721">
        <v>24</v>
      </c>
      <c r="G22" s="714" t="s">
        <v>28</v>
      </c>
      <c r="H22" s="714" t="s">
        <v>249</v>
      </c>
      <c r="I22" s="714" t="s">
        <v>146</v>
      </c>
      <c r="K22" s="615">
        <v>38991</v>
      </c>
      <c r="L22" s="616">
        <v>0.625</v>
      </c>
      <c r="M22" s="210" t="s">
        <v>25</v>
      </c>
      <c r="N22" s="617">
        <v>28</v>
      </c>
      <c r="O22" s="618" t="s">
        <v>386</v>
      </c>
      <c r="P22" s="210" t="s">
        <v>19</v>
      </c>
      <c r="Q22" s="210" t="s">
        <v>377</v>
      </c>
      <c r="R22" s="210" t="s">
        <v>146</v>
      </c>
    </row>
    <row r="23" spans="1:18" x14ac:dyDescent="0.25">
      <c r="A23" s="715" t="s">
        <v>112</v>
      </c>
      <c r="B23" s="716"/>
      <c r="C23" s="507"/>
      <c r="D23" s="722"/>
      <c r="E23" s="719"/>
      <c r="F23" s="723"/>
      <c r="G23" s="507"/>
      <c r="H23" s="507"/>
      <c r="I23" s="507"/>
      <c r="K23" s="613" t="s">
        <v>112</v>
      </c>
      <c r="L23" s="614"/>
      <c r="M23" s="184"/>
      <c r="N23" s="225"/>
      <c r="O23" s="617"/>
      <c r="P23" s="184"/>
      <c r="Q23" s="184"/>
      <c r="R23" s="184"/>
    </row>
    <row r="24" spans="1:18" x14ac:dyDescent="0.25">
      <c r="A24" s="717">
        <v>39753</v>
      </c>
      <c r="B24" s="718">
        <v>0.82291666666666663</v>
      </c>
      <c r="C24" s="714" t="s">
        <v>27</v>
      </c>
      <c r="D24" s="719">
        <v>28</v>
      </c>
      <c r="E24" s="720" t="s">
        <v>247</v>
      </c>
      <c r="F24" s="721">
        <v>18</v>
      </c>
      <c r="G24" s="714" t="s">
        <v>106</v>
      </c>
      <c r="H24" s="714" t="s">
        <v>341</v>
      </c>
      <c r="I24" s="714" t="s">
        <v>146</v>
      </c>
      <c r="K24" s="615">
        <v>40817</v>
      </c>
      <c r="L24" s="616">
        <v>0.82291666666666663</v>
      </c>
      <c r="M24" s="210" t="s">
        <v>24</v>
      </c>
      <c r="N24" s="617">
        <v>24</v>
      </c>
      <c r="O24" s="618" t="s">
        <v>411</v>
      </c>
      <c r="P24" s="210" t="s">
        <v>22</v>
      </c>
      <c r="Q24" s="210" t="s">
        <v>340</v>
      </c>
      <c r="R24" s="210" t="s">
        <v>146</v>
      </c>
    </row>
    <row r="25" spans="1:18" x14ac:dyDescent="0.25">
      <c r="A25" s="717">
        <v>40118</v>
      </c>
      <c r="B25" s="718">
        <v>0.625</v>
      </c>
      <c r="C25" s="714" t="s">
        <v>22</v>
      </c>
      <c r="D25" s="719">
        <v>22</v>
      </c>
      <c r="E25" s="720" t="s">
        <v>247</v>
      </c>
      <c r="F25" s="721">
        <v>13</v>
      </c>
      <c r="G25" s="714" t="s">
        <v>25</v>
      </c>
      <c r="H25" s="714" t="s">
        <v>371</v>
      </c>
      <c r="I25" s="714"/>
      <c r="K25" s="615">
        <v>41183</v>
      </c>
      <c r="L25" s="616">
        <v>0.625</v>
      </c>
      <c r="M25" s="210" t="s">
        <v>28</v>
      </c>
      <c r="N25" s="617">
        <v>42</v>
      </c>
      <c r="O25" s="618" t="s">
        <v>412</v>
      </c>
      <c r="P25" s="210" t="s">
        <v>165</v>
      </c>
      <c r="Q25" s="210" t="s">
        <v>250</v>
      </c>
      <c r="R25" s="210"/>
    </row>
    <row r="26" spans="1:18" x14ac:dyDescent="0.25">
      <c r="A26" s="717">
        <v>40118</v>
      </c>
      <c r="B26" s="718">
        <v>0.625</v>
      </c>
      <c r="C26" s="714" t="s">
        <v>24</v>
      </c>
      <c r="D26" s="719">
        <v>12</v>
      </c>
      <c r="E26" s="720" t="s">
        <v>247</v>
      </c>
      <c r="F26" s="721">
        <v>21</v>
      </c>
      <c r="G26" s="714" t="s">
        <v>19</v>
      </c>
      <c r="H26" s="714" t="s">
        <v>340</v>
      </c>
      <c r="I26" s="714" t="s">
        <v>146</v>
      </c>
      <c r="K26" s="615">
        <v>41183</v>
      </c>
      <c r="L26" s="616">
        <v>0.625</v>
      </c>
      <c r="M26" s="210" t="s">
        <v>26</v>
      </c>
      <c r="N26" s="617">
        <v>22</v>
      </c>
      <c r="O26" s="618" t="s">
        <v>383</v>
      </c>
      <c r="P26" s="210" t="s">
        <v>25</v>
      </c>
      <c r="Q26" s="210" t="s">
        <v>365</v>
      </c>
      <c r="R26" s="210"/>
    </row>
    <row r="27" spans="1:18" x14ac:dyDescent="0.25">
      <c r="A27" s="717">
        <v>40118</v>
      </c>
      <c r="B27" s="718">
        <v>0.625</v>
      </c>
      <c r="C27" s="714" t="s">
        <v>9</v>
      </c>
      <c r="D27" s="719">
        <v>14</v>
      </c>
      <c r="E27" s="720" t="s">
        <v>247</v>
      </c>
      <c r="F27" s="721">
        <v>19</v>
      </c>
      <c r="G27" s="714" t="s">
        <v>23</v>
      </c>
      <c r="H27" s="714" t="s">
        <v>333</v>
      </c>
      <c r="I27" s="714"/>
      <c r="K27" s="615">
        <v>41183</v>
      </c>
      <c r="L27" s="616">
        <v>0.625</v>
      </c>
      <c r="M27" s="210" t="s">
        <v>11</v>
      </c>
      <c r="N27" s="617">
        <v>22</v>
      </c>
      <c r="O27" s="618" t="s">
        <v>385</v>
      </c>
      <c r="P27" s="210" t="s">
        <v>27</v>
      </c>
      <c r="Q27" s="210" t="s">
        <v>373</v>
      </c>
      <c r="R27" s="210"/>
    </row>
    <row r="28" spans="1:18" x14ac:dyDescent="0.25">
      <c r="A28" s="717">
        <v>40483</v>
      </c>
      <c r="B28" s="718">
        <v>0.60416666666666663</v>
      </c>
      <c r="C28" s="714" t="s">
        <v>11</v>
      </c>
      <c r="D28" s="719">
        <v>36</v>
      </c>
      <c r="E28" s="720" t="s">
        <v>247</v>
      </c>
      <c r="F28" s="721">
        <v>11</v>
      </c>
      <c r="G28" s="714" t="s">
        <v>26</v>
      </c>
      <c r="H28" s="714" t="s">
        <v>373</v>
      </c>
      <c r="I28" s="714"/>
      <c r="K28" s="615">
        <v>41183</v>
      </c>
      <c r="L28" s="616">
        <v>0.625</v>
      </c>
      <c r="M28" s="210" t="s">
        <v>19</v>
      </c>
      <c r="N28" s="617">
        <v>28</v>
      </c>
      <c r="O28" s="618" t="s">
        <v>372</v>
      </c>
      <c r="P28" s="210" t="s">
        <v>9</v>
      </c>
      <c r="Q28" s="210" t="s">
        <v>254</v>
      </c>
      <c r="R28" s="210"/>
    </row>
    <row r="29" spans="1:18" x14ac:dyDescent="0.25">
      <c r="A29" s="717">
        <v>40483</v>
      </c>
      <c r="B29" s="718">
        <v>0.625</v>
      </c>
      <c r="C29" s="714" t="s">
        <v>28</v>
      </c>
      <c r="D29" s="719">
        <v>17</v>
      </c>
      <c r="E29" s="720" t="s">
        <v>247</v>
      </c>
      <c r="F29" s="721">
        <v>20</v>
      </c>
      <c r="G29" s="714" t="s">
        <v>165</v>
      </c>
      <c r="H29" s="714" t="s">
        <v>250</v>
      </c>
      <c r="I29" s="714" t="s">
        <v>146</v>
      </c>
      <c r="K29" s="615">
        <v>41183</v>
      </c>
      <c r="L29" s="616">
        <v>0.625</v>
      </c>
      <c r="M29" s="210" t="s">
        <v>106</v>
      </c>
      <c r="N29" s="617">
        <v>39</v>
      </c>
      <c r="O29" s="618" t="s">
        <v>413</v>
      </c>
      <c r="P29" s="210" t="s">
        <v>23</v>
      </c>
      <c r="Q29" s="210" t="s">
        <v>253</v>
      </c>
      <c r="R29" s="210"/>
    </row>
    <row r="30" spans="1:18" x14ac:dyDescent="0.25">
      <c r="A30" s="715" t="s">
        <v>113</v>
      </c>
      <c r="B30" s="716"/>
      <c r="C30" s="507"/>
      <c r="D30" s="722"/>
      <c r="E30" s="719"/>
      <c r="F30" s="723"/>
      <c r="G30" s="507"/>
      <c r="H30" s="507"/>
      <c r="I30" s="507"/>
      <c r="K30" s="613" t="s">
        <v>332</v>
      </c>
      <c r="L30" s="614"/>
      <c r="M30" s="184"/>
      <c r="N30" s="225"/>
      <c r="O30" s="617"/>
      <c r="P30" s="184"/>
      <c r="Q30" s="184"/>
      <c r="R30" s="184"/>
    </row>
    <row r="31" spans="1:18" x14ac:dyDescent="0.25">
      <c r="A31" s="717">
        <v>47423</v>
      </c>
      <c r="B31" s="718">
        <v>0.82291666666666663</v>
      </c>
      <c r="C31" s="714" t="s">
        <v>22</v>
      </c>
      <c r="D31" s="719">
        <v>12</v>
      </c>
      <c r="E31" s="720" t="s">
        <v>247</v>
      </c>
      <c r="F31" s="721">
        <v>25</v>
      </c>
      <c r="G31" s="714" t="s">
        <v>19</v>
      </c>
      <c r="H31" s="714" t="s">
        <v>371</v>
      </c>
      <c r="I31" s="714" t="s">
        <v>146</v>
      </c>
      <c r="K31" s="615">
        <v>37288</v>
      </c>
      <c r="L31" s="616"/>
      <c r="M31" s="210" t="s">
        <v>28</v>
      </c>
      <c r="N31" s="617">
        <v>22</v>
      </c>
      <c r="O31" s="618" t="s">
        <v>337</v>
      </c>
      <c r="P31" s="210" t="s">
        <v>9</v>
      </c>
      <c r="Q31" s="210" t="s">
        <v>250</v>
      </c>
      <c r="R31" s="210" t="s">
        <v>146</v>
      </c>
    </row>
    <row r="32" spans="1:18" x14ac:dyDescent="0.25">
      <c r="A32" s="717">
        <v>11263</v>
      </c>
      <c r="B32" s="718">
        <v>0.625</v>
      </c>
      <c r="C32" s="714" t="s">
        <v>28</v>
      </c>
      <c r="D32" s="719">
        <v>38</v>
      </c>
      <c r="E32" s="720" t="s">
        <v>247</v>
      </c>
      <c r="F32" s="721">
        <v>3</v>
      </c>
      <c r="G32" s="714" t="s">
        <v>106</v>
      </c>
      <c r="H32" s="714" t="s">
        <v>250</v>
      </c>
      <c r="I32" s="714"/>
      <c r="K32" s="615">
        <v>39114</v>
      </c>
      <c r="L32" s="616"/>
      <c r="M32" s="210" t="s">
        <v>27</v>
      </c>
      <c r="N32" s="617">
        <v>28</v>
      </c>
      <c r="O32" s="618" t="s">
        <v>364</v>
      </c>
      <c r="P32" s="210" t="s">
        <v>19</v>
      </c>
      <c r="Q32" s="210" t="s">
        <v>341</v>
      </c>
      <c r="R32" s="210" t="s">
        <v>146</v>
      </c>
    </row>
    <row r="33" spans="1:18" x14ac:dyDescent="0.25">
      <c r="A33" s="717">
        <v>11263</v>
      </c>
      <c r="B33" s="718">
        <v>0.625</v>
      </c>
      <c r="C33" s="714" t="s">
        <v>25</v>
      </c>
      <c r="D33" s="719">
        <v>36</v>
      </c>
      <c r="E33" s="720" t="s">
        <v>247</v>
      </c>
      <c r="F33" s="721">
        <v>13</v>
      </c>
      <c r="G33" s="714" t="s">
        <v>26</v>
      </c>
      <c r="H33" s="714" t="s">
        <v>377</v>
      </c>
      <c r="I33" s="714" t="s">
        <v>146</v>
      </c>
      <c r="K33" s="613" t="s">
        <v>114</v>
      </c>
      <c r="L33" s="614"/>
      <c r="M33" s="184"/>
      <c r="N33" s="225"/>
      <c r="O33" s="617"/>
      <c r="P33" s="184"/>
      <c r="Q33" s="184"/>
      <c r="R33" s="184"/>
    </row>
    <row r="34" spans="1:18" x14ac:dyDescent="0.25">
      <c r="A34" s="717">
        <v>11263</v>
      </c>
      <c r="B34" s="718">
        <v>0.625</v>
      </c>
      <c r="C34" s="714" t="s">
        <v>23</v>
      </c>
      <c r="D34" s="719">
        <v>20</v>
      </c>
      <c r="E34" s="720" t="s">
        <v>247</v>
      </c>
      <c r="F34" s="721">
        <v>13</v>
      </c>
      <c r="G34" s="714" t="s">
        <v>27</v>
      </c>
      <c r="H34" s="714" t="s">
        <v>249</v>
      </c>
      <c r="I34" s="714"/>
      <c r="K34" s="615">
        <v>44440</v>
      </c>
      <c r="L34" s="616"/>
      <c r="M34" s="210" t="s">
        <v>27</v>
      </c>
      <c r="N34" s="617">
        <v>27</v>
      </c>
      <c r="O34" s="618" t="s">
        <v>412</v>
      </c>
      <c r="P34" s="210" t="s">
        <v>9</v>
      </c>
      <c r="Q34" s="210" t="s">
        <v>341</v>
      </c>
      <c r="R34" s="210" t="s">
        <v>146</v>
      </c>
    </row>
    <row r="35" spans="1:18" x14ac:dyDescent="0.25">
      <c r="A35" s="717">
        <v>37226</v>
      </c>
      <c r="B35" s="718">
        <v>0.625</v>
      </c>
      <c r="C35" s="714" t="s">
        <v>165</v>
      </c>
      <c r="D35" s="719">
        <v>27</v>
      </c>
      <c r="E35" s="720" t="s">
        <v>247</v>
      </c>
      <c r="F35" s="721">
        <v>27</v>
      </c>
      <c r="G35" s="714" t="s">
        <v>11</v>
      </c>
      <c r="H35" s="714" t="s">
        <v>248</v>
      </c>
      <c r="I35" s="714"/>
    </row>
    <row r="36" spans="1:18" x14ac:dyDescent="0.25">
      <c r="A36" s="717">
        <v>37226</v>
      </c>
      <c r="B36" s="718">
        <v>0.625</v>
      </c>
      <c r="C36" s="714" t="s">
        <v>9</v>
      </c>
      <c r="D36" s="719">
        <v>23</v>
      </c>
      <c r="E36" s="720" t="s">
        <v>247</v>
      </c>
      <c r="F36" s="721">
        <v>19</v>
      </c>
      <c r="G36" s="714" t="s">
        <v>24</v>
      </c>
      <c r="H36" s="714" t="s">
        <v>333</v>
      </c>
      <c r="I36" s="714" t="s">
        <v>146</v>
      </c>
    </row>
    <row r="37" spans="1:18" x14ac:dyDescent="0.25">
      <c r="A37" s="715" t="s">
        <v>148</v>
      </c>
      <c r="B37" s="716"/>
      <c r="C37" s="507"/>
      <c r="D37" s="722"/>
      <c r="E37" s="719"/>
      <c r="F37" s="723"/>
      <c r="G37" s="507"/>
      <c r="H37" s="507"/>
      <c r="I37" s="507"/>
    </row>
    <row r="38" spans="1:18" x14ac:dyDescent="0.25">
      <c r="A38" s="717">
        <v>44166</v>
      </c>
      <c r="B38" s="718">
        <v>0.82291666666666663</v>
      </c>
      <c r="C38" s="714" t="s">
        <v>24</v>
      </c>
      <c r="D38" s="719">
        <v>36</v>
      </c>
      <c r="E38" s="720" t="s">
        <v>247</v>
      </c>
      <c r="F38" s="721">
        <v>3</v>
      </c>
      <c r="G38" s="714" t="s">
        <v>23</v>
      </c>
      <c r="H38" s="714" t="s">
        <v>340</v>
      </c>
      <c r="I38" s="714" t="s">
        <v>146</v>
      </c>
    </row>
    <row r="39" spans="1:18" x14ac:dyDescent="0.25">
      <c r="A39" s="717">
        <v>44531</v>
      </c>
      <c r="B39" s="718">
        <v>0.625</v>
      </c>
      <c r="C39" s="714" t="s">
        <v>26</v>
      </c>
      <c r="D39" s="719">
        <v>22</v>
      </c>
      <c r="E39" s="720" t="s">
        <v>247</v>
      </c>
      <c r="F39" s="721">
        <v>31</v>
      </c>
      <c r="G39" s="714" t="s">
        <v>28</v>
      </c>
      <c r="H39" s="714" t="s">
        <v>365</v>
      </c>
      <c r="I39" s="714" t="s">
        <v>146</v>
      </c>
    </row>
    <row r="40" spans="1:18" x14ac:dyDescent="0.25">
      <c r="A40" s="717">
        <v>44531</v>
      </c>
      <c r="B40" s="718">
        <v>0.625</v>
      </c>
      <c r="C40" s="714" t="s">
        <v>27</v>
      </c>
      <c r="D40" s="719">
        <v>22</v>
      </c>
      <c r="E40" s="720" t="s">
        <v>247</v>
      </c>
      <c r="F40" s="721">
        <v>10</v>
      </c>
      <c r="G40" s="714" t="s">
        <v>25</v>
      </c>
      <c r="H40" s="714" t="s">
        <v>341</v>
      </c>
      <c r="I40" s="714"/>
    </row>
    <row r="41" spans="1:18" x14ac:dyDescent="0.25">
      <c r="A41" s="717">
        <v>44531</v>
      </c>
      <c r="B41" s="718">
        <v>0.625</v>
      </c>
      <c r="C41" s="714" t="s">
        <v>19</v>
      </c>
      <c r="D41" s="719">
        <v>47</v>
      </c>
      <c r="E41" s="720" t="s">
        <v>247</v>
      </c>
      <c r="F41" s="721">
        <v>13</v>
      </c>
      <c r="G41" s="714" t="s">
        <v>165</v>
      </c>
      <c r="H41" s="714" t="s">
        <v>254</v>
      </c>
      <c r="I41" s="714"/>
    </row>
    <row r="42" spans="1:18" x14ac:dyDescent="0.25">
      <c r="A42" s="717">
        <v>44531</v>
      </c>
      <c r="B42" s="718">
        <v>0.625</v>
      </c>
      <c r="C42" s="714" t="s">
        <v>106</v>
      </c>
      <c r="D42" s="719">
        <v>22</v>
      </c>
      <c r="E42" s="720" t="s">
        <v>247</v>
      </c>
      <c r="F42" s="721">
        <v>28</v>
      </c>
      <c r="G42" s="714" t="s">
        <v>9</v>
      </c>
      <c r="H42" s="714" t="s">
        <v>253</v>
      </c>
      <c r="I42" s="714"/>
    </row>
    <row r="43" spans="1:18" x14ac:dyDescent="0.25">
      <c r="A43" s="717">
        <v>44896</v>
      </c>
      <c r="B43" s="718">
        <v>0.625</v>
      </c>
      <c r="C43" s="714" t="s">
        <v>11</v>
      </c>
      <c r="D43" s="719">
        <v>10</v>
      </c>
      <c r="E43" s="720" t="s">
        <v>247</v>
      </c>
      <c r="F43" s="721">
        <v>38</v>
      </c>
      <c r="G43" s="714" t="s">
        <v>22</v>
      </c>
      <c r="H43" s="714" t="s">
        <v>373</v>
      </c>
      <c r="I43" s="714" t="s">
        <v>146</v>
      </c>
    </row>
    <row r="44" spans="1:18" x14ac:dyDescent="0.25">
      <c r="A44" s="715" t="s">
        <v>149</v>
      </c>
      <c r="B44" s="716"/>
      <c r="C44" s="507"/>
      <c r="D44" s="722"/>
      <c r="E44" s="719"/>
      <c r="F44" s="723"/>
      <c r="G44" s="507"/>
      <c r="H44" s="507"/>
      <c r="I44" s="507"/>
    </row>
    <row r="45" spans="1:18" x14ac:dyDescent="0.25">
      <c r="A45" s="717">
        <v>46722</v>
      </c>
      <c r="B45" s="718">
        <v>0.82291666666666663</v>
      </c>
      <c r="C45" s="714" t="s">
        <v>165</v>
      </c>
      <c r="D45" s="719">
        <v>21</v>
      </c>
      <c r="E45" s="720" t="s">
        <v>247</v>
      </c>
      <c r="F45" s="721">
        <v>26</v>
      </c>
      <c r="G45" s="714" t="s">
        <v>106</v>
      </c>
      <c r="H45" s="714" t="s">
        <v>248</v>
      </c>
      <c r="I45" s="714" t="s">
        <v>146</v>
      </c>
    </row>
    <row r="46" spans="1:18" x14ac:dyDescent="0.25">
      <c r="A46" s="717">
        <v>47088</v>
      </c>
      <c r="B46" s="718">
        <v>0.58333333333333337</v>
      </c>
      <c r="C46" s="714" t="s">
        <v>25</v>
      </c>
      <c r="D46" s="719">
        <v>33</v>
      </c>
      <c r="E46" s="720" t="s">
        <v>247</v>
      </c>
      <c r="F46" s="721">
        <v>26</v>
      </c>
      <c r="G46" s="714" t="s">
        <v>24</v>
      </c>
      <c r="H46" s="714" t="s">
        <v>253</v>
      </c>
      <c r="I46" s="714" t="s">
        <v>146</v>
      </c>
    </row>
    <row r="47" spans="1:18" x14ac:dyDescent="0.25">
      <c r="A47" s="717">
        <v>47088</v>
      </c>
      <c r="B47" s="718">
        <v>0.625</v>
      </c>
      <c r="C47" s="714" t="s">
        <v>22</v>
      </c>
      <c r="D47" s="719">
        <v>16</v>
      </c>
      <c r="E47" s="720" t="s">
        <v>247</v>
      </c>
      <c r="F47" s="721">
        <v>14</v>
      </c>
      <c r="G47" s="714" t="s">
        <v>27</v>
      </c>
      <c r="H47" s="714" t="s">
        <v>371</v>
      </c>
      <c r="I47" s="714"/>
    </row>
    <row r="48" spans="1:18" x14ac:dyDescent="0.25">
      <c r="A48" s="717">
        <v>47088</v>
      </c>
      <c r="B48" s="718">
        <v>0.625</v>
      </c>
      <c r="C48" s="714" t="s">
        <v>23</v>
      </c>
      <c r="D48" s="719">
        <v>20</v>
      </c>
      <c r="E48" s="720" t="s">
        <v>247</v>
      </c>
      <c r="F48" s="721">
        <v>6</v>
      </c>
      <c r="G48" s="714" t="s">
        <v>11</v>
      </c>
      <c r="H48" s="714" t="s">
        <v>249</v>
      </c>
      <c r="I48" s="714"/>
    </row>
    <row r="49" spans="1:9" x14ac:dyDescent="0.25">
      <c r="A49" s="717">
        <v>47088</v>
      </c>
      <c r="B49" s="718">
        <v>0.60416666666666663</v>
      </c>
      <c r="C49" s="714" t="s">
        <v>9</v>
      </c>
      <c r="D49" s="719">
        <v>30</v>
      </c>
      <c r="E49" s="720" t="s">
        <v>247</v>
      </c>
      <c r="F49" s="721">
        <v>30</v>
      </c>
      <c r="G49" s="714" t="s">
        <v>26</v>
      </c>
      <c r="H49" s="507" t="s">
        <v>719</v>
      </c>
      <c r="I49" s="714" t="s">
        <v>146</v>
      </c>
    </row>
    <row r="50" spans="1:9" x14ac:dyDescent="0.25">
      <c r="A50" s="717">
        <v>47453</v>
      </c>
      <c r="B50" s="718">
        <v>0.625</v>
      </c>
      <c r="C50" s="714" t="s">
        <v>28</v>
      </c>
      <c r="D50" s="719">
        <v>14</v>
      </c>
      <c r="E50" s="720" t="s">
        <v>247</v>
      </c>
      <c r="F50" s="721">
        <v>7</v>
      </c>
      <c r="G50" s="714" t="s">
        <v>19</v>
      </c>
      <c r="H50" s="714" t="s">
        <v>250</v>
      </c>
      <c r="I50" s="714" t="s">
        <v>146</v>
      </c>
    </row>
    <row r="51" spans="1:9" x14ac:dyDescent="0.25">
      <c r="A51" s="715" t="s">
        <v>150</v>
      </c>
      <c r="B51" s="716"/>
      <c r="C51" s="507"/>
      <c r="D51" s="722"/>
      <c r="E51" s="719"/>
      <c r="F51" s="723"/>
      <c r="G51" s="507"/>
      <c r="H51" s="507"/>
      <c r="I51" s="507"/>
    </row>
    <row r="52" spans="1:9" x14ac:dyDescent="0.25">
      <c r="A52" s="717">
        <v>37622</v>
      </c>
      <c r="B52" s="718">
        <v>0.82291666666666663</v>
      </c>
      <c r="C52" s="714" t="s">
        <v>27</v>
      </c>
      <c r="D52" s="719">
        <v>48</v>
      </c>
      <c r="E52" s="720" t="s">
        <v>247</v>
      </c>
      <c r="F52" s="721">
        <v>10</v>
      </c>
      <c r="G52" s="714" t="s">
        <v>9</v>
      </c>
      <c r="H52" s="714" t="s">
        <v>341</v>
      </c>
      <c r="I52" s="714" t="s">
        <v>146</v>
      </c>
    </row>
    <row r="53" spans="1:9" x14ac:dyDescent="0.25">
      <c r="A53" s="717">
        <v>37987</v>
      </c>
      <c r="B53" s="718">
        <v>0.54166666666666663</v>
      </c>
      <c r="C53" s="714" t="s">
        <v>26</v>
      </c>
      <c r="D53" s="719">
        <v>31</v>
      </c>
      <c r="E53" s="720" t="s">
        <v>247</v>
      </c>
      <c r="F53" s="721">
        <v>18</v>
      </c>
      <c r="G53" s="714" t="s">
        <v>165</v>
      </c>
      <c r="H53" s="714" t="s">
        <v>365</v>
      </c>
      <c r="I53" s="714"/>
    </row>
    <row r="54" spans="1:9" x14ac:dyDescent="0.25">
      <c r="A54" s="717">
        <v>37987</v>
      </c>
      <c r="B54" s="718">
        <v>0.625</v>
      </c>
      <c r="C54" s="714" t="s">
        <v>24</v>
      </c>
      <c r="D54" s="719">
        <v>29</v>
      </c>
      <c r="E54" s="720" t="s">
        <v>247</v>
      </c>
      <c r="F54" s="721">
        <v>15</v>
      </c>
      <c r="G54" s="714" t="s">
        <v>22</v>
      </c>
      <c r="H54" s="714" t="s">
        <v>340</v>
      </c>
      <c r="I54" s="714" t="s">
        <v>146</v>
      </c>
    </row>
    <row r="55" spans="1:9" x14ac:dyDescent="0.25">
      <c r="A55" s="717">
        <v>37987</v>
      </c>
      <c r="B55" s="718">
        <v>0.625</v>
      </c>
      <c r="C55" s="714" t="s">
        <v>19</v>
      </c>
      <c r="D55" s="719">
        <v>62</v>
      </c>
      <c r="E55" s="720" t="s">
        <v>247</v>
      </c>
      <c r="F55" s="721">
        <v>5</v>
      </c>
      <c r="G55" s="714" t="s">
        <v>23</v>
      </c>
      <c r="H55" s="714" t="s">
        <v>254</v>
      </c>
      <c r="I55" s="714"/>
    </row>
    <row r="56" spans="1:9" x14ac:dyDescent="0.25">
      <c r="A56" s="717">
        <v>38353</v>
      </c>
      <c r="B56" s="718">
        <v>0.60416666666666663</v>
      </c>
      <c r="C56" s="714" t="s">
        <v>11</v>
      </c>
      <c r="D56" s="719">
        <v>28</v>
      </c>
      <c r="E56" s="720" t="s">
        <v>247</v>
      </c>
      <c r="F56" s="721">
        <v>45</v>
      </c>
      <c r="G56" s="714" t="s">
        <v>28</v>
      </c>
      <c r="H56" s="714" t="s">
        <v>373</v>
      </c>
      <c r="I56" s="714"/>
    </row>
    <row r="57" spans="1:9" x14ac:dyDescent="0.25">
      <c r="A57" s="717">
        <v>38353</v>
      </c>
      <c r="B57" s="718" t="s">
        <v>737</v>
      </c>
      <c r="C57" s="714" t="s">
        <v>106</v>
      </c>
      <c r="D57" s="719">
        <v>31</v>
      </c>
      <c r="E57" s="720" t="s">
        <v>247</v>
      </c>
      <c r="F57" s="721">
        <v>35</v>
      </c>
      <c r="G57" s="714" t="s">
        <v>25</v>
      </c>
      <c r="H57" s="714" t="s">
        <v>253</v>
      </c>
      <c r="I57" s="714" t="s">
        <v>146</v>
      </c>
    </row>
    <row r="58" spans="1:9" x14ac:dyDescent="0.25">
      <c r="A58" s="715" t="s">
        <v>151</v>
      </c>
      <c r="B58" s="716"/>
      <c r="C58" s="507"/>
      <c r="D58" s="722"/>
      <c r="E58" s="719"/>
      <c r="F58" s="723"/>
      <c r="G58" s="507"/>
      <c r="H58" s="507"/>
      <c r="I58" s="507"/>
    </row>
    <row r="59" spans="1:9" x14ac:dyDescent="0.25">
      <c r="A59" s="717">
        <v>45292</v>
      </c>
      <c r="B59" s="718">
        <v>0.82291666666666663</v>
      </c>
      <c r="C59" s="714" t="s">
        <v>25</v>
      </c>
      <c r="D59" s="719">
        <v>16</v>
      </c>
      <c r="E59" s="720" t="s">
        <v>247</v>
      </c>
      <c r="F59" s="721">
        <v>20</v>
      </c>
      <c r="G59" s="714" t="s">
        <v>11</v>
      </c>
      <c r="H59" s="714" t="s">
        <v>377</v>
      </c>
      <c r="I59" s="714" t="s">
        <v>146</v>
      </c>
    </row>
    <row r="60" spans="1:9" x14ac:dyDescent="0.25">
      <c r="A60" s="717">
        <v>45658</v>
      </c>
      <c r="B60" s="718">
        <v>0.625</v>
      </c>
      <c r="C60" s="714" t="s">
        <v>22</v>
      </c>
      <c r="D60" s="719">
        <v>13</v>
      </c>
      <c r="E60" s="720" t="s">
        <v>247</v>
      </c>
      <c r="F60" s="721">
        <v>10</v>
      </c>
      <c r="G60" s="714" t="s">
        <v>26</v>
      </c>
      <c r="H60" s="714" t="s">
        <v>371</v>
      </c>
      <c r="I60" s="714"/>
    </row>
    <row r="61" spans="1:9" x14ac:dyDescent="0.25">
      <c r="A61" s="717">
        <v>45658</v>
      </c>
      <c r="B61" s="718">
        <v>0.625</v>
      </c>
      <c r="C61" s="714" t="s">
        <v>165</v>
      </c>
      <c r="D61" s="719">
        <v>34</v>
      </c>
      <c r="E61" s="720" t="s">
        <v>247</v>
      </c>
      <c r="F61" s="721">
        <v>16</v>
      </c>
      <c r="G61" s="714" t="s">
        <v>24</v>
      </c>
      <c r="H61" s="714" t="s">
        <v>248</v>
      </c>
      <c r="I61" s="714" t="s">
        <v>146</v>
      </c>
    </row>
    <row r="62" spans="1:9" x14ac:dyDescent="0.25">
      <c r="A62" s="717">
        <v>45658</v>
      </c>
      <c r="B62" s="718">
        <v>0.625</v>
      </c>
      <c r="C62" s="714" t="s">
        <v>28</v>
      </c>
      <c r="D62" s="719">
        <v>19</v>
      </c>
      <c r="E62" s="720" t="s">
        <v>247</v>
      </c>
      <c r="F62" s="721">
        <v>22</v>
      </c>
      <c r="G62" s="714" t="s">
        <v>27</v>
      </c>
      <c r="H62" s="714" t="s">
        <v>250</v>
      </c>
      <c r="I62" s="714"/>
    </row>
    <row r="63" spans="1:9" x14ac:dyDescent="0.25">
      <c r="A63" s="717">
        <v>45658</v>
      </c>
      <c r="B63" s="718">
        <v>0.625</v>
      </c>
      <c r="C63" s="714" t="s">
        <v>23</v>
      </c>
      <c r="D63" s="719">
        <v>26</v>
      </c>
      <c r="E63" s="720" t="s">
        <v>247</v>
      </c>
      <c r="F63" s="721">
        <v>30</v>
      </c>
      <c r="G63" s="714" t="s">
        <v>106</v>
      </c>
      <c r="H63" s="714" t="s">
        <v>249</v>
      </c>
      <c r="I63" s="714"/>
    </row>
    <row r="64" spans="1:9" x14ac:dyDescent="0.25">
      <c r="A64" s="717">
        <v>46023</v>
      </c>
      <c r="B64" s="718">
        <v>0.625</v>
      </c>
      <c r="C64" s="714" t="s">
        <v>9</v>
      </c>
      <c r="D64" s="719">
        <v>41</v>
      </c>
      <c r="E64" s="720" t="s">
        <v>247</v>
      </c>
      <c r="F64" s="721">
        <v>14</v>
      </c>
      <c r="G64" s="714" t="s">
        <v>19</v>
      </c>
      <c r="H64" s="714" t="s">
        <v>333</v>
      </c>
      <c r="I64" s="714" t="s">
        <v>146</v>
      </c>
    </row>
    <row r="65" spans="1:9" x14ac:dyDescent="0.25">
      <c r="A65" s="715" t="s">
        <v>152</v>
      </c>
      <c r="B65" s="716"/>
      <c r="C65" s="507"/>
      <c r="D65" s="722"/>
      <c r="E65" s="719"/>
      <c r="F65" s="723"/>
      <c r="G65" s="507"/>
      <c r="H65" s="507"/>
      <c r="I65" s="507"/>
    </row>
    <row r="66" spans="1:9" x14ac:dyDescent="0.25">
      <c r="A66" s="717">
        <v>41671</v>
      </c>
      <c r="B66" s="718">
        <v>0.82291666666666663</v>
      </c>
      <c r="C66" s="714" t="s">
        <v>24</v>
      </c>
      <c r="D66" s="719">
        <v>15</v>
      </c>
      <c r="E66" s="720" t="s">
        <v>247</v>
      </c>
      <c r="F66" s="721">
        <v>26</v>
      </c>
      <c r="G66" s="714" t="s">
        <v>28</v>
      </c>
      <c r="H66" s="714" t="s">
        <v>340</v>
      </c>
      <c r="I66" s="714" t="s">
        <v>146</v>
      </c>
    </row>
    <row r="67" spans="1:9" x14ac:dyDescent="0.25">
      <c r="A67" s="717">
        <v>42036</v>
      </c>
      <c r="B67" s="718">
        <v>0.625</v>
      </c>
      <c r="C67" s="714" t="s">
        <v>9</v>
      </c>
      <c r="D67" s="719">
        <v>15</v>
      </c>
      <c r="E67" s="720" t="s">
        <v>247</v>
      </c>
      <c r="F67" s="721">
        <v>29</v>
      </c>
      <c r="G67" s="714" t="s">
        <v>11</v>
      </c>
      <c r="H67" s="714" t="s">
        <v>333</v>
      </c>
      <c r="I67" s="714"/>
    </row>
    <row r="68" spans="1:9" x14ac:dyDescent="0.25">
      <c r="A68" s="717">
        <v>42036</v>
      </c>
      <c r="B68" s="718">
        <v>0.625</v>
      </c>
      <c r="C68" s="714" t="s">
        <v>26</v>
      </c>
      <c r="D68" s="719">
        <v>18</v>
      </c>
      <c r="E68" s="720" t="s">
        <v>247</v>
      </c>
      <c r="F68" s="721">
        <v>9</v>
      </c>
      <c r="G68" s="714" t="s">
        <v>106</v>
      </c>
      <c r="H68" s="714" t="s">
        <v>365</v>
      </c>
      <c r="I68" s="714" t="s">
        <v>146</v>
      </c>
    </row>
    <row r="69" spans="1:9" x14ac:dyDescent="0.25">
      <c r="A69" s="717">
        <v>42036</v>
      </c>
      <c r="B69" s="718">
        <v>0.625</v>
      </c>
      <c r="C69" s="714" t="s">
        <v>19</v>
      </c>
      <c r="D69" s="719">
        <v>36</v>
      </c>
      <c r="E69" s="720" t="s">
        <v>247</v>
      </c>
      <c r="F69" s="721">
        <v>22</v>
      </c>
      <c r="G69" s="714" t="s">
        <v>27</v>
      </c>
      <c r="H69" s="714" t="s">
        <v>254</v>
      </c>
      <c r="I69" s="714"/>
    </row>
    <row r="70" spans="1:9" x14ac:dyDescent="0.25">
      <c r="A70" s="717">
        <v>42036</v>
      </c>
      <c r="B70" s="718">
        <v>0.625</v>
      </c>
      <c r="C70" s="714" t="s">
        <v>23</v>
      </c>
      <c r="D70" s="719">
        <v>21</v>
      </c>
      <c r="E70" s="720" t="s">
        <v>247</v>
      </c>
      <c r="F70" s="721">
        <v>22</v>
      </c>
      <c r="G70" s="714" t="s">
        <v>22</v>
      </c>
      <c r="H70" s="714" t="s">
        <v>249</v>
      </c>
      <c r="I70" s="714"/>
    </row>
    <row r="71" spans="1:9" x14ac:dyDescent="0.25">
      <c r="A71" s="717">
        <v>42401</v>
      </c>
      <c r="B71" s="718">
        <v>0.625</v>
      </c>
      <c r="C71" s="714" t="s">
        <v>25</v>
      </c>
      <c r="D71" s="719">
        <v>14</v>
      </c>
      <c r="E71" s="720" t="s">
        <v>247</v>
      </c>
      <c r="F71" s="721">
        <v>20</v>
      </c>
      <c r="G71" s="714" t="s">
        <v>165</v>
      </c>
      <c r="H71" s="714" t="s">
        <v>377</v>
      </c>
      <c r="I71" s="714" t="s">
        <v>146</v>
      </c>
    </row>
    <row r="72" spans="1:9" x14ac:dyDescent="0.25">
      <c r="A72" s="715" t="s">
        <v>153</v>
      </c>
      <c r="B72" s="716"/>
      <c r="C72" s="507"/>
      <c r="D72" s="722"/>
      <c r="E72" s="719"/>
      <c r="F72" s="723"/>
      <c r="G72" s="507"/>
      <c r="H72" s="507"/>
      <c r="I72" s="507"/>
    </row>
    <row r="73" spans="1:9" x14ac:dyDescent="0.25">
      <c r="A73" s="717">
        <v>44228</v>
      </c>
      <c r="B73" s="718">
        <v>0.82291666666666663</v>
      </c>
      <c r="C73" s="714" t="s">
        <v>27</v>
      </c>
      <c r="D73" s="719">
        <v>36</v>
      </c>
      <c r="E73" s="720" t="s">
        <v>247</v>
      </c>
      <c r="F73" s="721">
        <v>3</v>
      </c>
      <c r="G73" s="714" t="s">
        <v>26</v>
      </c>
      <c r="H73" s="714" t="s">
        <v>341</v>
      </c>
      <c r="I73" s="714" t="s">
        <v>146</v>
      </c>
    </row>
    <row r="74" spans="1:9" x14ac:dyDescent="0.25">
      <c r="A74" s="717">
        <v>44228</v>
      </c>
      <c r="B74" s="718">
        <v>0.82291666666666663</v>
      </c>
      <c r="C74" s="714" t="s">
        <v>106</v>
      </c>
      <c r="D74" s="719">
        <v>60</v>
      </c>
      <c r="E74" s="720" t="s">
        <v>247</v>
      </c>
      <c r="F74" s="721">
        <v>10</v>
      </c>
      <c r="G74" s="714" t="s">
        <v>19</v>
      </c>
      <c r="H74" s="714" t="s">
        <v>253</v>
      </c>
      <c r="I74" s="714"/>
    </row>
    <row r="75" spans="1:9" x14ac:dyDescent="0.25">
      <c r="A75" s="717">
        <v>44593</v>
      </c>
      <c r="B75" s="718">
        <v>0.625</v>
      </c>
      <c r="C75" s="714" t="s">
        <v>22</v>
      </c>
      <c r="D75" s="719">
        <v>19</v>
      </c>
      <c r="E75" s="720" t="s">
        <v>247</v>
      </c>
      <c r="F75" s="721">
        <v>12</v>
      </c>
      <c r="G75" s="714" t="s">
        <v>9</v>
      </c>
      <c r="H75" s="714" t="s">
        <v>371</v>
      </c>
      <c r="I75" s="714"/>
    </row>
    <row r="76" spans="1:9" x14ac:dyDescent="0.25">
      <c r="A76" s="717">
        <v>44593</v>
      </c>
      <c r="B76" s="718">
        <v>0.625</v>
      </c>
      <c r="C76" s="714" t="s">
        <v>11</v>
      </c>
      <c r="D76" s="719">
        <v>24</v>
      </c>
      <c r="E76" s="720" t="s">
        <v>247</v>
      </c>
      <c r="F76" s="721">
        <v>20</v>
      </c>
      <c r="G76" s="714" t="s">
        <v>24</v>
      </c>
      <c r="H76" s="714" t="s">
        <v>373</v>
      </c>
      <c r="I76" s="714"/>
    </row>
    <row r="77" spans="1:9" x14ac:dyDescent="0.25">
      <c r="A77" s="717">
        <v>44958</v>
      </c>
      <c r="B77" s="718">
        <v>0.54166666666666663</v>
      </c>
      <c r="C77" s="714" t="s">
        <v>165</v>
      </c>
      <c r="D77" s="719">
        <v>13</v>
      </c>
      <c r="E77" s="720" t="s">
        <v>247</v>
      </c>
      <c r="F77" s="721">
        <v>10</v>
      </c>
      <c r="G77" s="714" t="s">
        <v>23</v>
      </c>
      <c r="H77" s="714" t="s">
        <v>248</v>
      </c>
      <c r="I77" s="714"/>
    </row>
    <row r="78" spans="1:9" x14ac:dyDescent="0.25">
      <c r="A78" s="717">
        <v>44958</v>
      </c>
      <c r="B78" s="718">
        <v>0.54166666666666663</v>
      </c>
      <c r="C78" s="714" t="s">
        <v>28</v>
      </c>
      <c r="D78" s="719">
        <v>57</v>
      </c>
      <c r="E78" s="720" t="s">
        <v>247</v>
      </c>
      <c r="F78" s="721">
        <v>7</v>
      </c>
      <c r="G78" s="714" t="s">
        <v>25</v>
      </c>
      <c r="H78" s="714" t="s">
        <v>250</v>
      </c>
      <c r="I78" s="714" t="s">
        <v>146</v>
      </c>
    </row>
    <row r="79" spans="1:9" x14ac:dyDescent="0.25">
      <c r="A79" s="715" t="s">
        <v>154</v>
      </c>
      <c r="B79" s="716"/>
      <c r="C79" s="507"/>
      <c r="D79" s="722"/>
      <c r="E79" s="719"/>
      <c r="F79" s="723"/>
      <c r="G79" s="507"/>
      <c r="H79" s="507"/>
      <c r="I79" s="507"/>
    </row>
    <row r="80" spans="1:9" x14ac:dyDescent="0.25">
      <c r="A80" s="717">
        <v>46784</v>
      </c>
      <c r="B80" s="718">
        <v>0.82291666666666663</v>
      </c>
      <c r="C80" s="714" t="s">
        <v>24</v>
      </c>
      <c r="D80" s="719">
        <v>17</v>
      </c>
      <c r="E80" s="720" t="s">
        <v>247</v>
      </c>
      <c r="F80" s="721">
        <v>23</v>
      </c>
      <c r="G80" s="714" t="s">
        <v>27</v>
      </c>
      <c r="H80" s="714" t="s">
        <v>340</v>
      </c>
      <c r="I80" s="714" t="s">
        <v>146</v>
      </c>
    </row>
    <row r="81" spans="1:11" x14ac:dyDescent="0.25">
      <c r="A81" s="717">
        <v>47150</v>
      </c>
      <c r="B81" s="718">
        <v>0.625</v>
      </c>
      <c r="C81" s="714" t="s">
        <v>9</v>
      </c>
      <c r="D81" s="719">
        <v>34</v>
      </c>
      <c r="E81" s="720" t="s">
        <v>247</v>
      </c>
      <c r="F81" s="721">
        <v>30</v>
      </c>
      <c r="G81" s="714" t="s">
        <v>28</v>
      </c>
      <c r="H81" s="714" t="s">
        <v>333</v>
      </c>
      <c r="I81" s="714" t="s">
        <v>146</v>
      </c>
    </row>
    <row r="82" spans="1:11" x14ac:dyDescent="0.25">
      <c r="A82" s="717">
        <v>47150</v>
      </c>
      <c r="B82" s="718">
        <v>0.625</v>
      </c>
      <c r="C82" s="714" t="s">
        <v>26</v>
      </c>
      <c r="D82" s="719">
        <v>14</v>
      </c>
      <c r="E82" s="720" t="s">
        <v>247</v>
      </c>
      <c r="F82" s="721">
        <v>8</v>
      </c>
      <c r="G82" s="714" t="s">
        <v>23</v>
      </c>
      <c r="H82" s="714" t="s">
        <v>365</v>
      </c>
      <c r="I82" s="714"/>
    </row>
    <row r="83" spans="1:11" x14ac:dyDescent="0.25">
      <c r="A83" s="717">
        <v>47150</v>
      </c>
      <c r="B83" s="718">
        <v>0.625</v>
      </c>
      <c r="C83" s="714" t="s">
        <v>25</v>
      </c>
      <c r="D83" s="719">
        <v>21</v>
      </c>
      <c r="E83" s="720" t="s">
        <v>247</v>
      </c>
      <c r="F83" s="721">
        <v>27</v>
      </c>
      <c r="G83" s="714" t="s">
        <v>19</v>
      </c>
      <c r="H83" s="714" t="s">
        <v>377</v>
      </c>
      <c r="I83" s="714"/>
    </row>
    <row r="84" spans="1:11" x14ac:dyDescent="0.25">
      <c r="A84" s="717">
        <v>36951</v>
      </c>
      <c r="B84" s="718">
        <v>0.60416666666666663</v>
      </c>
      <c r="C84" s="714" t="s">
        <v>11</v>
      </c>
      <c r="D84" s="719">
        <v>26</v>
      </c>
      <c r="E84" s="720" t="s">
        <v>247</v>
      </c>
      <c r="F84" s="721">
        <v>36</v>
      </c>
      <c r="G84" s="714" t="s">
        <v>106</v>
      </c>
      <c r="H84" s="714" t="s">
        <v>373</v>
      </c>
      <c r="I84" s="714"/>
    </row>
    <row r="85" spans="1:11" x14ac:dyDescent="0.25">
      <c r="A85" s="717">
        <v>36951</v>
      </c>
      <c r="B85" s="718">
        <v>0.625</v>
      </c>
      <c r="C85" s="714" t="s">
        <v>22</v>
      </c>
      <c r="D85" s="719">
        <v>13</v>
      </c>
      <c r="E85" s="720" t="s">
        <v>247</v>
      </c>
      <c r="F85" s="721">
        <v>19</v>
      </c>
      <c r="G85" s="714" t="s">
        <v>165</v>
      </c>
      <c r="H85" s="714" t="s">
        <v>371</v>
      </c>
      <c r="I85" s="714" t="s">
        <v>146</v>
      </c>
    </row>
    <row r="86" spans="1:11" x14ac:dyDescent="0.25">
      <c r="A86" s="715" t="s">
        <v>155</v>
      </c>
      <c r="B86" s="716"/>
      <c r="C86" s="507"/>
      <c r="D86" s="722"/>
      <c r="E86" s="719"/>
      <c r="F86" s="723"/>
      <c r="G86" s="507"/>
      <c r="H86" s="507"/>
      <c r="I86" s="507"/>
      <c r="K86" t="s">
        <v>87</v>
      </c>
    </row>
    <row r="87" spans="1:11" x14ac:dyDescent="0.25">
      <c r="A87" s="717">
        <v>38777</v>
      </c>
      <c r="B87" s="718">
        <v>0.82291666666666663</v>
      </c>
      <c r="C87" s="714" t="s">
        <v>23</v>
      </c>
      <c r="D87" s="719">
        <v>10</v>
      </c>
      <c r="E87" s="720" t="s">
        <v>247</v>
      </c>
      <c r="F87" s="721">
        <v>16</v>
      </c>
      <c r="G87" s="714" t="s">
        <v>25</v>
      </c>
      <c r="H87" s="714" t="s">
        <v>249</v>
      </c>
      <c r="I87" s="714" t="s">
        <v>146</v>
      </c>
    </row>
    <row r="88" spans="1:11" x14ac:dyDescent="0.25">
      <c r="A88" s="717">
        <v>38777</v>
      </c>
      <c r="B88" s="718">
        <v>0.82291666666666663</v>
      </c>
      <c r="C88" s="714" t="s">
        <v>27</v>
      </c>
      <c r="D88" s="719">
        <v>39</v>
      </c>
      <c r="E88" s="720" t="s">
        <v>247</v>
      </c>
      <c r="F88" s="721">
        <v>0</v>
      </c>
      <c r="G88" s="714" t="s">
        <v>11</v>
      </c>
      <c r="H88" s="714" t="s">
        <v>341</v>
      </c>
      <c r="I88" s="714"/>
    </row>
    <row r="89" spans="1:11" x14ac:dyDescent="0.25">
      <c r="A89" s="717">
        <v>39142</v>
      </c>
      <c r="B89" s="718">
        <v>0.54166666666666663</v>
      </c>
      <c r="C89" s="714" t="s">
        <v>28</v>
      </c>
      <c r="D89" s="719">
        <v>57</v>
      </c>
      <c r="E89" s="720" t="s">
        <v>247</v>
      </c>
      <c r="F89" s="721">
        <v>20</v>
      </c>
      <c r="G89" s="714" t="s">
        <v>22</v>
      </c>
      <c r="H89" s="714" t="s">
        <v>250</v>
      </c>
      <c r="I89" s="714"/>
    </row>
    <row r="90" spans="1:11" x14ac:dyDescent="0.25">
      <c r="A90" s="717">
        <v>39142</v>
      </c>
      <c r="B90" s="718">
        <v>0.58333333333333337</v>
      </c>
      <c r="C90" s="714" t="s">
        <v>19</v>
      </c>
      <c r="D90" s="719">
        <v>24</v>
      </c>
      <c r="E90" s="720" t="s">
        <v>247</v>
      </c>
      <c r="F90" s="721">
        <v>13</v>
      </c>
      <c r="G90" s="714" t="s">
        <v>26</v>
      </c>
      <c r="H90" s="714" t="s">
        <v>254</v>
      </c>
      <c r="I90" s="714"/>
    </row>
    <row r="91" spans="1:11" x14ac:dyDescent="0.25">
      <c r="A91" s="717">
        <v>39142</v>
      </c>
      <c r="B91" s="718">
        <v>0.60416666666666663</v>
      </c>
      <c r="C91" s="714" t="s">
        <v>106</v>
      </c>
      <c r="D91" s="719">
        <v>39</v>
      </c>
      <c r="E91" s="720" t="s">
        <v>247</v>
      </c>
      <c r="F91" s="721">
        <v>22</v>
      </c>
      <c r="G91" s="714" t="s">
        <v>24</v>
      </c>
      <c r="H91" s="714" t="s">
        <v>253</v>
      </c>
      <c r="I91" s="714"/>
    </row>
    <row r="92" spans="1:11" x14ac:dyDescent="0.25">
      <c r="A92" s="717" t="s">
        <v>1021</v>
      </c>
      <c r="B92" s="718">
        <v>0.625</v>
      </c>
      <c r="C92" s="714" t="s">
        <v>165</v>
      </c>
      <c r="D92" s="719">
        <v>28</v>
      </c>
      <c r="E92" s="720" t="s">
        <v>247</v>
      </c>
      <c r="F92" s="721">
        <v>15</v>
      </c>
      <c r="G92" s="714" t="s">
        <v>9</v>
      </c>
      <c r="H92" s="714" t="s">
        <v>248</v>
      </c>
      <c r="I92" s="714" t="s">
        <v>146</v>
      </c>
    </row>
    <row r="93" spans="1:11" x14ac:dyDescent="0.25">
      <c r="A93" s="715" t="s">
        <v>156</v>
      </c>
      <c r="B93" s="716"/>
      <c r="C93" s="507"/>
      <c r="D93" s="722"/>
      <c r="E93" s="719"/>
      <c r="F93" s="723"/>
      <c r="G93" s="507"/>
      <c r="H93" s="507"/>
      <c r="I93" s="507"/>
    </row>
    <row r="94" spans="1:11" x14ac:dyDescent="0.25">
      <c r="A94" s="717" t="s">
        <v>1016</v>
      </c>
      <c r="B94" s="718">
        <v>0.82291666666666663</v>
      </c>
      <c r="C94" s="714" t="s">
        <v>9</v>
      </c>
      <c r="D94" s="719">
        <v>16</v>
      </c>
      <c r="E94" s="720" t="s">
        <v>247</v>
      </c>
      <c r="F94" s="721">
        <v>10</v>
      </c>
      <c r="G94" s="714" t="s">
        <v>27</v>
      </c>
      <c r="H94" s="714" t="s">
        <v>333</v>
      </c>
      <c r="I94" s="714" t="s">
        <v>146</v>
      </c>
    </row>
    <row r="95" spans="1:11" x14ac:dyDescent="0.25">
      <c r="A95" s="717" t="s">
        <v>1017</v>
      </c>
      <c r="B95" s="718">
        <v>0.625</v>
      </c>
      <c r="C95" s="714" t="s">
        <v>28</v>
      </c>
      <c r="D95" s="719">
        <v>26</v>
      </c>
      <c r="E95" s="720" t="s">
        <v>247</v>
      </c>
      <c r="F95" s="721">
        <v>13</v>
      </c>
      <c r="G95" s="714" t="s">
        <v>26</v>
      </c>
      <c r="H95" s="714" t="s">
        <v>250</v>
      </c>
      <c r="I95" s="714" t="s">
        <v>146</v>
      </c>
    </row>
    <row r="96" spans="1:11" x14ac:dyDescent="0.25">
      <c r="A96" s="717" t="s">
        <v>1017</v>
      </c>
      <c r="B96" s="718">
        <v>0.625</v>
      </c>
      <c r="C96" s="714" t="s">
        <v>22</v>
      </c>
      <c r="D96" s="719">
        <v>34</v>
      </c>
      <c r="E96" s="720" t="s">
        <v>247</v>
      </c>
      <c r="F96" s="721">
        <v>17</v>
      </c>
      <c r="G96" s="714" t="s">
        <v>11</v>
      </c>
      <c r="H96" s="714" t="s">
        <v>371</v>
      </c>
      <c r="I96" s="714" t="s">
        <v>874</v>
      </c>
    </row>
    <row r="97" spans="1:9" x14ac:dyDescent="0.25">
      <c r="A97" s="717" t="s">
        <v>1017</v>
      </c>
      <c r="B97" s="718">
        <v>0.52083333333333337</v>
      </c>
      <c r="C97" s="714" t="s">
        <v>23</v>
      </c>
      <c r="D97" s="719">
        <v>15</v>
      </c>
      <c r="E97" s="720" t="s">
        <v>247</v>
      </c>
      <c r="F97" s="721">
        <v>44</v>
      </c>
      <c r="G97" s="714" t="s">
        <v>24</v>
      </c>
      <c r="H97" s="714" t="s">
        <v>249</v>
      </c>
      <c r="I97" s="714" t="s">
        <v>874</v>
      </c>
    </row>
    <row r="98" spans="1:9" x14ac:dyDescent="0.25">
      <c r="A98" s="717" t="s">
        <v>1017</v>
      </c>
      <c r="B98" s="718">
        <v>0.6875</v>
      </c>
      <c r="C98" s="714" t="s">
        <v>165</v>
      </c>
      <c r="D98" s="719">
        <v>16</v>
      </c>
      <c r="E98" s="720" t="s">
        <v>247</v>
      </c>
      <c r="F98" s="721">
        <v>12</v>
      </c>
      <c r="G98" s="714" t="s">
        <v>19</v>
      </c>
      <c r="H98" s="714" t="s">
        <v>248</v>
      </c>
      <c r="I98" s="714" t="s">
        <v>146</v>
      </c>
    </row>
    <row r="99" spans="1:9" x14ac:dyDescent="0.25">
      <c r="A99" s="717" t="s">
        <v>1018</v>
      </c>
      <c r="B99" s="718">
        <v>0.625</v>
      </c>
      <c r="C99" s="714" t="s">
        <v>25</v>
      </c>
      <c r="D99" s="719">
        <v>21</v>
      </c>
      <c r="E99" s="720" t="s">
        <v>247</v>
      </c>
      <c r="F99" s="721">
        <v>34</v>
      </c>
      <c r="G99" s="714" t="s">
        <v>106</v>
      </c>
      <c r="H99" s="714" t="s">
        <v>377</v>
      </c>
      <c r="I99" s="714" t="s">
        <v>146</v>
      </c>
    </row>
    <row r="100" spans="1:9" x14ac:dyDescent="0.25">
      <c r="A100" s="715" t="s">
        <v>157</v>
      </c>
      <c r="B100" s="724"/>
      <c r="C100" s="714"/>
      <c r="D100" s="719"/>
      <c r="E100" s="719"/>
      <c r="F100" s="721"/>
      <c r="G100" s="714"/>
      <c r="H100" s="714"/>
      <c r="I100" s="714"/>
    </row>
    <row r="101" spans="1:9" x14ac:dyDescent="0.25">
      <c r="A101" s="717" t="s">
        <v>1019</v>
      </c>
      <c r="B101" s="718">
        <v>0.75</v>
      </c>
      <c r="C101" s="714" t="s">
        <v>27</v>
      </c>
      <c r="D101" s="719">
        <v>22</v>
      </c>
      <c r="E101" s="720" t="s">
        <v>247</v>
      </c>
      <c r="F101" s="721">
        <v>32</v>
      </c>
      <c r="G101" s="714" t="s">
        <v>28</v>
      </c>
      <c r="H101" s="714" t="s">
        <v>341</v>
      </c>
      <c r="I101" s="714" t="s">
        <v>146</v>
      </c>
    </row>
    <row r="102" spans="1:9" x14ac:dyDescent="0.25">
      <c r="A102" s="717" t="s">
        <v>1019</v>
      </c>
      <c r="B102" s="718">
        <v>0.82291666666666663</v>
      </c>
      <c r="C102" s="714" t="s">
        <v>24</v>
      </c>
      <c r="D102" s="719">
        <v>24</v>
      </c>
      <c r="E102" s="720" t="s">
        <v>247</v>
      </c>
      <c r="F102" s="721">
        <v>33</v>
      </c>
      <c r="G102" s="714" t="s">
        <v>165</v>
      </c>
      <c r="H102" s="714" t="s">
        <v>340</v>
      </c>
      <c r="I102" s="714" t="s">
        <v>874</v>
      </c>
    </row>
    <row r="103" spans="1:9" x14ac:dyDescent="0.25">
      <c r="A103" s="717" t="s">
        <v>1019</v>
      </c>
      <c r="B103" s="718">
        <v>0.82291666666666663</v>
      </c>
      <c r="C103" s="714" t="s">
        <v>106</v>
      </c>
      <c r="D103" s="719">
        <v>32</v>
      </c>
      <c r="E103" s="720" t="s">
        <v>247</v>
      </c>
      <c r="F103" s="721">
        <v>17</v>
      </c>
      <c r="G103" s="714" t="s">
        <v>23</v>
      </c>
      <c r="H103" s="714" t="s">
        <v>253</v>
      </c>
      <c r="I103" s="714" t="s">
        <v>874</v>
      </c>
    </row>
    <row r="104" spans="1:9" x14ac:dyDescent="0.25">
      <c r="A104" s="717" t="s">
        <v>1020</v>
      </c>
      <c r="B104" s="718">
        <v>0.52083333333333337</v>
      </c>
      <c r="C104" s="714" t="s">
        <v>19</v>
      </c>
      <c r="D104" s="719">
        <v>38</v>
      </c>
      <c r="E104" s="720" t="s">
        <v>247</v>
      </c>
      <c r="F104" s="721">
        <v>24</v>
      </c>
      <c r="G104" s="714" t="s">
        <v>9</v>
      </c>
      <c r="H104" s="714" t="s">
        <v>254</v>
      </c>
      <c r="I104" s="714" t="s">
        <v>874</v>
      </c>
    </row>
    <row r="105" spans="1:9" x14ac:dyDescent="0.25">
      <c r="A105" s="717" t="s">
        <v>1020</v>
      </c>
      <c r="B105" s="718">
        <v>0.58333333333333337</v>
      </c>
      <c r="C105" s="714" t="s">
        <v>11</v>
      </c>
      <c r="D105" s="719">
        <v>3</v>
      </c>
      <c r="E105" s="720" t="s">
        <v>247</v>
      </c>
      <c r="F105" s="721">
        <v>27</v>
      </c>
      <c r="G105" s="714" t="s">
        <v>25</v>
      </c>
      <c r="H105" s="714" t="s">
        <v>333</v>
      </c>
      <c r="I105" s="714" t="s">
        <v>146</v>
      </c>
    </row>
    <row r="106" spans="1:9" x14ac:dyDescent="0.25">
      <c r="A106" s="717" t="s">
        <v>1020</v>
      </c>
      <c r="B106" s="718">
        <v>0.6875</v>
      </c>
      <c r="C106" s="714" t="s">
        <v>26</v>
      </c>
      <c r="D106" s="719">
        <v>16</v>
      </c>
      <c r="E106" s="720" t="s">
        <v>247</v>
      </c>
      <c r="F106" s="721">
        <v>38</v>
      </c>
      <c r="G106" s="714" t="s">
        <v>22</v>
      </c>
      <c r="H106" s="714" t="s">
        <v>365</v>
      </c>
      <c r="I106" s="714" t="s">
        <v>146</v>
      </c>
    </row>
    <row r="107" spans="1:9" x14ac:dyDescent="0.25">
      <c r="A107" s="715" t="s">
        <v>158</v>
      </c>
      <c r="B107" s="724"/>
      <c r="C107" s="714"/>
      <c r="D107" s="719"/>
      <c r="E107" s="719"/>
      <c r="F107" s="721"/>
      <c r="G107" s="714"/>
      <c r="H107" s="714"/>
      <c r="I107" s="714"/>
    </row>
    <row r="108" spans="1:9" x14ac:dyDescent="0.25">
      <c r="A108" s="717" t="s">
        <v>834</v>
      </c>
      <c r="B108" s="718">
        <v>0.72916666666666663</v>
      </c>
      <c r="C108" s="714" t="s">
        <v>106</v>
      </c>
      <c r="D108" s="719">
        <v>11</v>
      </c>
      <c r="E108" s="720" t="s">
        <v>247</v>
      </c>
      <c r="F108" s="721">
        <v>20</v>
      </c>
      <c r="G108" s="714" t="s">
        <v>27</v>
      </c>
      <c r="H108" s="714" t="s">
        <v>253</v>
      </c>
      <c r="I108" s="714" t="s">
        <v>146</v>
      </c>
    </row>
    <row r="109" spans="1:9" x14ac:dyDescent="0.25">
      <c r="A109" s="717" t="s">
        <v>834</v>
      </c>
      <c r="B109" s="718">
        <v>0.82291666666666663</v>
      </c>
      <c r="C109" s="714" t="s">
        <v>165</v>
      </c>
      <c r="D109" s="719">
        <v>22</v>
      </c>
      <c r="E109" s="720" t="s">
        <v>247</v>
      </c>
      <c r="F109" s="721">
        <v>25</v>
      </c>
      <c r="G109" s="714" t="s">
        <v>28</v>
      </c>
      <c r="H109" s="714" t="s">
        <v>248</v>
      </c>
      <c r="I109" s="714" t="s">
        <v>146</v>
      </c>
    </row>
    <row r="110" spans="1:9" x14ac:dyDescent="0.25">
      <c r="A110" s="717" t="s">
        <v>835</v>
      </c>
      <c r="B110" s="718">
        <v>0.75</v>
      </c>
      <c r="C110" s="714" t="s">
        <v>19</v>
      </c>
      <c r="D110" s="719">
        <v>36</v>
      </c>
      <c r="E110" s="720" t="s">
        <v>247</v>
      </c>
      <c r="F110" s="721">
        <v>20</v>
      </c>
      <c r="G110" s="714" t="s">
        <v>24</v>
      </c>
      <c r="H110" s="714" t="s">
        <v>254</v>
      </c>
      <c r="I110" s="714" t="s">
        <v>874</v>
      </c>
    </row>
    <row r="111" spans="1:9" x14ac:dyDescent="0.25">
      <c r="A111" s="717" t="s">
        <v>835</v>
      </c>
      <c r="B111" s="718">
        <v>0.75</v>
      </c>
      <c r="C111" s="714" t="s">
        <v>23</v>
      </c>
      <c r="D111" s="719">
        <v>29</v>
      </c>
      <c r="E111" s="720" t="s">
        <v>247</v>
      </c>
      <c r="F111" s="721">
        <v>14</v>
      </c>
      <c r="G111" s="714" t="s">
        <v>9</v>
      </c>
      <c r="H111" s="714" t="s">
        <v>249</v>
      </c>
      <c r="I111" s="714" t="s">
        <v>874</v>
      </c>
    </row>
    <row r="112" spans="1:9" x14ac:dyDescent="0.25">
      <c r="A112" s="717" t="s">
        <v>835</v>
      </c>
      <c r="B112" s="718">
        <v>0.82291666666666663</v>
      </c>
      <c r="C112" s="714" t="s">
        <v>25</v>
      </c>
      <c r="D112" s="719">
        <v>3</v>
      </c>
      <c r="E112" s="720" t="s">
        <v>247</v>
      </c>
      <c r="F112" s="721">
        <v>18</v>
      </c>
      <c r="G112" s="714" t="s">
        <v>22</v>
      </c>
      <c r="H112" s="714" t="s">
        <v>377</v>
      </c>
      <c r="I112" s="714" t="s">
        <v>146</v>
      </c>
    </row>
    <row r="113" spans="1:9" x14ac:dyDescent="0.25">
      <c r="A113" s="717" t="s">
        <v>835</v>
      </c>
      <c r="B113" s="718">
        <v>0.75</v>
      </c>
      <c r="C113" s="714" t="s">
        <v>26</v>
      </c>
      <c r="D113" s="719">
        <v>13</v>
      </c>
      <c r="E113" s="720" t="s">
        <v>247</v>
      </c>
      <c r="F113" s="721">
        <v>7</v>
      </c>
      <c r="G113" s="714" t="s">
        <v>11</v>
      </c>
      <c r="H113" s="714" t="s">
        <v>365</v>
      </c>
      <c r="I113" s="714" t="s">
        <v>874</v>
      </c>
    </row>
    <row r="114" spans="1:9" x14ac:dyDescent="0.25">
      <c r="A114" s="715" t="s">
        <v>159</v>
      </c>
      <c r="B114" s="724"/>
      <c r="C114" s="714"/>
      <c r="D114" s="719"/>
      <c r="E114" s="719"/>
      <c r="F114" s="721"/>
      <c r="G114" s="714"/>
      <c r="H114" s="714"/>
      <c r="I114" s="714"/>
    </row>
    <row r="115" spans="1:9" x14ac:dyDescent="0.25">
      <c r="A115" s="717" t="s">
        <v>837</v>
      </c>
      <c r="B115" s="718">
        <v>0.625</v>
      </c>
      <c r="C115" s="714" t="s">
        <v>27</v>
      </c>
      <c r="D115" s="719">
        <v>40</v>
      </c>
      <c r="E115" s="720" t="s">
        <v>247</v>
      </c>
      <c r="F115" s="721">
        <v>7</v>
      </c>
      <c r="G115" s="714" t="s">
        <v>165</v>
      </c>
      <c r="H115" s="714" t="s">
        <v>341</v>
      </c>
      <c r="I115" s="714" t="s">
        <v>146</v>
      </c>
    </row>
    <row r="116" spans="1:9" x14ac:dyDescent="0.25">
      <c r="A116" s="717" t="s">
        <v>839</v>
      </c>
      <c r="B116" s="718">
        <v>0.58333333333333337</v>
      </c>
      <c r="C116" s="714" t="s">
        <v>9</v>
      </c>
      <c r="D116" s="719">
        <v>30</v>
      </c>
      <c r="E116" s="720" t="s">
        <v>247</v>
      </c>
      <c r="F116" s="721">
        <v>17</v>
      </c>
      <c r="G116" s="714" t="s">
        <v>25</v>
      </c>
      <c r="H116" s="714" t="s">
        <v>333</v>
      </c>
      <c r="I116" s="714" t="s">
        <v>146</v>
      </c>
    </row>
    <row r="117" spans="1:9" x14ac:dyDescent="0.25">
      <c r="A117" s="717" t="s">
        <v>839</v>
      </c>
      <c r="B117" s="718">
        <v>0.625</v>
      </c>
      <c r="C117" s="714" t="s">
        <v>28</v>
      </c>
      <c r="D117" s="719">
        <v>59</v>
      </c>
      <c r="E117" s="720" t="s">
        <v>247</v>
      </c>
      <c r="F117" s="721">
        <v>7</v>
      </c>
      <c r="G117" s="714" t="s">
        <v>23</v>
      </c>
      <c r="H117" s="714" t="s">
        <v>250</v>
      </c>
      <c r="I117" s="714" t="s">
        <v>874</v>
      </c>
    </row>
    <row r="118" spans="1:9" x14ac:dyDescent="0.25">
      <c r="A118" s="717" t="s">
        <v>839</v>
      </c>
      <c r="B118" s="718">
        <v>0.6875</v>
      </c>
      <c r="C118" s="714" t="s">
        <v>24</v>
      </c>
      <c r="D118" s="719">
        <v>46</v>
      </c>
      <c r="E118" s="720" t="s">
        <v>247</v>
      </c>
      <c r="F118" s="721">
        <v>30</v>
      </c>
      <c r="G118" s="714" t="s">
        <v>26</v>
      </c>
      <c r="H118" s="714" t="s">
        <v>340</v>
      </c>
      <c r="I118" s="714" t="s">
        <v>146</v>
      </c>
    </row>
    <row r="119" spans="1:9" x14ac:dyDescent="0.25">
      <c r="A119" s="717" t="s">
        <v>841</v>
      </c>
      <c r="B119" s="718">
        <v>0.54166666666666663</v>
      </c>
      <c r="C119" s="714" t="s">
        <v>11</v>
      </c>
      <c r="D119" s="719">
        <v>12</v>
      </c>
      <c r="E119" s="720" t="s">
        <v>247</v>
      </c>
      <c r="F119" s="721">
        <v>40</v>
      </c>
      <c r="G119" s="714" t="s">
        <v>19</v>
      </c>
      <c r="H119" s="714" t="s">
        <v>333</v>
      </c>
      <c r="I119" s="714" t="s">
        <v>874</v>
      </c>
    </row>
    <row r="120" spans="1:9" x14ac:dyDescent="0.25">
      <c r="A120" s="717" t="s">
        <v>841</v>
      </c>
      <c r="B120" s="718">
        <v>0.625</v>
      </c>
      <c r="C120" s="714" t="s">
        <v>22</v>
      </c>
      <c r="D120" s="719">
        <v>23</v>
      </c>
      <c r="E120" s="720" t="s">
        <v>247</v>
      </c>
      <c r="F120" s="721">
        <v>27</v>
      </c>
      <c r="G120" s="714" t="s">
        <v>106</v>
      </c>
      <c r="H120" s="714" t="s">
        <v>333</v>
      </c>
      <c r="I120" s="714" t="s">
        <v>146</v>
      </c>
    </row>
    <row r="121" spans="1:9" x14ac:dyDescent="0.25">
      <c r="A121" s="715" t="s">
        <v>160</v>
      </c>
      <c r="B121" s="724"/>
      <c r="C121" s="714"/>
      <c r="D121" s="719"/>
      <c r="E121" s="719"/>
      <c r="F121" s="721"/>
      <c r="G121" s="714"/>
      <c r="H121" s="714"/>
      <c r="I121" s="714"/>
    </row>
    <row r="122" spans="1:9" x14ac:dyDescent="0.25">
      <c r="A122" s="717" t="s">
        <v>853</v>
      </c>
      <c r="B122" s="718">
        <v>0.75</v>
      </c>
      <c r="C122" s="714" t="s">
        <v>23</v>
      </c>
      <c r="D122" s="719">
        <v>13</v>
      </c>
      <c r="E122" s="720" t="s">
        <v>247</v>
      </c>
      <c r="F122" s="721">
        <v>36</v>
      </c>
      <c r="G122" s="714" t="s">
        <v>165</v>
      </c>
      <c r="H122" s="714" t="s">
        <v>249</v>
      </c>
      <c r="I122" s="714" t="s">
        <v>874</v>
      </c>
    </row>
    <row r="123" spans="1:9" x14ac:dyDescent="0.25">
      <c r="A123" s="717" t="s">
        <v>853</v>
      </c>
      <c r="B123" s="718">
        <v>0.82291666666666663</v>
      </c>
      <c r="C123" s="714" t="s">
        <v>25</v>
      </c>
      <c r="D123" s="719">
        <v>19</v>
      </c>
      <c r="E123" s="720" t="s">
        <v>247</v>
      </c>
      <c r="F123" s="721">
        <v>22</v>
      </c>
      <c r="G123" s="714" t="s">
        <v>28</v>
      </c>
      <c r="H123" s="714" t="s">
        <v>377</v>
      </c>
      <c r="I123" s="714" t="s">
        <v>146</v>
      </c>
    </row>
    <row r="124" spans="1:9" x14ac:dyDescent="0.25">
      <c r="A124" s="717" t="s">
        <v>855</v>
      </c>
      <c r="B124" s="718">
        <v>0.52083333333333337</v>
      </c>
      <c r="C124" s="714" t="s">
        <v>19</v>
      </c>
      <c r="D124" s="719">
        <v>18</v>
      </c>
      <c r="E124" s="720" t="s">
        <v>247</v>
      </c>
      <c r="F124" s="721">
        <v>28</v>
      </c>
      <c r="G124" s="714" t="s">
        <v>106</v>
      </c>
      <c r="H124" s="714" t="s">
        <v>254</v>
      </c>
      <c r="I124" s="714" t="s">
        <v>874</v>
      </c>
    </row>
    <row r="125" spans="1:9" x14ac:dyDescent="0.25">
      <c r="A125" s="717" t="s">
        <v>855</v>
      </c>
      <c r="B125" s="718">
        <v>0.58333333333333337</v>
      </c>
      <c r="C125" s="714" t="s">
        <v>9</v>
      </c>
      <c r="D125" s="719">
        <v>27</v>
      </c>
      <c r="E125" s="720" t="s">
        <v>247</v>
      </c>
      <c r="F125" s="721">
        <v>41</v>
      </c>
      <c r="G125" s="714" t="s">
        <v>22</v>
      </c>
      <c r="H125" s="714" t="s">
        <v>333</v>
      </c>
      <c r="I125" s="714" t="s">
        <v>146</v>
      </c>
    </row>
    <row r="126" spans="1:9" x14ac:dyDescent="0.25">
      <c r="A126" s="717" t="s">
        <v>855</v>
      </c>
      <c r="B126" s="718">
        <v>0.625</v>
      </c>
      <c r="C126" s="714" t="s">
        <v>26</v>
      </c>
      <c r="D126" s="719">
        <v>31</v>
      </c>
      <c r="E126" s="720" t="s">
        <v>247</v>
      </c>
      <c r="F126" s="721">
        <v>40</v>
      </c>
      <c r="G126" s="714" t="s">
        <v>27</v>
      </c>
      <c r="H126" s="714" t="s">
        <v>365</v>
      </c>
      <c r="I126" s="714" t="s">
        <v>874</v>
      </c>
    </row>
    <row r="127" spans="1:9" x14ac:dyDescent="0.25">
      <c r="A127" s="717" t="s">
        <v>855</v>
      </c>
      <c r="B127" s="718">
        <v>0.6875</v>
      </c>
      <c r="C127" s="714" t="s">
        <v>24</v>
      </c>
      <c r="D127" s="719">
        <v>36</v>
      </c>
      <c r="E127" s="720" t="s">
        <v>247</v>
      </c>
      <c r="F127" s="721">
        <v>23</v>
      </c>
      <c r="G127" s="714" t="s">
        <v>857</v>
      </c>
      <c r="H127" s="714" t="s">
        <v>340</v>
      </c>
      <c r="I127" s="714" t="s">
        <v>146</v>
      </c>
    </row>
    <row r="128" spans="1:9" x14ac:dyDescent="0.25">
      <c r="A128" s="715" t="s">
        <v>161</v>
      </c>
      <c r="B128" s="724"/>
      <c r="C128" s="714"/>
      <c r="D128" s="719"/>
      <c r="E128" s="719"/>
      <c r="F128" s="721"/>
      <c r="G128" s="714"/>
      <c r="H128" s="714"/>
      <c r="I128" s="714"/>
    </row>
    <row r="129" spans="1:9" x14ac:dyDescent="0.25">
      <c r="A129" s="717" t="s">
        <v>858</v>
      </c>
      <c r="B129" s="718">
        <v>0.82291666666666663</v>
      </c>
      <c r="C129" s="714" t="s">
        <v>165</v>
      </c>
      <c r="D129" s="719">
        <v>47</v>
      </c>
      <c r="E129" s="720" t="s">
        <v>247</v>
      </c>
      <c r="F129" s="721">
        <v>10</v>
      </c>
      <c r="G129" s="714" t="s">
        <v>25</v>
      </c>
      <c r="H129" s="714" t="s">
        <v>248</v>
      </c>
      <c r="I129" s="714" t="s">
        <v>146</v>
      </c>
    </row>
    <row r="130" spans="1:9" x14ac:dyDescent="0.25">
      <c r="A130" s="717" t="s">
        <v>860</v>
      </c>
      <c r="B130" s="718">
        <v>0.72916666666666663</v>
      </c>
      <c r="C130" s="714" t="s">
        <v>106</v>
      </c>
      <c r="D130" s="719">
        <v>54</v>
      </c>
      <c r="E130" s="720" t="s">
        <v>247</v>
      </c>
      <c r="F130" s="721">
        <v>7</v>
      </c>
      <c r="G130" s="714" t="s">
        <v>26</v>
      </c>
      <c r="H130" s="714" t="s">
        <v>253</v>
      </c>
      <c r="I130" s="714" t="s">
        <v>146</v>
      </c>
    </row>
    <row r="131" spans="1:9" x14ac:dyDescent="0.25">
      <c r="A131" s="717" t="s">
        <v>860</v>
      </c>
      <c r="B131" s="718">
        <v>0.72916666666666663</v>
      </c>
      <c r="C131" s="714" t="s">
        <v>28</v>
      </c>
      <c r="D131" s="719">
        <v>35</v>
      </c>
      <c r="E131" s="720" t="s">
        <v>247</v>
      </c>
      <c r="F131" s="721">
        <v>22</v>
      </c>
      <c r="G131" s="714" t="s">
        <v>24</v>
      </c>
      <c r="H131" s="714" t="s">
        <v>250</v>
      </c>
      <c r="I131" s="714" t="s">
        <v>874</v>
      </c>
    </row>
    <row r="132" spans="1:9" x14ac:dyDescent="0.25">
      <c r="A132" s="717" t="s">
        <v>860</v>
      </c>
      <c r="B132" s="718">
        <v>0.82291666666666663</v>
      </c>
      <c r="C132" s="714" t="s">
        <v>11</v>
      </c>
      <c r="D132" s="719">
        <v>15</v>
      </c>
      <c r="E132" s="720" t="s">
        <v>247</v>
      </c>
      <c r="F132" s="721">
        <v>38</v>
      </c>
      <c r="G132" s="714" t="s">
        <v>9</v>
      </c>
      <c r="H132" s="714" t="s">
        <v>333</v>
      </c>
      <c r="I132" s="714" t="s">
        <v>874</v>
      </c>
    </row>
    <row r="133" spans="1:9" x14ac:dyDescent="0.25">
      <c r="A133" s="717" t="s">
        <v>860</v>
      </c>
      <c r="B133" s="718">
        <v>0.82291666666666663</v>
      </c>
      <c r="C133" s="714" t="s">
        <v>27</v>
      </c>
      <c r="D133" s="719">
        <v>24</v>
      </c>
      <c r="E133" s="720" t="s">
        <v>247</v>
      </c>
      <c r="F133" s="721">
        <v>17</v>
      </c>
      <c r="G133" s="714" t="s">
        <v>19</v>
      </c>
      <c r="H133" s="714" t="s">
        <v>341</v>
      </c>
      <c r="I133" s="714" t="s">
        <v>874</v>
      </c>
    </row>
    <row r="134" spans="1:9" x14ac:dyDescent="0.25">
      <c r="A134" s="717" t="s">
        <v>860</v>
      </c>
      <c r="B134" s="718">
        <v>0.82291666666666663</v>
      </c>
      <c r="C134" s="714" t="s">
        <v>22</v>
      </c>
      <c r="D134" s="719">
        <v>40</v>
      </c>
      <c r="E134" s="720" t="s">
        <v>247</v>
      </c>
      <c r="F134" s="721">
        <v>15</v>
      </c>
      <c r="G134" s="714" t="s">
        <v>23</v>
      </c>
      <c r="H134" s="714" t="s">
        <v>371</v>
      </c>
      <c r="I134" s="714" t="s">
        <v>146</v>
      </c>
    </row>
    <row r="135" spans="1:9" x14ac:dyDescent="0.25">
      <c r="A135" s="715" t="s">
        <v>162</v>
      </c>
      <c r="B135" s="724"/>
      <c r="C135" s="714"/>
      <c r="D135" s="719"/>
      <c r="E135" s="719"/>
      <c r="F135" s="721"/>
      <c r="G135" s="714"/>
      <c r="H135" s="714"/>
      <c r="I135" s="714"/>
    </row>
    <row r="136" spans="1:9" x14ac:dyDescent="0.25">
      <c r="A136" s="717" t="s">
        <v>862</v>
      </c>
      <c r="B136" s="718">
        <v>0.52083333333333337</v>
      </c>
      <c r="C136" s="714" t="s">
        <v>106</v>
      </c>
      <c r="D136" s="719">
        <v>59</v>
      </c>
      <c r="E136" s="720" t="s">
        <v>247</v>
      </c>
      <c r="F136" s="721">
        <v>35</v>
      </c>
      <c r="G136" s="714" t="s">
        <v>165</v>
      </c>
      <c r="H136" s="714" t="s">
        <v>253</v>
      </c>
      <c r="I136" s="714" t="s">
        <v>874</v>
      </c>
    </row>
    <row r="137" spans="1:9" x14ac:dyDescent="0.25">
      <c r="A137" s="717" t="s">
        <v>862</v>
      </c>
      <c r="B137" s="718">
        <v>0.58333333333333337</v>
      </c>
      <c r="C137" s="714" t="s">
        <v>26</v>
      </c>
      <c r="D137" s="719">
        <v>28</v>
      </c>
      <c r="E137" s="720" t="s">
        <v>247</v>
      </c>
      <c r="F137" s="721">
        <v>24</v>
      </c>
      <c r="G137" s="714" t="s">
        <v>25</v>
      </c>
      <c r="H137" s="714" t="s">
        <v>365</v>
      </c>
      <c r="I137" s="714" t="s">
        <v>146</v>
      </c>
    </row>
    <row r="138" spans="1:9" x14ac:dyDescent="0.25">
      <c r="A138" s="717" t="s">
        <v>862</v>
      </c>
      <c r="B138" s="718">
        <v>0.625</v>
      </c>
      <c r="C138" s="714" t="s">
        <v>11</v>
      </c>
      <c r="D138" s="719">
        <v>25</v>
      </c>
      <c r="E138" s="720" t="s">
        <v>247</v>
      </c>
      <c r="F138" s="721">
        <v>40</v>
      </c>
      <c r="G138" s="714" t="s">
        <v>23</v>
      </c>
      <c r="H138" s="714" t="s">
        <v>333</v>
      </c>
      <c r="I138" s="714" t="s">
        <v>874</v>
      </c>
    </row>
    <row r="139" spans="1:9" x14ac:dyDescent="0.25">
      <c r="A139" s="717" t="s">
        <v>862</v>
      </c>
      <c r="B139" s="718">
        <v>0.625</v>
      </c>
      <c r="C139" s="714" t="s">
        <v>27</v>
      </c>
      <c r="D139" s="719">
        <v>22</v>
      </c>
      <c r="E139" s="720" t="s">
        <v>247</v>
      </c>
      <c r="F139" s="721">
        <v>37</v>
      </c>
      <c r="G139" s="714" t="s">
        <v>22</v>
      </c>
      <c r="H139" s="714" t="s">
        <v>341</v>
      </c>
      <c r="I139" s="714" t="s">
        <v>874</v>
      </c>
    </row>
    <row r="140" spans="1:9" x14ac:dyDescent="0.25">
      <c r="A140" s="717" t="s">
        <v>862</v>
      </c>
      <c r="B140" s="718">
        <v>0.6875</v>
      </c>
      <c r="C140" s="714" t="s">
        <v>19</v>
      </c>
      <c r="D140" s="719">
        <v>40</v>
      </c>
      <c r="E140" s="720" t="s">
        <v>247</v>
      </c>
      <c r="F140" s="721">
        <v>17</v>
      </c>
      <c r="G140" s="714" t="s">
        <v>28</v>
      </c>
      <c r="H140" s="714" t="s">
        <v>254</v>
      </c>
      <c r="I140" s="714" t="s">
        <v>146</v>
      </c>
    </row>
    <row r="141" spans="1:9" x14ac:dyDescent="0.25">
      <c r="A141" s="717" t="s">
        <v>863</v>
      </c>
      <c r="B141" s="718">
        <v>0.82291666666666663</v>
      </c>
      <c r="C141" s="714" t="s">
        <v>24</v>
      </c>
      <c r="D141" s="719">
        <v>15</v>
      </c>
      <c r="E141" s="720" t="s">
        <v>247</v>
      </c>
      <c r="F141" s="721">
        <v>28</v>
      </c>
      <c r="G141" s="714" t="s">
        <v>9</v>
      </c>
      <c r="H141" s="714" t="s">
        <v>340</v>
      </c>
      <c r="I141" s="714" t="s">
        <v>146</v>
      </c>
    </row>
    <row r="142" spans="1:9" x14ac:dyDescent="0.25">
      <c r="A142" s="715" t="s">
        <v>164</v>
      </c>
      <c r="B142" s="718"/>
      <c r="C142" s="714"/>
      <c r="D142" s="719"/>
      <c r="E142" s="719"/>
      <c r="F142" s="721"/>
      <c r="G142" s="714"/>
      <c r="H142" s="714"/>
      <c r="I142" s="714"/>
    </row>
    <row r="143" spans="1:9" x14ac:dyDescent="0.25">
      <c r="A143" s="717" t="s">
        <v>866</v>
      </c>
      <c r="B143" s="718">
        <v>0.82291666666666663</v>
      </c>
      <c r="C143" s="714" t="s">
        <v>22</v>
      </c>
      <c r="D143" s="719">
        <v>31</v>
      </c>
      <c r="E143" s="720" t="s">
        <v>247</v>
      </c>
      <c r="F143" s="721">
        <v>20</v>
      </c>
      <c r="G143" s="714" t="s">
        <v>24</v>
      </c>
      <c r="H143" s="714" t="s">
        <v>371</v>
      </c>
      <c r="I143" s="714" t="s">
        <v>146</v>
      </c>
    </row>
    <row r="144" spans="1:9" x14ac:dyDescent="0.25">
      <c r="A144" s="717" t="s">
        <v>867</v>
      </c>
      <c r="B144" s="718">
        <v>0.82291666666666663</v>
      </c>
      <c r="C144" s="714" t="s">
        <v>9</v>
      </c>
      <c r="D144" s="719">
        <v>23</v>
      </c>
      <c r="E144" s="720" t="s">
        <v>247</v>
      </c>
      <c r="F144" s="721">
        <v>32</v>
      </c>
      <c r="G144" s="714" t="s">
        <v>106</v>
      </c>
      <c r="H144" s="714" t="s">
        <v>333</v>
      </c>
      <c r="I144" s="714" t="s">
        <v>146</v>
      </c>
    </row>
    <row r="145" spans="1:9" x14ac:dyDescent="0.25">
      <c r="A145" s="717" t="s">
        <v>959</v>
      </c>
      <c r="B145" s="718">
        <v>0.72916666666666663</v>
      </c>
      <c r="C145" s="714" t="s">
        <v>25</v>
      </c>
      <c r="D145" s="719">
        <v>14</v>
      </c>
      <c r="E145" s="720" t="s">
        <v>247</v>
      </c>
      <c r="F145" s="721">
        <v>34</v>
      </c>
      <c r="G145" s="714" t="s">
        <v>27</v>
      </c>
      <c r="H145" s="714" t="s">
        <v>377</v>
      </c>
      <c r="I145" s="714" t="s">
        <v>146</v>
      </c>
    </row>
    <row r="146" spans="1:9" x14ac:dyDescent="0.25">
      <c r="A146" s="717" t="s">
        <v>948</v>
      </c>
      <c r="B146" s="718">
        <v>0.72916666666666663</v>
      </c>
      <c r="C146" s="714" t="s">
        <v>165</v>
      </c>
      <c r="D146" s="719">
        <v>40</v>
      </c>
      <c r="E146" s="720" t="s">
        <v>247</v>
      </c>
      <c r="F146" s="721">
        <v>3</v>
      </c>
      <c r="G146" s="714" t="s">
        <v>26</v>
      </c>
      <c r="H146" s="714" t="s">
        <v>248</v>
      </c>
      <c r="I146" s="714" t="s">
        <v>874</v>
      </c>
    </row>
    <row r="147" spans="1:9" x14ac:dyDescent="0.25">
      <c r="A147" s="717" t="s">
        <v>948</v>
      </c>
      <c r="B147" s="718">
        <v>0.72916666666666663</v>
      </c>
      <c r="C147" s="714" t="s">
        <v>28</v>
      </c>
      <c r="D147" s="719">
        <v>19</v>
      </c>
      <c r="E147" s="720" t="s">
        <v>247</v>
      </c>
      <c r="F147" s="721">
        <v>22</v>
      </c>
      <c r="G147" s="714" t="s">
        <v>11</v>
      </c>
      <c r="H147" s="714" t="s">
        <v>250</v>
      </c>
      <c r="I147" s="714" t="s">
        <v>874</v>
      </c>
    </row>
    <row r="148" spans="1:9" x14ac:dyDescent="0.25">
      <c r="A148" s="717" t="s">
        <v>948</v>
      </c>
      <c r="B148" s="718">
        <v>0.72916666666666663</v>
      </c>
      <c r="C148" s="714" t="s">
        <v>23</v>
      </c>
      <c r="D148" s="719">
        <v>40</v>
      </c>
      <c r="E148" s="720" t="s">
        <v>247</v>
      </c>
      <c r="F148" s="721">
        <v>27</v>
      </c>
      <c r="G148" s="714" t="s">
        <v>19</v>
      </c>
      <c r="H148" s="714" t="s">
        <v>249</v>
      </c>
      <c r="I148" s="714" t="s">
        <v>874</v>
      </c>
    </row>
    <row r="149" spans="1:9" x14ac:dyDescent="0.25">
      <c r="A149" s="715" t="s">
        <v>196</v>
      </c>
      <c r="B149" s="718"/>
      <c r="C149" s="714"/>
      <c r="D149" s="719"/>
      <c r="E149" s="719"/>
      <c r="F149" s="721"/>
      <c r="G149" s="714"/>
      <c r="H149" s="714"/>
      <c r="I149" s="714"/>
    </row>
    <row r="150" spans="1:9" x14ac:dyDescent="0.25">
      <c r="A150" s="717" t="s">
        <v>869</v>
      </c>
      <c r="B150" s="718">
        <v>0.625</v>
      </c>
      <c r="C150" s="714" t="s">
        <v>24</v>
      </c>
      <c r="D150" s="719">
        <v>20</v>
      </c>
      <c r="E150" s="720" t="s">
        <v>247</v>
      </c>
      <c r="F150" s="721">
        <v>0</v>
      </c>
      <c r="G150" s="714" t="s">
        <v>25</v>
      </c>
      <c r="H150" s="714" t="s">
        <v>340</v>
      </c>
      <c r="I150" s="714" t="s">
        <v>87</v>
      </c>
    </row>
    <row r="151" spans="1:9" x14ac:dyDescent="0.25">
      <c r="A151" s="717" t="s">
        <v>869</v>
      </c>
      <c r="B151" s="718">
        <v>0.625</v>
      </c>
      <c r="C151" s="714" t="s">
        <v>26</v>
      </c>
      <c r="D151" s="719">
        <v>26</v>
      </c>
      <c r="E151" s="720" t="s">
        <v>247</v>
      </c>
      <c r="F151" s="721">
        <v>32</v>
      </c>
      <c r="G151" s="714" t="s">
        <v>9</v>
      </c>
      <c r="H151" s="714" t="s">
        <v>365</v>
      </c>
      <c r="I151" s="714" t="s">
        <v>874</v>
      </c>
    </row>
    <row r="152" spans="1:9" x14ac:dyDescent="0.25">
      <c r="A152" s="717" t="s">
        <v>869</v>
      </c>
      <c r="B152" s="718">
        <v>0.625</v>
      </c>
      <c r="C152" s="714" t="s">
        <v>11</v>
      </c>
      <c r="D152" s="719">
        <v>7</v>
      </c>
      <c r="E152" s="720" t="s">
        <v>247</v>
      </c>
      <c r="F152" s="721">
        <v>36</v>
      </c>
      <c r="G152" s="714" t="s">
        <v>165</v>
      </c>
      <c r="H152" s="714" t="s">
        <v>333</v>
      </c>
      <c r="I152" s="714" t="s">
        <v>874</v>
      </c>
    </row>
    <row r="153" spans="1:9" x14ac:dyDescent="0.25">
      <c r="A153" s="717" t="s">
        <v>869</v>
      </c>
      <c r="B153" s="718">
        <v>0.625</v>
      </c>
      <c r="C153" s="714" t="s">
        <v>19</v>
      </c>
      <c r="D153" s="719">
        <v>17</v>
      </c>
      <c r="E153" s="720" t="s">
        <v>247</v>
      </c>
      <c r="F153" s="721">
        <v>17</v>
      </c>
      <c r="G153" s="714" t="s">
        <v>22</v>
      </c>
      <c r="H153" s="714" t="s">
        <v>254</v>
      </c>
      <c r="I153" s="714" t="s">
        <v>146</v>
      </c>
    </row>
    <row r="154" spans="1:9" x14ac:dyDescent="0.25">
      <c r="A154" s="717" t="s">
        <v>869</v>
      </c>
      <c r="B154" s="718">
        <v>0.625</v>
      </c>
      <c r="C154" s="714" t="s">
        <v>106</v>
      </c>
      <c r="D154" s="719">
        <v>46</v>
      </c>
      <c r="E154" s="720" t="s">
        <v>247</v>
      </c>
      <c r="F154" s="721">
        <v>5</v>
      </c>
      <c r="G154" s="714" t="s">
        <v>28</v>
      </c>
      <c r="H154" s="714" t="s">
        <v>253</v>
      </c>
      <c r="I154" s="714" t="s">
        <v>146</v>
      </c>
    </row>
    <row r="155" spans="1:9" x14ac:dyDescent="0.25">
      <c r="A155" s="717" t="s">
        <v>992</v>
      </c>
      <c r="B155" s="718">
        <v>0.82291666666666663</v>
      </c>
      <c r="C155" s="714" t="s">
        <v>27</v>
      </c>
      <c r="D155" s="719">
        <v>0</v>
      </c>
      <c r="E155" s="720" t="s">
        <v>247</v>
      </c>
      <c r="F155" s="721">
        <v>20</v>
      </c>
      <c r="G155" s="714" t="s">
        <v>23</v>
      </c>
      <c r="H155" s="714" t="s">
        <v>341</v>
      </c>
      <c r="I155" s="714" t="s">
        <v>87</v>
      </c>
    </row>
    <row r="156" spans="1:9" x14ac:dyDescent="0.25">
      <c r="A156" s="715" t="s">
        <v>332</v>
      </c>
      <c r="B156" s="724"/>
      <c r="C156" s="714"/>
      <c r="D156" s="719"/>
      <c r="E156" s="719"/>
      <c r="F156" s="721"/>
      <c r="G156" s="714"/>
      <c r="H156" s="714"/>
      <c r="I156" s="714"/>
    </row>
    <row r="157" spans="1:9" x14ac:dyDescent="0.25">
      <c r="A157" s="717" t="s">
        <v>870</v>
      </c>
      <c r="B157" s="718">
        <v>0.5625</v>
      </c>
      <c r="C157" s="714" t="s">
        <v>106</v>
      </c>
      <c r="D157" s="719">
        <v>47</v>
      </c>
      <c r="E157" s="720" t="s">
        <v>247</v>
      </c>
      <c r="F157" s="721">
        <v>24</v>
      </c>
      <c r="G157" s="714" t="s">
        <v>165</v>
      </c>
      <c r="H157" s="714" t="s">
        <v>253</v>
      </c>
      <c r="I157" s="714" t="s">
        <v>146</v>
      </c>
    </row>
    <row r="158" spans="1:9" x14ac:dyDescent="0.25">
      <c r="A158" s="717" t="s">
        <v>870</v>
      </c>
      <c r="B158" s="718">
        <v>0.6875</v>
      </c>
      <c r="C158" s="714" t="s">
        <v>28</v>
      </c>
      <c r="D158" s="719">
        <v>35</v>
      </c>
      <c r="E158" s="720" t="s">
        <v>247</v>
      </c>
      <c r="F158" s="721">
        <v>6</v>
      </c>
      <c r="G158" s="714" t="s">
        <v>22</v>
      </c>
      <c r="H158" s="714" t="s">
        <v>250</v>
      </c>
      <c r="I158" s="714" t="s">
        <v>146</v>
      </c>
    </row>
    <row r="159" spans="1:9" x14ac:dyDescent="0.25">
      <c r="A159" s="715" t="s">
        <v>114</v>
      </c>
      <c r="B159" s="724"/>
      <c r="C159" s="714"/>
      <c r="D159" s="719"/>
      <c r="E159" s="719"/>
      <c r="F159" s="721"/>
      <c r="G159" s="714"/>
      <c r="H159" s="714"/>
      <c r="I159" s="714"/>
    </row>
    <row r="160" spans="1:9" x14ac:dyDescent="0.25">
      <c r="A160" s="717" t="s">
        <v>871</v>
      </c>
      <c r="B160" s="718">
        <v>0.77083333333333337</v>
      </c>
      <c r="C160" s="714" t="s">
        <v>28</v>
      </c>
      <c r="D160" s="719">
        <v>19</v>
      </c>
      <c r="E160" s="720" t="s">
        <v>247</v>
      </c>
      <c r="F160" s="721">
        <v>13</v>
      </c>
      <c r="G160" s="714" t="s">
        <v>106</v>
      </c>
      <c r="H160" s="714" t="s">
        <v>719</v>
      </c>
      <c r="I160" s="714" t="s">
        <v>146</v>
      </c>
    </row>
    <row r="161" spans="1:7" x14ac:dyDescent="0.25">
      <c r="A161" s="851" t="s">
        <v>895</v>
      </c>
    </row>
    <row r="162" spans="1:7" x14ac:dyDescent="0.25">
      <c r="C162" s="118">
        <f>SUM(D2:D160)</f>
        <v>3531</v>
      </c>
      <c r="G162" s="118">
        <f>SUM(F2:F160)</f>
        <v>2743</v>
      </c>
    </row>
    <row r="163" spans="1:7" x14ac:dyDescent="0.25">
      <c r="G163" s="118">
        <f>SUM(C162+G162)</f>
        <v>6274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OO48"/>
  <sheetViews>
    <sheetView workbookViewId="0">
      <pane ySplit="2" topLeftCell="A3" activePane="bottomLeft" state="frozen"/>
      <selection pane="bottomLeft" activeCell="V27" sqref="V27"/>
    </sheetView>
  </sheetViews>
  <sheetFormatPr defaultColWidth="8.875" defaultRowHeight="14.3" x14ac:dyDescent="0.25"/>
  <cols>
    <col min="1" max="1" width="8.75" customWidth="1"/>
    <col min="2" max="2" width="5.75" customWidth="1"/>
    <col min="3" max="3" width="14" customWidth="1"/>
    <col min="4" max="16" width="3.75" customWidth="1"/>
    <col min="17" max="17" width="3.875" customWidth="1"/>
    <col min="18" max="18" width="3.75" customWidth="1"/>
    <col min="19" max="20" width="5.75" customWidth="1"/>
    <col min="21" max="21" width="22" customWidth="1"/>
    <col min="22" max="22" width="22.375" bestFit="1" customWidth="1"/>
    <col min="23" max="23" width="21" customWidth="1"/>
    <col min="24" max="24" width="26.25" bestFit="1" customWidth="1"/>
    <col min="25" max="40" width="3.75" customWidth="1"/>
    <col min="41" max="42" width="15.75" customWidth="1"/>
    <col min="43" max="43" width="8.875" customWidth="1"/>
    <col min="44" max="45" width="10.875" bestFit="1" customWidth="1"/>
    <col min="46" max="46" width="6.375" customWidth="1"/>
    <col min="47" max="47" width="10.875" customWidth="1"/>
    <col min="48" max="48" width="6.375" customWidth="1"/>
    <col min="49" max="49" width="10.875" customWidth="1"/>
    <col min="50" max="50" width="6.375" customWidth="1"/>
    <col min="51" max="51" width="10.875" customWidth="1"/>
    <col min="52" max="52" width="6.375" customWidth="1"/>
  </cols>
  <sheetData>
    <row r="1" spans="1:1013 1026:2037 2050:3061 3074:4085 4098:5109 5122:6133 6146:7157 7170:8181 8194:9205 9218:10229 10242:11221" ht="14.95" customHeight="1" thickBot="1" x14ac:dyDescent="0.3">
      <c r="A1" s="994" t="s">
        <v>275</v>
      </c>
      <c r="B1" s="995"/>
      <c r="C1" s="995"/>
      <c r="D1" s="996"/>
      <c r="E1" s="991" t="s">
        <v>70</v>
      </c>
      <c r="F1" s="992"/>
      <c r="G1" s="993"/>
      <c r="H1" s="991" t="s">
        <v>69</v>
      </c>
      <c r="I1" s="993"/>
      <c r="J1" s="997" t="s">
        <v>40</v>
      </c>
      <c r="K1" s="998"/>
      <c r="L1" s="998"/>
      <c r="M1" s="999"/>
      <c r="N1" s="997" t="s">
        <v>41</v>
      </c>
      <c r="O1" s="999"/>
      <c r="P1" s="997" t="s">
        <v>72</v>
      </c>
      <c r="Q1" s="998"/>
      <c r="R1" s="999"/>
      <c r="S1" s="930" t="s">
        <v>42</v>
      </c>
      <c r="T1" s="930" t="s">
        <v>43</v>
      </c>
      <c r="U1" s="931" t="s">
        <v>44</v>
      </c>
      <c r="V1" s="932" t="s">
        <v>45</v>
      </c>
      <c r="W1" s="933" t="s">
        <v>101</v>
      </c>
      <c r="X1" s="934" t="s">
        <v>102</v>
      </c>
      <c r="Y1" s="1013" t="s">
        <v>64</v>
      </c>
      <c r="Z1" s="1014"/>
      <c r="AA1" s="1014"/>
      <c r="AB1" s="1015"/>
      <c r="AC1" s="1013" t="s">
        <v>65</v>
      </c>
      <c r="AD1" s="1014"/>
      <c r="AE1" s="1014"/>
      <c r="AF1" s="1015"/>
      <c r="AG1" s="1013" t="s">
        <v>66</v>
      </c>
      <c r="AH1" s="1014"/>
      <c r="AI1" s="1014"/>
      <c r="AJ1" s="1015"/>
      <c r="AK1" s="1013" t="s">
        <v>137</v>
      </c>
      <c r="AL1" s="1014"/>
      <c r="AM1" s="1014"/>
      <c r="AN1" s="1014"/>
    </row>
    <row r="2" spans="1:1013 1026:2037 2050:3061 3074:4085 4098:5109 5122:6133 6146:7157 7170:8181 8194:9205 9218:10229 10242:11221" ht="14.95" customHeight="1" thickBot="1" x14ac:dyDescent="0.3">
      <c r="A2" s="935" t="s">
        <v>62</v>
      </c>
      <c r="B2" s="936" t="s">
        <v>61</v>
      </c>
      <c r="C2" s="937" t="s">
        <v>60</v>
      </c>
      <c r="D2" s="937" t="s">
        <v>71</v>
      </c>
      <c r="E2" s="938" t="s">
        <v>50</v>
      </c>
      <c r="F2" s="938" t="s">
        <v>35</v>
      </c>
      <c r="G2" s="938" t="s">
        <v>36</v>
      </c>
      <c r="H2" s="939" t="s">
        <v>67</v>
      </c>
      <c r="I2" s="939" t="s">
        <v>68</v>
      </c>
      <c r="J2" s="939" t="s">
        <v>46</v>
      </c>
      <c r="K2" s="939" t="s">
        <v>47</v>
      </c>
      <c r="L2" s="939" t="s">
        <v>33</v>
      </c>
      <c r="M2" s="939" t="s">
        <v>48</v>
      </c>
      <c r="N2" s="939" t="s">
        <v>49</v>
      </c>
      <c r="O2" s="939" t="s">
        <v>50</v>
      </c>
      <c r="P2" s="939" t="s">
        <v>67</v>
      </c>
      <c r="Q2" s="939" t="s">
        <v>68</v>
      </c>
      <c r="R2" s="939" t="s">
        <v>46</v>
      </c>
      <c r="S2" s="940"/>
      <c r="T2" s="941"/>
      <c r="U2" s="942"/>
      <c r="V2" s="940"/>
      <c r="W2" s="943"/>
      <c r="X2" s="944"/>
      <c r="Y2" s="945" t="s">
        <v>31</v>
      </c>
      <c r="Z2" s="945" t="s">
        <v>32</v>
      </c>
      <c r="AA2" s="945" t="s">
        <v>33</v>
      </c>
      <c r="AB2" s="945" t="s">
        <v>34</v>
      </c>
      <c r="AC2" s="945" t="s">
        <v>31</v>
      </c>
      <c r="AD2" s="945" t="s">
        <v>32</v>
      </c>
      <c r="AE2" s="945" t="s">
        <v>33</v>
      </c>
      <c r="AF2" s="945" t="s">
        <v>34</v>
      </c>
      <c r="AG2" s="945" t="s">
        <v>31</v>
      </c>
      <c r="AH2" s="945" t="s">
        <v>32</v>
      </c>
      <c r="AI2" s="945" t="s">
        <v>33</v>
      </c>
      <c r="AJ2" s="946" t="s">
        <v>34</v>
      </c>
      <c r="AK2" s="945" t="s">
        <v>31</v>
      </c>
      <c r="AL2" s="945" t="s">
        <v>32</v>
      </c>
      <c r="AM2" s="945" t="s">
        <v>33</v>
      </c>
      <c r="AN2" s="946" t="s">
        <v>34</v>
      </c>
      <c r="AP2" s="568" t="s">
        <v>183</v>
      </c>
      <c r="AS2" s="568" t="s">
        <v>183</v>
      </c>
    </row>
    <row r="3" spans="1:1013 1026:2037 2050:3061 3074:4085 4098:5109 5122:6133 6146:7157 7170:8181 8194:9205 9218:10229 10242:11221" s="117" customFormat="1" ht="14.95" customHeight="1" thickBot="1" x14ac:dyDescent="0.3">
      <c r="A3" s="581" t="s">
        <v>231</v>
      </c>
      <c r="B3" s="554" t="s">
        <v>222</v>
      </c>
      <c r="C3" s="555" t="s">
        <v>28</v>
      </c>
      <c r="D3" s="556" t="s">
        <v>36</v>
      </c>
      <c r="E3" s="556" t="s">
        <v>34</v>
      </c>
      <c r="F3" s="556">
        <v>14</v>
      </c>
      <c r="G3" s="556">
        <v>28</v>
      </c>
      <c r="H3" s="556">
        <v>0</v>
      </c>
      <c r="I3" s="556">
        <v>0</v>
      </c>
      <c r="J3" s="556">
        <v>2</v>
      </c>
      <c r="K3" s="556">
        <v>2</v>
      </c>
      <c r="L3" s="556">
        <v>0</v>
      </c>
      <c r="M3" s="556">
        <v>0</v>
      </c>
      <c r="N3" s="556">
        <v>0</v>
      </c>
      <c r="O3" s="556">
        <v>0</v>
      </c>
      <c r="P3" s="556">
        <v>1</v>
      </c>
      <c r="Q3" s="556">
        <v>0</v>
      </c>
      <c r="R3" s="556">
        <v>4</v>
      </c>
      <c r="S3" s="612">
        <v>9772</v>
      </c>
      <c r="T3" s="563" t="s">
        <v>309</v>
      </c>
      <c r="U3" s="559" t="s">
        <v>308</v>
      </c>
      <c r="V3" s="557" t="s">
        <v>330</v>
      </c>
      <c r="W3" s="557" t="s">
        <v>316</v>
      </c>
      <c r="X3" s="558" t="s">
        <v>317</v>
      </c>
      <c r="Y3" s="557">
        <v>1</v>
      </c>
      <c r="Z3" s="557">
        <v>0</v>
      </c>
      <c r="AA3" s="557">
        <v>0</v>
      </c>
      <c r="AB3" s="583">
        <v>1</v>
      </c>
      <c r="AC3" s="557">
        <v>0</v>
      </c>
      <c r="AD3" s="557">
        <v>0</v>
      </c>
      <c r="AE3" s="557">
        <v>0</v>
      </c>
      <c r="AF3" s="583">
        <v>0</v>
      </c>
      <c r="AG3" s="557">
        <v>1</v>
      </c>
      <c r="AH3" s="557">
        <v>0</v>
      </c>
      <c r="AI3" s="557">
        <v>0</v>
      </c>
      <c r="AJ3" s="558">
        <v>1</v>
      </c>
      <c r="AK3" s="557">
        <v>0</v>
      </c>
      <c r="AL3" s="557">
        <v>0</v>
      </c>
      <c r="AM3" s="557">
        <v>0</v>
      </c>
      <c r="AN3" s="558">
        <v>0</v>
      </c>
      <c r="AO3"/>
      <c r="AP3" s="507" t="s">
        <v>171</v>
      </c>
      <c r="AQ3" s="4"/>
      <c r="AR3" s="4"/>
      <c r="AS3" s="4" t="s">
        <v>87</v>
      </c>
      <c r="AT3" s="4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 s="99"/>
      <c r="ACM3" s="99"/>
      <c r="ACN3" s="99"/>
      <c r="ACO3" s="99"/>
      <c r="ACP3" s="99"/>
      <c r="ACQ3" s="99"/>
      <c r="ACR3" s="99"/>
      <c r="ACS3" s="99"/>
      <c r="ACT3" s="99"/>
      <c r="ACU3" s="99"/>
      <c r="ACV3" s="99"/>
      <c r="ACW3" s="99"/>
      <c r="ACX3" s="99"/>
      <c r="ACY3" s="99"/>
      <c r="ACZ3" s="99"/>
      <c r="ADA3" s="99"/>
      <c r="ADB3" s="99"/>
      <c r="ADC3" s="99"/>
      <c r="ADD3" s="99"/>
      <c r="ADE3" s="99"/>
      <c r="ADF3" s="99"/>
      <c r="ADG3" s="99"/>
      <c r="ADH3" s="99"/>
      <c r="ADI3" s="99"/>
      <c r="ADJ3" s="99"/>
      <c r="ADK3" s="99"/>
      <c r="ADL3" s="99"/>
      <c r="ADM3" s="99"/>
      <c r="ADN3" s="99"/>
      <c r="ADO3" s="99"/>
      <c r="ADP3" s="99"/>
      <c r="ADQ3" s="99"/>
      <c r="ADR3" s="99"/>
      <c r="ADS3" s="99"/>
      <c r="ADT3" s="99"/>
      <c r="ADU3" s="99"/>
      <c r="ADV3" s="99"/>
      <c r="ADW3" s="99"/>
      <c r="ADX3" s="99"/>
      <c r="ADY3" s="99"/>
      <c r="ADZ3" s="99"/>
      <c r="AEA3" s="99"/>
      <c r="AEB3" s="99"/>
      <c r="AEC3" s="99"/>
      <c r="AED3" s="99"/>
      <c r="AEE3" s="99"/>
      <c r="AEF3" s="99"/>
      <c r="AEG3" s="99"/>
      <c r="AEH3" s="99"/>
      <c r="AEI3" s="99"/>
      <c r="AEJ3" s="99"/>
      <c r="AEK3" s="99"/>
      <c r="AEL3" s="99"/>
      <c r="AEM3" s="99"/>
      <c r="AEN3" s="99"/>
      <c r="AEO3" s="99"/>
      <c r="AEP3" s="99"/>
      <c r="AEQ3" s="99"/>
      <c r="AER3" s="99"/>
      <c r="AES3" s="99"/>
      <c r="AET3" s="99"/>
      <c r="AEU3" s="99"/>
      <c r="AEV3" s="99"/>
      <c r="AEW3" s="99"/>
      <c r="AEX3" s="99"/>
      <c r="AEY3" s="99"/>
      <c r="AEZ3" s="99"/>
      <c r="AFA3" s="99"/>
      <c r="AFB3" s="99"/>
      <c r="AFC3" s="99"/>
      <c r="AFD3" s="99"/>
      <c r="AFE3" s="99"/>
      <c r="AFF3" s="99"/>
      <c r="AFG3" s="99"/>
      <c r="AFH3" s="99"/>
      <c r="AFI3" s="99"/>
      <c r="AFJ3" s="99"/>
      <c r="AFK3" s="99"/>
      <c r="AFL3" s="99"/>
      <c r="AFM3" s="99"/>
      <c r="AFN3" s="99"/>
      <c r="AFO3" s="99"/>
      <c r="AFP3" s="99"/>
      <c r="AFQ3" s="99"/>
      <c r="AFR3" s="99"/>
      <c r="AFS3" s="99"/>
      <c r="AFT3" s="99"/>
      <c r="AFU3" s="99"/>
      <c r="AFV3" s="99"/>
      <c r="AFW3" s="99"/>
      <c r="AFX3" s="99"/>
      <c r="AFY3" s="99"/>
      <c r="AFZ3" s="99"/>
      <c r="AGA3" s="99"/>
      <c r="AGB3" s="99"/>
      <c r="AGC3" s="99"/>
      <c r="AGD3" s="99"/>
      <c r="AGE3" s="99"/>
      <c r="AGF3" s="99"/>
      <c r="AGG3" s="99"/>
      <c r="AGH3" s="99"/>
      <c r="AGI3" s="99"/>
      <c r="AGJ3" s="99"/>
      <c r="AGK3" s="99"/>
      <c r="AGL3" s="99"/>
      <c r="AGM3" s="99"/>
      <c r="AGN3" s="99"/>
      <c r="AGO3" s="99"/>
      <c r="AGP3" s="99"/>
      <c r="AGQ3" s="99"/>
      <c r="AGR3" s="99"/>
      <c r="AGS3" s="99"/>
      <c r="AGT3" s="99"/>
      <c r="AGU3" s="99"/>
      <c r="AGV3" s="99"/>
      <c r="AGW3" s="99"/>
      <c r="AGX3" s="99"/>
      <c r="AGY3" s="99"/>
      <c r="AGZ3" s="99"/>
      <c r="AHA3" s="99"/>
      <c r="AHB3" s="99"/>
      <c r="AHC3" s="99"/>
      <c r="AHD3" s="99"/>
      <c r="AHE3" s="99"/>
      <c r="AHF3" s="99"/>
      <c r="AHG3" s="99"/>
      <c r="AHH3" s="99"/>
      <c r="AHI3" s="99"/>
      <c r="AHJ3" s="99"/>
      <c r="AHK3" s="99"/>
      <c r="AHL3" s="99"/>
      <c r="AHM3" s="99"/>
      <c r="AHN3" s="99"/>
      <c r="AHO3" s="99"/>
      <c r="AHP3" s="99"/>
      <c r="AHQ3" s="99"/>
      <c r="AHR3" s="99"/>
      <c r="AHS3" s="99"/>
      <c r="AHT3" s="99"/>
      <c r="AHU3" s="99"/>
      <c r="AHV3" s="99"/>
      <c r="AHW3" s="99"/>
      <c r="AHX3" s="99"/>
      <c r="AHY3" s="99"/>
      <c r="AHZ3" s="99"/>
      <c r="AIA3" s="99"/>
      <c r="AIB3" s="99"/>
      <c r="AIC3" s="99"/>
      <c r="AID3" s="99"/>
      <c r="AIE3" s="99"/>
      <c r="AIF3" s="99"/>
      <c r="AIG3" s="99"/>
      <c r="AIH3" s="99"/>
      <c r="AII3" s="99"/>
      <c r="AIJ3" s="99"/>
      <c r="AIK3" s="99"/>
      <c r="AIL3" s="99"/>
      <c r="AIM3" s="99"/>
      <c r="AIN3" s="99"/>
      <c r="AIO3" s="99"/>
      <c r="AIP3" s="99"/>
      <c r="AIQ3" s="99"/>
      <c r="AIR3" s="99"/>
      <c r="AIS3" s="99"/>
      <c r="AIT3" s="99"/>
      <c r="AIU3" s="99"/>
      <c r="AIV3" s="99"/>
      <c r="AIW3" s="99"/>
      <c r="AIX3" s="99"/>
      <c r="AIY3" s="99"/>
      <c r="AIZ3" s="99"/>
      <c r="AJA3" s="99"/>
      <c r="AJB3" s="99"/>
      <c r="AJC3" s="99"/>
      <c r="AJD3" s="99"/>
      <c r="AJE3" s="99"/>
      <c r="AJF3" s="99"/>
      <c r="AJG3" s="99"/>
      <c r="AJH3" s="99"/>
      <c r="AJI3" s="99"/>
      <c r="AJJ3" s="99"/>
      <c r="AJK3" s="99"/>
      <c r="AJL3" s="99"/>
      <c r="AJM3" s="99"/>
      <c r="AJN3" s="99"/>
      <c r="AJO3" s="99"/>
      <c r="AJP3" s="99"/>
      <c r="AJQ3" s="99"/>
      <c r="AJR3" s="99"/>
      <c r="AJS3" s="99"/>
      <c r="AJT3" s="99"/>
      <c r="AJU3" s="99"/>
      <c r="AJV3" s="99"/>
      <c r="AJW3" s="99"/>
      <c r="AJX3" s="99"/>
      <c r="AJY3" s="99"/>
      <c r="AJZ3" s="99"/>
      <c r="AKA3" s="99"/>
      <c r="AKB3" s="99"/>
      <c r="AKC3" s="99"/>
      <c r="AKD3" s="99"/>
      <c r="AKE3" s="99"/>
      <c r="AKF3" s="99"/>
      <c r="AKG3" s="99"/>
      <c r="AKH3" s="99"/>
      <c r="AKI3" s="99"/>
      <c r="AKJ3" s="99"/>
      <c r="AKK3" s="99"/>
      <c r="AKL3" s="99"/>
      <c r="AKM3" s="99"/>
      <c r="AKN3" s="99"/>
      <c r="AKO3" s="99"/>
      <c r="AKP3" s="99"/>
      <c r="AKQ3" s="99"/>
      <c r="AKR3" s="99"/>
      <c r="AKS3" s="99"/>
      <c r="AKT3" s="99"/>
      <c r="AKU3" s="99"/>
      <c r="AKV3" s="99"/>
      <c r="AKW3" s="99"/>
      <c r="AKX3" s="99"/>
      <c r="AKY3" s="99"/>
      <c r="AKZ3" s="99"/>
      <c r="ALA3" s="99"/>
      <c r="ALB3" s="99"/>
      <c r="ALC3" s="99"/>
      <c r="ALD3" s="99"/>
      <c r="ALE3" s="99"/>
      <c r="ALF3" s="99"/>
      <c r="ALG3" s="99"/>
      <c r="ALH3" s="99"/>
      <c r="ALI3" s="99"/>
      <c r="ALJ3" s="99"/>
      <c r="ALK3" s="99"/>
      <c r="ALL3" s="99"/>
      <c r="ALM3" s="99"/>
      <c r="ALN3" s="99"/>
      <c r="ALO3" s="99"/>
      <c r="ALP3" s="99"/>
      <c r="ALQ3" s="99"/>
      <c r="ALR3" s="99"/>
      <c r="ALS3" s="99"/>
      <c r="ALT3" s="99"/>
      <c r="ALU3" s="99"/>
      <c r="ALV3" s="99"/>
      <c r="ALW3" s="99"/>
      <c r="ALX3" s="99"/>
      <c r="ALY3" s="99"/>
      <c r="AML3" s="99"/>
      <c r="AMM3" s="99"/>
      <c r="AMN3" s="99"/>
      <c r="AMO3" s="99"/>
      <c r="AMP3" s="99"/>
      <c r="AMQ3" s="99"/>
      <c r="AMR3" s="99"/>
      <c r="AMS3" s="99"/>
      <c r="AMT3" s="99"/>
      <c r="AMU3" s="99"/>
      <c r="AMV3" s="99"/>
      <c r="AMW3" s="99"/>
      <c r="AMX3" s="99"/>
      <c r="AMY3" s="99"/>
      <c r="AMZ3" s="99"/>
      <c r="ANA3" s="99"/>
      <c r="ANB3" s="99"/>
      <c r="ANC3" s="99"/>
      <c r="AND3" s="99"/>
      <c r="ANE3" s="99"/>
      <c r="ANF3" s="99"/>
      <c r="ANG3" s="99"/>
      <c r="ANH3" s="99"/>
      <c r="ANI3" s="99"/>
      <c r="ANJ3" s="99"/>
      <c r="ANK3" s="99"/>
      <c r="ANL3" s="99"/>
      <c r="ANM3" s="99"/>
      <c r="ANN3" s="99"/>
      <c r="ANO3" s="99"/>
      <c r="ANP3" s="99"/>
      <c r="ANQ3" s="99"/>
      <c r="ANR3" s="99"/>
      <c r="ANS3" s="99"/>
      <c r="ANT3" s="99"/>
      <c r="ANU3" s="99"/>
      <c r="ANV3" s="99"/>
      <c r="ANW3" s="99"/>
      <c r="ANX3" s="99"/>
      <c r="ANY3" s="99"/>
      <c r="ANZ3" s="99"/>
      <c r="AOA3" s="99"/>
      <c r="AOB3" s="99"/>
      <c r="AOC3" s="99"/>
      <c r="AOD3" s="99"/>
      <c r="AOE3" s="99"/>
      <c r="AOF3" s="99"/>
      <c r="AOG3" s="99"/>
      <c r="AOH3" s="99"/>
      <c r="AOI3" s="99"/>
      <c r="AOJ3" s="99"/>
      <c r="AOK3" s="99"/>
      <c r="AOL3" s="99"/>
      <c r="AOM3" s="99"/>
      <c r="AON3" s="99"/>
      <c r="AOO3" s="99"/>
      <c r="AOP3" s="99"/>
      <c r="AOQ3" s="99"/>
      <c r="AOR3" s="99"/>
      <c r="AOS3" s="99"/>
      <c r="AOT3" s="99"/>
      <c r="AOU3" s="99"/>
      <c r="AOV3" s="99"/>
      <c r="AOW3" s="99"/>
      <c r="AOX3" s="99"/>
      <c r="AOY3" s="99"/>
      <c r="AOZ3" s="99"/>
      <c r="APA3" s="99"/>
      <c r="APB3" s="99"/>
      <c r="APC3" s="99"/>
      <c r="APD3" s="99"/>
      <c r="APE3" s="99"/>
      <c r="APF3" s="99"/>
      <c r="APG3" s="99"/>
      <c r="APH3" s="99"/>
      <c r="API3" s="99"/>
      <c r="APJ3" s="99"/>
      <c r="APK3" s="99"/>
      <c r="APL3" s="99"/>
      <c r="APM3" s="99"/>
      <c r="APN3" s="99"/>
      <c r="APO3" s="99"/>
      <c r="APP3" s="99"/>
      <c r="APQ3" s="99"/>
      <c r="APR3" s="99"/>
      <c r="APS3" s="99"/>
      <c r="APT3" s="99"/>
      <c r="APU3" s="99"/>
      <c r="APV3" s="99"/>
      <c r="APW3" s="99"/>
      <c r="APX3" s="99"/>
      <c r="APY3" s="99"/>
      <c r="APZ3" s="99"/>
      <c r="AQA3" s="99"/>
      <c r="AQB3" s="99"/>
      <c r="AQC3" s="99"/>
      <c r="AQD3" s="99"/>
      <c r="AQE3" s="99"/>
      <c r="AQF3" s="99"/>
      <c r="AQG3" s="99"/>
      <c r="AQH3" s="99"/>
      <c r="AQI3" s="99"/>
      <c r="AQJ3" s="99"/>
      <c r="AQK3" s="99"/>
      <c r="AQL3" s="99"/>
      <c r="AQM3" s="99"/>
      <c r="AQN3" s="99"/>
      <c r="AQO3" s="99"/>
      <c r="AQP3" s="99"/>
      <c r="AQQ3" s="99"/>
      <c r="AQR3" s="99"/>
      <c r="AQS3" s="99"/>
      <c r="AQT3" s="99"/>
      <c r="AQU3" s="99"/>
      <c r="AQV3" s="99"/>
      <c r="AQW3" s="99"/>
      <c r="AQX3" s="99"/>
      <c r="AQY3" s="99"/>
      <c r="AQZ3" s="99"/>
      <c r="ARA3" s="99"/>
      <c r="ARB3" s="99"/>
      <c r="ARC3" s="99"/>
      <c r="ARD3" s="99"/>
      <c r="ARE3" s="99"/>
      <c r="ARF3" s="99"/>
      <c r="ARG3" s="99"/>
      <c r="ARH3" s="99"/>
      <c r="ARI3" s="99"/>
      <c r="ARJ3" s="99"/>
      <c r="ARK3" s="99"/>
      <c r="ARL3" s="99"/>
      <c r="ARM3" s="99"/>
      <c r="ARN3" s="99"/>
      <c r="ARO3" s="99"/>
      <c r="ARP3" s="99"/>
      <c r="ARQ3" s="99"/>
      <c r="ARR3" s="99"/>
      <c r="ARS3" s="99"/>
      <c r="ART3" s="99"/>
      <c r="ARU3" s="99"/>
      <c r="ARV3" s="99"/>
      <c r="ARW3" s="99"/>
      <c r="ARX3" s="99"/>
      <c r="ARY3" s="99"/>
      <c r="ARZ3" s="99"/>
      <c r="ASA3" s="99"/>
      <c r="ASB3" s="99"/>
      <c r="ASC3" s="99"/>
      <c r="ASD3" s="99"/>
      <c r="ASE3" s="99"/>
      <c r="ASF3" s="99"/>
      <c r="ASG3" s="99"/>
      <c r="ASH3" s="99"/>
      <c r="ASI3" s="99"/>
      <c r="ASJ3" s="99"/>
      <c r="ASK3" s="99"/>
      <c r="ASL3" s="99"/>
      <c r="ASM3" s="99"/>
      <c r="ASN3" s="99"/>
      <c r="ASO3" s="99"/>
      <c r="ASP3" s="99"/>
      <c r="ASQ3" s="99"/>
      <c r="ASR3" s="99"/>
      <c r="ASS3" s="99"/>
      <c r="AST3" s="99"/>
      <c r="ASU3" s="99"/>
      <c r="ASV3" s="99"/>
      <c r="ASW3" s="99"/>
      <c r="ASX3" s="99"/>
      <c r="ASY3" s="99"/>
      <c r="ASZ3" s="99"/>
      <c r="ATA3" s="99"/>
      <c r="ATB3" s="99"/>
      <c r="ATC3" s="99"/>
      <c r="ATD3" s="99"/>
      <c r="ATE3" s="99"/>
      <c r="ATF3" s="99"/>
      <c r="ATG3" s="99"/>
      <c r="ATH3" s="99"/>
      <c r="ATI3" s="99"/>
      <c r="ATJ3" s="99"/>
      <c r="ATK3" s="99"/>
      <c r="ATL3" s="99"/>
      <c r="ATM3" s="99"/>
      <c r="ATN3" s="99"/>
      <c r="ATO3" s="99"/>
      <c r="ATP3" s="99"/>
      <c r="ATQ3" s="99"/>
      <c r="ATR3" s="99"/>
      <c r="ATS3" s="99"/>
      <c r="ATT3" s="99"/>
      <c r="ATU3" s="99"/>
      <c r="ATV3" s="99"/>
      <c r="ATW3" s="99"/>
      <c r="ATX3" s="99"/>
      <c r="ATY3" s="99"/>
      <c r="ATZ3" s="99"/>
      <c r="AUA3" s="99"/>
      <c r="AUB3" s="99"/>
      <c r="AUC3" s="99"/>
      <c r="AUD3" s="99"/>
      <c r="AUE3" s="99"/>
      <c r="AUF3" s="99"/>
      <c r="AUG3" s="99"/>
      <c r="AUH3" s="99"/>
      <c r="AUI3" s="99"/>
      <c r="AUJ3" s="99"/>
      <c r="AUK3" s="99"/>
      <c r="AUL3" s="99"/>
      <c r="AUM3" s="99"/>
      <c r="AUN3" s="99"/>
      <c r="AUO3" s="99"/>
      <c r="AUP3" s="99"/>
      <c r="AUQ3" s="99"/>
      <c r="AUR3" s="99"/>
      <c r="AUS3" s="99"/>
      <c r="AUT3" s="99"/>
      <c r="AUU3" s="99"/>
      <c r="AUV3" s="99"/>
      <c r="AUW3" s="99"/>
      <c r="AUX3" s="99"/>
      <c r="AUY3" s="99"/>
      <c r="AUZ3" s="99"/>
      <c r="AVA3" s="99"/>
      <c r="AVB3" s="99"/>
      <c r="AVC3" s="99"/>
      <c r="AVD3" s="99"/>
      <c r="AVE3" s="99"/>
      <c r="AVF3" s="99"/>
      <c r="AVG3" s="99"/>
      <c r="AVH3" s="99"/>
      <c r="AVI3" s="99"/>
      <c r="AVJ3" s="99"/>
      <c r="AVK3" s="99"/>
      <c r="AVL3" s="99"/>
      <c r="AVM3" s="99"/>
      <c r="AVN3" s="99"/>
      <c r="AVO3" s="99"/>
      <c r="AVP3" s="99"/>
      <c r="AVQ3" s="99"/>
      <c r="AVR3" s="99"/>
      <c r="AVS3" s="99"/>
      <c r="AVT3" s="99"/>
      <c r="AVU3" s="99"/>
      <c r="AVV3" s="99"/>
      <c r="AVW3" s="99"/>
      <c r="AVX3" s="99"/>
      <c r="AVY3" s="99"/>
      <c r="AVZ3" s="99"/>
      <c r="AWA3" s="99"/>
      <c r="AWB3" s="99"/>
      <c r="AWC3" s="99"/>
      <c r="AWD3" s="99"/>
      <c r="AWE3" s="99"/>
      <c r="AWF3" s="99"/>
      <c r="AWG3" s="99"/>
      <c r="AWH3" s="99"/>
      <c r="AWI3" s="99"/>
      <c r="AWJ3" s="99"/>
      <c r="AWK3" s="99"/>
      <c r="AWL3" s="99"/>
      <c r="AWM3" s="99"/>
      <c r="AWN3" s="99"/>
      <c r="AWO3" s="99"/>
      <c r="AWP3" s="99"/>
      <c r="AWQ3" s="99"/>
      <c r="AWR3" s="99"/>
      <c r="AWS3" s="99"/>
      <c r="AWT3" s="99"/>
      <c r="AWU3" s="99"/>
      <c r="AWV3" s="99"/>
      <c r="AWW3" s="99"/>
      <c r="AWX3" s="99"/>
      <c r="AWY3" s="99"/>
      <c r="AWZ3" s="99"/>
      <c r="AXA3" s="99"/>
      <c r="AXB3" s="99"/>
      <c r="AXC3" s="99"/>
      <c r="AXD3" s="99"/>
      <c r="AXE3" s="99"/>
      <c r="AXF3" s="99"/>
      <c r="AXG3" s="99"/>
      <c r="AXH3" s="99"/>
      <c r="AXI3" s="99"/>
      <c r="AXJ3" s="99"/>
      <c r="AXK3" s="99"/>
      <c r="AXL3" s="99"/>
      <c r="AXM3" s="99"/>
      <c r="AXN3" s="99"/>
      <c r="AXO3" s="99"/>
      <c r="AXP3" s="99"/>
      <c r="AXQ3" s="99"/>
      <c r="AXR3" s="99"/>
      <c r="AXS3" s="99"/>
      <c r="AXT3" s="99"/>
      <c r="AXU3" s="99"/>
      <c r="AXV3" s="99"/>
      <c r="AXW3" s="99"/>
      <c r="AXX3" s="99"/>
      <c r="AXY3" s="99"/>
      <c r="AXZ3" s="99"/>
      <c r="AYA3" s="99"/>
      <c r="AYB3" s="99"/>
      <c r="AYC3" s="99"/>
      <c r="AYD3" s="99"/>
      <c r="AYE3" s="99"/>
      <c r="AYF3" s="99"/>
      <c r="AYG3" s="99"/>
      <c r="AYH3" s="99"/>
      <c r="AYI3" s="99"/>
      <c r="AYJ3" s="99"/>
      <c r="AYK3" s="99"/>
      <c r="AYL3" s="99"/>
      <c r="AYM3" s="99"/>
      <c r="AYN3" s="99"/>
      <c r="AYO3" s="99"/>
      <c r="AYP3" s="99"/>
      <c r="AYQ3" s="99"/>
      <c r="AYR3" s="99"/>
      <c r="AYS3" s="99"/>
      <c r="AYT3" s="99"/>
      <c r="AYU3" s="99"/>
      <c r="AYV3" s="99"/>
      <c r="AYW3" s="99"/>
      <c r="AYX3" s="99"/>
      <c r="AYY3" s="99"/>
      <c r="AYZ3" s="99"/>
      <c r="AZA3" s="99"/>
      <c r="AZB3" s="99"/>
      <c r="AZC3" s="99"/>
      <c r="AZD3" s="99"/>
      <c r="AZE3" s="99"/>
      <c r="AZF3" s="99"/>
      <c r="AZG3" s="99"/>
      <c r="AZH3" s="99"/>
      <c r="AZI3" s="99"/>
      <c r="AZJ3" s="99"/>
      <c r="AZK3" s="99"/>
      <c r="AZL3" s="99"/>
      <c r="AZM3" s="99"/>
      <c r="AZN3" s="99"/>
      <c r="AZO3" s="99"/>
      <c r="AZP3" s="99"/>
      <c r="AZQ3" s="99"/>
      <c r="AZR3" s="99"/>
      <c r="AZS3" s="99"/>
      <c r="AZT3" s="99"/>
      <c r="AZU3" s="99"/>
      <c r="AZV3" s="99"/>
      <c r="AZW3" s="99"/>
      <c r="AZX3" s="99"/>
      <c r="AZY3" s="99"/>
      <c r="AZZ3" s="99"/>
      <c r="BAA3" s="99"/>
      <c r="BAB3" s="99"/>
      <c r="BAC3" s="99"/>
      <c r="BAD3" s="99"/>
      <c r="BAE3" s="99"/>
      <c r="BAF3" s="99"/>
      <c r="BAG3" s="99"/>
      <c r="BAH3" s="99"/>
      <c r="BAI3" s="99"/>
      <c r="BAJ3" s="99"/>
      <c r="BAK3" s="99"/>
      <c r="BAL3" s="99"/>
      <c r="BAM3" s="99"/>
      <c r="BAN3" s="99"/>
      <c r="BAO3" s="99"/>
      <c r="BAP3" s="99"/>
      <c r="BAQ3" s="99"/>
      <c r="BAR3" s="99"/>
      <c r="BAS3" s="99"/>
      <c r="BAT3" s="99"/>
      <c r="BAU3" s="99"/>
      <c r="BAV3" s="99"/>
      <c r="BAW3" s="99"/>
      <c r="BAX3" s="99"/>
      <c r="BAY3" s="99"/>
      <c r="BAZ3" s="99"/>
      <c r="BBA3" s="99"/>
      <c r="BBB3" s="99"/>
      <c r="BBC3" s="99"/>
      <c r="BBD3" s="99"/>
      <c r="BBE3" s="99"/>
      <c r="BBF3" s="99"/>
      <c r="BBG3" s="99"/>
      <c r="BBH3" s="99"/>
      <c r="BBI3" s="99"/>
      <c r="BBJ3" s="99"/>
      <c r="BBK3" s="99"/>
      <c r="BBL3" s="99"/>
      <c r="BBM3" s="99"/>
      <c r="BBN3" s="99"/>
      <c r="BBO3" s="99"/>
      <c r="BBP3" s="99"/>
      <c r="BBQ3" s="99"/>
      <c r="BBR3" s="99"/>
      <c r="BBS3" s="99"/>
      <c r="BBT3" s="99"/>
      <c r="BBU3" s="99"/>
      <c r="BBV3" s="99"/>
      <c r="BBW3" s="99"/>
      <c r="BBX3" s="99"/>
      <c r="BBY3" s="99"/>
      <c r="BBZ3" s="99"/>
      <c r="BCA3" s="99"/>
      <c r="BCB3" s="99"/>
      <c r="BCC3" s="99"/>
      <c r="BCD3" s="99"/>
      <c r="BCE3" s="99"/>
      <c r="BCF3" s="99"/>
      <c r="BCG3" s="99"/>
      <c r="BCH3" s="99"/>
      <c r="BCI3" s="99"/>
      <c r="BCJ3" s="99"/>
      <c r="BCK3" s="99"/>
      <c r="BCL3" s="99"/>
      <c r="BCM3" s="99"/>
      <c r="BCN3" s="99"/>
      <c r="BCO3" s="99"/>
      <c r="BCP3" s="99"/>
      <c r="BCQ3" s="99"/>
      <c r="BCR3" s="99"/>
      <c r="BCS3" s="99"/>
      <c r="BCT3" s="99"/>
      <c r="BCU3" s="99"/>
      <c r="BCV3" s="99"/>
      <c r="BCW3" s="99"/>
      <c r="BCX3" s="99"/>
      <c r="BCY3" s="99"/>
      <c r="BCZ3" s="99"/>
      <c r="BDA3" s="99"/>
      <c r="BDB3" s="99"/>
      <c r="BDC3" s="99"/>
      <c r="BDD3" s="99"/>
      <c r="BDE3" s="99"/>
      <c r="BDF3" s="99"/>
      <c r="BDG3" s="99"/>
      <c r="BDH3" s="99"/>
      <c r="BDI3" s="99"/>
      <c r="BDJ3" s="99"/>
      <c r="BDK3" s="99"/>
      <c r="BDL3" s="99"/>
      <c r="BDM3" s="99"/>
      <c r="BDN3" s="99"/>
      <c r="BDO3" s="99"/>
      <c r="BDP3" s="99"/>
      <c r="BDQ3" s="99"/>
      <c r="BDR3" s="99"/>
      <c r="BDS3" s="99"/>
      <c r="BDT3" s="99"/>
      <c r="BDU3" s="99"/>
      <c r="BDV3" s="99"/>
      <c r="BDW3" s="99"/>
      <c r="BDX3" s="99"/>
      <c r="BDY3" s="99"/>
      <c r="BDZ3" s="99"/>
      <c r="BEA3" s="99"/>
      <c r="BEB3" s="99"/>
      <c r="BEC3" s="99"/>
      <c r="BED3" s="99"/>
      <c r="BEE3" s="99"/>
      <c r="BEF3" s="99"/>
      <c r="BEG3" s="99"/>
      <c r="BEH3" s="99"/>
      <c r="BEI3" s="99"/>
      <c r="BEJ3" s="99"/>
      <c r="BEK3" s="99"/>
      <c r="BEL3" s="99"/>
      <c r="BEM3" s="99"/>
      <c r="BEN3" s="99"/>
      <c r="BEO3" s="99"/>
      <c r="BEP3" s="99"/>
      <c r="BEQ3" s="99"/>
      <c r="BER3" s="99"/>
      <c r="BES3" s="99"/>
      <c r="BET3" s="99"/>
      <c r="BEU3" s="99"/>
      <c r="BEV3" s="99"/>
      <c r="BEW3" s="99"/>
      <c r="BEX3" s="99"/>
      <c r="BEY3" s="99"/>
      <c r="BEZ3" s="99"/>
      <c r="BFA3" s="99"/>
      <c r="BFB3" s="99"/>
      <c r="BFC3" s="99"/>
      <c r="BFD3" s="99"/>
      <c r="BFE3" s="99"/>
      <c r="BFF3" s="99"/>
      <c r="BFG3" s="99"/>
      <c r="BFH3" s="99"/>
      <c r="BFI3" s="99"/>
      <c r="BFJ3" s="99"/>
      <c r="BFK3" s="99"/>
      <c r="BFL3" s="99"/>
      <c r="BFM3" s="99"/>
      <c r="BFN3" s="99"/>
      <c r="BFO3" s="99"/>
      <c r="BFP3" s="99"/>
      <c r="BFQ3" s="99"/>
      <c r="BFR3" s="99"/>
      <c r="BFS3" s="99"/>
      <c r="BFT3" s="99"/>
      <c r="BFU3" s="99"/>
      <c r="BFV3" s="99"/>
      <c r="BFW3" s="99"/>
      <c r="BFX3" s="99"/>
      <c r="BFY3" s="99"/>
      <c r="BFZ3" s="99"/>
      <c r="BGA3" s="99"/>
      <c r="BGB3" s="99"/>
      <c r="BGC3" s="99"/>
      <c r="BGD3" s="99"/>
      <c r="BGE3" s="99"/>
      <c r="BGF3" s="99"/>
      <c r="BGG3" s="99"/>
      <c r="BGH3" s="99"/>
      <c r="BGI3" s="99"/>
      <c r="BGJ3" s="99"/>
      <c r="BGK3" s="99"/>
      <c r="BGL3" s="99"/>
      <c r="BGM3" s="99"/>
      <c r="BGN3" s="99"/>
      <c r="BGO3" s="99"/>
      <c r="BGP3" s="99"/>
      <c r="BGQ3" s="99"/>
      <c r="BGR3" s="99"/>
      <c r="BGS3" s="99"/>
      <c r="BGT3" s="99"/>
      <c r="BGU3" s="99"/>
      <c r="BGV3" s="99"/>
      <c r="BGW3" s="99"/>
      <c r="BGX3" s="99"/>
      <c r="BGY3" s="99"/>
      <c r="BGZ3" s="99"/>
      <c r="BHA3" s="99"/>
      <c r="BHB3" s="99"/>
      <c r="BHC3" s="99"/>
      <c r="BHD3" s="99"/>
      <c r="BHE3" s="99"/>
      <c r="BHF3" s="99"/>
      <c r="BHG3" s="99"/>
      <c r="BHH3" s="99"/>
      <c r="BHI3" s="99"/>
      <c r="BHJ3" s="99"/>
      <c r="BHK3" s="99"/>
      <c r="BHL3" s="99"/>
      <c r="BHM3" s="99"/>
      <c r="BHN3" s="99"/>
      <c r="BHO3" s="99"/>
      <c r="BHP3" s="99"/>
      <c r="BHQ3" s="99"/>
      <c r="BHR3" s="99"/>
      <c r="BHS3" s="99"/>
      <c r="BHT3" s="99"/>
      <c r="BHU3" s="99"/>
      <c r="BHV3" s="99"/>
      <c r="BHW3" s="99"/>
      <c r="BHX3" s="99"/>
      <c r="BHY3" s="99"/>
      <c r="BHZ3" s="99"/>
      <c r="BIA3" s="99"/>
      <c r="BIB3" s="99"/>
      <c r="BIC3" s="99"/>
      <c r="BID3" s="99"/>
      <c r="BIE3" s="99"/>
      <c r="BIF3" s="99"/>
      <c r="BIG3" s="99"/>
      <c r="BIH3" s="99"/>
      <c r="BII3" s="99"/>
      <c r="BIJ3" s="99"/>
      <c r="BIK3" s="99"/>
      <c r="BIL3" s="99"/>
      <c r="BIM3" s="99"/>
      <c r="BIN3" s="99"/>
      <c r="BIO3" s="99"/>
      <c r="BIP3" s="99"/>
      <c r="BIQ3" s="99"/>
      <c r="BIR3" s="99"/>
      <c r="BIS3" s="99"/>
      <c r="BIT3" s="99"/>
      <c r="BIU3" s="99"/>
      <c r="BIV3" s="99"/>
      <c r="BIW3" s="99"/>
      <c r="BIX3" s="99"/>
      <c r="BIY3" s="99"/>
      <c r="BIZ3" s="99"/>
      <c r="BJA3" s="99"/>
      <c r="BJB3" s="99"/>
      <c r="BJC3" s="99"/>
      <c r="BJD3" s="99"/>
      <c r="BJE3" s="99"/>
      <c r="BJF3" s="99"/>
      <c r="BJG3" s="99"/>
      <c r="BJH3" s="99"/>
      <c r="BJI3" s="99"/>
      <c r="BJJ3" s="99"/>
      <c r="BJK3" s="99"/>
      <c r="BJL3" s="99"/>
      <c r="BJM3" s="99"/>
      <c r="BJN3" s="99"/>
      <c r="BJO3" s="99"/>
      <c r="BJP3" s="99"/>
      <c r="BJQ3" s="99"/>
      <c r="BJR3" s="99"/>
      <c r="BJS3" s="99"/>
      <c r="BJT3" s="99"/>
      <c r="BJU3" s="99"/>
      <c r="BJV3" s="99"/>
      <c r="BJW3" s="99"/>
      <c r="BJX3" s="99"/>
      <c r="BJY3" s="99"/>
      <c r="BJZ3" s="99"/>
      <c r="BKA3" s="99"/>
      <c r="BKB3" s="99"/>
      <c r="BKC3" s="99"/>
      <c r="BKD3" s="99"/>
      <c r="BKE3" s="99"/>
      <c r="BKF3" s="99"/>
      <c r="BKG3" s="99"/>
      <c r="BKH3" s="99"/>
      <c r="BKI3" s="99"/>
      <c r="BKJ3" s="99"/>
      <c r="BKK3" s="99"/>
      <c r="BKL3" s="99"/>
      <c r="BKM3" s="99"/>
      <c r="BKN3" s="99"/>
      <c r="BKO3" s="99"/>
      <c r="BKP3" s="99"/>
      <c r="BKQ3" s="99"/>
      <c r="BKR3" s="99"/>
      <c r="BKS3" s="99"/>
      <c r="BKT3" s="99"/>
      <c r="BKU3" s="99"/>
      <c r="BKV3" s="99"/>
      <c r="BKW3" s="99"/>
      <c r="BKX3" s="99"/>
      <c r="BKY3" s="99"/>
      <c r="BKZ3" s="99"/>
      <c r="BLA3" s="99"/>
      <c r="BLB3" s="99"/>
      <c r="BLC3" s="99"/>
      <c r="BLD3" s="99"/>
      <c r="BLE3" s="99"/>
      <c r="BLF3" s="99"/>
      <c r="BLG3" s="99"/>
      <c r="BLH3" s="99"/>
      <c r="BLI3" s="99"/>
      <c r="BLJ3" s="99"/>
      <c r="BLK3" s="99"/>
      <c r="BLL3" s="99"/>
      <c r="BLM3" s="99"/>
      <c r="BLN3" s="99"/>
      <c r="BLO3" s="99"/>
      <c r="BLP3" s="99"/>
      <c r="BLQ3" s="99"/>
      <c r="BLR3" s="99"/>
      <c r="BLS3" s="99"/>
      <c r="BLT3" s="99"/>
      <c r="BLU3" s="99"/>
      <c r="BLV3" s="99"/>
      <c r="BLW3" s="99"/>
      <c r="BLX3" s="99"/>
      <c r="BLY3" s="99"/>
      <c r="BLZ3" s="99"/>
      <c r="BMA3" s="99"/>
      <c r="BMB3" s="99"/>
      <c r="BMC3" s="99"/>
      <c r="BMD3" s="99"/>
      <c r="BME3" s="99"/>
      <c r="BMF3" s="99"/>
      <c r="BMG3" s="99"/>
      <c r="BMH3" s="99"/>
      <c r="BMI3" s="99"/>
      <c r="BMJ3" s="99"/>
      <c r="BMK3" s="99"/>
      <c r="BML3" s="99"/>
      <c r="BMM3" s="99"/>
      <c r="BMN3" s="99"/>
      <c r="BMO3" s="99"/>
      <c r="BMP3" s="99"/>
      <c r="BMQ3" s="99"/>
      <c r="BMR3" s="99"/>
      <c r="BMS3" s="99"/>
      <c r="BMT3" s="99"/>
      <c r="BMU3" s="99"/>
      <c r="BMV3" s="99"/>
      <c r="BMW3" s="99"/>
      <c r="BMX3" s="99"/>
      <c r="BMY3" s="99"/>
      <c r="BMZ3" s="99"/>
      <c r="BNA3" s="99"/>
      <c r="BNB3" s="99"/>
      <c r="BNC3" s="99"/>
      <c r="BND3" s="99"/>
      <c r="BNE3" s="99"/>
      <c r="BNF3" s="99"/>
      <c r="BNG3" s="99"/>
      <c r="BNH3" s="99"/>
      <c r="BNI3" s="99"/>
      <c r="BNJ3" s="99"/>
      <c r="BNK3" s="99"/>
      <c r="BNL3" s="99"/>
      <c r="BNM3" s="99"/>
      <c r="BNN3" s="99"/>
      <c r="BNO3" s="99"/>
      <c r="BNP3" s="99"/>
      <c r="BNQ3" s="99"/>
      <c r="BNR3" s="99"/>
      <c r="BNS3" s="99"/>
      <c r="BNT3" s="99"/>
      <c r="BNU3" s="99"/>
      <c r="BNV3" s="99"/>
      <c r="BNW3" s="99"/>
      <c r="BNX3" s="99"/>
      <c r="BNY3" s="99"/>
      <c r="BNZ3" s="99"/>
      <c r="BOA3" s="99"/>
      <c r="BOB3" s="99"/>
      <c r="BOC3" s="99"/>
      <c r="BOD3" s="99"/>
      <c r="BOE3" s="99"/>
      <c r="BOF3" s="99"/>
      <c r="BOG3" s="99"/>
      <c r="BOH3" s="99"/>
      <c r="BOI3" s="99"/>
      <c r="BOJ3" s="99"/>
      <c r="BOK3" s="99"/>
      <c r="BOL3" s="99"/>
      <c r="BOM3" s="99"/>
      <c r="BON3" s="99"/>
      <c r="BOO3" s="99"/>
      <c r="BOP3" s="99"/>
      <c r="BOQ3" s="99"/>
      <c r="BOR3" s="99"/>
      <c r="BOS3" s="99"/>
      <c r="BOT3" s="99"/>
      <c r="BOU3" s="99"/>
      <c r="BOV3" s="99"/>
      <c r="BOW3" s="99"/>
      <c r="BOX3" s="99"/>
      <c r="BOY3" s="99"/>
      <c r="BOZ3" s="99"/>
      <c r="BPA3" s="99"/>
      <c r="BPB3" s="99"/>
      <c r="BPC3" s="99"/>
      <c r="BPD3" s="99"/>
      <c r="BPE3" s="99"/>
      <c r="BPF3" s="99"/>
      <c r="BPG3" s="99"/>
      <c r="BPH3" s="99"/>
      <c r="BPI3" s="99"/>
      <c r="BPJ3" s="99"/>
      <c r="BPK3" s="99"/>
      <c r="BPL3" s="99"/>
      <c r="BPM3" s="99"/>
      <c r="BPN3" s="99"/>
      <c r="BPO3" s="99"/>
      <c r="BPP3" s="99"/>
      <c r="BPQ3" s="99"/>
      <c r="BPR3" s="99"/>
      <c r="BPS3" s="99"/>
      <c r="BPT3" s="99"/>
      <c r="BPU3" s="99"/>
      <c r="BPV3" s="99"/>
      <c r="BPW3" s="99"/>
      <c r="BPX3" s="99"/>
      <c r="BPY3" s="99"/>
      <c r="BPZ3" s="99"/>
      <c r="BQA3" s="99"/>
      <c r="BQB3" s="99"/>
      <c r="BQC3" s="99"/>
      <c r="BQD3" s="99"/>
      <c r="BQE3" s="99"/>
      <c r="BQF3" s="99"/>
      <c r="BQG3" s="99"/>
      <c r="BQH3" s="99"/>
      <c r="BQI3" s="99"/>
      <c r="BQJ3" s="99"/>
      <c r="BQK3" s="99"/>
      <c r="BQL3" s="99"/>
      <c r="BQM3" s="99"/>
      <c r="BQN3" s="99"/>
      <c r="BQO3" s="99"/>
      <c r="BQP3" s="99"/>
      <c r="BQQ3" s="99"/>
      <c r="BQR3" s="99"/>
      <c r="BQS3" s="99"/>
      <c r="BQT3" s="99"/>
      <c r="BQU3" s="99"/>
      <c r="BQV3" s="99"/>
      <c r="BQW3" s="99"/>
      <c r="BQX3" s="99"/>
      <c r="BQY3" s="99"/>
      <c r="BQZ3" s="99"/>
      <c r="BRA3" s="99"/>
      <c r="BRB3" s="99"/>
      <c r="BRC3" s="99"/>
      <c r="BRD3" s="99"/>
      <c r="BRE3" s="99"/>
      <c r="BRF3" s="99"/>
      <c r="BRG3" s="99"/>
      <c r="BRH3" s="99"/>
      <c r="BRI3" s="99"/>
      <c r="BRJ3" s="99"/>
      <c r="BRK3" s="99"/>
      <c r="BRL3" s="99"/>
      <c r="BRM3" s="99"/>
      <c r="BRN3" s="99"/>
      <c r="BRO3" s="99"/>
      <c r="BRP3" s="99"/>
      <c r="BRQ3" s="99"/>
      <c r="BRR3" s="99"/>
      <c r="BRS3" s="99"/>
      <c r="BRT3" s="99"/>
      <c r="BRU3" s="99"/>
      <c r="BRV3" s="99"/>
      <c r="BRW3" s="99"/>
      <c r="BRX3" s="99"/>
      <c r="BRY3" s="99"/>
      <c r="BRZ3" s="99"/>
      <c r="BSA3" s="99"/>
      <c r="BSB3" s="99"/>
      <c r="BSC3" s="99"/>
      <c r="BSD3" s="99"/>
      <c r="BSE3" s="99"/>
      <c r="BSF3" s="99"/>
      <c r="BSG3" s="99"/>
      <c r="BSH3" s="99"/>
      <c r="BSI3" s="99"/>
      <c r="BSJ3" s="99"/>
      <c r="BSK3" s="99"/>
      <c r="BSL3" s="99"/>
      <c r="BSM3" s="99"/>
      <c r="BSN3" s="99"/>
      <c r="BSO3" s="99"/>
      <c r="BSP3" s="99"/>
      <c r="BSQ3" s="99"/>
      <c r="BSR3" s="99"/>
      <c r="BSS3" s="99"/>
      <c r="BST3" s="99"/>
      <c r="BSU3" s="99"/>
      <c r="BSV3" s="99"/>
      <c r="BSW3" s="99"/>
      <c r="BSX3" s="99"/>
      <c r="BSY3" s="99"/>
      <c r="BSZ3" s="99"/>
      <c r="BTA3" s="99"/>
      <c r="BTB3" s="99"/>
      <c r="BTC3" s="99"/>
      <c r="BTD3" s="99"/>
      <c r="BTE3" s="99"/>
      <c r="BTF3" s="99"/>
      <c r="BTG3" s="99"/>
      <c r="BTH3" s="99"/>
      <c r="BTI3" s="99"/>
      <c r="BTJ3" s="99"/>
      <c r="BTK3" s="99"/>
      <c r="BTL3" s="99"/>
      <c r="BTM3" s="99"/>
      <c r="BTN3" s="99"/>
      <c r="BTO3" s="99"/>
      <c r="BTP3" s="99"/>
      <c r="BTQ3" s="99"/>
      <c r="BTR3" s="99"/>
      <c r="BTS3" s="99"/>
      <c r="BTT3" s="99"/>
      <c r="BTU3" s="99"/>
      <c r="BTV3" s="99"/>
      <c r="BTW3" s="99"/>
      <c r="BTX3" s="99"/>
      <c r="BTY3" s="99"/>
      <c r="BTZ3" s="99"/>
      <c r="BUA3" s="99"/>
      <c r="BUB3" s="99"/>
      <c r="BUC3" s="99"/>
      <c r="BUD3" s="99"/>
      <c r="BUE3" s="99"/>
      <c r="BUF3" s="99"/>
      <c r="BUG3" s="99"/>
      <c r="BUH3" s="99"/>
      <c r="BUI3" s="99"/>
      <c r="BUJ3" s="99"/>
      <c r="BUK3" s="99"/>
      <c r="BUL3" s="99"/>
      <c r="BUM3" s="99"/>
      <c r="BUN3" s="99"/>
      <c r="BUO3" s="99"/>
      <c r="BUP3" s="99"/>
      <c r="BUQ3" s="99"/>
      <c r="BUR3" s="99"/>
      <c r="BUS3" s="99"/>
      <c r="BUT3" s="99"/>
      <c r="BUU3" s="99"/>
      <c r="BUV3" s="99"/>
      <c r="BUW3" s="99"/>
      <c r="BUX3" s="99"/>
      <c r="BUY3" s="99"/>
      <c r="BUZ3" s="99"/>
      <c r="BVA3" s="99"/>
      <c r="BVB3" s="99"/>
      <c r="BVC3" s="99"/>
      <c r="BVD3" s="99"/>
      <c r="BVE3" s="99"/>
      <c r="BVF3" s="99"/>
      <c r="BVG3" s="99"/>
      <c r="BVH3" s="99"/>
      <c r="BVI3" s="99"/>
      <c r="BVJ3" s="99"/>
      <c r="BVK3" s="99"/>
      <c r="BVL3" s="99"/>
      <c r="BVM3" s="99"/>
      <c r="BVN3" s="99"/>
      <c r="BVO3" s="99"/>
      <c r="BVP3" s="99"/>
      <c r="BVQ3" s="99"/>
      <c r="BVR3" s="99"/>
      <c r="BVS3" s="99"/>
      <c r="BVT3" s="99"/>
      <c r="BVU3" s="99"/>
      <c r="BVV3" s="99"/>
      <c r="BVW3" s="99"/>
      <c r="BVX3" s="99"/>
      <c r="BVY3" s="99"/>
      <c r="BVZ3" s="99"/>
      <c r="BWA3" s="99"/>
      <c r="BWB3" s="99"/>
      <c r="BWC3" s="99"/>
      <c r="BWD3" s="99"/>
      <c r="BWE3" s="99"/>
      <c r="BWF3" s="99"/>
      <c r="BWG3" s="99"/>
      <c r="BWH3" s="99"/>
      <c r="BWI3" s="99"/>
      <c r="BWJ3" s="99"/>
      <c r="BWK3" s="99"/>
      <c r="BWL3" s="99"/>
      <c r="BWM3" s="99"/>
      <c r="BWN3" s="99"/>
      <c r="BWO3" s="99"/>
      <c r="BWP3" s="99"/>
      <c r="BWQ3" s="99"/>
      <c r="BWR3" s="99"/>
      <c r="BWS3" s="99"/>
      <c r="BWT3" s="99"/>
      <c r="BWU3" s="99"/>
      <c r="BWV3" s="99"/>
      <c r="BWW3" s="99"/>
      <c r="BWX3" s="99"/>
      <c r="BWY3" s="99"/>
      <c r="BWZ3" s="99"/>
      <c r="BXA3" s="99"/>
      <c r="BXB3" s="99"/>
      <c r="BXC3" s="99"/>
      <c r="BXD3" s="99"/>
      <c r="BXE3" s="99"/>
      <c r="BXF3" s="99"/>
      <c r="BXG3" s="99"/>
      <c r="BXH3" s="99"/>
      <c r="BXI3" s="99"/>
      <c r="BXJ3" s="99"/>
      <c r="BXK3" s="99"/>
      <c r="BXL3" s="99"/>
      <c r="BXM3" s="99"/>
      <c r="BXN3" s="99"/>
      <c r="BXO3" s="99"/>
      <c r="BXP3" s="99"/>
      <c r="BXQ3" s="99"/>
      <c r="BXR3" s="99"/>
      <c r="BXS3" s="99"/>
      <c r="BXT3" s="99"/>
      <c r="BXU3" s="99"/>
      <c r="BXV3" s="99"/>
      <c r="BXW3" s="99"/>
      <c r="BXX3" s="99"/>
      <c r="BXY3" s="99"/>
      <c r="BXZ3" s="99"/>
      <c r="BYA3" s="99"/>
      <c r="BYB3" s="99"/>
      <c r="BYC3" s="99"/>
      <c r="BYD3" s="99"/>
      <c r="BYE3" s="99"/>
      <c r="BYF3" s="99"/>
      <c r="BYG3" s="99"/>
      <c r="BYH3" s="99"/>
      <c r="BYI3" s="99"/>
      <c r="BYJ3" s="99"/>
      <c r="BYK3" s="99"/>
      <c r="BYL3" s="99"/>
      <c r="BYM3" s="99"/>
      <c r="BYN3" s="99"/>
      <c r="BYO3" s="99"/>
      <c r="BYP3" s="99"/>
      <c r="BYQ3" s="99"/>
      <c r="BYR3" s="99"/>
      <c r="BYS3" s="99"/>
      <c r="BYT3" s="99"/>
      <c r="BYU3" s="99"/>
      <c r="BYV3" s="99"/>
      <c r="BYW3" s="99"/>
      <c r="BYX3" s="99"/>
      <c r="BYY3" s="99"/>
      <c r="BYZ3" s="99"/>
      <c r="BZA3" s="99"/>
      <c r="BZB3" s="99"/>
      <c r="BZC3" s="99"/>
      <c r="BZD3" s="99"/>
      <c r="BZE3" s="99"/>
      <c r="BZF3" s="99"/>
      <c r="BZG3" s="99"/>
      <c r="BZH3" s="99"/>
      <c r="BZI3" s="99"/>
      <c r="BZV3" s="99"/>
      <c r="BZW3" s="99"/>
      <c r="BZX3" s="99"/>
      <c r="BZY3" s="99"/>
      <c r="BZZ3" s="99"/>
      <c r="CAA3" s="99"/>
      <c r="CAB3" s="99"/>
      <c r="CAC3" s="99"/>
      <c r="CAD3" s="99"/>
      <c r="CAE3" s="99"/>
      <c r="CAF3" s="99"/>
      <c r="CAG3" s="99"/>
      <c r="CAH3" s="99"/>
      <c r="CAI3" s="99"/>
      <c r="CAJ3" s="99"/>
      <c r="CAK3" s="99"/>
      <c r="CAL3" s="99"/>
      <c r="CAM3" s="99"/>
      <c r="CAN3" s="99"/>
      <c r="CAO3" s="99"/>
      <c r="CAP3" s="99"/>
      <c r="CAQ3" s="99"/>
      <c r="CAR3" s="99"/>
      <c r="CAS3" s="99"/>
      <c r="CAT3" s="99"/>
      <c r="CAU3" s="99"/>
      <c r="CAV3" s="99"/>
      <c r="CAW3" s="99"/>
      <c r="CAX3" s="99"/>
      <c r="CAY3" s="99"/>
      <c r="CAZ3" s="99"/>
      <c r="CBA3" s="99"/>
      <c r="CBB3" s="99"/>
      <c r="CBC3" s="99"/>
      <c r="CBD3" s="99"/>
      <c r="CBE3" s="99"/>
      <c r="CBF3" s="99"/>
      <c r="CBG3" s="99"/>
      <c r="CBH3" s="99"/>
      <c r="CBI3" s="99"/>
      <c r="CBJ3" s="99"/>
      <c r="CBK3" s="99"/>
      <c r="CBL3" s="99"/>
      <c r="CBM3" s="99"/>
      <c r="CBN3" s="99"/>
      <c r="CBO3" s="99"/>
      <c r="CBP3" s="99"/>
      <c r="CBQ3" s="99"/>
      <c r="CBR3" s="99"/>
      <c r="CBS3" s="99"/>
      <c r="CBT3" s="99"/>
      <c r="CBU3" s="99"/>
      <c r="CBV3" s="99"/>
      <c r="CBW3" s="99"/>
      <c r="CBX3" s="99"/>
      <c r="CBY3" s="99"/>
      <c r="CBZ3" s="99"/>
      <c r="CCA3" s="99"/>
      <c r="CCB3" s="99"/>
      <c r="CCC3" s="99"/>
      <c r="CCD3" s="99"/>
      <c r="CCE3" s="99"/>
      <c r="CCF3" s="99"/>
      <c r="CCG3" s="99"/>
      <c r="CCH3" s="99"/>
      <c r="CCI3" s="99"/>
      <c r="CCJ3" s="99"/>
      <c r="CCK3" s="99"/>
      <c r="CCL3" s="99"/>
      <c r="CCM3" s="99"/>
      <c r="CCN3" s="99"/>
      <c r="CCO3" s="99"/>
      <c r="CCP3" s="99"/>
      <c r="CCQ3" s="99"/>
      <c r="CCR3" s="99"/>
      <c r="CCS3" s="99"/>
      <c r="CCT3" s="99"/>
      <c r="CCU3" s="99"/>
      <c r="CCV3" s="99"/>
      <c r="CCW3" s="99"/>
      <c r="CCX3" s="99"/>
      <c r="CCY3" s="99"/>
      <c r="CCZ3" s="99"/>
      <c r="CDA3" s="99"/>
      <c r="CDB3" s="99"/>
      <c r="CDC3" s="99"/>
      <c r="CDD3" s="99"/>
      <c r="CDE3" s="99"/>
      <c r="CDF3" s="99"/>
      <c r="CDG3" s="99"/>
      <c r="CDH3" s="99"/>
      <c r="CDI3" s="99"/>
      <c r="CDJ3" s="99"/>
      <c r="CDK3" s="99"/>
      <c r="CDL3" s="99"/>
      <c r="CDM3" s="99"/>
      <c r="CDN3" s="99"/>
      <c r="CDO3" s="99"/>
      <c r="CDP3" s="99"/>
      <c r="CDQ3" s="99"/>
      <c r="CDR3" s="99"/>
      <c r="CDS3" s="99"/>
      <c r="CDT3" s="99"/>
      <c r="CDU3" s="99"/>
      <c r="CDV3" s="99"/>
      <c r="CDW3" s="99"/>
      <c r="CDX3" s="99"/>
      <c r="CDY3" s="99"/>
      <c r="CDZ3" s="99"/>
      <c r="CEA3" s="99"/>
      <c r="CEB3" s="99"/>
      <c r="CEC3" s="99"/>
      <c r="CED3" s="99"/>
      <c r="CEE3" s="99"/>
      <c r="CEF3" s="99"/>
      <c r="CEG3" s="99"/>
      <c r="CEH3" s="99"/>
      <c r="CEI3" s="99"/>
      <c r="CEJ3" s="99"/>
      <c r="CEK3" s="99"/>
      <c r="CEL3" s="99"/>
      <c r="CEM3" s="99"/>
      <c r="CEN3" s="99"/>
      <c r="CEO3" s="99"/>
      <c r="CEP3" s="99"/>
      <c r="CEQ3" s="99"/>
      <c r="CER3" s="99"/>
      <c r="CES3" s="99"/>
      <c r="CET3" s="99"/>
      <c r="CEU3" s="99"/>
      <c r="CEV3" s="99"/>
      <c r="CEW3" s="99"/>
      <c r="CEX3" s="99"/>
      <c r="CEY3" s="99"/>
      <c r="CEZ3" s="99"/>
      <c r="CFA3" s="99"/>
      <c r="CFB3" s="99"/>
      <c r="CFC3" s="99"/>
      <c r="CFD3" s="99"/>
      <c r="CFE3" s="99"/>
      <c r="CFF3" s="99"/>
      <c r="CFG3" s="99"/>
      <c r="CFH3" s="99"/>
      <c r="CFI3" s="99"/>
      <c r="CFJ3" s="99"/>
      <c r="CFK3" s="99"/>
      <c r="CFL3" s="99"/>
      <c r="CFM3" s="99"/>
      <c r="CFN3" s="99"/>
      <c r="CFO3" s="99"/>
      <c r="CFP3" s="99"/>
      <c r="CFQ3" s="99"/>
      <c r="CFR3" s="99"/>
      <c r="CFS3" s="99"/>
      <c r="CFT3" s="99"/>
      <c r="CFU3" s="99"/>
      <c r="CFV3" s="99"/>
      <c r="CFW3" s="99"/>
      <c r="CFX3" s="99"/>
      <c r="CFY3" s="99"/>
      <c r="CFZ3" s="99"/>
      <c r="CGA3" s="99"/>
      <c r="CGB3" s="99"/>
      <c r="CGC3" s="99"/>
      <c r="CGD3" s="99"/>
      <c r="CGE3" s="99"/>
      <c r="CGF3" s="99"/>
      <c r="CGG3" s="99"/>
      <c r="CGH3" s="99"/>
      <c r="CGI3" s="99"/>
      <c r="CGJ3" s="99"/>
      <c r="CGK3" s="99"/>
      <c r="CGL3" s="99"/>
      <c r="CGM3" s="99"/>
      <c r="CGN3" s="99"/>
      <c r="CGO3" s="99"/>
      <c r="CGP3" s="99"/>
      <c r="CGQ3" s="99"/>
      <c r="CGR3" s="99"/>
      <c r="CGS3" s="99"/>
      <c r="CGT3" s="99"/>
      <c r="CGU3" s="99"/>
      <c r="CGV3" s="99"/>
      <c r="CGW3" s="99"/>
      <c r="CGX3" s="99"/>
      <c r="CGY3" s="99"/>
      <c r="CGZ3" s="99"/>
      <c r="CHA3" s="99"/>
      <c r="CHB3" s="99"/>
      <c r="CHC3" s="99"/>
      <c r="CHD3" s="99"/>
      <c r="CHE3" s="99"/>
      <c r="CHF3" s="99"/>
      <c r="CHG3" s="99"/>
      <c r="CHH3" s="99"/>
      <c r="CHI3" s="99"/>
      <c r="CHJ3" s="99"/>
      <c r="CHK3" s="99"/>
      <c r="CHL3" s="99"/>
      <c r="CHM3" s="99"/>
      <c r="CHN3" s="99"/>
      <c r="CHO3" s="99"/>
      <c r="CHP3" s="99"/>
      <c r="CHQ3" s="99"/>
      <c r="CHR3" s="99"/>
      <c r="CHS3" s="99"/>
      <c r="CHT3" s="99"/>
      <c r="CHU3" s="99"/>
      <c r="CHV3" s="99"/>
      <c r="CHW3" s="99"/>
      <c r="CHX3" s="99"/>
      <c r="CHY3" s="99"/>
      <c r="CHZ3" s="99"/>
      <c r="CIA3" s="99"/>
      <c r="CIB3" s="99"/>
      <c r="CIC3" s="99"/>
      <c r="CID3" s="99"/>
      <c r="CIE3" s="99"/>
      <c r="CIF3" s="99"/>
      <c r="CIG3" s="99"/>
      <c r="CIH3" s="99"/>
      <c r="CII3" s="99"/>
      <c r="CIJ3" s="99"/>
      <c r="CIK3" s="99"/>
      <c r="CIL3" s="99"/>
      <c r="CIM3" s="99"/>
      <c r="CIN3" s="99"/>
      <c r="CIO3" s="99"/>
      <c r="CIP3" s="99"/>
      <c r="CIQ3" s="99"/>
      <c r="CIR3" s="99"/>
      <c r="CIS3" s="99"/>
      <c r="CIT3" s="99"/>
      <c r="CIU3" s="99"/>
      <c r="CIV3" s="99"/>
      <c r="CIW3" s="99"/>
      <c r="CIX3" s="99"/>
      <c r="CIY3" s="99"/>
      <c r="CIZ3" s="99"/>
      <c r="CJA3" s="99"/>
      <c r="CJB3" s="99"/>
      <c r="CJC3" s="99"/>
      <c r="CJD3" s="99"/>
      <c r="CJE3" s="99"/>
      <c r="CJF3" s="99"/>
      <c r="CJG3" s="99"/>
      <c r="CJH3" s="99"/>
      <c r="CJI3" s="99"/>
      <c r="CJJ3" s="99"/>
      <c r="CJK3" s="99"/>
      <c r="CJL3" s="99"/>
      <c r="CJM3" s="99"/>
      <c r="CJN3" s="99"/>
      <c r="CJO3" s="99"/>
      <c r="CJP3" s="99"/>
      <c r="CJQ3" s="99"/>
      <c r="CJR3" s="99"/>
      <c r="CJS3" s="99"/>
      <c r="CJT3" s="99"/>
      <c r="CJU3" s="99"/>
      <c r="CJV3" s="99"/>
      <c r="CJW3" s="99"/>
      <c r="CJX3" s="99"/>
      <c r="CJY3" s="99"/>
      <c r="CJZ3" s="99"/>
      <c r="CKA3" s="99"/>
      <c r="CKB3" s="99"/>
      <c r="CKC3" s="99"/>
      <c r="CKD3" s="99"/>
      <c r="CKE3" s="99"/>
      <c r="CKF3" s="99"/>
      <c r="CKG3" s="99"/>
      <c r="CKH3" s="99"/>
      <c r="CKI3" s="99"/>
      <c r="CKJ3" s="99"/>
      <c r="CKK3" s="99"/>
      <c r="CKL3" s="99"/>
      <c r="CKM3" s="99"/>
      <c r="CKN3" s="99"/>
      <c r="CKO3" s="99"/>
      <c r="CKP3" s="99"/>
      <c r="CKQ3" s="99"/>
      <c r="CKR3" s="99"/>
      <c r="CKS3" s="99"/>
      <c r="CKT3" s="99"/>
      <c r="CKU3" s="99"/>
      <c r="CKV3" s="99"/>
      <c r="CKW3" s="99"/>
      <c r="CKX3" s="99"/>
      <c r="CKY3" s="99"/>
      <c r="CKZ3" s="99"/>
      <c r="CLA3" s="99"/>
      <c r="CLB3" s="99"/>
      <c r="CLC3" s="99"/>
      <c r="CLD3" s="99"/>
      <c r="CLE3" s="99"/>
      <c r="CLF3" s="99"/>
      <c r="CLG3" s="99"/>
      <c r="CLH3" s="99"/>
      <c r="CLI3" s="99"/>
      <c r="CLJ3" s="99"/>
      <c r="CLK3" s="99"/>
      <c r="CLL3" s="99"/>
      <c r="CLM3" s="99"/>
      <c r="CLN3" s="99"/>
      <c r="CLO3" s="99"/>
      <c r="CLP3" s="99"/>
      <c r="CLQ3" s="99"/>
      <c r="CLR3" s="99"/>
      <c r="CLS3" s="99"/>
      <c r="CLT3" s="99"/>
      <c r="CLU3" s="99"/>
      <c r="CLV3" s="99"/>
      <c r="CLW3" s="99"/>
      <c r="CLX3" s="99"/>
      <c r="CLY3" s="99"/>
      <c r="CLZ3" s="99"/>
      <c r="CMA3" s="99"/>
      <c r="CMB3" s="99"/>
      <c r="CMC3" s="99"/>
      <c r="CMD3" s="99"/>
      <c r="CME3" s="99"/>
      <c r="CMF3" s="99"/>
      <c r="CMG3" s="99"/>
      <c r="CMH3" s="99"/>
      <c r="CMI3" s="99"/>
      <c r="CMJ3" s="99"/>
      <c r="CMK3" s="99"/>
      <c r="CML3" s="99"/>
      <c r="CMM3" s="99"/>
      <c r="CMN3" s="99"/>
      <c r="CMO3" s="99"/>
      <c r="CMP3" s="99"/>
      <c r="CMQ3" s="99"/>
      <c r="CMR3" s="99"/>
      <c r="CMS3" s="99"/>
      <c r="CMT3" s="99"/>
      <c r="CMU3" s="99"/>
      <c r="CMV3" s="99"/>
      <c r="CMW3" s="99"/>
      <c r="CMX3" s="99"/>
      <c r="CMY3" s="99"/>
      <c r="CMZ3" s="99"/>
      <c r="CNA3" s="99"/>
      <c r="CNB3" s="99"/>
      <c r="CNC3" s="99"/>
      <c r="CND3" s="99"/>
      <c r="CNE3" s="99"/>
      <c r="CNF3" s="99"/>
      <c r="CNG3" s="99"/>
      <c r="CNH3" s="99"/>
      <c r="CNI3" s="99"/>
      <c r="CNJ3" s="99"/>
      <c r="CNK3" s="99"/>
      <c r="CNL3" s="99"/>
      <c r="CNM3" s="99"/>
      <c r="CNN3" s="99"/>
      <c r="CNO3" s="99"/>
      <c r="CNP3" s="99"/>
      <c r="CNQ3" s="99"/>
      <c r="CNR3" s="99"/>
      <c r="CNS3" s="99"/>
      <c r="CNT3" s="99"/>
      <c r="CNU3" s="99"/>
      <c r="CNV3" s="99"/>
      <c r="CNW3" s="99"/>
    </row>
    <row r="4" spans="1:1013 1026:2037 2050:3061 3074:4085 4098:5109 5122:6133 6146:7157 7170:8181 8194:9205 9218:10229 10242:11221" s="130" customFormat="1" ht="14.95" customHeight="1" thickBot="1" x14ac:dyDescent="0.3">
      <c r="A4" s="546" t="s">
        <v>232</v>
      </c>
      <c r="B4" s="547" t="s">
        <v>222</v>
      </c>
      <c r="C4" s="548" t="s">
        <v>23</v>
      </c>
      <c r="D4" s="549" t="s">
        <v>299</v>
      </c>
      <c r="E4" s="549" t="s">
        <v>32</v>
      </c>
      <c r="F4" s="549">
        <v>36</v>
      </c>
      <c r="G4" s="549">
        <v>28</v>
      </c>
      <c r="H4" s="549">
        <v>1</v>
      </c>
      <c r="I4" s="549">
        <v>0</v>
      </c>
      <c r="J4" s="549">
        <v>5</v>
      </c>
      <c r="K4" s="549">
        <v>3</v>
      </c>
      <c r="L4" s="549">
        <v>0</v>
      </c>
      <c r="M4" s="549">
        <v>1</v>
      </c>
      <c r="N4" s="549">
        <v>0</v>
      </c>
      <c r="O4" s="549">
        <v>0</v>
      </c>
      <c r="P4" s="549">
        <v>1</v>
      </c>
      <c r="Q4" s="549">
        <v>0</v>
      </c>
      <c r="R4" s="549">
        <v>4</v>
      </c>
      <c r="S4" s="584">
        <v>12666</v>
      </c>
      <c r="T4" s="585" t="s">
        <v>368</v>
      </c>
      <c r="U4" s="586" t="s">
        <v>343</v>
      </c>
      <c r="V4" s="584" t="s">
        <v>331</v>
      </c>
      <c r="W4" s="587" t="s">
        <v>344</v>
      </c>
      <c r="X4" s="587" t="s">
        <v>345</v>
      </c>
      <c r="Y4" s="550">
        <v>1</v>
      </c>
      <c r="Z4" s="550">
        <v>1</v>
      </c>
      <c r="AA4" s="550">
        <v>0</v>
      </c>
      <c r="AB4" s="588">
        <v>0</v>
      </c>
      <c r="AC4" s="550">
        <v>1</v>
      </c>
      <c r="AD4" s="550">
        <v>1</v>
      </c>
      <c r="AE4" s="550">
        <v>0</v>
      </c>
      <c r="AF4" s="588">
        <v>0</v>
      </c>
      <c r="AG4" s="550">
        <v>0</v>
      </c>
      <c r="AH4" s="550">
        <v>0</v>
      </c>
      <c r="AI4" s="550">
        <v>0</v>
      </c>
      <c r="AJ4" s="552">
        <v>0</v>
      </c>
      <c r="AK4" s="550">
        <v>0</v>
      </c>
      <c r="AL4" s="550">
        <v>0</v>
      </c>
      <c r="AM4" s="550">
        <v>0</v>
      </c>
      <c r="AN4" s="552">
        <v>0</v>
      </c>
      <c r="AO4"/>
      <c r="AP4" s="173" t="s">
        <v>167</v>
      </c>
      <c r="AQ4" s="174">
        <f>Bthhistplayed</f>
        <v>517</v>
      </c>
      <c r="AR4"/>
      <c r="AS4" s="983" t="s">
        <v>179</v>
      </c>
      <c r="AT4" s="984"/>
      <c r="AU4" s="985" t="s">
        <v>172</v>
      </c>
      <c r="AV4" s="986"/>
      <c r="AW4" s="987" t="s">
        <v>173</v>
      </c>
      <c r="AX4" s="988"/>
      <c r="AY4" s="989" t="s">
        <v>174</v>
      </c>
      <c r="AZ4" s="990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 s="99"/>
      <c r="ACM4" s="99"/>
      <c r="ACN4" s="99"/>
      <c r="ACO4" s="99"/>
      <c r="ACP4" s="99"/>
      <c r="ACQ4" s="99"/>
      <c r="ACR4" s="99"/>
      <c r="ACS4" s="99"/>
      <c r="ACT4" s="99"/>
      <c r="ACU4" s="99"/>
      <c r="ACV4" s="99"/>
      <c r="ACW4" s="99"/>
      <c r="ACX4" s="99"/>
      <c r="ACY4" s="99"/>
      <c r="ACZ4" s="99"/>
      <c r="ADA4" s="99"/>
      <c r="ADB4" s="99"/>
      <c r="ADC4" s="99"/>
      <c r="ADD4" s="99"/>
      <c r="ADE4" s="99"/>
      <c r="ADF4" s="99"/>
      <c r="ADG4" s="99"/>
      <c r="ADH4" s="99"/>
      <c r="ADI4" s="99"/>
      <c r="ADJ4" s="99"/>
      <c r="ADK4" s="99"/>
      <c r="ADL4" s="99"/>
      <c r="ADM4" s="99"/>
      <c r="ADN4" s="99"/>
      <c r="ADO4" s="99"/>
      <c r="ADP4" s="99"/>
      <c r="ADQ4" s="99"/>
      <c r="ADR4" s="99"/>
      <c r="ADS4" s="99"/>
      <c r="ADT4" s="99"/>
      <c r="ADU4" s="99"/>
      <c r="ADV4" s="99"/>
      <c r="ADW4" s="99"/>
      <c r="ADX4" s="99"/>
      <c r="ADY4" s="99"/>
      <c r="ADZ4" s="99"/>
      <c r="AEA4" s="99"/>
      <c r="AEB4" s="99"/>
      <c r="AEC4" s="99"/>
      <c r="AED4" s="99"/>
      <c r="AEE4" s="99"/>
      <c r="AEF4" s="99"/>
      <c r="AEG4" s="99"/>
      <c r="AEH4" s="99"/>
      <c r="AEI4" s="99"/>
      <c r="AEJ4" s="99"/>
      <c r="AEK4" s="99"/>
      <c r="AEL4" s="99"/>
      <c r="AEM4" s="99"/>
      <c r="AEN4" s="99"/>
      <c r="AEO4" s="99"/>
      <c r="AEP4" s="99"/>
      <c r="AEQ4" s="99"/>
      <c r="AER4" s="99"/>
      <c r="AES4" s="99"/>
      <c r="AET4" s="99"/>
      <c r="AEU4" s="99"/>
      <c r="AEV4" s="99"/>
      <c r="AEW4" s="99"/>
      <c r="AEX4" s="99"/>
      <c r="AEY4" s="99"/>
      <c r="AEZ4" s="99"/>
      <c r="AFA4" s="99"/>
      <c r="AFB4" s="99"/>
      <c r="AFC4" s="99"/>
      <c r="AFD4" s="99"/>
      <c r="AFE4" s="99"/>
      <c r="AFF4" s="99"/>
      <c r="AFG4" s="99"/>
      <c r="AFH4" s="99"/>
      <c r="AFI4" s="99"/>
      <c r="AFJ4" s="99"/>
      <c r="AFK4" s="99"/>
      <c r="AFL4" s="99"/>
      <c r="AFM4" s="99"/>
      <c r="AFN4" s="99"/>
      <c r="AFO4" s="99"/>
      <c r="AFP4" s="99"/>
      <c r="AFQ4" s="99"/>
      <c r="AFR4" s="99"/>
      <c r="AFS4" s="99"/>
      <c r="AFT4" s="99"/>
      <c r="AFU4" s="99"/>
      <c r="AFV4" s="99"/>
      <c r="AFW4" s="99"/>
      <c r="AFX4" s="99"/>
      <c r="AFY4" s="99"/>
      <c r="AFZ4" s="99"/>
      <c r="AGA4" s="99"/>
      <c r="AGB4" s="99"/>
      <c r="AGC4" s="99"/>
      <c r="AGD4" s="99"/>
      <c r="AGE4" s="99"/>
      <c r="AGF4" s="99"/>
      <c r="AGG4" s="99"/>
      <c r="AGH4" s="99"/>
      <c r="AGI4" s="99"/>
      <c r="AGJ4" s="99"/>
      <c r="AGK4" s="99"/>
      <c r="AGL4" s="99"/>
      <c r="AGM4" s="99"/>
      <c r="AGN4" s="99"/>
      <c r="AGO4" s="99"/>
      <c r="AGP4" s="99"/>
      <c r="AGQ4" s="99"/>
      <c r="AGR4" s="99"/>
      <c r="AGS4" s="99"/>
      <c r="AGT4" s="99"/>
      <c r="AGU4" s="99"/>
      <c r="AGV4" s="99"/>
      <c r="AGW4" s="99"/>
      <c r="AGX4" s="99"/>
      <c r="AGY4" s="99"/>
      <c r="AGZ4" s="99"/>
      <c r="AHA4" s="99"/>
      <c r="AHB4" s="99"/>
      <c r="AHC4" s="99"/>
      <c r="AHD4" s="99"/>
      <c r="AHE4" s="99"/>
      <c r="AHF4" s="99"/>
      <c r="AHG4" s="99"/>
      <c r="AHH4" s="99"/>
      <c r="AHI4" s="99"/>
      <c r="AHJ4" s="99"/>
      <c r="AHK4" s="99"/>
      <c r="AHL4" s="99"/>
      <c r="AHM4" s="99"/>
      <c r="AHN4" s="99"/>
      <c r="AHO4" s="99"/>
      <c r="AHP4" s="99"/>
      <c r="AHQ4" s="99"/>
      <c r="AHR4" s="99"/>
      <c r="AHS4" s="99"/>
      <c r="AHT4" s="99"/>
      <c r="AHU4" s="99"/>
      <c r="AHV4" s="99"/>
      <c r="AHW4" s="99"/>
      <c r="AHX4" s="99"/>
      <c r="AHY4" s="99"/>
      <c r="AHZ4" s="99"/>
      <c r="AIA4" s="99"/>
      <c r="AIB4" s="99"/>
      <c r="AIC4" s="99"/>
      <c r="AID4" s="99"/>
      <c r="AIE4" s="99"/>
      <c r="AIF4" s="99"/>
      <c r="AIG4" s="99"/>
      <c r="AIH4" s="99"/>
      <c r="AII4" s="99"/>
      <c r="AIJ4" s="99"/>
      <c r="AIK4" s="99"/>
      <c r="AIL4" s="99"/>
      <c r="AIM4" s="99"/>
      <c r="AIN4" s="99"/>
      <c r="AIO4" s="99"/>
      <c r="AIP4" s="99"/>
      <c r="AIQ4" s="99"/>
      <c r="AIR4" s="99"/>
      <c r="AIS4" s="99"/>
      <c r="AIT4" s="99"/>
      <c r="AIU4" s="99"/>
      <c r="AIV4" s="99"/>
      <c r="AIW4" s="99"/>
      <c r="AIX4" s="99"/>
      <c r="AIY4" s="99"/>
      <c r="AIZ4" s="99"/>
      <c r="AJA4" s="99"/>
      <c r="AJB4" s="99"/>
      <c r="AJC4" s="99"/>
      <c r="AJD4" s="99"/>
      <c r="AJE4" s="99"/>
      <c r="AJF4" s="99"/>
      <c r="AJG4" s="99"/>
      <c r="AJH4" s="99"/>
      <c r="AJI4" s="99"/>
      <c r="AJJ4" s="99"/>
      <c r="AJK4" s="99"/>
      <c r="AJL4" s="99"/>
      <c r="AJM4" s="99"/>
      <c r="AJN4" s="99"/>
      <c r="AJO4" s="99"/>
      <c r="AJP4" s="99"/>
      <c r="AJQ4" s="99"/>
      <c r="AJR4" s="99"/>
      <c r="AJS4" s="99"/>
      <c r="AJT4" s="99"/>
      <c r="AJU4" s="99"/>
      <c r="AJV4" s="99"/>
      <c r="AJW4" s="99"/>
      <c r="AJX4" s="99"/>
      <c r="AJY4" s="99"/>
      <c r="AJZ4" s="99"/>
      <c r="AKA4" s="99"/>
      <c r="AKB4" s="99"/>
      <c r="AKC4" s="99"/>
      <c r="AKD4" s="99"/>
      <c r="AKE4" s="99"/>
      <c r="AKF4" s="99"/>
      <c r="AKG4" s="99"/>
      <c r="AKH4" s="99"/>
      <c r="AKI4" s="99"/>
      <c r="AKJ4" s="99"/>
      <c r="AKK4" s="99"/>
      <c r="AKL4" s="99"/>
      <c r="AKM4" s="99"/>
      <c r="AKN4" s="99"/>
      <c r="AKO4" s="99"/>
      <c r="AKP4" s="99"/>
      <c r="AKQ4" s="99"/>
      <c r="AKR4" s="99"/>
      <c r="AKS4" s="99"/>
      <c r="AKT4" s="99"/>
      <c r="AKU4" s="99"/>
      <c r="AKV4" s="99"/>
      <c r="AKW4" s="99"/>
      <c r="AKX4" s="99"/>
      <c r="AKY4" s="99"/>
      <c r="AKZ4" s="99"/>
      <c r="ALA4" s="99"/>
      <c r="ALB4" s="99"/>
      <c r="ALC4" s="99"/>
      <c r="ALD4" s="99"/>
      <c r="ALE4" s="99"/>
      <c r="ALF4" s="99"/>
      <c r="ALG4" s="99"/>
      <c r="ALH4" s="99"/>
      <c r="ALI4" s="99"/>
      <c r="ALJ4" s="99"/>
      <c r="ALK4" s="99"/>
      <c r="ALL4" s="99"/>
      <c r="ALM4" s="99"/>
      <c r="ALN4" s="99"/>
      <c r="ALO4" s="99"/>
      <c r="ALP4" s="99"/>
      <c r="ALQ4" s="99"/>
      <c r="ALR4" s="99"/>
      <c r="ALS4" s="99"/>
      <c r="ALT4" s="99"/>
      <c r="ALU4" s="99"/>
      <c r="ALV4" s="99"/>
      <c r="ALW4" s="99"/>
      <c r="ALX4" s="99"/>
      <c r="ALY4" s="99"/>
      <c r="AML4" s="99"/>
      <c r="AMM4" s="99"/>
      <c r="AMN4" s="99"/>
      <c r="AMO4" s="99"/>
      <c r="AMP4" s="99"/>
      <c r="AMQ4" s="99"/>
      <c r="AMR4" s="99"/>
      <c r="AMS4" s="99"/>
      <c r="AMT4" s="99"/>
      <c r="AMU4" s="99"/>
      <c r="AMV4" s="99"/>
      <c r="AMW4" s="99"/>
      <c r="AMX4" s="99"/>
      <c r="AMY4" s="99"/>
      <c r="AMZ4" s="99"/>
      <c r="ANA4" s="99"/>
      <c r="ANB4" s="99"/>
      <c r="ANC4" s="99"/>
      <c r="AND4" s="99"/>
      <c r="ANE4" s="99"/>
      <c r="ANF4" s="99"/>
      <c r="ANG4" s="99"/>
      <c r="ANH4" s="99"/>
      <c r="ANI4" s="99"/>
      <c r="ANJ4" s="99"/>
      <c r="ANK4" s="99"/>
      <c r="ANL4" s="99"/>
      <c r="ANM4" s="99"/>
      <c r="ANN4" s="99"/>
      <c r="ANO4" s="99"/>
      <c r="ANP4" s="99"/>
      <c r="ANQ4" s="99"/>
      <c r="ANR4" s="99"/>
      <c r="ANS4" s="99"/>
      <c r="ANT4" s="99"/>
      <c r="ANU4" s="99"/>
      <c r="ANV4" s="99"/>
      <c r="ANW4" s="99"/>
      <c r="ANX4" s="99"/>
      <c r="ANY4" s="99"/>
      <c r="ANZ4" s="99"/>
      <c r="AOA4" s="99"/>
      <c r="AOB4" s="99"/>
      <c r="AOC4" s="99"/>
      <c r="AOD4" s="99"/>
      <c r="AOE4" s="99"/>
      <c r="AOF4" s="99"/>
      <c r="AOG4" s="99"/>
      <c r="AOH4" s="99"/>
      <c r="AOI4" s="99"/>
      <c r="AOJ4" s="99"/>
      <c r="AOK4" s="99"/>
      <c r="AOL4" s="99"/>
      <c r="AOM4" s="99"/>
      <c r="AON4" s="99"/>
      <c r="AOO4" s="99"/>
      <c r="AOP4" s="99"/>
      <c r="AOQ4" s="99"/>
      <c r="AOR4" s="99"/>
      <c r="AOS4" s="99"/>
      <c r="AOT4" s="99"/>
      <c r="AOU4" s="99"/>
      <c r="AOV4" s="99"/>
      <c r="AOW4" s="99"/>
      <c r="AOX4" s="99"/>
      <c r="AOY4" s="99"/>
      <c r="AOZ4" s="99"/>
      <c r="APA4" s="99"/>
      <c r="APB4" s="99"/>
      <c r="APC4" s="99"/>
      <c r="APD4" s="99"/>
      <c r="APE4" s="99"/>
      <c r="APF4" s="99"/>
      <c r="APG4" s="99"/>
      <c r="APH4" s="99"/>
      <c r="API4" s="99"/>
      <c r="APJ4" s="99"/>
      <c r="APK4" s="99"/>
      <c r="APL4" s="99"/>
      <c r="APM4" s="99"/>
      <c r="APN4" s="99"/>
      <c r="APO4" s="99"/>
      <c r="APP4" s="99"/>
      <c r="APQ4" s="99"/>
      <c r="APR4" s="99"/>
      <c r="APS4" s="99"/>
      <c r="APT4" s="99"/>
      <c r="APU4" s="99"/>
      <c r="APV4" s="99"/>
      <c r="APW4" s="99"/>
      <c r="APX4" s="99"/>
      <c r="APY4" s="99"/>
      <c r="APZ4" s="99"/>
      <c r="AQA4" s="99"/>
      <c r="AQB4" s="99"/>
      <c r="AQC4" s="99"/>
      <c r="AQD4" s="99"/>
      <c r="AQE4" s="99"/>
      <c r="AQF4" s="99"/>
      <c r="AQG4" s="99"/>
      <c r="AQH4" s="99"/>
      <c r="AQI4" s="99"/>
      <c r="AQJ4" s="99"/>
      <c r="AQK4" s="99"/>
      <c r="AQL4" s="99"/>
      <c r="AQM4" s="99"/>
      <c r="AQN4" s="99"/>
      <c r="AQO4" s="99"/>
      <c r="AQP4" s="99"/>
      <c r="AQQ4" s="99"/>
      <c r="AQR4" s="99"/>
      <c r="AQS4" s="99"/>
      <c r="AQT4" s="99"/>
      <c r="AQU4" s="99"/>
      <c r="AQV4" s="99"/>
      <c r="AQW4" s="99"/>
      <c r="AQX4" s="99"/>
      <c r="AQY4" s="99"/>
      <c r="AQZ4" s="99"/>
      <c r="ARA4" s="99"/>
      <c r="ARB4" s="99"/>
      <c r="ARC4" s="99"/>
      <c r="ARD4" s="99"/>
      <c r="ARE4" s="99"/>
      <c r="ARF4" s="99"/>
      <c r="ARG4" s="99"/>
      <c r="ARH4" s="99"/>
      <c r="ARI4" s="99"/>
      <c r="ARJ4" s="99"/>
      <c r="ARK4" s="99"/>
      <c r="ARL4" s="99"/>
      <c r="ARM4" s="99"/>
      <c r="ARN4" s="99"/>
      <c r="ARO4" s="99"/>
      <c r="ARP4" s="99"/>
      <c r="ARQ4" s="99"/>
      <c r="ARR4" s="99"/>
      <c r="ARS4" s="99"/>
      <c r="ART4" s="99"/>
      <c r="ARU4" s="99"/>
      <c r="ARV4" s="99"/>
      <c r="ARW4" s="99"/>
      <c r="ARX4" s="99"/>
      <c r="ARY4" s="99"/>
      <c r="ARZ4" s="99"/>
      <c r="ASA4" s="99"/>
      <c r="ASB4" s="99"/>
      <c r="ASC4" s="99"/>
      <c r="ASD4" s="99"/>
      <c r="ASE4" s="99"/>
      <c r="ASF4" s="99"/>
      <c r="ASG4" s="99"/>
      <c r="ASH4" s="99"/>
      <c r="ASI4" s="99"/>
      <c r="ASJ4" s="99"/>
      <c r="ASK4" s="99"/>
      <c r="ASL4" s="99"/>
      <c r="ASM4" s="99"/>
      <c r="ASN4" s="99"/>
      <c r="ASO4" s="99"/>
      <c r="ASP4" s="99"/>
      <c r="ASQ4" s="99"/>
      <c r="ASR4" s="99"/>
      <c r="ASS4" s="99"/>
      <c r="AST4" s="99"/>
      <c r="ASU4" s="99"/>
      <c r="ASV4" s="99"/>
      <c r="ASW4" s="99"/>
      <c r="ASX4" s="99"/>
      <c r="ASY4" s="99"/>
      <c r="ASZ4" s="99"/>
      <c r="ATA4" s="99"/>
      <c r="ATB4" s="99"/>
      <c r="ATC4" s="99"/>
      <c r="ATD4" s="99"/>
      <c r="ATE4" s="99"/>
      <c r="ATF4" s="99"/>
      <c r="ATG4" s="99"/>
      <c r="ATH4" s="99"/>
      <c r="ATI4" s="99"/>
      <c r="ATJ4" s="99"/>
      <c r="ATK4" s="99"/>
      <c r="ATL4" s="99"/>
      <c r="ATM4" s="99"/>
      <c r="ATN4" s="99"/>
      <c r="ATO4" s="99"/>
      <c r="ATP4" s="99"/>
      <c r="ATQ4" s="99"/>
      <c r="ATR4" s="99"/>
      <c r="ATS4" s="99"/>
      <c r="ATT4" s="99"/>
      <c r="ATU4" s="99"/>
      <c r="ATV4" s="99"/>
      <c r="ATW4" s="99"/>
      <c r="ATX4" s="99"/>
      <c r="ATY4" s="99"/>
      <c r="ATZ4" s="99"/>
      <c r="AUA4" s="99"/>
      <c r="AUB4" s="99"/>
      <c r="AUC4" s="99"/>
      <c r="AUD4" s="99"/>
      <c r="AUE4" s="99"/>
      <c r="AUF4" s="99"/>
      <c r="AUG4" s="99"/>
      <c r="AUH4" s="99"/>
      <c r="AUI4" s="99"/>
      <c r="AUJ4" s="99"/>
      <c r="AUK4" s="99"/>
      <c r="AUL4" s="99"/>
      <c r="AUM4" s="99"/>
      <c r="AUN4" s="99"/>
      <c r="AUO4" s="99"/>
      <c r="AUP4" s="99"/>
      <c r="AUQ4" s="99"/>
      <c r="AUR4" s="99"/>
      <c r="AUS4" s="99"/>
      <c r="AUT4" s="99"/>
      <c r="AUU4" s="99"/>
      <c r="AUV4" s="99"/>
      <c r="AUW4" s="99"/>
      <c r="AUX4" s="99"/>
      <c r="AUY4" s="99"/>
      <c r="AUZ4" s="99"/>
      <c r="AVA4" s="99"/>
      <c r="AVB4" s="99"/>
      <c r="AVC4" s="99"/>
      <c r="AVD4" s="99"/>
      <c r="AVE4" s="99"/>
      <c r="AVF4" s="99"/>
      <c r="AVG4" s="99"/>
      <c r="AVH4" s="99"/>
      <c r="AVI4" s="99"/>
      <c r="AVJ4" s="99"/>
      <c r="AVK4" s="99"/>
      <c r="AVL4" s="99"/>
      <c r="AVM4" s="99"/>
      <c r="AVN4" s="99"/>
      <c r="AVO4" s="99"/>
      <c r="AVP4" s="99"/>
      <c r="AVQ4" s="99"/>
      <c r="AVR4" s="99"/>
      <c r="AVS4" s="99"/>
      <c r="AVT4" s="99"/>
      <c r="AVU4" s="99"/>
      <c r="AVV4" s="99"/>
      <c r="AVW4" s="99"/>
      <c r="AVX4" s="99"/>
      <c r="AVY4" s="99"/>
      <c r="AVZ4" s="99"/>
      <c r="AWA4" s="99"/>
      <c r="AWB4" s="99"/>
      <c r="AWC4" s="99"/>
      <c r="AWD4" s="99"/>
      <c r="AWE4" s="99"/>
      <c r="AWF4" s="99"/>
      <c r="AWG4" s="99"/>
      <c r="AWH4" s="99"/>
      <c r="AWI4" s="99"/>
      <c r="AWJ4" s="99"/>
      <c r="AWK4" s="99"/>
      <c r="AWL4" s="99"/>
      <c r="AWM4" s="99"/>
      <c r="AWN4" s="99"/>
      <c r="AWO4" s="99"/>
      <c r="AWP4" s="99"/>
      <c r="AWQ4" s="99"/>
      <c r="AWR4" s="99"/>
      <c r="AWS4" s="99"/>
      <c r="AWT4" s="99"/>
      <c r="AWU4" s="99"/>
      <c r="AWV4" s="99"/>
      <c r="AWW4" s="99"/>
      <c r="AWX4" s="99"/>
      <c r="AWY4" s="99"/>
      <c r="AWZ4" s="99"/>
      <c r="AXA4" s="99"/>
      <c r="AXB4" s="99"/>
      <c r="AXC4" s="99"/>
      <c r="AXD4" s="99"/>
      <c r="AXE4" s="99"/>
      <c r="AXF4" s="99"/>
      <c r="AXG4" s="99"/>
      <c r="AXH4" s="99"/>
      <c r="AXI4" s="99"/>
      <c r="AXJ4" s="99"/>
      <c r="AXK4" s="99"/>
      <c r="AXL4" s="99"/>
      <c r="AXM4" s="99"/>
      <c r="AXN4" s="99"/>
      <c r="AXO4" s="99"/>
      <c r="AXP4" s="99"/>
      <c r="AXQ4" s="99"/>
      <c r="AXR4" s="99"/>
      <c r="AXS4" s="99"/>
      <c r="AXT4" s="99"/>
      <c r="AXU4" s="99"/>
      <c r="AXV4" s="99"/>
      <c r="AXW4" s="99"/>
      <c r="AXX4" s="99"/>
      <c r="AXY4" s="99"/>
      <c r="AXZ4" s="99"/>
      <c r="AYA4" s="99"/>
      <c r="AYB4" s="99"/>
      <c r="AYC4" s="99"/>
      <c r="AYD4" s="99"/>
      <c r="AYE4" s="99"/>
      <c r="AYF4" s="99"/>
      <c r="AYG4" s="99"/>
      <c r="AYH4" s="99"/>
      <c r="AYI4" s="99"/>
      <c r="AYJ4" s="99"/>
      <c r="AYK4" s="99"/>
      <c r="AYL4" s="99"/>
      <c r="AYM4" s="99"/>
      <c r="AYN4" s="99"/>
      <c r="AYO4" s="99"/>
      <c r="AYP4" s="99"/>
      <c r="AYQ4" s="99"/>
      <c r="AYR4" s="99"/>
      <c r="AYS4" s="99"/>
      <c r="AYT4" s="99"/>
      <c r="AYU4" s="99"/>
      <c r="AYV4" s="99"/>
      <c r="AYW4" s="99"/>
      <c r="AYX4" s="99"/>
      <c r="AYY4" s="99"/>
      <c r="AYZ4" s="99"/>
      <c r="AZA4" s="99"/>
      <c r="AZB4" s="99"/>
      <c r="AZC4" s="99"/>
      <c r="AZD4" s="99"/>
      <c r="AZE4" s="99"/>
      <c r="AZF4" s="99"/>
      <c r="AZG4" s="99"/>
      <c r="AZH4" s="99"/>
      <c r="AZI4" s="99"/>
      <c r="AZJ4" s="99"/>
      <c r="AZK4" s="99"/>
      <c r="AZL4" s="99"/>
      <c r="AZM4" s="99"/>
      <c r="AZN4" s="99"/>
      <c r="AZO4" s="99"/>
      <c r="AZP4" s="99"/>
      <c r="AZQ4" s="99"/>
      <c r="AZR4" s="99"/>
      <c r="AZS4" s="99"/>
      <c r="AZT4" s="99"/>
      <c r="AZU4" s="99"/>
      <c r="AZV4" s="99"/>
      <c r="AZW4" s="99"/>
      <c r="AZX4" s="99"/>
      <c r="AZY4" s="99"/>
      <c r="AZZ4" s="99"/>
      <c r="BAA4" s="99"/>
      <c r="BAB4" s="99"/>
      <c r="BAC4" s="99"/>
      <c r="BAD4" s="99"/>
      <c r="BAE4" s="99"/>
      <c r="BAF4" s="99"/>
      <c r="BAG4" s="99"/>
      <c r="BAH4" s="99"/>
      <c r="BAI4" s="99"/>
      <c r="BAJ4" s="99"/>
      <c r="BAK4" s="99"/>
      <c r="BAL4" s="99"/>
      <c r="BAM4" s="99"/>
      <c r="BAN4" s="99"/>
      <c r="BAO4" s="99"/>
      <c r="BAP4" s="99"/>
      <c r="BAQ4" s="99"/>
      <c r="BAR4" s="99"/>
      <c r="BAS4" s="99"/>
      <c r="BAT4" s="99"/>
      <c r="BAU4" s="99"/>
      <c r="BAV4" s="99"/>
      <c r="BAW4" s="99"/>
      <c r="BAX4" s="99"/>
      <c r="BAY4" s="99"/>
      <c r="BAZ4" s="99"/>
      <c r="BBA4" s="99"/>
      <c r="BBB4" s="99"/>
      <c r="BBC4" s="99"/>
      <c r="BBD4" s="99"/>
      <c r="BBE4" s="99"/>
      <c r="BBF4" s="99"/>
      <c r="BBG4" s="99"/>
      <c r="BBH4" s="99"/>
      <c r="BBI4" s="99"/>
      <c r="BBJ4" s="99"/>
      <c r="BBK4" s="99"/>
      <c r="BBL4" s="99"/>
      <c r="BBM4" s="99"/>
      <c r="BBN4" s="99"/>
      <c r="BBO4" s="99"/>
      <c r="BBP4" s="99"/>
      <c r="BBQ4" s="99"/>
      <c r="BBR4" s="99"/>
      <c r="BBS4" s="99"/>
      <c r="BBT4" s="99"/>
      <c r="BBU4" s="99"/>
      <c r="BBV4" s="99"/>
      <c r="BBW4" s="99"/>
      <c r="BBX4" s="99"/>
      <c r="BBY4" s="99"/>
      <c r="BBZ4" s="99"/>
      <c r="BCA4" s="99"/>
      <c r="BCB4" s="99"/>
      <c r="BCC4" s="99"/>
      <c r="BCD4" s="99"/>
      <c r="BCE4" s="99"/>
      <c r="BCF4" s="99"/>
      <c r="BCG4" s="99"/>
      <c r="BCH4" s="99"/>
      <c r="BCI4" s="99"/>
      <c r="BCJ4" s="99"/>
      <c r="BCK4" s="99"/>
      <c r="BCL4" s="99"/>
      <c r="BCM4" s="99"/>
      <c r="BCN4" s="99"/>
      <c r="BCO4" s="99"/>
      <c r="BCP4" s="99"/>
      <c r="BCQ4" s="99"/>
      <c r="BCR4" s="99"/>
      <c r="BCS4" s="99"/>
      <c r="BCT4" s="99"/>
      <c r="BCU4" s="99"/>
      <c r="BCV4" s="99"/>
      <c r="BCW4" s="99"/>
      <c r="BCX4" s="99"/>
      <c r="BCY4" s="99"/>
      <c r="BCZ4" s="99"/>
      <c r="BDA4" s="99"/>
      <c r="BDB4" s="99"/>
      <c r="BDC4" s="99"/>
      <c r="BDD4" s="99"/>
      <c r="BDE4" s="99"/>
      <c r="BDF4" s="99"/>
      <c r="BDG4" s="99"/>
      <c r="BDH4" s="99"/>
      <c r="BDI4" s="99"/>
      <c r="BDJ4" s="99"/>
      <c r="BDK4" s="99"/>
      <c r="BDL4" s="99"/>
      <c r="BDM4" s="99"/>
      <c r="BDN4" s="99"/>
      <c r="BDO4" s="99"/>
      <c r="BDP4" s="99"/>
      <c r="BDQ4" s="99"/>
      <c r="BDR4" s="99"/>
      <c r="BDS4" s="99"/>
      <c r="BDT4" s="99"/>
      <c r="BDU4" s="99"/>
      <c r="BDV4" s="99"/>
      <c r="BDW4" s="99"/>
      <c r="BDX4" s="99"/>
      <c r="BDY4" s="99"/>
      <c r="BDZ4" s="99"/>
      <c r="BEA4" s="99"/>
      <c r="BEB4" s="99"/>
      <c r="BEC4" s="99"/>
      <c r="BED4" s="99"/>
      <c r="BEE4" s="99"/>
      <c r="BEF4" s="99"/>
      <c r="BEG4" s="99"/>
      <c r="BEH4" s="99"/>
      <c r="BEI4" s="99"/>
      <c r="BEJ4" s="99"/>
      <c r="BEK4" s="99"/>
      <c r="BEL4" s="99"/>
      <c r="BEM4" s="99"/>
      <c r="BEN4" s="99"/>
      <c r="BEO4" s="99"/>
      <c r="BEP4" s="99"/>
      <c r="BEQ4" s="99"/>
      <c r="BER4" s="99"/>
      <c r="BES4" s="99"/>
      <c r="BET4" s="99"/>
      <c r="BEU4" s="99"/>
      <c r="BEV4" s="99"/>
      <c r="BEW4" s="99"/>
      <c r="BEX4" s="99"/>
      <c r="BEY4" s="99"/>
      <c r="BEZ4" s="99"/>
      <c r="BFA4" s="99"/>
      <c r="BFB4" s="99"/>
      <c r="BFC4" s="99"/>
      <c r="BFD4" s="99"/>
      <c r="BFE4" s="99"/>
      <c r="BFF4" s="99"/>
      <c r="BFG4" s="99"/>
      <c r="BFH4" s="99"/>
      <c r="BFI4" s="99"/>
      <c r="BFJ4" s="99"/>
      <c r="BFK4" s="99"/>
      <c r="BFL4" s="99"/>
      <c r="BFM4" s="99"/>
      <c r="BFN4" s="99"/>
      <c r="BFO4" s="99"/>
      <c r="BFP4" s="99"/>
      <c r="BFQ4" s="99"/>
      <c r="BFR4" s="99"/>
      <c r="BFS4" s="99"/>
      <c r="BFT4" s="99"/>
      <c r="BFU4" s="99"/>
      <c r="BFV4" s="99"/>
      <c r="BFW4" s="99"/>
      <c r="BFX4" s="99"/>
      <c r="BFY4" s="99"/>
      <c r="BFZ4" s="99"/>
      <c r="BGA4" s="99"/>
      <c r="BGB4" s="99"/>
      <c r="BGC4" s="99"/>
      <c r="BGD4" s="99"/>
      <c r="BGE4" s="99"/>
      <c r="BGF4" s="99"/>
      <c r="BGG4" s="99"/>
      <c r="BGH4" s="99"/>
      <c r="BGI4" s="99"/>
      <c r="BGJ4" s="99"/>
      <c r="BGK4" s="99"/>
      <c r="BGL4" s="99"/>
      <c r="BGM4" s="99"/>
      <c r="BGN4" s="99"/>
      <c r="BGO4" s="99"/>
      <c r="BGP4" s="99"/>
      <c r="BGQ4" s="99"/>
      <c r="BGR4" s="99"/>
      <c r="BGS4" s="99"/>
      <c r="BGT4" s="99"/>
      <c r="BGU4" s="99"/>
      <c r="BGV4" s="99"/>
      <c r="BGW4" s="99"/>
      <c r="BGX4" s="99"/>
      <c r="BGY4" s="99"/>
      <c r="BGZ4" s="99"/>
      <c r="BHA4" s="99"/>
      <c r="BHB4" s="99"/>
      <c r="BHC4" s="99"/>
      <c r="BHD4" s="99"/>
      <c r="BHE4" s="99"/>
      <c r="BHF4" s="99"/>
      <c r="BHG4" s="99"/>
      <c r="BHH4" s="99"/>
      <c r="BHI4" s="99"/>
      <c r="BHJ4" s="99"/>
      <c r="BHK4" s="99"/>
      <c r="BHL4" s="99"/>
      <c r="BHM4" s="99"/>
      <c r="BHN4" s="99"/>
      <c r="BHO4" s="99"/>
      <c r="BHP4" s="99"/>
      <c r="BHQ4" s="99"/>
      <c r="BHR4" s="99"/>
      <c r="BHS4" s="99"/>
      <c r="BHT4" s="99"/>
      <c r="BHU4" s="99"/>
      <c r="BHV4" s="99"/>
      <c r="BHW4" s="99"/>
      <c r="BHX4" s="99"/>
      <c r="BHY4" s="99"/>
      <c r="BHZ4" s="99"/>
      <c r="BIA4" s="99"/>
      <c r="BIB4" s="99"/>
      <c r="BIC4" s="99"/>
      <c r="BID4" s="99"/>
      <c r="BIE4" s="99"/>
      <c r="BIF4" s="99"/>
      <c r="BIG4" s="99"/>
      <c r="BIH4" s="99"/>
      <c r="BII4" s="99"/>
      <c r="BIJ4" s="99"/>
      <c r="BIK4" s="99"/>
      <c r="BIL4" s="99"/>
      <c r="BIM4" s="99"/>
      <c r="BIN4" s="99"/>
      <c r="BIO4" s="99"/>
      <c r="BIP4" s="99"/>
      <c r="BIQ4" s="99"/>
      <c r="BIR4" s="99"/>
      <c r="BIS4" s="99"/>
      <c r="BIT4" s="99"/>
      <c r="BIU4" s="99"/>
      <c r="BIV4" s="99"/>
      <c r="BIW4" s="99"/>
      <c r="BIX4" s="99"/>
      <c r="BIY4" s="99"/>
      <c r="BIZ4" s="99"/>
      <c r="BJA4" s="99"/>
      <c r="BJB4" s="99"/>
      <c r="BJC4" s="99"/>
      <c r="BJD4" s="99"/>
      <c r="BJE4" s="99"/>
      <c r="BJF4" s="99"/>
      <c r="BJG4" s="99"/>
      <c r="BJH4" s="99"/>
      <c r="BJI4" s="99"/>
      <c r="BJJ4" s="99"/>
      <c r="BJK4" s="99"/>
      <c r="BJL4" s="99"/>
      <c r="BJM4" s="99"/>
      <c r="BJN4" s="99"/>
      <c r="BJO4" s="99"/>
      <c r="BJP4" s="99"/>
      <c r="BJQ4" s="99"/>
      <c r="BJR4" s="99"/>
      <c r="BJS4" s="99"/>
      <c r="BJT4" s="99"/>
      <c r="BJU4" s="99"/>
      <c r="BJV4" s="99"/>
      <c r="BJW4" s="99"/>
      <c r="BJX4" s="99"/>
      <c r="BJY4" s="99"/>
      <c r="BJZ4" s="99"/>
      <c r="BKA4" s="99"/>
      <c r="BKB4" s="99"/>
      <c r="BKC4" s="99"/>
      <c r="BKD4" s="99"/>
      <c r="BKE4" s="99"/>
      <c r="BKF4" s="99"/>
      <c r="BKG4" s="99"/>
      <c r="BKH4" s="99"/>
      <c r="BKI4" s="99"/>
      <c r="BKJ4" s="99"/>
      <c r="BKK4" s="99"/>
      <c r="BKL4" s="99"/>
      <c r="BKM4" s="99"/>
      <c r="BKN4" s="99"/>
      <c r="BKO4" s="99"/>
      <c r="BKP4" s="99"/>
      <c r="BKQ4" s="99"/>
      <c r="BKR4" s="99"/>
      <c r="BKS4" s="99"/>
      <c r="BKT4" s="99"/>
      <c r="BKU4" s="99"/>
      <c r="BKV4" s="99"/>
      <c r="BKW4" s="99"/>
      <c r="BKX4" s="99"/>
      <c r="BKY4" s="99"/>
      <c r="BKZ4" s="99"/>
      <c r="BLA4" s="99"/>
      <c r="BLB4" s="99"/>
      <c r="BLC4" s="99"/>
      <c r="BLD4" s="99"/>
      <c r="BLE4" s="99"/>
      <c r="BLF4" s="99"/>
      <c r="BLG4" s="99"/>
      <c r="BLH4" s="99"/>
      <c r="BLI4" s="99"/>
      <c r="BLJ4" s="99"/>
      <c r="BLK4" s="99"/>
      <c r="BLL4" s="99"/>
      <c r="BLM4" s="99"/>
      <c r="BLN4" s="99"/>
      <c r="BLO4" s="99"/>
      <c r="BLP4" s="99"/>
      <c r="BLQ4" s="99"/>
      <c r="BLR4" s="99"/>
      <c r="BLS4" s="99"/>
      <c r="BLT4" s="99"/>
      <c r="BLU4" s="99"/>
      <c r="BLV4" s="99"/>
      <c r="BLW4" s="99"/>
      <c r="BLX4" s="99"/>
      <c r="BLY4" s="99"/>
      <c r="BLZ4" s="99"/>
      <c r="BMA4" s="99"/>
      <c r="BMB4" s="99"/>
      <c r="BMC4" s="99"/>
      <c r="BMD4" s="99"/>
      <c r="BME4" s="99"/>
      <c r="BMF4" s="99"/>
      <c r="BMG4" s="99"/>
      <c r="BMH4" s="99"/>
      <c r="BMI4" s="99"/>
      <c r="BMJ4" s="99"/>
      <c r="BMK4" s="99"/>
      <c r="BML4" s="99"/>
      <c r="BMM4" s="99"/>
      <c r="BMN4" s="99"/>
      <c r="BMO4" s="99"/>
      <c r="BMP4" s="99"/>
      <c r="BMQ4" s="99"/>
      <c r="BMR4" s="99"/>
      <c r="BMS4" s="99"/>
      <c r="BMT4" s="99"/>
      <c r="BMU4" s="99"/>
      <c r="BMV4" s="99"/>
      <c r="BMW4" s="99"/>
      <c r="BMX4" s="99"/>
      <c r="BMY4" s="99"/>
      <c r="BMZ4" s="99"/>
      <c r="BNA4" s="99"/>
      <c r="BNB4" s="99"/>
      <c r="BNC4" s="99"/>
      <c r="BND4" s="99"/>
      <c r="BNE4" s="99"/>
      <c r="BNF4" s="99"/>
      <c r="BNG4" s="99"/>
      <c r="BNH4" s="99"/>
      <c r="BNI4" s="99"/>
      <c r="BNJ4" s="99"/>
      <c r="BNK4" s="99"/>
      <c r="BNL4" s="99"/>
      <c r="BNM4" s="99"/>
      <c r="BNN4" s="99"/>
      <c r="BNO4" s="99"/>
      <c r="BNP4" s="99"/>
      <c r="BNQ4" s="99"/>
      <c r="BNR4" s="99"/>
      <c r="BNS4" s="99"/>
      <c r="BNT4" s="99"/>
      <c r="BNU4" s="99"/>
      <c r="BNV4" s="99"/>
      <c r="BNW4" s="99"/>
      <c r="BNX4" s="99"/>
      <c r="BNY4" s="99"/>
      <c r="BNZ4" s="99"/>
      <c r="BOA4" s="99"/>
      <c r="BOB4" s="99"/>
      <c r="BOC4" s="99"/>
      <c r="BOD4" s="99"/>
      <c r="BOE4" s="99"/>
      <c r="BOF4" s="99"/>
      <c r="BOG4" s="99"/>
      <c r="BOH4" s="99"/>
      <c r="BOI4" s="99"/>
      <c r="BOJ4" s="99"/>
      <c r="BOK4" s="99"/>
      <c r="BOL4" s="99"/>
      <c r="BOM4" s="99"/>
      <c r="BON4" s="99"/>
      <c r="BOO4" s="99"/>
      <c r="BOP4" s="99"/>
      <c r="BOQ4" s="99"/>
      <c r="BOR4" s="99"/>
      <c r="BOS4" s="99"/>
      <c r="BOT4" s="99"/>
      <c r="BOU4" s="99"/>
      <c r="BOV4" s="99"/>
      <c r="BOW4" s="99"/>
      <c r="BOX4" s="99"/>
      <c r="BOY4" s="99"/>
      <c r="BOZ4" s="99"/>
      <c r="BPA4" s="99"/>
      <c r="BPB4" s="99"/>
      <c r="BPC4" s="99"/>
      <c r="BPD4" s="99"/>
      <c r="BPE4" s="99"/>
      <c r="BPF4" s="99"/>
      <c r="BPG4" s="99"/>
      <c r="BPH4" s="99"/>
      <c r="BPI4" s="99"/>
      <c r="BPJ4" s="99"/>
      <c r="BPK4" s="99"/>
      <c r="BPL4" s="99"/>
      <c r="BPM4" s="99"/>
      <c r="BPN4" s="99"/>
      <c r="BPO4" s="99"/>
      <c r="BPP4" s="99"/>
      <c r="BPQ4" s="99"/>
      <c r="BPR4" s="99"/>
      <c r="BPS4" s="99"/>
      <c r="BPT4" s="99"/>
      <c r="BPU4" s="99"/>
      <c r="BPV4" s="99"/>
      <c r="BPW4" s="99"/>
      <c r="BPX4" s="99"/>
      <c r="BPY4" s="99"/>
      <c r="BPZ4" s="99"/>
      <c r="BQA4" s="99"/>
      <c r="BQB4" s="99"/>
      <c r="BQC4" s="99"/>
      <c r="BQD4" s="99"/>
      <c r="BQE4" s="99"/>
      <c r="BQF4" s="99"/>
      <c r="BQG4" s="99"/>
      <c r="BQH4" s="99"/>
      <c r="BQI4" s="99"/>
      <c r="BQJ4" s="99"/>
      <c r="BQK4" s="99"/>
      <c r="BQL4" s="99"/>
      <c r="BQM4" s="99"/>
      <c r="BQN4" s="99"/>
      <c r="BQO4" s="99"/>
      <c r="BQP4" s="99"/>
      <c r="BQQ4" s="99"/>
      <c r="BQR4" s="99"/>
      <c r="BQS4" s="99"/>
      <c r="BQT4" s="99"/>
      <c r="BQU4" s="99"/>
      <c r="BQV4" s="99"/>
      <c r="BQW4" s="99"/>
      <c r="BQX4" s="99"/>
      <c r="BQY4" s="99"/>
      <c r="BQZ4" s="99"/>
      <c r="BRA4" s="99"/>
      <c r="BRB4" s="99"/>
      <c r="BRC4" s="99"/>
      <c r="BRD4" s="99"/>
      <c r="BRE4" s="99"/>
      <c r="BRF4" s="99"/>
      <c r="BRG4" s="99"/>
      <c r="BRH4" s="99"/>
      <c r="BRI4" s="99"/>
      <c r="BRJ4" s="99"/>
      <c r="BRK4" s="99"/>
      <c r="BRL4" s="99"/>
      <c r="BRM4" s="99"/>
      <c r="BRN4" s="99"/>
      <c r="BRO4" s="99"/>
      <c r="BRP4" s="99"/>
      <c r="BRQ4" s="99"/>
      <c r="BRR4" s="99"/>
      <c r="BRS4" s="99"/>
      <c r="BRT4" s="99"/>
      <c r="BRU4" s="99"/>
      <c r="BRV4" s="99"/>
      <c r="BRW4" s="99"/>
      <c r="BRX4" s="99"/>
      <c r="BRY4" s="99"/>
      <c r="BRZ4" s="99"/>
      <c r="BSA4" s="99"/>
      <c r="BSB4" s="99"/>
      <c r="BSC4" s="99"/>
      <c r="BSD4" s="99"/>
      <c r="BSE4" s="99"/>
      <c r="BSF4" s="99"/>
      <c r="BSG4" s="99"/>
      <c r="BSH4" s="99"/>
      <c r="BSI4" s="99"/>
      <c r="BSJ4" s="99"/>
      <c r="BSK4" s="99"/>
      <c r="BSL4" s="99"/>
      <c r="BSM4" s="99"/>
      <c r="BSN4" s="99"/>
      <c r="BSO4" s="99"/>
      <c r="BSP4" s="99"/>
      <c r="BSQ4" s="99"/>
      <c r="BSR4" s="99"/>
      <c r="BSS4" s="99"/>
      <c r="BST4" s="99"/>
      <c r="BSU4" s="99"/>
      <c r="BSV4" s="99"/>
      <c r="BSW4" s="99"/>
      <c r="BSX4" s="99"/>
      <c r="BSY4" s="99"/>
      <c r="BSZ4" s="99"/>
      <c r="BTA4" s="99"/>
      <c r="BTB4" s="99"/>
      <c r="BTC4" s="99"/>
      <c r="BTD4" s="99"/>
      <c r="BTE4" s="99"/>
      <c r="BTF4" s="99"/>
      <c r="BTG4" s="99"/>
      <c r="BTH4" s="99"/>
      <c r="BTI4" s="99"/>
      <c r="BTJ4" s="99"/>
      <c r="BTK4" s="99"/>
      <c r="BTL4" s="99"/>
      <c r="BTM4" s="99"/>
      <c r="BTN4" s="99"/>
      <c r="BTO4" s="99"/>
      <c r="BTP4" s="99"/>
      <c r="BTQ4" s="99"/>
      <c r="BTR4" s="99"/>
      <c r="BTS4" s="99"/>
      <c r="BTT4" s="99"/>
      <c r="BTU4" s="99"/>
      <c r="BTV4" s="99"/>
      <c r="BTW4" s="99"/>
      <c r="BTX4" s="99"/>
      <c r="BTY4" s="99"/>
      <c r="BTZ4" s="99"/>
      <c r="BUA4" s="99"/>
      <c r="BUB4" s="99"/>
      <c r="BUC4" s="99"/>
      <c r="BUD4" s="99"/>
      <c r="BUE4" s="99"/>
      <c r="BUF4" s="99"/>
      <c r="BUG4" s="99"/>
      <c r="BUH4" s="99"/>
      <c r="BUI4" s="99"/>
      <c r="BUJ4" s="99"/>
      <c r="BUK4" s="99"/>
      <c r="BUL4" s="99"/>
      <c r="BUM4" s="99"/>
      <c r="BUN4" s="99"/>
      <c r="BUO4" s="99"/>
      <c r="BUP4" s="99"/>
      <c r="BUQ4" s="99"/>
      <c r="BUR4" s="99"/>
      <c r="BUS4" s="99"/>
      <c r="BUT4" s="99"/>
      <c r="BUU4" s="99"/>
      <c r="BUV4" s="99"/>
      <c r="BUW4" s="99"/>
      <c r="BUX4" s="99"/>
      <c r="BUY4" s="99"/>
      <c r="BUZ4" s="99"/>
      <c r="BVA4" s="99"/>
      <c r="BVB4" s="99"/>
      <c r="BVC4" s="99"/>
      <c r="BVD4" s="99"/>
      <c r="BVE4" s="99"/>
      <c r="BVF4" s="99"/>
      <c r="BVG4" s="99"/>
      <c r="BVH4" s="99"/>
      <c r="BVI4" s="99"/>
      <c r="BVJ4" s="99"/>
      <c r="BVK4" s="99"/>
      <c r="BVL4" s="99"/>
      <c r="BVM4" s="99"/>
      <c r="BVN4" s="99"/>
      <c r="BVO4" s="99"/>
      <c r="BVP4" s="99"/>
      <c r="BVQ4" s="99"/>
      <c r="BVR4" s="99"/>
      <c r="BVS4" s="99"/>
      <c r="BVT4" s="99"/>
      <c r="BVU4" s="99"/>
      <c r="BVV4" s="99"/>
      <c r="BVW4" s="99"/>
      <c r="BVX4" s="99"/>
      <c r="BVY4" s="99"/>
      <c r="BVZ4" s="99"/>
      <c r="BWA4" s="99"/>
      <c r="BWB4" s="99"/>
      <c r="BWC4" s="99"/>
      <c r="BWD4" s="99"/>
      <c r="BWE4" s="99"/>
      <c r="BWF4" s="99"/>
      <c r="BWG4" s="99"/>
      <c r="BWH4" s="99"/>
      <c r="BWI4" s="99"/>
      <c r="BWJ4" s="99"/>
      <c r="BWK4" s="99"/>
      <c r="BWL4" s="99"/>
      <c r="BWM4" s="99"/>
      <c r="BWN4" s="99"/>
      <c r="BWO4" s="99"/>
      <c r="BWP4" s="99"/>
      <c r="BWQ4" s="99"/>
      <c r="BWR4" s="99"/>
      <c r="BWS4" s="99"/>
      <c r="BWT4" s="99"/>
      <c r="BWU4" s="99"/>
      <c r="BWV4" s="99"/>
      <c r="BWW4" s="99"/>
      <c r="BWX4" s="99"/>
      <c r="BWY4" s="99"/>
      <c r="BWZ4" s="99"/>
      <c r="BXA4" s="99"/>
      <c r="BXB4" s="99"/>
      <c r="BXC4" s="99"/>
      <c r="BXD4" s="99"/>
      <c r="BXE4" s="99"/>
      <c r="BXF4" s="99"/>
      <c r="BXG4" s="99"/>
      <c r="BXH4" s="99"/>
      <c r="BXI4" s="99"/>
      <c r="BXJ4" s="99"/>
      <c r="BXK4" s="99"/>
      <c r="BXL4" s="99"/>
      <c r="BXM4" s="99"/>
      <c r="BXN4" s="99"/>
      <c r="BXO4" s="99"/>
      <c r="BXP4" s="99"/>
      <c r="BXQ4" s="99"/>
      <c r="BXR4" s="99"/>
      <c r="BXS4" s="99"/>
      <c r="BXT4" s="99"/>
      <c r="BXU4" s="99"/>
      <c r="BXV4" s="99"/>
      <c r="BXW4" s="99"/>
      <c r="BXX4" s="99"/>
      <c r="BXY4" s="99"/>
      <c r="BXZ4" s="99"/>
      <c r="BYA4" s="99"/>
      <c r="BYB4" s="99"/>
      <c r="BYC4" s="99"/>
      <c r="BYD4" s="99"/>
      <c r="BYE4" s="99"/>
      <c r="BYF4" s="99"/>
      <c r="BYG4" s="99"/>
      <c r="BYH4" s="99"/>
      <c r="BYI4" s="99"/>
      <c r="BYJ4" s="99"/>
      <c r="BYK4" s="99"/>
      <c r="BYL4" s="99"/>
      <c r="BYM4" s="99"/>
      <c r="BYN4" s="99"/>
      <c r="BYO4" s="99"/>
      <c r="BYP4" s="99"/>
      <c r="BYQ4" s="99"/>
      <c r="BYR4" s="99"/>
      <c r="BYS4" s="99"/>
      <c r="BYT4" s="99"/>
      <c r="BYU4" s="99"/>
      <c r="BYV4" s="99"/>
      <c r="BYW4" s="99"/>
      <c r="BYX4" s="99"/>
      <c r="BYY4" s="99"/>
      <c r="BYZ4" s="99"/>
      <c r="BZA4" s="99"/>
      <c r="BZB4" s="99"/>
      <c r="BZC4" s="99"/>
      <c r="BZD4" s="99"/>
      <c r="BZE4" s="99"/>
      <c r="BZF4" s="99"/>
      <c r="BZG4" s="99"/>
      <c r="BZH4" s="99"/>
      <c r="BZI4" s="99"/>
      <c r="BZV4" s="99"/>
      <c r="BZW4" s="99"/>
      <c r="BZX4" s="99"/>
      <c r="BZY4" s="99"/>
      <c r="BZZ4" s="99"/>
      <c r="CAA4" s="99"/>
      <c r="CAB4" s="99"/>
      <c r="CAC4" s="99"/>
      <c r="CAD4" s="99"/>
      <c r="CAE4" s="99"/>
      <c r="CAF4" s="99"/>
      <c r="CAG4" s="99"/>
      <c r="CAH4" s="99"/>
      <c r="CAI4" s="99"/>
      <c r="CAJ4" s="99"/>
      <c r="CAK4" s="99"/>
      <c r="CAL4" s="99"/>
      <c r="CAM4" s="99"/>
      <c r="CAN4" s="99"/>
      <c r="CAO4" s="99"/>
      <c r="CAP4" s="99"/>
      <c r="CAQ4" s="99"/>
      <c r="CAR4" s="99"/>
      <c r="CAS4" s="99"/>
      <c r="CAT4" s="99"/>
      <c r="CAU4" s="99"/>
      <c r="CAV4" s="99"/>
      <c r="CAW4" s="99"/>
      <c r="CAX4" s="99"/>
      <c r="CAY4" s="99"/>
      <c r="CAZ4" s="99"/>
      <c r="CBA4" s="99"/>
      <c r="CBB4" s="99"/>
      <c r="CBC4" s="99"/>
      <c r="CBD4" s="99"/>
      <c r="CBE4" s="99"/>
      <c r="CBF4" s="99"/>
      <c r="CBG4" s="99"/>
      <c r="CBH4" s="99"/>
      <c r="CBI4" s="99"/>
      <c r="CBJ4" s="99"/>
      <c r="CBK4" s="99"/>
      <c r="CBL4" s="99"/>
      <c r="CBM4" s="99"/>
      <c r="CBN4" s="99"/>
      <c r="CBO4" s="99"/>
      <c r="CBP4" s="99"/>
      <c r="CBQ4" s="99"/>
      <c r="CBR4" s="99"/>
      <c r="CBS4" s="99"/>
      <c r="CBT4" s="99"/>
      <c r="CBU4" s="99"/>
      <c r="CBV4" s="99"/>
      <c r="CBW4" s="99"/>
      <c r="CBX4" s="99"/>
      <c r="CBY4" s="99"/>
      <c r="CBZ4" s="99"/>
      <c r="CCA4" s="99"/>
      <c r="CCB4" s="99"/>
      <c r="CCC4" s="99"/>
      <c r="CCD4" s="99"/>
      <c r="CCE4" s="99"/>
      <c r="CCF4" s="99"/>
      <c r="CCG4" s="99"/>
      <c r="CCH4" s="99"/>
      <c r="CCI4" s="99"/>
      <c r="CCJ4" s="99"/>
      <c r="CCK4" s="99"/>
      <c r="CCL4" s="99"/>
      <c r="CCM4" s="99"/>
      <c r="CCN4" s="99"/>
      <c r="CCO4" s="99"/>
      <c r="CCP4" s="99"/>
      <c r="CCQ4" s="99"/>
      <c r="CCR4" s="99"/>
      <c r="CCS4" s="99"/>
      <c r="CCT4" s="99"/>
      <c r="CCU4" s="99"/>
      <c r="CCV4" s="99"/>
      <c r="CCW4" s="99"/>
      <c r="CCX4" s="99"/>
      <c r="CCY4" s="99"/>
      <c r="CCZ4" s="99"/>
      <c r="CDA4" s="99"/>
      <c r="CDB4" s="99"/>
      <c r="CDC4" s="99"/>
      <c r="CDD4" s="99"/>
      <c r="CDE4" s="99"/>
      <c r="CDF4" s="99"/>
      <c r="CDG4" s="99"/>
      <c r="CDH4" s="99"/>
      <c r="CDI4" s="99"/>
      <c r="CDJ4" s="99"/>
      <c r="CDK4" s="99"/>
      <c r="CDL4" s="99"/>
      <c r="CDM4" s="99"/>
      <c r="CDN4" s="99"/>
      <c r="CDO4" s="99"/>
      <c r="CDP4" s="99"/>
      <c r="CDQ4" s="99"/>
      <c r="CDR4" s="99"/>
      <c r="CDS4" s="99"/>
      <c r="CDT4" s="99"/>
      <c r="CDU4" s="99"/>
      <c r="CDV4" s="99"/>
      <c r="CDW4" s="99"/>
      <c r="CDX4" s="99"/>
      <c r="CDY4" s="99"/>
      <c r="CDZ4" s="99"/>
      <c r="CEA4" s="99"/>
      <c r="CEB4" s="99"/>
      <c r="CEC4" s="99"/>
      <c r="CED4" s="99"/>
      <c r="CEE4" s="99"/>
      <c r="CEF4" s="99"/>
      <c r="CEG4" s="99"/>
      <c r="CEH4" s="99"/>
      <c r="CEI4" s="99"/>
      <c r="CEJ4" s="99"/>
      <c r="CEK4" s="99"/>
      <c r="CEL4" s="99"/>
      <c r="CEM4" s="99"/>
      <c r="CEN4" s="99"/>
      <c r="CEO4" s="99"/>
      <c r="CEP4" s="99"/>
      <c r="CEQ4" s="99"/>
      <c r="CER4" s="99"/>
      <c r="CES4" s="99"/>
      <c r="CET4" s="99"/>
      <c r="CEU4" s="99"/>
      <c r="CEV4" s="99"/>
      <c r="CEW4" s="99"/>
      <c r="CEX4" s="99"/>
      <c r="CEY4" s="99"/>
      <c r="CEZ4" s="99"/>
      <c r="CFA4" s="99"/>
      <c r="CFB4" s="99"/>
      <c r="CFC4" s="99"/>
      <c r="CFD4" s="99"/>
      <c r="CFE4" s="99"/>
      <c r="CFF4" s="99"/>
      <c r="CFG4" s="99"/>
      <c r="CFH4" s="99"/>
      <c r="CFI4" s="99"/>
      <c r="CFJ4" s="99"/>
      <c r="CFK4" s="99"/>
      <c r="CFL4" s="99"/>
      <c r="CFM4" s="99"/>
      <c r="CFN4" s="99"/>
      <c r="CFO4" s="99"/>
      <c r="CFP4" s="99"/>
      <c r="CFQ4" s="99"/>
      <c r="CFR4" s="99"/>
      <c r="CFS4" s="99"/>
      <c r="CFT4" s="99"/>
      <c r="CFU4" s="99"/>
      <c r="CFV4" s="99"/>
      <c r="CFW4" s="99"/>
      <c r="CFX4" s="99"/>
      <c r="CFY4" s="99"/>
      <c r="CFZ4" s="99"/>
      <c r="CGA4" s="99"/>
      <c r="CGB4" s="99"/>
      <c r="CGC4" s="99"/>
      <c r="CGD4" s="99"/>
      <c r="CGE4" s="99"/>
      <c r="CGF4" s="99"/>
      <c r="CGG4" s="99"/>
      <c r="CGH4" s="99"/>
      <c r="CGI4" s="99"/>
      <c r="CGJ4" s="99"/>
      <c r="CGK4" s="99"/>
      <c r="CGL4" s="99"/>
      <c r="CGM4" s="99"/>
      <c r="CGN4" s="99"/>
      <c r="CGO4" s="99"/>
      <c r="CGP4" s="99"/>
      <c r="CGQ4" s="99"/>
      <c r="CGR4" s="99"/>
      <c r="CGS4" s="99"/>
      <c r="CGT4" s="99"/>
      <c r="CGU4" s="99"/>
      <c r="CGV4" s="99"/>
      <c r="CGW4" s="99"/>
      <c r="CGX4" s="99"/>
      <c r="CGY4" s="99"/>
      <c r="CGZ4" s="99"/>
      <c r="CHA4" s="99"/>
      <c r="CHB4" s="99"/>
      <c r="CHC4" s="99"/>
      <c r="CHD4" s="99"/>
      <c r="CHE4" s="99"/>
      <c r="CHF4" s="99"/>
      <c r="CHG4" s="99"/>
      <c r="CHH4" s="99"/>
      <c r="CHI4" s="99"/>
      <c r="CHJ4" s="99"/>
      <c r="CHK4" s="99"/>
      <c r="CHL4" s="99"/>
      <c r="CHM4" s="99"/>
      <c r="CHN4" s="99"/>
      <c r="CHO4" s="99"/>
      <c r="CHP4" s="99"/>
      <c r="CHQ4" s="99"/>
      <c r="CHR4" s="99"/>
      <c r="CHS4" s="99"/>
      <c r="CHT4" s="99"/>
      <c r="CHU4" s="99"/>
      <c r="CHV4" s="99"/>
      <c r="CHW4" s="99"/>
      <c r="CHX4" s="99"/>
      <c r="CHY4" s="99"/>
      <c r="CHZ4" s="99"/>
      <c r="CIA4" s="99"/>
      <c r="CIB4" s="99"/>
      <c r="CIC4" s="99"/>
      <c r="CID4" s="99"/>
      <c r="CIE4" s="99"/>
      <c r="CIF4" s="99"/>
      <c r="CIG4" s="99"/>
      <c r="CIH4" s="99"/>
      <c r="CII4" s="99"/>
      <c r="CIJ4" s="99"/>
      <c r="CIK4" s="99"/>
      <c r="CIL4" s="99"/>
      <c r="CIM4" s="99"/>
      <c r="CIN4" s="99"/>
      <c r="CIO4" s="99"/>
      <c r="CIP4" s="99"/>
      <c r="CIQ4" s="99"/>
      <c r="CIR4" s="99"/>
      <c r="CIS4" s="99"/>
      <c r="CIT4" s="99"/>
      <c r="CIU4" s="99"/>
      <c r="CIV4" s="99"/>
      <c r="CIW4" s="99"/>
      <c r="CIX4" s="99"/>
      <c r="CIY4" s="99"/>
      <c r="CIZ4" s="99"/>
      <c r="CJA4" s="99"/>
      <c r="CJB4" s="99"/>
      <c r="CJC4" s="99"/>
      <c r="CJD4" s="99"/>
      <c r="CJE4" s="99"/>
      <c r="CJF4" s="99"/>
      <c r="CJG4" s="99"/>
      <c r="CJH4" s="99"/>
      <c r="CJI4" s="99"/>
      <c r="CJJ4" s="99"/>
      <c r="CJK4" s="99"/>
      <c r="CJL4" s="99"/>
      <c r="CJM4" s="99"/>
      <c r="CJN4" s="99"/>
      <c r="CJO4" s="99"/>
      <c r="CJP4" s="99"/>
      <c r="CJQ4" s="99"/>
      <c r="CJR4" s="99"/>
      <c r="CJS4" s="99"/>
      <c r="CJT4" s="99"/>
      <c r="CJU4" s="99"/>
      <c r="CJV4" s="99"/>
      <c r="CJW4" s="99"/>
      <c r="CJX4" s="99"/>
      <c r="CJY4" s="99"/>
      <c r="CJZ4" s="99"/>
      <c r="CKA4" s="99"/>
      <c r="CKB4" s="99"/>
      <c r="CKC4" s="99"/>
      <c r="CKD4" s="99"/>
      <c r="CKE4" s="99"/>
      <c r="CKF4" s="99"/>
      <c r="CKG4" s="99"/>
      <c r="CKH4" s="99"/>
      <c r="CKI4" s="99"/>
      <c r="CKJ4" s="99"/>
      <c r="CKK4" s="99"/>
      <c r="CKL4" s="99"/>
      <c r="CKM4" s="99"/>
      <c r="CKN4" s="99"/>
      <c r="CKO4" s="99"/>
      <c r="CKP4" s="99"/>
      <c r="CKQ4" s="99"/>
      <c r="CKR4" s="99"/>
      <c r="CKS4" s="99"/>
      <c r="CKT4" s="99"/>
      <c r="CKU4" s="99"/>
      <c r="CKV4" s="99"/>
      <c r="CKW4" s="99"/>
      <c r="CKX4" s="99"/>
      <c r="CKY4" s="99"/>
      <c r="CKZ4" s="99"/>
      <c r="CLA4" s="99"/>
      <c r="CLB4" s="99"/>
      <c r="CLC4" s="99"/>
      <c r="CLD4" s="99"/>
      <c r="CLE4" s="99"/>
      <c r="CLF4" s="99"/>
      <c r="CLG4" s="99"/>
      <c r="CLH4" s="99"/>
      <c r="CLI4" s="99"/>
      <c r="CLJ4" s="99"/>
      <c r="CLK4" s="99"/>
      <c r="CLL4" s="99"/>
      <c r="CLM4" s="99"/>
      <c r="CLN4" s="99"/>
      <c r="CLO4" s="99"/>
      <c r="CLP4" s="99"/>
      <c r="CLQ4" s="99"/>
      <c r="CLR4" s="99"/>
      <c r="CLS4" s="99"/>
      <c r="CLT4" s="99"/>
      <c r="CLU4" s="99"/>
      <c r="CLV4" s="99"/>
      <c r="CLW4" s="99"/>
      <c r="CLX4" s="99"/>
      <c r="CLY4" s="99"/>
      <c r="CLZ4" s="99"/>
      <c r="CMA4" s="99"/>
      <c r="CMB4" s="99"/>
      <c r="CMC4" s="99"/>
      <c r="CMD4" s="99"/>
      <c r="CME4" s="99"/>
      <c r="CMF4" s="99"/>
      <c r="CMG4" s="99"/>
      <c r="CMH4" s="99"/>
      <c r="CMI4" s="99"/>
      <c r="CMJ4" s="99"/>
      <c r="CMK4" s="99"/>
      <c r="CML4" s="99"/>
      <c r="CMM4" s="99"/>
      <c r="CMN4" s="99"/>
      <c r="CMO4" s="99"/>
      <c r="CMP4" s="99"/>
      <c r="CMQ4" s="99"/>
      <c r="CMR4" s="99"/>
      <c r="CMS4" s="99"/>
      <c r="CMT4" s="99"/>
      <c r="CMU4" s="99"/>
      <c r="CMV4" s="99"/>
      <c r="CMW4" s="99"/>
      <c r="CMX4" s="99"/>
      <c r="CMY4" s="99"/>
      <c r="CMZ4" s="99"/>
      <c r="CNA4" s="99"/>
      <c r="CNB4" s="99"/>
      <c r="CNC4" s="99"/>
      <c r="CND4" s="99"/>
      <c r="CNE4" s="99"/>
      <c r="CNF4" s="99"/>
      <c r="CNG4" s="99"/>
      <c r="CNH4" s="99"/>
      <c r="CNI4" s="99"/>
      <c r="CNJ4" s="99"/>
      <c r="CNK4" s="99"/>
      <c r="CNL4" s="99"/>
      <c r="CNM4" s="99"/>
      <c r="CNN4" s="99"/>
      <c r="CNO4" s="99"/>
      <c r="CNP4" s="99"/>
      <c r="CNQ4" s="99"/>
      <c r="CNR4" s="99"/>
      <c r="CNS4" s="99"/>
      <c r="CNT4" s="99"/>
      <c r="CNU4" s="99"/>
      <c r="CNV4" s="99"/>
      <c r="CNW4" s="99"/>
    </row>
    <row r="5" spans="1:1013 1026:2037 2050:3061 3074:4085 4098:5109 5122:6133 6146:7157 7170:8181 8194:9205 9218:10229 10242:11221" s="117" customFormat="1" ht="14.95" customHeight="1" thickBot="1" x14ac:dyDescent="0.3">
      <c r="A5" s="626" t="s">
        <v>233</v>
      </c>
      <c r="B5" s="547" t="s">
        <v>222</v>
      </c>
      <c r="C5" s="627" t="s">
        <v>349</v>
      </c>
      <c r="D5" s="628" t="s">
        <v>299</v>
      </c>
      <c r="E5" s="628" t="s">
        <v>34</v>
      </c>
      <c r="F5" s="628">
        <v>7</v>
      </c>
      <c r="G5" s="628">
        <v>18</v>
      </c>
      <c r="H5" s="628">
        <v>0</v>
      </c>
      <c r="I5" s="628">
        <v>0</v>
      </c>
      <c r="J5" s="628">
        <v>1</v>
      </c>
      <c r="K5" s="628">
        <v>1</v>
      </c>
      <c r="L5" s="628">
        <v>0</v>
      </c>
      <c r="M5" s="628">
        <v>0</v>
      </c>
      <c r="N5" s="628">
        <v>0</v>
      </c>
      <c r="O5" s="628">
        <v>0</v>
      </c>
      <c r="P5" s="628">
        <v>0</v>
      </c>
      <c r="Q5" s="628">
        <v>0</v>
      </c>
      <c r="R5" s="628">
        <v>2</v>
      </c>
      <c r="S5" s="550">
        <v>13190</v>
      </c>
      <c r="T5" s="629" t="s">
        <v>405</v>
      </c>
      <c r="U5" s="551" t="s">
        <v>320</v>
      </c>
      <c r="V5" s="550" t="s">
        <v>331</v>
      </c>
      <c r="W5" s="550" t="s">
        <v>393</v>
      </c>
      <c r="X5" s="550" t="s">
        <v>394</v>
      </c>
      <c r="Y5" s="550">
        <v>1</v>
      </c>
      <c r="Z5" s="550">
        <v>0</v>
      </c>
      <c r="AA5" s="550">
        <v>0</v>
      </c>
      <c r="AB5" s="550">
        <v>1</v>
      </c>
      <c r="AC5" s="550">
        <v>1</v>
      </c>
      <c r="AD5" s="550">
        <v>0</v>
      </c>
      <c r="AE5" s="550">
        <v>0</v>
      </c>
      <c r="AF5" s="550">
        <v>1</v>
      </c>
      <c r="AG5" s="550">
        <v>0</v>
      </c>
      <c r="AH5" s="550">
        <v>0</v>
      </c>
      <c r="AI5" s="550">
        <v>0</v>
      </c>
      <c r="AJ5" s="551">
        <v>0</v>
      </c>
      <c r="AK5" s="550">
        <v>0</v>
      </c>
      <c r="AL5" s="550">
        <v>0</v>
      </c>
      <c r="AM5" s="550">
        <v>0</v>
      </c>
      <c r="AN5" s="551">
        <v>0</v>
      </c>
      <c r="AO5"/>
      <c r="AP5" s="175" t="s">
        <v>0</v>
      </c>
      <c r="AQ5" s="176">
        <f>Bthhistwon</f>
        <v>298</v>
      </c>
      <c r="AR5"/>
      <c r="AS5" s="177" t="s">
        <v>167</v>
      </c>
      <c r="AT5" s="189">
        <f>btheuropeancuphistplayed</f>
        <v>103</v>
      </c>
      <c r="AU5" s="179" t="s">
        <v>167</v>
      </c>
      <c r="AV5" s="180">
        <f>bthchampscuphistplayed</f>
        <v>31</v>
      </c>
      <c r="AW5" s="181" t="s">
        <v>167</v>
      </c>
      <c r="AX5" s="178">
        <f>bthchallcuphistplayed</f>
        <v>59</v>
      </c>
      <c r="AY5" s="182" t="s">
        <v>167</v>
      </c>
      <c r="AZ5" s="183">
        <f t="shared" ref="AZ5:AZ12" si="0">SUM(AT5+AX5)</f>
        <v>162</v>
      </c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 s="99"/>
      <c r="ACM5" s="99"/>
      <c r="ACN5" s="99"/>
      <c r="ACO5" s="99"/>
      <c r="ACP5" s="99"/>
      <c r="ACQ5" s="99"/>
      <c r="ACR5" s="99"/>
      <c r="ACS5" s="99"/>
      <c r="ACT5" s="99"/>
      <c r="ACU5" s="99"/>
      <c r="ACV5" s="99"/>
      <c r="ACW5" s="99"/>
      <c r="ACX5" s="99"/>
      <c r="ACY5" s="99"/>
      <c r="ACZ5" s="99"/>
      <c r="ADA5" s="99"/>
      <c r="ADB5" s="99"/>
      <c r="ADC5" s="99"/>
      <c r="ADD5" s="99"/>
      <c r="ADE5" s="99"/>
      <c r="ADF5" s="99"/>
      <c r="ADG5" s="99"/>
      <c r="ADH5" s="99"/>
      <c r="ADI5" s="99"/>
      <c r="ADJ5" s="99"/>
      <c r="ADK5" s="99"/>
      <c r="ADL5" s="99"/>
      <c r="ADM5" s="99"/>
      <c r="ADN5" s="99"/>
      <c r="ADO5" s="99"/>
      <c r="ADP5" s="99"/>
      <c r="ADQ5" s="99"/>
      <c r="ADR5" s="99"/>
      <c r="ADS5" s="99"/>
      <c r="ADT5" s="99"/>
      <c r="ADU5" s="99"/>
      <c r="ADV5" s="99"/>
      <c r="ADW5" s="99"/>
      <c r="ADX5" s="99"/>
      <c r="ADY5" s="99"/>
      <c r="ADZ5" s="99"/>
      <c r="AEA5" s="99"/>
      <c r="AEB5" s="99"/>
      <c r="AEC5" s="99"/>
      <c r="AED5" s="99"/>
      <c r="AEE5" s="99"/>
      <c r="AEF5" s="99"/>
      <c r="AEG5" s="99"/>
      <c r="AEH5" s="99"/>
      <c r="AEI5" s="99"/>
      <c r="AEJ5" s="99"/>
      <c r="AEK5" s="99"/>
      <c r="AEL5" s="99"/>
      <c r="AEM5" s="99"/>
      <c r="AEN5" s="99"/>
      <c r="AEO5" s="99"/>
      <c r="AEP5" s="99"/>
      <c r="AEQ5" s="99"/>
      <c r="AER5" s="99"/>
      <c r="AES5" s="99"/>
      <c r="AET5" s="99"/>
      <c r="AEU5" s="99"/>
      <c r="AEV5" s="99"/>
      <c r="AEW5" s="99"/>
      <c r="AEX5" s="99"/>
      <c r="AEY5" s="99"/>
      <c r="AEZ5" s="99"/>
      <c r="AFA5" s="99"/>
      <c r="AFB5" s="99"/>
      <c r="AFC5" s="99"/>
      <c r="AFD5" s="99"/>
      <c r="AFE5" s="99"/>
      <c r="AFF5" s="99"/>
      <c r="AFG5" s="99"/>
      <c r="AFH5" s="99"/>
      <c r="AFI5" s="99"/>
      <c r="AFJ5" s="99"/>
      <c r="AFK5" s="99"/>
      <c r="AFL5" s="99"/>
      <c r="AFM5" s="99"/>
      <c r="AFN5" s="99"/>
      <c r="AFO5" s="99"/>
      <c r="AFP5" s="99"/>
      <c r="AFQ5" s="99"/>
      <c r="AFR5" s="99"/>
      <c r="AFS5" s="99"/>
      <c r="AFT5" s="99"/>
      <c r="AFU5" s="99"/>
      <c r="AFV5" s="99"/>
      <c r="AFW5" s="99"/>
      <c r="AFX5" s="99"/>
      <c r="AFY5" s="99"/>
      <c r="AFZ5" s="99"/>
      <c r="AGA5" s="99"/>
      <c r="AGB5" s="99"/>
      <c r="AGC5" s="99"/>
      <c r="AGD5" s="99"/>
      <c r="AGE5" s="99"/>
      <c r="AGF5" s="99"/>
      <c r="AGG5" s="99"/>
      <c r="AGH5" s="99"/>
      <c r="AGI5" s="99"/>
      <c r="AGJ5" s="99"/>
      <c r="AGK5" s="99"/>
      <c r="AGL5" s="99"/>
      <c r="AGM5" s="99"/>
      <c r="AGN5" s="99"/>
      <c r="AGO5" s="99"/>
      <c r="AGP5" s="99"/>
      <c r="AGQ5" s="99"/>
      <c r="AGR5" s="99"/>
      <c r="AGS5" s="99"/>
      <c r="AGT5" s="99"/>
      <c r="AGU5" s="99"/>
      <c r="AGV5" s="99"/>
      <c r="AGW5" s="99"/>
      <c r="AGX5" s="99"/>
      <c r="AGY5" s="99"/>
      <c r="AGZ5" s="99"/>
      <c r="AHA5" s="99"/>
      <c r="AHB5" s="99"/>
      <c r="AHC5" s="99"/>
      <c r="AHD5" s="99"/>
      <c r="AHE5" s="99"/>
      <c r="AHF5" s="99"/>
      <c r="AHG5" s="99"/>
      <c r="AHH5" s="99"/>
      <c r="AHI5" s="99"/>
      <c r="AHJ5" s="99"/>
      <c r="AHK5" s="99"/>
      <c r="AHL5" s="99"/>
      <c r="AHM5" s="99"/>
      <c r="AHN5" s="99"/>
      <c r="AHO5" s="99"/>
      <c r="AHP5" s="99"/>
      <c r="AHQ5" s="99"/>
      <c r="AHR5" s="99"/>
      <c r="AHS5" s="99"/>
      <c r="AHT5" s="99"/>
      <c r="AHU5" s="99"/>
      <c r="AHV5" s="99"/>
      <c r="AHW5" s="99"/>
      <c r="AHX5" s="99"/>
      <c r="AHY5" s="99"/>
      <c r="AHZ5" s="99"/>
      <c r="AIA5" s="99"/>
      <c r="AIB5" s="99"/>
      <c r="AIC5" s="99"/>
      <c r="AID5" s="99"/>
      <c r="AIE5" s="99"/>
      <c r="AIF5" s="99"/>
      <c r="AIG5" s="99"/>
      <c r="AIH5" s="99"/>
      <c r="AII5" s="99"/>
      <c r="AIJ5" s="99"/>
      <c r="AIK5" s="99"/>
      <c r="AIL5" s="99"/>
      <c r="AIM5" s="99"/>
      <c r="AIN5" s="99"/>
      <c r="AIO5" s="99"/>
      <c r="AIP5" s="99"/>
      <c r="AIQ5" s="99"/>
      <c r="AIR5" s="99"/>
      <c r="AIS5" s="99"/>
      <c r="AIT5" s="99"/>
      <c r="AIU5" s="99"/>
      <c r="AIV5" s="99"/>
      <c r="AIW5" s="99"/>
      <c r="AIX5" s="99"/>
      <c r="AIY5" s="99"/>
      <c r="AIZ5" s="99"/>
      <c r="AJA5" s="99"/>
      <c r="AJB5" s="99"/>
      <c r="AJC5" s="99"/>
      <c r="AJD5" s="99"/>
      <c r="AJE5" s="99"/>
      <c r="AJF5" s="99"/>
      <c r="AJG5" s="99"/>
      <c r="AJH5" s="99"/>
      <c r="AJI5" s="99"/>
      <c r="AJJ5" s="99"/>
      <c r="AJK5" s="99"/>
      <c r="AJL5" s="99"/>
      <c r="AJM5" s="99"/>
      <c r="AJN5" s="99"/>
      <c r="AJO5" s="99"/>
      <c r="AJP5" s="99"/>
      <c r="AJQ5" s="99"/>
      <c r="AJR5" s="99"/>
      <c r="AJS5" s="99"/>
      <c r="AJT5" s="99"/>
      <c r="AJU5" s="99"/>
      <c r="AJV5" s="99"/>
      <c r="AJW5" s="99"/>
      <c r="AJX5" s="99"/>
      <c r="AJY5" s="99"/>
      <c r="AJZ5" s="99"/>
      <c r="AKA5" s="99"/>
      <c r="AKB5" s="99"/>
      <c r="AKC5" s="99"/>
      <c r="AKD5" s="99"/>
      <c r="AKE5" s="99"/>
      <c r="AKF5" s="99"/>
      <c r="AKG5" s="99"/>
      <c r="AKH5" s="99"/>
      <c r="AKI5" s="99"/>
      <c r="AKJ5" s="99"/>
      <c r="AKK5" s="99"/>
      <c r="AKL5" s="99"/>
      <c r="AKM5" s="99"/>
      <c r="AKN5" s="99"/>
      <c r="AKO5" s="99"/>
      <c r="AKP5" s="99"/>
      <c r="AKQ5" s="99"/>
      <c r="AKR5" s="99"/>
      <c r="AKS5" s="99"/>
      <c r="AKT5" s="99"/>
      <c r="AKU5" s="99"/>
      <c r="AKV5" s="99"/>
      <c r="AKW5" s="99"/>
      <c r="AKX5" s="99"/>
      <c r="AKY5" s="99"/>
      <c r="AKZ5" s="99"/>
      <c r="ALA5" s="99"/>
      <c r="ALB5" s="99"/>
      <c r="ALC5" s="99"/>
      <c r="ALD5" s="99"/>
      <c r="ALE5" s="99"/>
      <c r="ALF5" s="99"/>
      <c r="ALG5" s="99"/>
      <c r="ALH5" s="99"/>
      <c r="ALI5" s="99"/>
      <c r="ALJ5" s="99"/>
      <c r="ALK5" s="99"/>
      <c r="ALL5" s="99"/>
      <c r="ALM5" s="99"/>
      <c r="ALN5" s="99"/>
      <c r="ALO5" s="99"/>
      <c r="ALP5" s="99"/>
      <c r="ALQ5" s="99"/>
      <c r="ALR5" s="99"/>
      <c r="ALS5" s="99"/>
      <c r="ALT5" s="99"/>
      <c r="ALU5" s="99"/>
      <c r="ALV5" s="99"/>
      <c r="ALW5" s="99"/>
      <c r="ALX5" s="99"/>
      <c r="ALY5" s="99"/>
      <c r="AML5" s="99"/>
      <c r="AMM5" s="99"/>
      <c r="AMN5" s="99"/>
      <c r="AMO5" s="99"/>
      <c r="AMP5" s="99"/>
      <c r="AMQ5" s="99"/>
      <c r="AMR5" s="99"/>
      <c r="AMS5" s="99"/>
      <c r="AMT5" s="99"/>
      <c r="AMU5" s="99"/>
      <c r="AMV5" s="99"/>
      <c r="AMW5" s="99"/>
      <c r="AMX5" s="99"/>
      <c r="AMY5" s="99"/>
      <c r="AMZ5" s="99"/>
      <c r="ANA5" s="99"/>
      <c r="ANB5" s="99"/>
      <c r="ANC5" s="99"/>
      <c r="AND5" s="99"/>
      <c r="ANE5" s="99"/>
      <c r="ANF5" s="99"/>
      <c r="ANG5" s="99"/>
      <c r="ANH5" s="99"/>
      <c r="ANI5" s="99"/>
      <c r="ANJ5" s="99"/>
      <c r="ANK5" s="99"/>
      <c r="ANL5" s="99"/>
      <c r="ANM5" s="99"/>
      <c r="ANN5" s="99"/>
      <c r="ANO5" s="99"/>
      <c r="ANP5" s="99"/>
      <c r="ANQ5" s="99"/>
      <c r="ANR5" s="99"/>
      <c r="ANS5" s="99"/>
      <c r="ANT5" s="99"/>
      <c r="ANU5" s="99"/>
      <c r="ANV5" s="99"/>
      <c r="ANW5" s="99"/>
      <c r="ANX5" s="99"/>
      <c r="ANY5" s="99"/>
      <c r="ANZ5" s="99"/>
      <c r="AOA5" s="99"/>
      <c r="AOB5" s="99"/>
      <c r="AOC5" s="99"/>
      <c r="AOD5" s="99"/>
      <c r="AOE5" s="99"/>
      <c r="AOF5" s="99"/>
      <c r="AOG5" s="99"/>
      <c r="AOH5" s="99"/>
      <c r="AOI5" s="99"/>
      <c r="AOJ5" s="99"/>
      <c r="AOK5" s="99"/>
      <c r="AOL5" s="99"/>
      <c r="AOM5" s="99"/>
      <c r="AON5" s="99"/>
      <c r="AOO5" s="99"/>
      <c r="AOP5" s="99"/>
      <c r="AOQ5" s="99"/>
      <c r="AOR5" s="99"/>
      <c r="AOS5" s="99"/>
      <c r="AOT5" s="99"/>
      <c r="AOU5" s="99"/>
      <c r="AOV5" s="99"/>
      <c r="AOW5" s="99"/>
      <c r="AOX5" s="99"/>
      <c r="AOY5" s="99"/>
      <c r="AOZ5" s="99"/>
      <c r="APA5" s="99"/>
      <c r="APB5" s="99"/>
      <c r="APC5" s="99"/>
      <c r="APD5" s="99"/>
      <c r="APE5" s="99"/>
      <c r="APF5" s="99"/>
      <c r="APG5" s="99"/>
      <c r="APH5" s="99"/>
      <c r="API5" s="99"/>
      <c r="APJ5" s="99"/>
      <c r="APK5" s="99"/>
      <c r="APL5" s="99"/>
      <c r="APM5" s="99"/>
      <c r="APN5" s="99"/>
      <c r="APO5" s="99"/>
      <c r="APP5" s="99"/>
      <c r="APQ5" s="99"/>
      <c r="APR5" s="99"/>
      <c r="APS5" s="99"/>
      <c r="APT5" s="99"/>
      <c r="APU5" s="99"/>
      <c r="APV5" s="99"/>
      <c r="APW5" s="99"/>
      <c r="APX5" s="99"/>
      <c r="APY5" s="99"/>
      <c r="APZ5" s="99"/>
      <c r="AQA5" s="99"/>
      <c r="AQB5" s="99"/>
      <c r="AQC5" s="99"/>
      <c r="AQD5" s="99"/>
      <c r="AQE5" s="99"/>
      <c r="AQF5" s="99"/>
      <c r="AQG5" s="99"/>
      <c r="AQH5" s="99"/>
      <c r="AQI5" s="99"/>
      <c r="AQJ5" s="99"/>
      <c r="AQK5" s="99"/>
      <c r="AQL5" s="99"/>
      <c r="AQM5" s="99"/>
      <c r="AQN5" s="99"/>
      <c r="AQO5" s="99"/>
      <c r="AQP5" s="99"/>
      <c r="AQQ5" s="99"/>
      <c r="AQR5" s="99"/>
      <c r="AQS5" s="99"/>
      <c r="AQT5" s="99"/>
      <c r="AQU5" s="99"/>
      <c r="AQV5" s="99"/>
      <c r="AQW5" s="99"/>
      <c r="AQX5" s="99"/>
      <c r="AQY5" s="99"/>
      <c r="AQZ5" s="99"/>
      <c r="ARA5" s="99"/>
      <c r="ARB5" s="99"/>
      <c r="ARC5" s="99"/>
      <c r="ARD5" s="99"/>
      <c r="ARE5" s="99"/>
      <c r="ARF5" s="99"/>
      <c r="ARG5" s="99"/>
      <c r="ARH5" s="99"/>
      <c r="ARI5" s="99"/>
      <c r="ARJ5" s="99"/>
      <c r="ARK5" s="99"/>
      <c r="ARL5" s="99"/>
      <c r="ARM5" s="99"/>
      <c r="ARN5" s="99"/>
      <c r="ARO5" s="99"/>
      <c r="ARP5" s="99"/>
      <c r="ARQ5" s="99"/>
      <c r="ARR5" s="99"/>
      <c r="ARS5" s="99"/>
      <c r="ART5" s="99"/>
      <c r="ARU5" s="99"/>
      <c r="ARV5" s="99"/>
      <c r="ARW5" s="99"/>
      <c r="ARX5" s="99"/>
      <c r="ARY5" s="99"/>
      <c r="ARZ5" s="99"/>
      <c r="ASA5" s="99"/>
      <c r="ASB5" s="99"/>
      <c r="ASC5" s="99"/>
      <c r="ASD5" s="99"/>
      <c r="ASE5" s="99"/>
      <c r="ASF5" s="99"/>
      <c r="ASG5" s="99"/>
      <c r="ASH5" s="99"/>
      <c r="ASI5" s="99"/>
      <c r="ASJ5" s="99"/>
      <c r="ASK5" s="99"/>
      <c r="ASL5" s="99"/>
      <c r="ASM5" s="99"/>
      <c r="ASN5" s="99"/>
      <c r="ASO5" s="99"/>
      <c r="ASP5" s="99"/>
      <c r="ASQ5" s="99"/>
      <c r="ASR5" s="99"/>
      <c r="ASS5" s="99"/>
      <c r="AST5" s="99"/>
      <c r="ASU5" s="99"/>
      <c r="ASV5" s="99"/>
      <c r="ASW5" s="99"/>
      <c r="ASX5" s="99"/>
      <c r="ASY5" s="99"/>
      <c r="ASZ5" s="99"/>
      <c r="ATA5" s="99"/>
      <c r="ATB5" s="99"/>
      <c r="ATC5" s="99"/>
      <c r="ATD5" s="99"/>
      <c r="ATE5" s="99"/>
      <c r="ATF5" s="99"/>
      <c r="ATG5" s="99"/>
      <c r="ATH5" s="99"/>
      <c r="ATI5" s="99"/>
      <c r="ATJ5" s="99"/>
      <c r="ATK5" s="99"/>
      <c r="ATL5" s="99"/>
      <c r="ATM5" s="99"/>
      <c r="ATN5" s="99"/>
      <c r="ATO5" s="99"/>
      <c r="ATP5" s="99"/>
      <c r="ATQ5" s="99"/>
      <c r="ATR5" s="99"/>
      <c r="ATS5" s="99"/>
      <c r="ATT5" s="99"/>
      <c r="ATU5" s="99"/>
      <c r="ATV5" s="99"/>
      <c r="ATW5" s="99"/>
      <c r="ATX5" s="99"/>
      <c r="ATY5" s="99"/>
      <c r="ATZ5" s="99"/>
      <c r="AUA5" s="99"/>
      <c r="AUB5" s="99"/>
      <c r="AUC5" s="99"/>
      <c r="AUD5" s="99"/>
      <c r="AUE5" s="99"/>
      <c r="AUF5" s="99"/>
      <c r="AUG5" s="99"/>
      <c r="AUH5" s="99"/>
      <c r="AUI5" s="99"/>
      <c r="AUJ5" s="99"/>
      <c r="AUK5" s="99"/>
      <c r="AUL5" s="99"/>
      <c r="AUM5" s="99"/>
      <c r="AUN5" s="99"/>
      <c r="AUO5" s="99"/>
      <c r="AUP5" s="99"/>
      <c r="AUQ5" s="99"/>
      <c r="AUR5" s="99"/>
      <c r="AUS5" s="99"/>
      <c r="AUT5" s="99"/>
      <c r="AUU5" s="99"/>
      <c r="AUV5" s="99"/>
      <c r="AUW5" s="99"/>
      <c r="AUX5" s="99"/>
      <c r="AUY5" s="99"/>
      <c r="AUZ5" s="99"/>
      <c r="AVA5" s="99"/>
      <c r="AVB5" s="99"/>
      <c r="AVC5" s="99"/>
      <c r="AVD5" s="99"/>
      <c r="AVE5" s="99"/>
      <c r="AVF5" s="99"/>
      <c r="AVG5" s="99"/>
      <c r="AVH5" s="99"/>
      <c r="AVI5" s="99"/>
      <c r="AVJ5" s="99"/>
      <c r="AVK5" s="99"/>
      <c r="AVL5" s="99"/>
      <c r="AVM5" s="99"/>
      <c r="AVN5" s="99"/>
      <c r="AVO5" s="99"/>
      <c r="AVP5" s="99"/>
      <c r="AVQ5" s="99"/>
      <c r="AVR5" s="99"/>
      <c r="AVS5" s="99"/>
      <c r="AVT5" s="99"/>
      <c r="AVU5" s="99"/>
      <c r="AVV5" s="99"/>
      <c r="AVW5" s="99"/>
      <c r="AVX5" s="99"/>
      <c r="AVY5" s="99"/>
      <c r="AVZ5" s="99"/>
      <c r="AWA5" s="99"/>
      <c r="AWB5" s="99"/>
      <c r="AWC5" s="99"/>
      <c r="AWD5" s="99"/>
      <c r="AWE5" s="99"/>
      <c r="AWF5" s="99"/>
      <c r="AWG5" s="99"/>
      <c r="AWH5" s="99"/>
      <c r="AWI5" s="99"/>
      <c r="AWJ5" s="99"/>
      <c r="AWK5" s="99"/>
      <c r="AWL5" s="99"/>
      <c r="AWM5" s="99"/>
      <c r="AWN5" s="99"/>
      <c r="AWO5" s="99"/>
      <c r="AWP5" s="99"/>
      <c r="AWQ5" s="99"/>
      <c r="AWR5" s="99"/>
      <c r="AWS5" s="99"/>
      <c r="AWT5" s="99"/>
      <c r="AWU5" s="99"/>
      <c r="AWV5" s="99"/>
      <c r="AWW5" s="99"/>
      <c r="AWX5" s="99"/>
      <c r="AWY5" s="99"/>
      <c r="AWZ5" s="99"/>
      <c r="AXA5" s="99"/>
      <c r="AXB5" s="99"/>
      <c r="AXC5" s="99"/>
      <c r="AXD5" s="99"/>
      <c r="AXE5" s="99"/>
      <c r="AXF5" s="99"/>
      <c r="AXG5" s="99"/>
      <c r="AXH5" s="99"/>
      <c r="AXI5" s="99"/>
      <c r="AXJ5" s="99"/>
      <c r="AXK5" s="99"/>
      <c r="AXL5" s="99"/>
      <c r="AXM5" s="99"/>
      <c r="AXN5" s="99"/>
      <c r="AXO5" s="99"/>
      <c r="AXP5" s="99"/>
      <c r="AXQ5" s="99"/>
      <c r="AXR5" s="99"/>
      <c r="AXS5" s="99"/>
      <c r="AXT5" s="99"/>
      <c r="AXU5" s="99"/>
      <c r="AXV5" s="99"/>
      <c r="AXW5" s="99"/>
      <c r="AXX5" s="99"/>
      <c r="AXY5" s="99"/>
      <c r="AXZ5" s="99"/>
      <c r="AYA5" s="99"/>
      <c r="AYB5" s="99"/>
      <c r="AYC5" s="99"/>
      <c r="AYD5" s="99"/>
      <c r="AYE5" s="99"/>
      <c r="AYF5" s="99"/>
      <c r="AYG5" s="99"/>
      <c r="AYH5" s="99"/>
      <c r="AYI5" s="99"/>
      <c r="AYJ5" s="99"/>
      <c r="AYK5" s="99"/>
      <c r="AYL5" s="99"/>
      <c r="AYM5" s="99"/>
      <c r="AYN5" s="99"/>
      <c r="AYO5" s="99"/>
      <c r="AYP5" s="99"/>
      <c r="AYQ5" s="99"/>
      <c r="AYR5" s="99"/>
      <c r="AYS5" s="99"/>
      <c r="AYT5" s="99"/>
      <c r="AYU5" s="99"/>
      <c r="AYV5" s="99"/>
      <c r="AYW5" s="99"/>
      <c r="AYX5" s="99"/>
      <c r="AYY5" s="99"/>
      <c r="AYZ5" s="99"/>
      <c r="AZA5" s="99"/>
      <c r="AZB5" s="99"/>
      <c r="AZC5" s="99"/>
      <c r="AZD5" s="99"/>
      <c r="AZE5" s="99"/>
      <c r="AZF5" s="99"/>
      <c r="AZG5" s="99"/>
      <c r="AZH5" s="99"/>
      <c r="AZI5" s="99"/>
      <c r="AZJ5" s="99"/>
      <c r="AZK5" s="99"/>
      <c r="AZL5" s="99"/>
      <c r="AZM5" s="99"/>
      <c r="AZN5" s="99"/>
      <c r="AZO5" s="99"/>
      <c r="AZP5" s="99"/>
      <c r="AZQ5" s="99"/>
      <c r="AZR5" s="99"/>
      <c r="AZS5" s="99"/>
      <c r="AZT5" s="99"/>
      <c r="AZU5" s="99"/>
      <c r="AZV5" s="99"/>
      <c r="AZW5" s="99"/>
      <c r="AZX5" s="99"/>
      <c r="AZY5" s="99"/>
      <c r="AZZ5" s="99"/>
      <c r="BAA5" s="99"/>
      <c r="BAB5" s="99"/>
      <c r="BAC5" s="99"/>
      <c r="BAD5" s="99"/>
      <c r="BAE5" s="99"/>
      <c r="BAF5" s="99"/>
      <c r="BAG5" s="99"/>
      <c r="BAH5" s="99"/>
      <c r="BAI5" s="99"/>
      <c r="BAJ5" s="99"/>
      <c r="BAK5" s="99"/>
      <c r="BAL5" s="99"/>
      <c r="BAM5" s="99"/>
      <c r="BAN5" s="99"/>
      <c r="BAO5" s="99"/>
      <c r="BAP5" s="99"/>
      <c r="BAQ5" s="99"/>
      <c r="BAR5" s="99"/>
      <c r="BAS5" s="99"/>
      <c r="BAT5" s="99"/>
      <c r="BAU5" s="99"/>
      <c r="BAV5" s="99"/>
      <c r="BAW5" s="99"/>
      <c r="BAX5" s="99"/>
      <c r="BAY5" s="99"/>
      <c r="BAZ5" s="99"/>
      <c r="BBA5" s="99"/>
      <c r="BBB5" s="99"/>
      <c r="BBC5" s="99"/>
      <c r="BBD5" s="99"/>
      <c r="BBE5" s="99"/>
      <c r="BBF5" s="99"/>
      <c r="BBG5" s="99"/>
      <c r="BBH5" s="99"/>
      <c r="BBI5" s="99"/>
      <c r="BBJ5" s="99"/>
      <c r="BBK5" s="99"/>
      <c r="BBL5" s="99"/>
      <c r="BBM5" s="99"/>
      <c r="BBN5" s="99"/>
      <c r="BBO5" s="99"/>
      <c r="BBP5" s="99"/>
      <c r="BBQ5" s="99"/>
      <c r="BBR5" s="99"/>
      <c r="BBS5" s="99"/>
      <c r="BBT5" s="99"/>
      <c r="BBU5" s="99"/>
      <c r="BBV5" s="99"/>
      <c r="BBW5" s="99"/>
      <c r="BBX5" s="99"/>
      <c r="BBY5" s="99"/>
      <c r="BBZ5" s="99"/>
      <c r="BCA5" s="99"/>
      <c r="BCB5" s="99"/>
      <c r="BCC5" s="99"/>
      <c r="BCD5" s="99"/>
      <c r="BCE5" s="99"/>
      <c r="BCF5" s="99"/>
      <c r="BCG5" s="99"/>
      <c r="BCH5" s="99"/>
      <c r="BCI5" s="99"/>
      <c r="BCJ5" s="99"/>
      <c r="BCK5" s="99"/>
      <c r="BCL5" s="99"/>
      <c r="BCM5" s="99"/>
      <c r="BCN5" s="99"/>
      <c r="BCO5" s="99"/>
      <c r="BCP5" s="99"/>
      <c r="BCQ5" s="99"/>
      <c r="BCR5" s="99"/>
      <c r="BCS5" s="99"/>
      <c r="BCT5" s="99"/>
      <c r="BCU5" s="99"/>
      <c r="BCV5" s="99"/>
      <c r="BCW5" s="99"/>
      <c r="BCX5" s="99"/>
      <c r="BCY5" s="99"/>
      <c r="BCZ5" s="99"/>
      <c r="BDA5" s="99"/>
      <c r="BDB5" s="99"/>
      <c r="BDC5" s="99"/>
      <c r="BDD5" s="99"/>
      <c r="BDE5" s="99"/>
      <c r="BDF5" s="99"/>
      <c r="BDG5" s="99"/>
      <c r="BDH5" s="99"/>
      <c r="BDI5" s="99"/>
      <c r="BDJ5" s="99"/>
      <c r="BDK5" s="99"/>
      <c r="BDL5" s="99"/>
      <c r="BDM5" s="99"/>
      <c r="BDN5" s="99"/>
      <c r="BDO5" s="99"/>
      <c r="BDP5" s="99"/>
      <c r="BDQ5" s="99"/>
      <c r="BDR5" s="99"/>
      <c r="BDS5" s="99"/>
      <c r="BDT5" s="99"/>
      <c r="BDU5" s="99"/>
      <c r="BDV5" s="99"/>
      <c r="BDW5" s="99"/>
      <c r="BDX5" s="99"/>
      <c r="BDY5" s="99"/>
      <c r="BDZ5" s="99"/>
      <c r="BEA5" s="99"/>
      <c r="BEB5" s="99"/>
      <c r="BEC5" s="99"/>
      <c r="BED5" s="99"/>
      <c r="BEE5" s="99"/>
      <c r="BEF5" s="99"/>
      <c r="BEG5" s="99"/>
      <c r="BEH5" s="99"/>
      <c r="BEI5" s="99"/>
      <c r="BEJ5" s="99"/>
      <c r="BEK5" s="99"/>
      <c r="BEL5" s="99"/>
      <c r="BEM5" s="99"/>
      <c r="BEN5" s="99"/>
      <c r="BEO5" s="99"/>
      <c r="BEP5" s="99"/>
      <c r="BEQ5" s="99"/>
      <c r="BER5" s="99"/>
      <c r="BES5" s="99"/>
      <c r="BET5" s="99"/>
      <c r="BEU5" s="99"/>
      <c r="BEV5" s="99"/>
      <c r="BEW5" s="99"/>
      <c r="BEX5" s="99"/>
      <c r="BEY5" s="99"/>
      <c r="BEZ5" s="99"/>
      <c r="BFA5" s="99"/>
      <c r="BFB5" s="99"/>
      <c r="BFC5" s="99"/>
      <c r="BFD5" s="99"/>
      <c r="BFE5" s="99"/>
      <c r="BFF5" s="99"/>
      <c r="BFG5" s="99"/>
      <c r="BFH5" s="99"/>
      <c r="BFI5" s="99"/>
      <c r="BFJ5" s="99"/>
      <c r="BFK5" s="99"/>
      <c r="BFL5" s="99"/>
      <c r="BFM5" s="99"/>
      <c r="BFN5" s="99"/>
      <c r="BFO5" s="99"/>
      <c r="BFP5" s="99"/>
      <c r="BFQ5" s="99"/>
      <c r="BFR5" s="99"/>
      <c r="BFS5" s="99"/>
      <c r="BFT5" s="99"/>
      <c r="BFU5" s="99"/>
      <c r="BFV5" s="99"/>
      <c r="BFW5" s="99"/>
      <c r="BFX5" s="99"/>
      <c r="BFY5" s="99"/>
      <c r="BFZ5" s="99"/>
      <c r="BGA5" s="99"/>
      <c r="BGB5" s="99"/>
      <c r="BGC5" s="99"/>
      <c r="BGD5" s="99"/>
      <c r="BGE5" s="99"/>
      <c r="BGF5" s="99"/>
      <c r="BGG5" s="99"/>
      <c r="BGH5" s="99"/>
      <c r="BGI5" s="99"/>
      <c r="BGJ5" s="99"/>
      <c r="BGK5" s="99"/>
      <c r="BGL5" s="99"/>
      <c r="BGM5" s="99"/>
      <c r="BGN5" s="99"/>
      <c r="BGO5" s="99"/>
      <c r="BGP5" s="99"/>
      <c r="BGQ5" s="99"/>
      <c r="BGR5" s="99"/>
      <c r="BGS5" s="99"/>
      <c r="BGT5" s="99"/>
      <c r="BGU5" s="99"/>
      <c r="BGV5" s="99"/>
      <c r="BGW5" s="99"/>
      <c r="BGX5" s="99"/>
      <c r="BGY5" s="99"/>
      <c r="BGZ5" s="99"/>
      <c r="BHA5" s="99"/>
      <c r="BHB5" s="99"/>
      <c r="BHC5" s="99"/>
      <c r="BHD5" s="99"/>
      <c r="BHE5" s="99"/>
      <c r="BHF5" s="99"/>
      <c r="BHG5" s="99"/>
      <c r="BHH5" s="99"/>
      <c r="BHI5" s="99"/>
      <c r="BHJ5" s="99"/>
      <c r="BHK5" s="99"/>
      <c r="BHL5" s="99"/>
      <c r="BHM5" s="99"/>
      <c r="BHN5" s="99"/>
      <c r="BHO5" s="99"/>
      <c r="BHP5" s="99"/>
      <c r="BHQ5" s="99"/>
      <c r="BHR5" s="99"/>
      <c r="BHS5" s="99"/>
      <c r="BHT5" s="99"/>
      <c r="BHU5" s="99"/>
      <c r="BHV5" s="99"/>
      <c r="BHW5" s="99"/>
      <c r="BHX5" s="99"/>
      <c r="BHY5" s="99"/>
      <c r="BHZ5" s="99"/>
      <c r="BIA5" s="99"/>
      <c r="BIB5" s="99"/>
      <c r="BIC5" s="99"/>
      <c r="BID5" s="99"/>
      <c r="BIE5" s="99"/>
      <c r="BIF5" s="99"/>
      <c r="BIG5" s="99"/>
      <c r="BIH5" s="99"/>
      <c r="BII5" s="99"/>
      <c r="BIJ5" s="99"/>
      <c r="BIK5" s="99"/>
      <c r="BIL5" s="99"/>
      <c r="BIM5" s="99"/>
      <c r="BIN5" s="99"/>
      <c r="BIO5" s="99"/>
      <c r="BIP5" s="99"/>
      <c r="BIQ5" s="99"/>
      <c r="BIR5" s="99"/>
      <c r="BIS5" s="99"/>
      <c r="BIT5" s="99"/>
      <c r="BIU5" s="99"/>
      <c r="BIV5" s="99"/>
      <c r="BIW5" s="99"/>
      <c r="BIX5" s="99"/>
      <c r="BIY5" s="99"/>
      <c r="BIZ5" s="99"/>
      <c r="BJA5" s="99"/>
      <c r="BJB5" s="99"/>
      <c r="BJC5" s="99"/>
      <c r="BJD5" s="99"/>
      <c r="BJE5" s="99"/>
      <c r="BJF5" s="99"/>
      <c r="BJG5" s="99"/>
      <c r="BJH5" s="99"/>
      <c r="BJI5" s="99"/>
      <c r="BJJ5" s="99"/>
      <c r="BJK5" s="99"/>
      <c r="BJL5" s="99"/>
      <c r="BJM5" s="99"/>
      <c r="BJN5" s="99"/>
      <c r="BJO5" s="99"/>
      <c r="BJP5" s="99"/>
      <c r="BJQ5" s="99"/>
      <c r="BJR5" s="99"/>
      <c r="BJS5" s="99"/>
      <c r="BJT5" s="99"/>
      <c r="BJU5" s="99"/>
      <c r="BJV5" s="99"/>
      <c r="BJW5" s="99"/>
      <c r="BJX5" s="99"/>
      <c r="BJY5" s="99"/>
      <c r="BJZ5" s="99"/>
      <c r="BKA5" s="99"/>
      <c r="BKB5" s="99"/>
      <c r="BKC5" s="99"/>
      <c r="BKD5" s="99"/>
      <c r="BKE5" s="99"/>
      <c r="BKF5" s="99"/>
      <c r="BKG5" s="99"/>
      <c r="BKH5" s="99"/>
      <c r="BKI5" s="99"/>
      <c r="BKJ5" s="99"/>
      <c r="BKK5" s="99"/>
      <c r="BKL5" s="99"/>
      <c r="BKM5" s="99"/>
      <c r="BKN5" s="99"/>
      <c r="BKO5" s="99"/>
      <c r="BKP5" s="99"/>
      <c r="BKQ5" s="99"/>
      <c r="BKR5" s="99"/>
      <c r="BKS5" s="99"/>
      <c r="BKT5" s="99"/>
      <c r="BKU5" s="99"/>
      <c r="BKV5" s="99"/>
      <c r="BKW5" s="99"/>
      <c r="BKX5" s="99"/>
      <c r="BKY5" s="99"/>
      <c r="BKZ5" s="99"/>
      <c r="BLA5" s="99"/>
      <c r="BLB5" s="99"/>
      <c r="BLC5" s="99"/>
      <c r="BLD5" s="99"/>
      <c r="BLE5" s="99"/>
      <c r="BLF5" s="99"/>
      <c r="BLG5" s="99"/>
      <c r="BLH5" s="99"/>
      <c r="BLI5" s="99"/>
      <c r="BLJ5" s="99"/>
      <c r="BLK5" s="99"/>
      <c r="BLL5" s="99"/>
      <c r="BLM5" s="99"/>
      <c r="BLN5" s="99"/>
      <c r="BLO5" s="99"/>
      <c r="BLP5" s="99"/>
      <c r="BLQ5" s="99"/>
      <c r="BLR5" s="99"/>
      <c r="BLS5" s="99"/>
      <c r="BLT5" s="99"/>
      <c r="BLU5" s="99"/>
      <c r="BLV5" s="99"/>
      <c r="BLW5" s="99"/>
      <c r="BLX5" s="99"/>
      <c r="BLY5" s="99"/>
      <c r="BLZ5" s="99"/>
      <c r="BMA5" s="99"/>
      <c r="BMB5" s="99"/>
      <c r="BMC5" s="99"/>
      <c r="BMD5" s="99"/>
      <c r="BME5" s="99"/>
      <c r="BMF5" s="99"/>
      <c r="BMG5" s="99"/>
      <c r="BMH5" s="99"/>
      <c r="BMI5" s="99"/>
      <c r="BMJ5" s="99"/>
      <c r="BMK5" s="99"/>
      <c r="BML5" s="99"/>
      <c r="BMM5" s="99"/>
      <c r="BMN5" s="99"/>
      <c r="BMO5" s="99"/>
      <c r="BMP5" s="99"/>
      <c r="BMQ5" s="99"/>
      <c r="BMR5" s="99"/>
      <c r="BMS5" s="99"/>
      <c r="BMT5" s="99"/>
      <c r="BMU5" s="99"/>
      <c r="BMV5" s="99"/>
      <c r="BMW5" s="99"/>
      <c r="BMX5" s="99"/>
      <c r="BMY5" s="99"/>
      <c r="BMZ5" s="99"/>
      <c r="BNA5" s="99"/>
      <c r="BNB5" s="99"/>
      <c r="BNC5" s="99"/>
      <c r="BND5" s="99"/>
      <c r="BNE5" s="99"/>
      <c r="BNF5" s="99"/>
      <c r="BNG5" s="99"/>
      <c r="BNH5" s="99"/>
      <c r="BNI5" s="99"/>
      <c r="BNJ5" s="99"/>
      <c r="BNK5" s="99"/>
      <c r="BNL5" s="99"/>
      <c r="BNM5" s="99"/>
      <c r="BNN5" s="99"/>
      <c r="BNO5" s="99"/>
      <c r="BNP5" s="99"/>
      <c r="BNQ5" s="99"/>
      <c r="BNR5" s="99"/>
      <c r="BNS5" s="99"/>
      <c r="BNT5" s="99"/>
      <c r="BNU5" s="99"/>
      <c r="BNV5" s="99"/>
      <c r="BNW5" s="99"/>
      <c r="BNX5" s="99"/>
      <c r="BNY5" s="99"/>
      <c r="BNZ5" s="99"/>
      <c r="BOA5" s="99"/>
      <c r="BOB5" s="99"/>
      <c r="BOC5" s="99"/>
      <c r="BOD5" s="99"/>
      <c r="BOE5" s="99"/>
      <c r="BOF5" s="99"/>
      <c r="BOG5" s="99"/>
      <c r="BOH5" s="99"/>
      <c r="BOI5" s="99"/>
      <c r="BOJ5" s="99"/>
      <c r="BOK5" s="99"/>
      <c r="BOL5" s="99"/>
      <c r="BOM5" s="99"/>
      <c r="BON5" s="99"/>
      <c r="BOO5" s="99"/>
      <c r="BOP5" s="99"/>
      <c r="BOQ5" s="99"/>
      <c r="BOR5" s="99"/>
      <c r="BOS5" s="99"/>
      <c r="BOT5" s="99"/>
      <c r="BOU5" s="99"/>
      <c r="BOV5" s="99"/>
      <c r="BOW5" s="99"/>
      <c r="BOX5" s="99"/>
      <c r="BOY5" s="99"/>
      <c r="BOZ5" s="99"/>
      <c r="BPA5" s="99"/>
      <c r="BPB5" s="99"/>
      <c r="BPC5" s="99"/>
      <c r="BPD5" s="99"/>
      <c r="BPE5" s="99"/>
      <c r="BPF5" s="99"/>
      <c r="BPG5" s="99"/>
      <c r="BPH5" s="99"/>
      <c r="BPI5" s="99"/>
      <c r="BPJ5" s="99"/>
      <c r="BPK5" s="99"/>
      <c r="BPL5" s="99"/>
      <c r="BPM5" s="99"/>
      <c r="BPN5" s="99"/>
      <c r="BPO5" s="99"/>
      <c r="BPP5" s="99"/>
      <c r="BPQ5" s="99"/>
      <c r="BPR5" s="99"/>
      <c r="BPS5" s="99"/>
      <c r="BPT5" s="99"/>
      <c r="BPU5" s="99"/>
      <c r="BPV5" s="99"/>
      <c r="BPW5" s="99"/>
      <c r="BPX5" s="99"/>
      <c r="BPY5" s="99"/>
      <c r="BPZ5" s="99"/>
      <c r="BQA5" s="99"/>
      <c r="BQB5" s="99"/>
      <c r="BQC5" s="99"/>
      <c r="BQD5" s="99"/>
      <c r="BQE5" s="99"/>
      <c r="BQF5" s="99"/>
      <c r="BQG5" s="99"/>
      <c r="BQH5" s="99"/>
      <c r="BQI5" s="99"/>
      <c r="BQJ5" s="99"/>
      <c r="BQK5" s="99"/>
      <c r="BQL5" s="99"/>
      <c r="BQM5" s="99"/>
      <c r="BQN5" s="99"/>
      <c r="BQO5" s="99"/>
      <c r="BQP5" s="99"/>
      <c r="BQQ5" s="99"/>
      <c r="BQR5" s="99"/>
      <c r="BQS5" s="99"/>
      <c r="BQT5" s="99"/>
      <c r="BQU5" s="99"/>
      <c r="BQV5" s="99"/>
      <c r="BQW5" s="99"/>
      <c r="BQX5" s="99"/>
      <c r="BQY5" s="99"/>
      <c r="BQZ5" s="99"/>
      <c r="BRA5" s="99"/>
      <c r="BRB5" s="99"/>
      <c r="BRC5" s="99"/>
      <c r="BRD5" s="99"/>
      <c r="BRE5" s="99"/>
      <c r="BRF5" s="99"/>
      <c r="BRG5" s="99"/>
      <c r="BRH5" s="99"/>
      <c r="BRI5" s="99"/>
      <c r="BRJ5" s="99"/>
      <c r="BRK5" s="99"/>
      <c r="BRL5" s="99"/>
      <c r="BRM5" s="99"/>
      <c r="BRN5" s="99"/>
      <c r="BRO5" s="99"/>
      <c r="BRP5" s="99"/>
      <c r="BRQ5" s="99"/>
      <c r="BRR5" s="99"/>
      <c r="BRS5" s="99"/>
      <c r="BRT5" s="99"/>
      <c r="BRU5" s="99"/>
      <c r="BRV5" s="99"/>
      <c r="BRW5" s="99"/>
      <c r="BRX5" s="99"/>
      <c r="BRY5" s="99"/>
      <c r="BRZ5" s="99"/>
      <c r="BSA5" s="99"/>
      <c r="BSB5" s="99"/>
      <c r="BSC5" s="99"/>
      <c r="BSD5" s="99"/>
      <c r="BSE5" s="99"/>
      <c r="BSF5" s="99"/>
      <c r="BSG5" s="99"/>
      <c r="BSH5" s="99"/>
      <c r="BSI5" s="99"/>
      <c r="BSJ5" s="99"/>
      <c r="BSK5" s="99"/>
      <c r="BSL5" s="99"/>
      <c r="BSM5" s="99"/>
      <c r="BSN5" s="99"/>
      <c r="BSO5" s="99"/>
      <c r="BSP5" s="99"/>
      <c r="BSQ5" s="99"/>
      <c r="BSR5" s="99"/>
      <c r="BSS5" s="99"/>
      <c r="BST5" s="99"/>
      <c r="BSU5" s="99"/>
      <c r="BSV5" s="99"/>
      <c r="BSW5" s="99"/>
      <c r="BSX5" s="99"/>
      <c r="BSY5" s="99"/>
      <c r="BSZ5" s="99"/>
      <c r="BTA5" s="99"/>
      <c r="BTB5" s="99"/>
      <c r="BTC5" s="99"/>
      <c r="BTD5" s="99"/>
      <c r="BTE5" s="99"/>
      <c r="BTF5" s="99"/>
      <c r="BTG5" s="99"/>
      <c r="BTH5" s="99"/>
      <c r="BTI5" s="99"/>
      <c r="BTJ5" s="99"/>
      <c r="BTK5" s="99"/>
      <c r="BTL5" s="99"/>
      <c r="BTM5" s="99"/>
      <c r="BTN5" s="99"/>
      <c r="BTO5" s="99"/>
      <c r="BTP5" s="99"/>
      <c r="BTQ5" s="99"/>
      <c r="BTR5" s="99"/>
      <c r="BTS5" s="99"/>
      <c r="BTT5" s="99"/>
      <c r="BTU5" s="99"/>
      <c r="BTV5" s="99"/>
      <c r="BTW5" s="99"/>
      <c r="BTX5" s="99"/>
      <c r="BTY5" s="99"/>
      <c r="BTZ5" s="99"/>
      <c r="BUA5" s="99"/>
      <c r="BUB5" s="99"/>
      <c r="BUC5" s="99"/>
      <c r="BUD5" s="99"/>
      <c r="BUE5" s="99"/>
      <c r="BUF5" s="99"/>
      <c r="BUG5" s="99"/>
      <c r="BUH5" s="99"/>
      <c r="BUI5" s="99"/>
      <c r="BUJ5" s="99"/>
      <c r="BUK5" s="99"/>
      <c r="BUL5" s="99"/>
      <c r="BUM5" s="99"/>
      <c r="BUN5" s="99"/>
      <c r="BUO5" s="99"/>
      <c r="BUP5" s="99"/>
      <c r="BUQ5" s="99"/>
      <c r="BUR5" s="99"/>
      <c r="BUS5" s="99"/>
      <c r="BUT5" s="99"/>
      <c r="BUU5" s="99"/>
      <c r="BUV5" s="99"/>
      <c r="BUW5" s="99"/>
      <c r="BUX5" s="99"/>
      <c r="BUY5" s="99"/>
      <c r="BUZ5" s="99"/>
      <c r="BVA5" s="99"/>
      <c r="BVB5" s="99"/>
      <c r="BVC5" s="99"/>
      <c r="BVD5" s="99"/>
      <c r="BVE5" s="99"/>
      <c r="BVF5" s="99"/>
      <c r="BVG5" s="99"/>
      <c r="BVH5" s="99"/>
      <c r="BVI5" s="99"/>
      <c r="BVJ5" s="99"/>
      <c r="BVK5" s="99"/>
      <c r="BVL5" s="99"/>
      <c r="BVM5" s="99"/>
      <c r="BVN5" s="99"/>
      <c r="BVO5" s="99"/>
      <c r="BVP5" s="99"/>
      <c r="BVQ5" s="99"/>
      <c r="BVR5" s="99"/>
      <c r="BVS5" s="99"/>
      <c r="BVT5" s="99"/>
      <c r="BVU5" s="99"/>
      <c r="BVV5" s="99"/>
      <c r="BVW5" s="99"/>
      <c r="BVX5" s="99"/>
      <c r="BVY5" s="99"/>
      <c r="BVZ5" s="99"/>
      <c r="BWA5" s="99"/>
      <c r="BWB5" s="99"/>
      <c r="BWC5" s="99"/>
      <c r="BWD5" s="99"/>
      <c r="BWE5" s="99"/>
      <c r="BWF5" s="99"/>
      <c r="BWG5" s="99"/>
      <c r="BWH5" s="99"/>
      <c r="BWI5" s="99"/>
      <c r="BWJ5" s="99"/>
      <c r="BWK5" s="99"/>
      <c r="BWL5" s="99"/>
      <c r="BWM5" s="99"/>
      <c r="BWN5" s="99"/>
      <c r="BWO5" s="99"/>
      <c r="BWP5" s="99"/>
      <c r="BWQ5" s="99"/>
      <c r="BWR5" s="99"/>
      <c r="BWS5" s="99"/>
      <c r="BWT5" s="99"/>
      <c r="BWU5" s="99"/>
      <c r="BWV5" s="99"/>
      <c r="BWW5" s="99"/>
      <c r="BWX5" s="99"/>
      <c r="BWY5" s="99"/>
      <c r="BWZ5" s="99"/>
      <c r="BXA5" s="99"/>
      <c r="BXB5" s="99"/>
      <c r="BXC5" s="99"/>
      <c r="BXD5" s="99"/>
      <c r="BXE5" s="99"/>
      <c r="BXF5" s="99"/>
      <c r="BXG5" s="99"/>
      <c r="BXH5" s="99"/>
      <c r="BXI5" s="99"/>
      <c r="BXJ5" s="99"/>
      <c r="BXK5" s="99"/>
      <c r="BXL5" s="99"/>
      <c r="BXM5" s="99"/>
      <c r="BXN5" s="99"/>
      <c r="BXO5" s="99"/>
      <c r="BXP5" s="99"/>
      <c r="BXQ5" s="99"/>
      <c r="BXR5" s="99"/>
      <c r="BXS5" s="99"/>
      <c r="BXT5" s="99"/>
      <c r="BXU5" s="99"/>
      <c r="BXV5" s="99"/>
      <c r="BXW5" s="99"/>
      <c r="BXX5" s="99"/>
      <c r="BXY5" s="99"/>
      <c r="BXZ5" s="99"/>
      <c r="BYA5" s="99"/>
      <c r="BYB5" s="99"/>
      <c r="BYC5" s="99"/>
      <c r="BYD5" s="99"/>
      <c r="BYE5" s="99"/>
      <c r="BYF5" s="99"/>
      <c r="BYG5" s="99"/>
      <c r="BYH5" s="99"/>
      <c r="BYI5" s="99"/>
      <c r="BYJ5" s="99"/>
      <c r="BYK5" s="99"/>
      <c r="BYL5" s="99"/>
      <c r="BYM5" s="99"/>
      <c r="BYN5" s="99"/>
      <c r="BYO5" s="99"/>
      <c r="BYP5" s="99"/>
      <c r="BYQ5" s="99"/>
      <c r="BYR5" s="99"/>
      <c r="BYS5" s="99"/>
      <c r="BYT5" s="99"/>
      <c r="BYU5" s="99"/>
      <c r="BYV5" s="99"/>
      <c r="BYW5" s="99"/>
      <c r="BYX5" s="99"/>
      <c r="BYY5" s="99"/>
      <c r="BYZ5" s="99"/>
      <c r="BZA5" s="99"/>
      <c r="BZB5" s="99"/>
      <c r="BZC5" s="99"/>
      <c r="BZD5" s="99"/>
      <c r="BZE5" s="99"/>
      <c r="BZF5" s="99"/>
      <c r="BZG5" s="99"/>
      <c r="BZH5" s="99"/>
      <c r="BZI5" s="99"/>
      <c r="BZV5" s="99"/>
      <c r="BZW5" s="99"/>
      <c r="BZX5" s="99"/>
      <c r="BZY5" s="99"/>
      <c r="BZZ5" s="99"/>
      <c r="CAA5" s="99"/>
      <c r="CAB5" s="99"/>
      <c r="CAC5" s="99"/>
      <c r="CAD5" s="99"/>
      <c r="CAE5" s="99"/>
      <c r="CAF5" s="99"/>
      <c r="CAG5" s="99"/>
      <c r="CAH5" s="99"/>
      <c r="CAI5" s="99"/>
      <c r="CAJ5" s="99"/>
      <c r="CAK5" s="99"/>
      <c r="CAL5" s="99"/>
      <c r="CAM5" s="99"/>
      <c r="CAN5" s="99"/>
      <c r="CAO5" s="99"/>
      <c r="CAP5" s="99"/>
      <c r="CAQ5" s="99"/>
      <c r="CAR5" s="99"/>
      <c r="CAS5" s="99"/>
      <c r="CAT5" s="99"/>
      <c r="CAU5" s="99"/>
      <c r="CAV5" s="99"/>
      <c r="CAW5" s="99"/>
      <c r="CAX5" s="99"/>
      <c r="CAY5" s="99"/>
      <c r="CAZ5" s="99"/>
      <c r="CBA5" s="99"/>
      <c r="CBB5" s="99"/>
      <c r="CBC5" s="99"/>
      <c r="CBD5" s="99"/>
      <c r="CBE5" s="99"/>
      <c r="CBF5" s="99"/>
      <c r="CBG5" s="99"/>
      <c r="CBH5" s="99"/>
      <c r="CBI5" s="99"/>
      <c r="CBJ5" s="99"/>
      <c r="CBK5" s="99"/>
      <c r="CBL5" s="99"/>
      <c r="CBM5" s="99"/>
      <c r="CBN5" s="99"/>
      <c r="CBO5" s="99"/>
      <c r="CBP5" s="99"/>
      <c r="CBQ5" s="99"/>
      <c r="CBR5" s="99"/>
      <c r="CBS5" s="99"/>
      <c r="CBT5" s="99"/>
      <c r="CBU5" s="99"/>
      <c r="CBV5" s="99"/>
      <c r="CBW5" s="99"/>
      <c r="CBX5" s="99"/>
      <c r="CBY5" s="99"/>
      <c r="CBZ5" s="99"/>
      <c r="CCA5" s="99"/>
      <c r="CCB5" s="99"/>
      <c r="CCC5" s="99"/>
      <c r="CCD5" s="99"/>
      <c r="CCE5" s="99"/>
      <c r="CCF5" s="99"/>
      <c r="CCG5" s="99"/>
      <c r="CCH5" s="99"/>
      <c r="CCI5" s="99"/>
      <c r="CCJ5" s="99"/>
      <c r="CCK5" s="99"/>
      <c r="CCL5" s="99"/>
      <c r="CCM5" s="99"/>
      <c r="CCN5" s="99"/>
      <c r="CCO5" s="99"/>
      <c r="CCP5" s="99"/>
      <c r="CCQ5" s="99"/>
      <c r="CCR5" s="99"/>
      <c r="CCS5" s="99"/>
      <c r="CCT5" s="99"/>
      <c r="CCU5" s="99"/>
      <c r="CCV5" s="99"/>
      <c r="CCW5" s="99"/>
      <c r="CCX5" s="99"/>
      <c r="CCY5" s="99"/>
      <c r="CCZ5" s="99"/>
      <c r="CDA5" s="99"/>
      <c r="CDB5" s="99"/>
      <c r="CDC5" s="99"/>
      <c r="CDD5" s="99"/>
      <c r="CDE5" s="99"/>
      <c r="CDF5" s="99"/>
      <c r="CDG5" s="99"/>
      <c r="CDH5" s="99"/>
      <c r="CDI5" s="99"/>
      <c r="CDJ5" s="99"/>
      <c r="CDK5" s="99"/>
      <c r="CDL5" s="99"/>
      <c r="CDM5" s="99"/>
      <c r="CDN5" s="99"/>
      <c r="CDO5" s="99"/>
      <c r="CDP5" s="99"/>
      <c r="CDQ5" s="99"/>
      <c r="CDR5" s="99"/>
      <c r="CDS5" s="99"/>
      <c r="CDT5" s="99"/>
      <c r="CDU5" s="99"/>
      <c r="CDV5" s="99"/>
      <c r="CDW5" s="99"/>
      <c r="CDX5" s="99"/>
      <c r="CDY5" s="99"/>
      <c r="CDZ5" s="99"/>
      <c r="CEA5" s="99"/>
      <c r="CEB5" s="99"/>
      <c r="CEC5" s="99"/>
      <c r="CED5" s="99"/>
      <c r="CEE5" s="99"/>
      <c r="CEF5" s="99"/>
      <c r="CEG5" s="99"/>
      <c r="CEH5" s="99"/>
      <c r="CEI5" s="99"/>
      <c r="CEJ5" s="99"/>
      <c r="CEK5" s="99"/>
      <c r="CEL5" s="99"/>
      <c r="CEM5" s="99"/>
      <c r="CEN5" s="99"/>
      <c r="CEO5" s="99"/>
      <c r="CEP5" s="99"/>
      <c r="CEQ5" s="99"/>
      <c r="CER5" s="99"/>
      <c r="CES5" s="99"/>
      <c r="CET5" s="99"/>
      <c r="CEU5" s="99"/>
      <c r="CEV5" s="99"/>
      <c r="CEW5" s="99"/>
      <c r="CEX5" s="99"/>
      <c r="CEY5" s="99"/>
      <c r="CEZ5" s="99"/>
      <c r="CFA5" s="99"/>
      <c r="CFB5" s="99"/>
      <c r="CFC5" s="99"/>
      <c r="CFD5" s="99"/>
      <c r="CFE5" s="99"/>
      <c r="CFF5" s="99"/>
      <c r="CFG5" s="99"/>
      <c r="CFH5" s="99"/>
      <c r="CFI5" s="99"/>
      <c r="CFJ5" s="99"/>
      <c r="CFK5" s="99"/>
      <c r="CFL5" s="99"/>
      <c r="CFM5" s="99"/>
      <c r="CFN5" s="99"/>
      <c r="CFO5" s="99"/>
      <c r="CFP5" s="99"/>
      <c r="CFQ5" s="99"/>
      <c r="CFR5" s="99"/>
      <c r="CFS5" s="99"/>
      <c r="CFT5" s="99"/>
      <c r="CFU5" s="99"/>
      <c r="CFV5" s="99"/>
      <c r="CFW5" s="99"/>
      <c r="CFX5" s="99"/>
      <c r="CFY5" s="99"/>
      <c r="CFZ5" s="99"/>
      <c r="CGA5" s="99"/>
      <c r="CGB5" s="99"/>
      <c r="CGC5" s="99"/>
      <c r="CGD5" s="99"/>
      <c r="CGE5" s="99"/>
      <c r="CGF5" s="99"/>
      <c r="CGG5" s="99"/>
      <c r="CGH5" s="99"/>
      <c r="CGI5" s="99"/>
      <c r="CGJ5" s="99"/>
      <c r="CGK5" s="99"/>
      <c r="CGL5" s="99"/>
      <c r="CGM5" s="99"/>
      <c r="CGN5" s="99"/>
      <c r="CGO5" s="99"/>
      <c r="CGP5" s="99"/>
      <c r="CGQ5" s="99"/>
      <c r="CGR5" s="99"/>
      <c r="CGS5" s="99"/>
      <c r="CGT5" s="99"/>
      <c r="CGU5" s="99"/>
      <c r="CGV5" s="99"/>
      <c r="CGW5" s="99"/>
      <c r="CGX5" s="99"/>
      <c r="CGY5" s="99"/>
      <c r="CGZ5" s="99"/>
      <c r="CHA5" s="99"/>
      <c r="CHB5" s="99"/>
      <c r="CHC5" s="99"/>
      <c r="CHD5" s="99"/>
      <c r="CHE5" s="99"/>
      <c r="CHF5" s="99"/>
      <c r="CHG5" s="99"/>
      <c r="CHH5" s="99"/>
      <c r="CHI5" s="99"/>
      <c r="CHJ5" s="99"/>
      <c r="CHK5" s="99"/>
      <c r="CHL5" s="99"/>
      <c r="CHM5" s="99"/>
      <c r="CHN5" s="99"/>
      <c r="CHO5" s="99"/>
      <c r="CHP5" s="99"/>
      <c r="CHQ5" s="99"/>
      <c r="CHR5" s="99"/>
      <c r="CHS5" s="99"/>
      <c r="CHT5" s="99"/>
      <c r="CHU5" s="99"/>
      <c r="CHV5" s="99"/>
      <c r="CHW5" s="99"/>
      <c r="CHX5" s="99"/>
      <c r="CHY5" s="99"/>
      <c r="CHZ5" s="99"/>
      <c r="CIA5" s="99"/>
      <c r="CIB5" s="99"/>
      <c r="CIC5" s="99"/>
      <c r="CID5" s="99"/>
      <c r="CIE5" s="99"/>
      <c r="CIF5" s="99"/>
      <c r="CIG5" s="99"/>
      <c r="CIH5" s="99"/>
      <c r="CII5" s="99"/>
      <c r="CIJ5" s="99"/>
      <c r="CIK5" s="99"/>
      <c r="CIL5" s="99"/>
      <c r="CIM5" s="99"/>
      <c r="CIN5" s="99"/>
      <c r="CIO5" s="99"/>
      <c r="CIP5" s="99"/>
      <c r="CIQ5" s="99"/>
      <c r="CIR5" s="99"/>
      <c r="CIS5" s="99"/>
      <c r="CIT5" s="99"/>
      <c r="CIU5" s="99"/>
      <c r="CIV5" s="99"/>
      <c r="CIW5" s="99"/>
      <c r="CIX5" s="99"/>
      <c r="CIY5" s="99"/>
      <c r="CIZ5" s="99"/>
      <c r="CJA5" s="99"/>
      <c r="CJB5" s="99"/>
      <c r="CJC5" s="99"/>
      <c r="CJD5" s="99"/>
      <c r="CJE5" s="99"/>
      <c r="CJF5" s="99"/>
      <c r="CJG5" s="99"/>
      <c r="CJH5" s="99"/>
      <c r="CJI5" s="99"/>
      <c r="CJJ5" s="99"/>
      <c r="CJK5" s="99"/>
      <c r="CJL5" s="99"/>
      <c r="CJM5" s="99"/>
      <c r="CJN5" s="99"/>
      <c r="CJO5" s="99"/>
      <c r="CJP5" s="99"/>
      <c r="CJQ5" s="99"/>
      <c r="CJR5" s="99"/>
      <c r="CJS5" s="99"/>
      <c r="CJT5" s="99"/>
      <c r="CJU5" s="99"/>
      <c r="CJV5" s="99"/>
      <c r="CJW5" s="99"/>
      <c r="CJX5" s="99"/>
      <c r="CJY5" s="99"/>
      <c r="CJZ5" s="99"/>
      <c r="CKA5" s="99"/>
      <c r="CKB5" s="99"/>
      <c r="CKC5" s="99"/>
      <c r="CKD5" s="99"/>
      <c r="CKE5" s="99"/>
      <c r="CKF5" s="99"/>
      <c r="CKG5" s="99"/>
      <c r="CKH5" s="99"/>
      <c r="CKI5" s="99"/>
      <c r="CKJ5" s="99"/>
      <c r="CKK5" s="99"/>
      <c r="CKL5" s="99"/>
      <c r="CKM5" s="99"/>
      <c r="CKN5" s="99"/>
      <c r="CKO5" s="99"/>
      <c r="CKP5" s="99"/>
      <c r="CKQ5" s="99"/>
      <c r="CKR5" s="99"/>
      <c r="CKS5" s="99"/>
      <c r="CKT5" s="99"/>
      <c r="CKU5" s="99"/>
      <c r="CKV5" s="99"/>
      <c r="CKW5" s="99"/>
      <c r="CKX5" s="99"/>
      <c r="CKY5" s="99"/>
      <c r="CKZ5" s="99"/>
      <c r="CLA5" s="99"/>
      <c r="CLB5" s="99"/>
      <c r="CLC5" s="99"/>
      <c r="CLD5" s="99"/>
      <c r="CLE5" s="99"/>
      <c r="CLF5" s="99"/>
      <c r="CLG5" s="99"/>
      <c r="CLH5" s="99"/>
      <c r="CLI5" s="99"/>
      <c r="CLJ5" s="99"/>
      <c r="CLK5" s="99"/>
      <c r="CLL5" s="99"/>
      <c r="CLM5" s="99"/>
      <c r="CLN5" s="99"/>
      <c r="CLO5" s="99"/>
      <c r="CLP5" s="99"/>
      <c r="CLQ5" s="99"/>
      <c r="CLR5" s="99"/>
      <c r="CLS5" s="99"/>
      <c r="CLT5" s="99"/>
      <c r="CLU5" s="99"/>
      <c r="CLV5" s="99"/>
      <c r="CLW5" s="99"/>
      <c r="CLX5" s="99"/>
      <c r="CLY5" s="99"/>
      <c r="CLZ5" s="99"/>
      <c r="CMA5" s="99"/>
      <c r="CMB5" s="99"/>
      <c r="CMC5" s="99"/>
      <c r="CMD5" s="99"/>
      <c r="CME5" s="99"/>
      <c r="CMF5" s="99"/>
      <c r="CMG5" s="99"/>
      <c r="CMH5" s="99"/>
      <c r="CMI5" s="99"/>
      <c r="CMJ5" s="99"/>
      <c r="CMK5" s="99"/>
      <c r="CML5" s="99"/>
      <c r="CMM5" s="99"/>
      <c r="CMN5" s="99"/>
      <c r="CMO5" s="99"/>
      <c r="CMP5" s="99"/>
      <c r="CMQ5" s="99"/>
      <c r="CMR5" s="99"/>
      <c r="CMS5" s="99"/>
      <c r="CMT5" s="99"/>
      <c r="CMU5" s="99"/>
      <c r="CMV5" s="99"/>
      <c r="CMW5" s="99"/>
      <c r="CMX5" s="99"/>
      <c r="CMY5" s="99"/>
      <c r="CMZ5" s="99"/>
      <c r="CNA5" s="99"/>
      <c r="CNB5" s="99"/>
      <c r="CNC5" s="99"/>
      <c r="CND5" s="99"/>
      <c r="CNE5" s="99"/>
      <c r="CNF5" s="99"/>
      <c r="CNG5" s="99"/>
      <c r="CNH5" s="99"/>
      <c r="CNI5" s="99"/>
      <c r="CNJ5" s="99"/>
      <c r="CNK5" s="99"/>
      <c r="CNL5" s="99"/>
      <c r="CNM5" s="99"/>
      <c r="CNN5" s="99"/>
      <c r="CNO5" s="99"/>
      <c r="CNP5" s="99"/>
      <c r="CNQ5" s="99"/>
      <c r="CNR5" s="99"/>
      <c r="CNS5" s="99"/>
      <c r="CNT5" s="99"/>
      <c r="CNU5" s="99"/>
      <c r="CNV5" s="99"/>
      <c r="CNW5" s="99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</row>
    <row r="6" spans="1:1013 1026:2037 2050:3061 3074:4085 4098:5109 5122:6133 6146:7157 7170:8181 8194:9205 9218:10229 10242:11221" ht="14.95" customHeight="1" thickBot="1" x14ac:dyDescent="0.3">
      <c r="A6" s="553" t="s">
        <v>360</v>
      </c>
      <c r="B6" s="554" t="s">
        <v>222</v>
      </c>
      <c r="C6" s="625" t="s">
        <v>24</v>
      </c>
      <c r="D6" s="556" t="s">
        <v>36</v>
      </c>
      <c r="E6" s="556" t="s">
        <v>32</v>
      </c>
      <c r="F6" s="556">
        <v>26</v>
      </c>
      <c r="G6" s="556">
        <v>24</v>
      </c>
      <c r="H6" s="556">
        <v>1</v>
      </c>
      <c r="I6" s="556">
        <v>0</v>
      </c>
      <c r="J6" s="556">
        <v>4</v>
      </c>
      <c r="K6" s="556">
        <v>3</v>
      </c>
      <c r="L6" s="556">
        <v>0</v>
      </c>
      <c r="M6" s="556">
        <v>0</v>
      </c>
      <c r="N6" s="556">
        <v>0</v>
      </c>
      <c r="O6" s="556">
        <v>0</v>
      </c>
      <c r="P6" s="556">
        <v>1</v>
      </c>
      <c r="Q6" s="556">
        <v>1</v>
      </c>
      <c r="R6" s="556">
        <v>4</v>
      </c>
      <c r="S6" s="557">
        <v>13197</v>
      </c>
      <c r="T6" s="563" t="s">
        <v>415</v>
      </c>
      <c r="U6" s="559" t="s">
        <v>318</v>
      </c>
      <c r="V6" s="557" t="s">
        <v>348</v>
      </c>
      <c r="W6" s="557" t="s">
        <v>395</v>
      </c>
      <c r="X6" s="558" t="s">
        <v>306</v>
      </c>
      <c r="Y6" s="557">
        <v>1</v>
      </c>
      <c r="Z6" s="557">
        <v>1</v>
      </c>
      <c r="AA6" s="557">
        <v>0</v>
      </c>
      <c r="AB6" s="557">
        <v>0</v>
      </c>
      <c r="AC6" s="557">
        <v>0</v>
      </c>
      <c r="AD6" s="557">
        <v>0</v>
      </c>
      <c r="AE6" s="557">
        <v>0</v>
      </c>
      <c r="AF6" s="557">
        <v>0</v>
      </c>
      <c r="AG6" s="557">
        <v>1</v>
      </c>
      <c r="AH6" s="557">
        <v>1</v>
      </c>
      <c r="AI6" s="557">
        <v>0</v>
      </c>
      <c r="AJ6" s="559">
        <v>0</v>
      </c>
      <c r="AK6" s="557">
        <v>0</v>
      </c>
      <c r="AL6" s="557">
        <v>0</v>
      </c>
      <c r="AM6" s="557">
        <v>0</v>
      </c>
      <c r="AN6" s="559">
        <v>0</v>
      </c>
      <c r="AP6" s="175" t="s">
        <v>168</v>
      </c>
      <c r="AQ6" s="176">
        <f>Bthhistdrawn</f>
        <v>20</v>
      </c>
      <c r="AS6" s="177" t="s">
        <v>0</v>
      </c>
      <c r="AT6" s="189">
        <f>btheuropeancuphistwon</f>
        <v>54</v>
      </c>
      <c r="AU6" s="179" t="s">
        <v>0</v>
      </c>
      <c r="AV6" s="180">
        <f>bthchampscuphistwon</f>
        <v>11</v>
      </c>
      <c r="AW6" s="181" t="s">
        <v>0</v>
      </c>
      <c r="AX6" s="178">
        <f>bthchallcuphistwon</f>
        <v>48</v>
      </c>
      <c r="AY6" s="182" t="s">
        <v>0</v>
      </c>
      <c r="AZ6" s="183">
        <f t="shared" si="0"/>
        <v>102</v>
      </c>
      <c r="ACL6" s="99"/>
      <c r="ACM6" s="99"/>
      <c r="ACN6" s="99"/>
      <c r="ACO6" s="99"/>
      <c r="ACP6" s="99"/>
      <c r="ACQ6" s="99"/>
      <c r="ACR6" s="99"/>
      <c r="ACS6" s="99"/>
      <c r="ACT6" s="99"/>
      <c r="ACU6" s="99"/>
      <c r="ACV6" s="99"/>
      <c r="ACW6" s="99"/>
      <c r="ACX6" s="99"/>
      <c r="ACY6" s="99"/>
      <c r="ACZ6" s="99"/>
      <c r="ADA6" s="99"/>
      <c r="ADB6" s="99"/>
      <c r="ADC6" s="99"/>
      <c r="ADD6" s="99"/>
      <c r="ADE6" s="99"/>
      <c r="ADF6" s="99"/>
      <c r="ADG6" s="99"/>
      <c r="ADH6" s="99"/>
      <c r="ADI6" s="99"/>
      <c r="ADJ6" s="99"/>
      <c r="ADK6" s="99"/>
      <c r="ADL6" s="99"/>
      <c r="ADM6" s="99"/>
      <c r="ADN6" s="99"/>
      <c r="ADO6" s="99"/>
      <c r="ADP6" s="99"/>
      <c r="ADQ6" s="99"/>
      <c r="ADR6" s="99"/>
      <c r="ADS6" s="99"/>
      <c r="ADT6" s="99"/>
      <c r="ADU6" s="99"/>
      <c r="ADV6" s="99"/>
      <c r="ADW6" s="99"/>
      <c r="ADX6" s="99"/>
      <c r="ADY6" s="99"/>
      <c r="ADZ6" s="99"/>
      <c r="AEA6" s="99"/>
      <c r="AEB6" s="99"/>
      <c r="AEC6" s="99"/>
      <c r="AED6" s="99"/>
      <c r="AEE6" s="99"/>
      <c r="AEF6" s="99"/>
      <c r="AEG6" s="99"/>
      <c r="AEH6" s="99"/>
      <c r="AEI6" s="99"/>
      <c r="AEJ6" s="99"/>
      <c r="AEK6" s="99"/>
      <c r="AEL6" s="99"/>
      <c r="AEM6" s="99"/>
      <c r="AEN6" s="99"/>
      <c r="AEO6" s="99"/>
      <c r="AEP6" s="99"/>
      <c r="AEQ6" s="99"/>
      <c r="AER6" s="99"/>
      <c r="AES6" s="99"/>
      <c r="AET6" s="99"/>
      <c r="AEU6" s="99"/>
      <c r="AEV6" s="99"/>
      <c r="AEW6" s="99"/>
      <c r="AEX6" s="99"/>
      <c r="AEY6" s="99"/>
      <c r="AEZ6" s="99"/>
      <c r="AFA6" s="99"/>
      <c r="AFB6" s="99"/>
      <c r="AFC6" s="99"/>
      <c r="AFD6" s="99"/>
      <c r="AFE6" s="99"/>
      <c r="AFF6" s="99"/>
      <c r="AFG6" s="99"/>
      <c r="AFH6" s="99"/>
      <c r="AFI6" s="99"/>
      <c r="AFJ6" s="99"/>
      <c r="AFK6" s="99"/>
      <c r="AFL6" s="99"/>
      <c r="AFM6" s="99"/>
      <c r="AFN6" s="99"/>
      <c r="AFO6" s="99"/>
      <c r="AFP6" s="99"/>
      <c r="AFQ6" s="99"/>
      <c r="AFR6" s="99"/>
      <c r="AFS6" s="99"/>
      <c r="AFT6" s="99"/>
      <c r="AFU6" s="99"/>
      <c r="AFV6" s="99"/>
      <c r="AFW6" s="99"/>
      <c r="AFX6" s="99"/>
      <c r="AFY6" s="99"/>
      <c r="AFZ6" s="99"/>
      <c r="AGA6" s="99"/>
      <c r="AGB6" s="99"/>
      <c r="AGC6" s="99"/>
      <c r="AGD6" s="99"/>
      <c r="AGE6" s="99"/>
      <c r="AGF6" s="99"/>
      <c r="AGG6" s="99"/>
      <c r="AGH6" s="99"/>
      <c r="AGI6" s="99"/>
      <c r="AGJ6" s="99"/>
      <c r="AGK6" s="99"/>
      <c r="AGL6" s="99"/>
      <c r="AGM6" s="99"/>
      <c r="AGN6" s="99"/>
      <c r="AGO6" s="99"/>
      <c r="AGP6" s="99"/>
      <c r="AGQ6" s="99"/>
      <c r="AGR6" s="99"/>
      <c r="AGS6" s="99"/>
      <c r="AGT6" s="99"/>
      <c r="AGU6" s="99"/>
      <c r="AGV6" s="99"/>
      <c r="AGW6" s="99"/>
      <c r="AGX6" s="99"/>
      <c r="AGY6" s="99"/>
      <c r="AGZ6" s="99"/>
      <c r="AHA6" s="99"/>
      <c r="AHB6" s="99"/>
      <c r="AHC6" s="99"/>
      <c r="AHD6" s="99"/>
      <c r="AHE6" s="99"/>
      <c r="AHF6" s="99"/>
      <c r="AHG6" s="99"/>
      <c r="AHH6" s="99"/>
      <c r="AHI6" s="99"/>
      <c r="AHJ6" s="99"/>
      <c r="AHK6" s="99"/>
      <c r="AHL6" s="99"/>
      <c r="AHM6" s="99"/>
      <c r="AHN6" s="99"/>
      <c r="AHO6" s="99"/>
      <c r="AHP6" s="99"/>
      <c r="AHQ6" s="99"/>
      <c r="AHR6" s="99"/>
      <c r="AHS6" s="99"/>
      <c r="AHT6" s="99"/>
      <c r="AHU6" s="99"/>
      <c r="AHV6" s="99"/>
      <c r="AHW6" s="99"/>
      <c r="AHX6" s="99"/>
      <c r="AHY6" s="99"/>
      <c r="AHZ6" s="99"/>
      <c r="AIA6" s="99"/>
      <c r="AIB6" s="99"/>
      <c r="AIC6" s="99"/>
      <c r="AID6" s="99"/>
      <c r="AIE6" s="99"/>
      <c r="AIF6" s="99"/>
      <c r="AIG6" s="99"/>
      <c r="AIH6" s="99"/>
      <c r="AII6" s="99"/>
      <c r="AIJ6" s="99"/>
      <c r="AIK6" s="99"/>
      <c r="AIL6" s="99"/>
      <c r="AIM6" s="99"/>
      <c r="AIN6" s="99"/>
      <c r="AIO6" s="99"/>
      <c r="AIP6" s="99"/>
      <c r="AIQ6" s="99"/>
      <c r="AIR6" s="99"/>
      <c r="AIS6" s="99"/>
      <c r="AIT6" s="99"/>
      <c r="AIU6" s="99"/>
      <c r="AIV6" s="99"/>
      <c r="AIW6" s="99"/>
      <c r="AIX6" s="99"/>
      <c r="AIY6" s="99"/>
      <c r="AIZ6" s="99"/>
      <c r="AJA6" s="99"/>
      <c r="AJB6" s="99"/>
      <c r="AJC6" s="99"/>
      <c r="AJD6" s="99"/>
      <c r="AJE6" s="99"/>
      <c r="AJF6" s="99"/>
      <c r="AJG6" s="99"/>
      <c r="AJH6" s="99"/>
      <c r="AJI6" s="99"/>
      <c r="AJJ6" s="99"/>
      <c r="AJK6" s="99"/>
      <c r="AJL6" s="99"/>
      <c r="AJM6" s="99"/>
      <c r="AJN6" s="99"/>
      <c r="AJO6" s="99"/>
      <c r="AJP6" s="99"/>
      <c r="AJQ6" s="99"/>
      <c r="AJR6" s="99"/>
      <c r="AJS6" s="99"/>
      <c r="AJT6" s="99"/>
      <c r="AJU6" s="99"/>
      <c r="AJV6" s="99"/>
      <c r="AJW6" s="99"/>
      <c r="AJX6" s="99"/>
      <c r="AJY6" s="99"/>
      <c r="AJZ6" s="99"/>
      <c r="AKA6" s="99"/>
      <c r="AKB6" s="99"/>
      <c r="AKC6" s="99"/>
      <c r="AKD6" s="99"/>
      <c r="AKE6" s="99"/>
      <c r="AKF6" s="99"/>
      <c r="AKG6" s="99"/>
      <c r="AKH6" s="99"/>
      <c r="AKI6" s="99"/>
      <c r="AKJ6" s="99"/>
      <c r="AKK6" s="99"/>
      <c r="AKL6" s="99"/>
      <c r="AKM6" s="99"/>
      <c r="AKN6" s="99"/>
      <c r="AKO6" s="99"/>
      <c r="AKP6" s="99"/>
      <c r="AKQ6" s="99"/>
      <c r="AKR6" s="99"/>
      <c r="AKS6" s="99"/>
      <c r="AKT6" s="99"/>
      <c r="AKU6" s="99"/>
      <c r="AKV6" s="99"/>
      <c r="AKW6" s="99"/>
      <c r="AKX6" s="99"/>
      <c r="AKY6" s="99"/>
      <c r="AKZ6" s="99"/>
      <c r="ALA6" s="99"/>
      <c r="ALB6" s="99"/>
      <c r="ALC6" s="99"/>
      <c r="ALD6" s="99"/>
      <c r="ALE6" s="99"/>
      <c r="ALF6" s="99"/>
      <c r="ALG6" s="99"/>
      <c r="ALH6" s="99"/>
      <c r="ALI6" s="99"/>
      <c r="ALJ6" s="99"/>
      <c r="ALK6" s="99"/>
      <c r="ALL6" s="99"/>
      <c r="ALM6" s="99"/>
      <c r="ALN6" s="99"/>
      <c r="ALO6" s="99"/>
      <c r="ALP6" s="99"/>
      <c r="ALQ6" s="99"/>
      <c r="ALR6" s="99"/>
      <c r="ALS6" s="99"/>
      <c r="ALT6" s="99"/>
      <c r="ALU6" s="99"/>
      <c r="ALV6" s="99"/>
      <c r="ALW6" s="99"/>
      <c r="ALX6" s="99"/>
      <c r="ALY6" s="99"/>
      <c r="AML6" s="99"/>
      <c r="AMM6" s="99"/>
      <c r="AMN6" s="99"/>
      <c r="AMO6" s="99"/>
      <c r="AMP6" s="99"/>
      <c r="AMQ6" s="99"/>
      <c r="AMR6" s="99"/>
      <c r="AMS6" s="99"/>
      <c r="AMT6" s="99"/>
      <c r="AMU6" s="99"/>
      <c r="AMV6" s="99"/>
      <c r="AMW6" s="99"/>
      <c r="AMX6" s="99"/>
      <c r="AMY6" s="99"/>
      <c r="AMZ6" s="99"/>
      <c r="ANA6" s="99"/>
      <c r="ANB6" s="99"/>
      <c r="ANC6" s="99"/>
      <c r="AND6" s="99"/>
      <c r="ANE6" s="99"/>
      <c r="ANF6" s="99"/>
      <c r="ANG6" s="99"/>
      <c r="ANH6" s="99"/>
      <c r="ANI6" s="99"/>
      <c r="ANJ6" s="99"/>
      <c r="ANK6" s="99"/>
      <c r="ANL6" s="99"/>
      <c r="ANM6" s="99"/>
      <c r="ANN6" s="99"/>
      <c r="ANO6" s="99"/>
      <c r="ANP6" s="99"/>
      <c r="ANQ6" s="99"/>
      <c r="ANR6" s="99"/>
      <c r="ANS6" s="99"/>
      <c r="ANT6" s="99"/>
      <c r="ANU6" s="99"/>
      <c r="ANV6" s="99"/>
      <c r="ANW6" s="99"/>
      <c r="ANX6" s="99"/>
      <c r="ANY6" s="99"/>
      <c r="ANZ6" s="99"/>
      <c r="AOA6" s="99"/>
      <c r="AOB6" s="99"/>
      <c r="AOC6" s="99"/>
      <c r="AOD6" s="99"/>
      <c r="AOE6" s="99"/>
      <c r="AOF6" s="99"/>
      <c r="AOG6" s="99"/>
      <c r="AOH6" s="99"/>
      <c r="AOI6" s="99"/>
      <c r="AOJ6" s="99"/>
      <c r="AOK6" s="99"/>
      <c r="AOL6" s="99"/>
      <c r="AOM6" s="99"/>
      <c r="AON6" s="99"/>
      <c r="AOO6" s="99"/>
      <c r="AOP6" s="99"/>
      <c r="AOQ6" s="99"/>
      <c r="AOR6" s="99"/>
      <c r="AOS6" s="99"/>
      <c r="AOT6" s="99"/>
      <c r="AOU6" s="99"/>
      <c r="AOV6" s="99"/>
      <c r="AOW6" s="99"/>
      <c r="AOX6" s="99"/>
      <c r="AOY6" s="99"/>
      <c r="AOZ6" s="99"/>
      <c r="APA6" s="99"/>
      <c r="APB6" s="99"/>
      <c r="APC6" s="99"/>
      <c r="APD6" s="99"/>
      <c r="APE6" s="99"/>
      <c r="APF6" s="99"/>
      <c r="APG6" s="99"/>
      <c r="APH6" s="99"/>
      <c r="API6" s="99"/>
      <c r="APJ6" s="99"/>
      <c r="APK6" s="99"/>
      <c r="APL6" s="99"/>
      <c r="APM6" s="99"/>
      <c r="APN6" s="99"/>
      <c r="APO6" s="99"/>
      <c r="APP6" s="99"/>
      <c r="APQ6" s="99"/>
      <c r="APR6" s="99"/>
      <c r="APS6" s="99"/>
      <c r="APT6" s="99"/>
      <c r="APU6" s="99"/>
      <c r="APV6" s="99"/>
      <c r="APW6" s="99"/>
      <c r="APX6" s="99"/>
      <c r="APY6" s="99"/>
      <c r="APZ6" s="99"/>
      <c r="AQA6" s="99"/>
      <c r="AQB6" s="99"/>
      <c r="AQC6" s="99"/>
      <c r="AQD6" s="99"/>
      <c r="AQE6" s="99"/>
      <c r="AQF6" s="99"/>
      <c r="AQG6" s="99"/>
      <c r="AQH6" s="99"/>
      <c r="AQI6" s="99"/>
      <c r="AQJ6" s="99"/>
      <c r="AQK6" s="99"/>
      <c r="AQL6" s="99"/>
      <c r="AQM6" s="99"/>
      <c r="AQN6" s="99"/>
      <c r="AQO6" s="99"/>
      <c r="AQP6" s="99"/>
      <c r="AQQ6" s="99"/>
      <c r="AQR6" s="99"/>
      <c r="AQS6" s="99"/>
      <c r="AQT6" s="99"/>
      <c r="AQU6" s="99"/>
      <c r="AQV6" s="99"/>
      <c r="AQW6" s="99"/>
      <c r="AQX6" s="99"/>
      <c r="AQY6" s="99"/>
      <c r="AQZ6" s="99"/>
      <c r="ARA6" s="99"/>
      <c r="ARB6" s="99"/>
      <c r="ARC6" s="99"/>
      <c r="ARD6" s="99"/>
      <c r="ARE6" s="99"/>
      <c r="ARF6" s="99"/>
      <c r="ARG6" s="99"/>
      <c r="ARH6" s="99"/>
      <c r="ARI6" s="99"/>
      <c r="ARJ6" s="99"/>
      <c r="ARK6" s="99"/>
      <c r="ARL6" s="99"/>
      <c r="ARM6" s="99"/>
      <c r="ARN6" s="99"/>
      <c r="ARO6" s="99"/>
      <c r="ARP6" s="99"/>
      <c r="ARQ6" s="99"/>
      <c r="ARR6" s="99"/>
      <c r="ARS6" s="99"/>
      <c r="ART6" s="99"/>
      <c r="ARU6" s="99"/>
      <c r="ARV6" s="99"/>
      <c r="ARW6" s="99"/>
      <c r="ARX6" s="99"/>
      <c r="ARY6" s="99"/>
      <c r="ARZ6" s="99"/>
      <c r="ASA6" s="99"/>
      <c r="ASB6" s="99"/>
      <c r="ASC6" s="99"/>
      <c r="ASD6" s="99"/>
      <c r="ASE6" s="99"/>
      <c r="ASF6" s="99"/>
      <c r="ASG6" s="99"/>
      <c r="ASH6" s="99"/>
      <c r="ASI6" s="99"/>
      <c r="ASJ6" s="99"/>
      <c r="ASK6" s="99"/>
      <c r="ASL6" s="99"/>
      <c r="ASM6" s="99"/>
      <c r="ASN6" s="99"/>
      <c r="ASO6" s="99"/>
      <c r="ASP6" s="99"/>
      <c r="ASQ6" s="99"/>
      <c r="ASR6" s="99"/>
      <c r="ASS6" s="99"/>
      <c r="AST6" s="99"/>
      <c r="ASU6" s="99"/>
      <c r="ASV6" s="99"/>
      <c r="ASW6" s="99"/>
      <c r="ASX6" s="99"/>
      <c r="ASY6" s="99"/>
      <c r="ASZ6" s="99"/>
      <c r="ATA6" s="99"/>
      <c r="ATB6" s="99"/>
      <c r="ATC6" s="99"/>
      <c r="ATD6" s="99"/>
      <c r="ATE6" s="99"/>
      <c r="ATF6" s="99"/>
      <c r="ATG6" s="99"/>
      <c r="ATH6" s="99"/>
      <c r="ATI6" s="99"/>
      <c r="ATJ6" s="99"/>
      <c r="ATK6" s="99"/>
      <c r="ATL6" s="99"/>
      <c r="ATM6" s="99"/>
      <c r="ATN6" s="99"/>
      <c r="ATO6" s="99"/>
      <c r="ATP6" s="99"/>
      <c r="ATQ6" s="99"/>
      <c r="ATR6" s="99"/>
      <c r="ATS6" s="99"/>
      <c r="ATT6" s="99"/>
      <c r="ATU6" s="99"/>
      <c r="ATV6" s="99"/>
      <c r="ATW6" s="99"/>
      <c r="ATX6" s="99"/>
      <c r="ATY6" s="99"/>
      <c r="ATZ6" s="99"/>
      <c r="AUA6" s="99"/>
      <c r="AUB6" s="99"/>
      <c r="AUC6" s="99"/>
      <c r="AUD6" s="99"/>
      <c r="AUE6" s="99"/>
      <c r="AUF6" s="99"/>
      <c r="AUG6" s="99"/>
      <c r="AUH6" s="99"/>
      <c r="AUI6" s="99"/>
      <c r="AUJ6" s="99"/>
      <c r="AUK6" s="99"/>
      <c r="AUL6" s="99"/>
      <c r="AUM6" s="99"/>
      <c r="AUN6" s="99"/>
      <c r="AUO6" s="99"/>
      <c r="AUP6" s="99"/>
      <c r="AUQ6" s="99"/>
      <c r="AUR6" s="99"/>
      <c r="AUS6" s="99"/>
      <c r="AUT6" s="99"/>
      <c r="AUU6" s="99"/>
      <c r="AUV6" s="99"/>
      <c r="AUW6" s="99"/>
      <c r="AUX6" s="99"/>
      <c r="AUY6" s="99"/>
      <c r="AUZ6" s="99"/>
      <c r="AVA6" s="99"/>
      <c r="AVB6" s="99"/>
      <c r="AVC6" s="99"/>
      <c r="AVD6" s="99"/>
      <c r="AVE6" s="99"/>
      <c r="AVF6" s="99"/>
      <c r="AVG6" s="99"/>
      <c r="AVH6" s="99"/>
      <c r="AVI6" s="99"/>
      <c r="AVJ6" s="99"/>
      <c r="AVK6" s="99"/>
      <c r="AVL6" s="99"/>
      <c r="AVM6" s="99"/>
      <c r="AVN6" s="99"/>
      <c r="AVO6" s="99"/>
      <c r="AVP6" s="99"/>
      <c r="AVQ6" s="99"/>
      <c r="AVR6" s="99"/>
      <c r="AVS6" s="99"/>
      <c r="AVT6" s="99"/>
      <c r="AVU6" s="99"/>
      <c r="AVV6" s="99"/>
      <c r="AVW6" s="99"/>
      <c r="AVX6" s="99"/>
      <c r="AVY6" s="99"/>
      <c r="AVZ6" s="99"/>
      <c r="AWA6" s="99"/>
      <c r="AWB6" s="99"/>
      <c r="AWC6" s="99"/>
      <c r="AWD6" s="99"/>
      <c r="AWE6" s="99"/>
      <c r="AWF6" s="99"/>
      <c r="AWG6" s="99"/>
      <c r="AWH6" s="99"/>
      <c r="AWI6" s="99"/>
      <c r="AWJ6" s="99"/>
      <c r="AWK6" s="99"/>
      <c r="AWL6" s="99"/>
      <c r="AWM6" s="99"/>
      <c r="AWN6" s="99"/>
      <c r="AWO6" s="99"/>
      <c r="AWP6" s="99"/>
      <c r="AWQ6" s="99"/>
      <c r="AWR6" s="99"/>
      <c r="AWS6" s="99"/>
      <c r="AWT6" s="99"/>
      <c r="AWU6" s="99"/>
      <c r="AWV6" s="99"/>
      <c r="AWW6" s="99"/>
      <c r="AWX6" s="99"/>
      <c r="AWY6" s="99"/>
      <c r="AWZ6" s="99"/>
      <c r="AXA6" s="99"/>
      <c r="AXB6" s="99"/>
      <c r="AXC6" s="99"/>
      <c r="AXD6" s="99"/>
      <c r="AXE6" s="99"/>
      <c r="AXF6" s="99"/>
      <c r="AXG6" s="99"/>
      <c r="AXH6" s="99"/>
      <c r="AXI6" s="99"/>
      <c r="AXJ6" s="99"/>
      <c r="AXK6" s="99"/>
      <c r="AXL6" s="99"/>
      <c r="AXM6" s="99"/>
      <c r="AXN6" s="99"/>
      <c r="AXO6" s="99"/>
      <c r="AXP6" s="99"/>
      <c r="AXQ6" s="99"/>
      <c r="AXR6" s="99"/>
      <c r="AXS6" s="99"/>
      <c r="AXT6" s="99"/>
      <c r="AXU6" s="99"/>
      <c r="AXV6" s="99"/>
      <c r="AXW6" s="99"/>
      <c r="AXX6" s="99"/>
      <c r="AXY6" s="99"/>
      <c r="AXZ6" s="99"/>
      <c r="AYA6" s="99"/>
      <c r="AYB6" s="99"/>
      <c r="AYC6" s="99"/>
      <c r="AYD6" s="99"/>
      <c r="AYE6" s="99"/>
      <c r="AYF6" s="99"/>
      <c r="AYG6" s="99"/>
      <c r="AYH6" s="99"/>
      <c r="AYI6" s="99"/>
      <c r="AYJ6" s="99"/>
      <c r="AYK6" s="99"/>
      <c r="AYL6" s="99"/>
      <c r="AYM6" s="99"/>
      <c r="AYN6" s="99"/>
      <c r="AYO6" s="99"/>
      <c r="AYP6" s="99"/>
      <c r="AYQ6" s="99"/>
      <c r="AYR6" s="99"/>
      <c r="AYS6" s="99"/>
      <c r="AYT6" s="99"/>
      <c r="AYU6" s="99"/>
      <c r="AYV6" s="99"/>
      <c r="AYW6" s="99"/>
      <c r="AYX6" s="99"/>
      <c r="AYY6" s="99"/>
      <c r="AYZ6" s="99"/>
      <c r="AZA6" s="99"/>
      <c r="AZB6" s="99"/>
      <c r="AZC6" s="99"/>
      <c r="AZD6" s="99"/>
      <c r="AZE6" s="99"/>
      <c r="AZF6" s="99"/>
      <c r="AZG6" s="99"/>
      <c r="AZH6" s="99"/>
      <c r="AZI6" s="99"/>
      <c r="AZJ6" s="99"/>
      <c r="AZK6" s="99"/>
      <c r="AZL6" s="99"/>
      <c r="AZM6" s="99"/>
      <c r="AZN6" s="99"/>
      <c r="AZO6" s="99"/>
      <c r="AZP6" s="99"/>
      <c r="AZQ6" s="99"/>
      <c r="AZR6" s="99"/>
      <c r="AZS6" s="99"/>
      <c r="AZT6" s="99"/>
      <c r="AZU6" s="99"/>
      <c r="AZV6" s="99"/>
      <c r="AZW6" s="99"/>
      <c r="AZX6" s="99"/>
      <c r="AZY6" s="99"/>
      <c r="AZZ6" s="99"/>
      <c r="BAA6" s="99"/>
      <c r="BAB6" s="99"/>
      <c r="BAC6" s="99"/>
      <c r="BAD6" s="99"/>
      <c r="BAE6" s="99"/>
      <c r="BAF6" s="99"/>
      <c r="BAG6" s="99"/>
      <c r="BAH6" s="99"/>
      <c r="BAI6" s="99"/>
      <c r="BAJ6" s="99"/>
      <c r="BAK6" s="99"/>
      <c r="BAL6" s="99"/>
      <c r="BAM6" s="99"/>
      <c r="BAN6" s="99"/>
      <c r="BAO6" s="99"/>
      <c r="BAP6" s="99"/>
      <c r="BAQ6" s="99"/>
      <c r="BAR6" s="99"/>
      <c r="BAS6" s="99"/>
      <c r="BAT6" s="99"/>
      <c r="BAU6" s="99"/>
      <c r="BAV6" s="99"/>
      <c r="BAW6" s="99"/>
      <c r="BAX6" s="99"/>
      <c r="BAY6" s="99"/>
      <c r="BAZ6" s="99"/>
      <c r="BBA6" s="99"/>
      <c r="BBB6" s="99"/>
      <c r="BBC6" s="99"/>
      <c r="BBD6" s="99"/>
      <c r="BBE6" s="99"/>
      <c r="BBF6" s="99"/>
      <c r="BBG6" s="99"/>
      <c r="BBH6" s="99"/>
      <c r="BBI6" s="99"/>
      <c r="BBJ6" s="99"/>
      <c r="BBK6" s="99"/>
      <c r="BBL6" s="99"/>
      <c r="BBM6" s="99"/>
      <c r="BBN6" s="99"/>
      <c r="BBO6" s="99"/>
      <c r="BBP6" s="99"/>
      <c r="BBQ6" s="99"/>
      <c r="BBR6" s="99"/>
      <c r="BBS6" s="99"/>
      <c r="BBT6" s="99"/>
      <c r="BBU6" s="99"/>
      <c r="BBV6" s="99"/>
      <c r="BBW6" s="99"/>
      <c r="BBX6" s="99"/>
      <c r="BBY6" s="99"/>
      <c r="BBZ6" s="99"/>
      <c r="BCA6" s="99"/>
      <c r="BCB6" s="99"/>
      <c r="BCC6" s="99"/>
      <c r="BCD6" s="99"/>
      <c r="BCE6" s="99"/>
      <c r="BCF6" s="99"/>
      <c r="BCG6" s="99"/>
      <c r="BCH6" s="99"/>
      <c r="BCI6" s="99"/>
      <c r="BCJ6" s="99"/>
      <c r="BCK6" s="99"/>
      <c r="BCL6" s="99"/>
      <c r="BCM6" s="99"/>
      <c r="BCN6" s="99"/>
      <c r="BCO6" s="99"/>
      <c r="BCP6" s="99"/>
      <c r="BCQ6" s="99"/>
      <c r="BCR6" s="99"/>
      <c r="BCS6" s="99"/>
      <c r="BCT6" s="99"/>
      <c r="BCU6" s="99"/>
      <c r="BCV6" s="99"/>
      <c r="BCW6" s="99"/>
      <c r="BCX6" s="99"/>
      <c r="BCY6" s="99"/>
      <c r="BCZ6" s="99"/>
      <c r="BDA6" s="99"/>
      <c r="BDB6" s="99"/>
      <c r="BDC6" s="99"/>
      <c r="BDD6" s="99"/>
      <c r="BDE6" s="99"/>
      <c r="BDF6" s="99"/>
      <c r="BDG6" s="99"/>
      <c r="BDH6" s="99"/>
      <c r="BDI6" s="99"/>
      <c r="BDJ6" s="99"/>
      <c r="BDK6" s="99"/>
      <c r="BDL6" s="99"/>
      <c r="BDM6" s="99"/>
      <c r="BDN6" s="99"/>
      <c r="BDO6" s="99"/>
      <c r="BDP6" s="99"/>
      <c r="BDQ6" s="99"/>
      <c r="BDR6" s="99"/>
      <c r="BDS6" s="99"/>
      <c r="BDT6" s="99"/>
      <c r="BDU6" s="99"/>
      <c r="BDV6" s="99"/>
      <c r="BDW6" s="99"/>
      <c r="BDX6" s="99"/>
      <c r="BDY6" s="99"/>
      <c r="BDZ6" s="99"/>
      <c r="BEA6" s="99"/>
      <c r="BEB6" s="99"/>
      <c r="BEC6" s="99"/>
      <c r="BED6" s="99"/>
      <c r="BEE6" s="99"/>
      <c r="BEF6" s="99"/>
      <c r="BEG6" s="99"/>
      <c r="BEH6" s="99"/>
      <c r="BEI6" s="99"/>
      <c r="BEJ6" s="99"/>
      <c r="BEK6" s="99"/>
      <c r="BEL6" s="99"/>
      <c r="BEM6" s="99"/>
      <c r="BEN6" s="99"/>
      <c r="BEO6" s="99"/>
      <c r="BEP6" s="99"/>
      <c r="BEQ6" s="99"/>
      <c r="BER6" s="99"/>
      <c r="BES6" s="99"/>
      <c r="BET6" s="99"/>
      <c r="BEU6" s="99"/>
      <c r="BEV6" s="99"/>
      <c r="BEW6" s="99"/>
      <c r="BEX6" s="99"/>
      <c r="BEY6" s="99"/>
      <c r="BEZ6" s="99"/>
      <c r="BFA6" s="99"/>
      <c r="BFB6" s="99"/>
      <c r="BFC6" s="99"/>
      <c r="BFD6" s="99"/>
      <c r="BFE6" s="99"/>
      <c r="BFF6" s="99"/>
      <c r="BFG6" s="99"/>
      <c r="BFH6" s="99"/>
      <c r="BFI6" s="99"/>
      <c r="BFJ6" s="99"/>
      <c r="BFK6" s="99"/>
      <c r="BFL6" s="99"/>
      <c r="BFM6" s="99"/>
      <c r="BFN6" s="99"/>
      <c r="BFO6" s="99"/>
      <c r="BFP6" s="99"/>
      <c r="BFQ6" s="99"/>
      <c r="BFR6" s="99"/>
      <c r="BFS6" s="99"/>
      <c r="BFT6" s="99"/>
      <c r="BFU6" s="99"/>
      <c r="BFV6" s="99"/>
      <c r="BFW6" s="99"/>
      <c r="BFX6" s="99"/>
      <c r="BFY6" s="99"/>
      <c r="BFZ6" s="99"/>
      <c r="BGA6" s="99"/>
      <c r="BGB6" s="99"/>
      <c r="BGC6" s="99"/>
      <c r="BGD6" s="99"/>
      <c r="BGE6" s="99"/>
      <c r="BGF6" s="99"/>
      <c r="BGG6" s="99"/>
      <c r="BGH6" s="99"/>
      <c r="BGI6" s="99"/>
      <c r="BGJ6" s="99"/>
      <c r="BGK6" s="99"/>
      <c r="BGL6" s="99"/>
      <c r="BGM6" s="99"/>
      <c r="BGN6" s="99"/>
      <c r="BGO6" s="99"/>
      <c r="BGP6" s="99"/>
      <c r="BGQ6" s="99"/>
      <c r="BGR6" s="99"/>
      <c r="BGS6" s="99"/>
      <c r="BGT6" s="99"/>
      <c r="BGU6" s="99"/>
      <c r="BGV6" s="99"/>
      <c r="BGW6" s="99"/>
      <c r="BGX6" s="99"/>
      <c r="BGY6" s="99"/>
      <c r="BGZ6" s="99"/>
      <c r="BHA6" s="99"/>
      <c r="BHB6" s="99"/>
      <c r="BHC6" s="99"/>
      <c r="BHD6" s="99"/>
      <c r="BHE6" s="99"/>
      <c r="BHF6" s="99"/>
      <c r="BHG6" s="99"/>
      <c r="BHH6" s="99"/>
      <c r="BHI6" s="99"/>
      <c r="BHJ6" s="99"/>
      <c r="BHK6" s="99"/>
      <c r="BHL6" s="99"/>
      <c r="BHM6" s="99"/>
      <c r="BHN6" s="99"/>
      <c r="BHO6" s="99"/>
      <c r="BHP6" s="99"/>
      <c r="BHQ6" s="99"/>
      <c r="BHR6" s="99"/>
      <c r="BHS6" s="99"/>
      <c r="BHT6" s="99"/>
      <c r="BHU6" s="99"/>
      <c r="BHV6" s="99"/>
      <c r="BHW6" s="99"/>
      <c r="BHX6" s="99"/>
      <c r="BHY6" s="99"/>
      <c r="BHZ6" s="99"/>
      <c r="BIA6" s="99"/>
      <c r="BIB6" s="99"/>
      <c r="BIC6" s="99"/>
      <c r="BID6" s="99"/>
      <c r="BIE6" s="99"/>
      <c r="BIF6" s="99"/>
      <c r="BIG6" s="99"/>
      <c r="BIH6" s="99"/>
      <c r="BII6" s="99"/>
      <c r="BIJ6" s="99"/>
      <c r="BIK6" s="99"/>
      <c r="BIL6" s="99"/>
      <c r="BIM6" s="99"/>
      <c r="BIN6" s="99"/>
      <c r="BIO6" s="99"/>
      <c r="BIP6" s="99"/>
      <c r="BIQ6" s="99"/>
      <c r="BIR6" s="99"/>
      <c r="BIS6" s="99"/>
      <c r="BIT6" s="99"/>
      <c r="BIU6" s="99"/>
      <c r="BIV6" s="99"/>
      <c r="BIW6" s="99"/>
      <c r="BIX6" s="99"/>
      <c r="BIY6" s="99"/>
      <c r="BIZ6" s="99"/>
      <c r="BJA6" s="99"/>
      <c r="BJB6" s="99"/>
      <c r="BJC6" s="99"/>
      <c r="BJD6" s="99"/>
      <c r="BJE6" s="99"/>
      <c r="BJF6" s="99"/>
      <c r="BJG6" s="99"/>
      <c r="BJH6" s="99"/>
      <c r="BJI6" s="99"/>
      <c r="BJJ6" s="99"/>
      <c r="BJK6" s="99"/>
      <c r="BJL6" s="99"/>
      <c r="BJM6" s="99"/>
      <c r="BJN6" s="99"/>
      <c r="BJO6" s="99"/>
      <c r="BJP6" s="99"/>
      <c r="BJQ6" s="99"/>
      <c r="BJR6" s="99"/>
      <c r="BJS6" s="99"/>
      <c r="BJT6" s="99"/>
      <c r="BJU6" s="99"/>
      <c r="BJV6" s="99"/>
      <c r="BJW6" s="99"/>
      <c r="BJX6" s="99"/>
      <c r="BJY6" s="99"/>
      <c r="BJZ6" s="99"/>
      <c r="BKA6" s="99"/>
      <c r="BKB6" s="99"/>
      <c r="BKC6" s="99"/>
      <c r="BKD6" s="99"/>
      <c r="BKE6" s="99"/>
      <c r="BKF6" s="99"/>
      <c r="BKG6" s="99"/>
      <c r="BKH6" s="99"/>
      <c r="BKI6" s="99"/>
      <c r="BKJ6" s="99"/>
      <c r="BKK6" s="99"/>
      <c r="BKL6" s="99"/>
      <c r="BKM6" s="99"/>
      <c r="BKN6" s="99"/>
      <c r="BKO6" s="99"/>
      <c r="BKP6" s="99"/>
      <c r="BKQ6" s="99"/>
      <c r="BKR6" s="99"/>
      <c r="BKS6" s="99"/>
      <c r="BKT6" s="99"/>
      <c r="BKU6" s="99"/>
      <c r="BKV6" s="99"/>
      <c r="BKW6" s="99"/>
      <c r="BKX6" s="99"/>
      <c r="BKY6" s="99"/>
      <c r="BKZ6" s="99"/>
      <c r="BLA6" s="99"/>
      <c r="BLB6" s="99"/>
      <c r="BLC6" s="99"/>
      <c r="BLD6" s="99"/>
      <c r="BLE6" s="99"/>
      <c r="BLF6" s="99"/>
      <c r="BLG6" s="99"/>
      <c r="BLH6" s="99"/>
      <c r="BLI6" s="99"/>
      <c r="BLJ6" s="99"/>
      <c r="BLK6" s="99"/>
      <c r="BLL6" s="99"/>
      <c r="BLM6" s="99"/>
      <c r="BLN6" s="99"/>
      <c r="BLO6" s="99"/>
      <c r="BLP6" s="99"/>
      <c r="BLQ6" s="99"/>
      <c r="BLR6" s="99"/>
      <c r="BLS6" s="99"/>
      <c r="BLT6" s="99"/>
      <c r="BLU6" s="99"/>
      <c r="BLV6" s="99"/>
      <c r="BLW6" s="99"/>
      <c r="BLX6" s="99"/>
      <c r="BLY6" s="99"/>
      <c r="BLZ6" s="99"/>
      <c r="BMA6" s="99"/>
      <c r="BMB6" s="99"/>
      <c r="BMC6" s="99"/>
      <c r="BMD6" s="99"/>
      <c r="BME6" s="99"/>
      <c r="BMF6" s="99"/>
      <c r="BMG6" s="99"/>
      <c r="BMH6" s="99"/>
      <c r="BMI6" s="99"/>
      <c r="BMJ6" s="99"/>
      <c r="BMK6" s="99"/>
      <c r="BML6" s="99"/>
      <c r="BMM6" s="99"/>
      <c r="BMN6" s="99"/>
      <c r="BMO6" s="99"/>
      <c r="BMP6" s="99"/>
      <c r="BMQ6" s="99"/>
      <c r="BMR6" s="99"/>
      <c r="BMS6" s="99"/>
      <c r="BMT6" s="99"/>
      <c r="BMU6" s="99"/>
      <c r="BMV6" s="99"/>
      <c r="BMW6" s="99"/>
      <c r="BMX6" s="99"/>
      <c r="BMY6" s="99"/>
      <c r="BMZ6" s="99"/>
      <c r="BNA6" s="99"/>
      <c r="BNB6" s="99"/>
      <c r="BNC6" s="99"/>
      <c r="BND6" s="99"/>
      <c r="BNE6" s="99"/>
      <c r="BNF6" s="99"/>
      <c r="BNG6" s="99"/>
      <c r="BNH6" s="99"/>
      <c r="BNI6" s="99"/>
      <c r="BNJ6" s="99"/>
      <c r="BNK6" s="99"/>
      <c r="BNL6" s="99"/>
      <c r="BNM6" s="99"/>
      <c r="BNN6" s="99"/>
      <c r="BNO6" s="99"/>
      <c r="BNP6" s="99"/>
      <c r="BNQ6" s="99"/>
      <c r="BNR6" s="99"/>
      <c r="BNS6" s="99"/>
      <c r="BNT6" s="99"/>
      <c r="BNU6" s="99"/>
      <c r="BNV6" s="99"/>
      <c r="BNW6" s="99"/>
      <c r="BNX6" s="99"/>
      <c r="BNY6" s="99"/>
      <c r="BNZ6" s="99"/>
      <c r="BOA6" s="99"/>
      <c r="BOB6" s="99"/>
      <c r="BOC6" s="99"/>
      <c r="BOD6" s="99"/>
      <c r="BOE6" s="99"/>
      <c r="BOF6" s="99"/>
      <c r="BOG6" s="99"/>
      <c r="BOH6" s="99"/>
      <c r="BOI6" s="99"/>
      <c r="BOJ6" s="99"/>
      <c r="BOK6" s="99"/>
      <c r="BOL6" s="99"/>
      <c r="BOM6" s="99"/>
      <c r="BON6" s="99"/>
      <c r="BOO6" s="99"/>
      <c r="BOP6" s="99"/>
      <c r="BOQ6" s="99"/>
      <c r="BOR6" s="99"/>
      <c r="BOS6" s="99"/>
      <c r="BOT6" s="99"/>
      <c r="BOU6" s="99"/>
      <c r="BOV6" s="99"/>
      <c r="BOW6" s="99"/>
      <c r="BOX6" s="99"/>
      <c r="BOY6" s="99"/>
      <c r="BOZ6" s="99"/>
      <c r="BPA6" s="99"/>
      <c r="BPB6" s="99"/>
      <c r="BPC6" s="99"/>
      <c r="BPD6" s="99"/>
      <c r="BPE6" s="99"/>
      <c r="BPF6" s="99"/>
      <c r="BPG6" s="99"/>
      <c r="BPH6" s="99"/>
      <c r="BPI6" s="99"/>
      <c r="BPJ6" s="99"/>
      <c r="BPK6" s="99"/>
      <c r="BPL6" s="99"/>
      <c r="BPM6" s="99"/>
      <c r="BPN6" s="99"/>
      <c r="BPO6" s="99"/>
      <c r="BPP6" s="99"/>
      <c r="BPQ6" s="99"/>
      <c r="BPR6" s="99"/>
      <c r="BPS6" s="99"/>
      <c r="BPT6" s="99"/>
      <c r="BPU6" s="99"/>
      <c r="BPV6" s="99"/>
      <c r="BPW6" s="99"/>
      <c r="BPX6" s="99"/>
      <c r="BPY6" s="99"/>
      <c r="BPZ6" s="99"/>
      <c r="BQA6" s="99"/>
      <c r="BQB6" s="99"/>
      <c r="BQC6" s="99"/>
      <c r="BQD6" s="99"/>
      <c r="BQE6" s="99"/>
      <c r="BQF6" s="99"/>
      <c r="BQG6" s="99"/>
      <c r="BQH6" s="99"/>
      <c r="BQI6" s="99"/>
      <c r="BQJ6" s="99"/>
      <c r="BQK6" s="99"/>
      <c r="BQL6" s="99"/>
      <c r="BQM6" s="99"/>
      <c r="BQN6" s="99"/>
      <c r="BQO6" s="99"/>
      <c r="BQP6" s="99"/>
      <c r="BQQ6" s="99"/>
      <c r="BQR6" s="99"/>
      <c r="BQS6" s="99"/>
      <c r="BQT6" s="99"/>
      <c r="BQU6" s="99"/>
      <c r="BQV6" s="99"/>
      <c r="BQW6" s="99"/>
      <c r="BQX6" s="99"/>
      <c r="BQY6" s="99"/>
      <c r="BQZ6" s="99"/>
      <c r="BRA6" s="99"/>
      <c r="BRB6" s="99"/>
      <c r="BRC6" s="99"/>
      <c r="BRD6" s="99"/>
      <c r="BRE6" s="99"/>
      <c r="BRF6" s="99"/>
      <c r="BRG6" s="99"/>
      <c r="BRH6" s="99"/>
      <c r="BRI6" s="99"/>
      <c r="BRJ6" s="99"/>
      <c r="BRK6" s="99"/>
      <c r="BRL6" s="99"/>
      <c r="BRM6" s="99"/>
      <c r="BRN6" s="99"/>
      <c r="BRO6" s="99"/>
      <c r="BRP6" s="99"/>
      <c r="BRQ6" s="99"/>
      <c r="BRR6" s="99"/>
      <c r="BRS6" s="99"/>
      <c r="BRT6" s="99"/>
      <c r="BRU6" s="99"/>
      <c r="BRV6" s="99"/>
      <c r="BRW6" s="99"/>
      <c r="BRX6" s="99"/>
      <c r="BRY6" s="99"/>
      <c r="BRZ6" s="99"/>
      <c r="BSA6" s="99"/>
      <c r="BSB6" s="99"/>
      <c r="BSC6" s="99"/>
      <c r="BSD6" s="99"/>
      <c r="BSE6" s="99"/>
      <c r="BSF6" s="99"/>
      <c r="BSG6" s="99"/>
      <c r="BSH6" s="99"/>
      <c r="BSI6" s="99"/>
      <c r="BSJ6" s="99"/>
      <c r="BSK6" s="99"/>
      <c r="BSL6" s="99"/>
      <c r="BSM6" s="99"/>
      <c r="BSN6" s="99"/>
      <c r="BSO6" s="99"/>
      <c r="BSP6" s="99"/>
      <c r="BSQ6" s="99"/>
      <c r="BSR6" s="99"/>
      <c r="BSS6" s="99"/>
      <c r="BST6" s="99"/>
      <c r="BSU6" s="99"/>
      <c r="BSV6" s="99"/>
      <c r="BSW6" s="99"/>
      <c r="BSX6" s="99"/>
      <c r="BSY6" s="99"/>
      <c r="BSZ6" s="99"/>
      <c r="BTA6" s="99"/>
      <c r="BTB6" s="99"/>
      <c r="BTC6" s="99"/>
      <c r="BTD6" s="99"/>
      <c r="BTE6" s="99"/>
      <c r="BTF6" s="99"/>
      <c r="BTG6" s="99"/>
      <c r="BTH6" s="99"/>
      <c r="BTI6" s="99"/>
      <c r="BTJ6" s="99"/>
      <c r="BTK6" s="99"/>
      <c r="BTL6" s="99"/>
      <c r="BTM6" s="99"/>
      <c r="BTN6" s="99"/>
      <c r="BTO6" s="99"/>
      <c r="BTP6" s="99"/>
      <c r="BTQ6" s="99"/>
      <c r="BTR6" s="99"/>
      <c r="BTS6" s="99"/>
      <c r="BTT6" s="99"/>
      <c r="BTU6" s="99"/>
      <c r="BTV6" s="99"/>
      <c r="BTW6" s="99"/>
      <c r="BTX6" s="99"/>
      <c r="BTY6" s="99"/>
      <c r="BTZ6" s="99"/>
      <c r="BUA6" s="99"/>
      <c r="BUB6" s="99"/>
      <c r="BUC6" s="99"/>
      <c r="BUD6" s="99"/>
      <c r="BUE6" s="99"/>
      <c r="BUF6" s="99"/>
      <c r="BUG6" s="99"/>
      <c r="BUH6" s="99"/>
      <c r="BUI6" s="99"/>
      <c r="BUJ6" s="99"/>
      <c r="BUK6" s="99"/>
      <c r="BUL6" s="99"/>
      <c r="BUM6" s="99"/>
      <c r="BUN6" s="99"/>
      <c r="BUO6" s="99"/>
      <c r="BUP6" s="99"/>
      <c r="BUQ6" s="99"/>
      <c r="BUR6" s="99"/>
      <c r="BUS6" s="99"/>
      <c r="BUT6" s="99"/>
      <c r="BUU6" s="99"/>
      <c r="BUV6" s="99"/>
      <c r="BUW6" s="99"/>
      <c r="BUX6" s="99"/>
      <c r="BUY6" s="99"/>
      <c r="BUZ6" s="99"/>
      <c r="BVA6" s="99"/>
      <c r="BVB6" s="99"/>
      <c r="BVC6" s="99"/>
      <c r="BVD6" s="99"/>
      <c r="BVE6" s="99"/>
      <c r="BVF6" s="99"/>
      <c r="BVG6" s="99"/>
      <c r="BVH6" s="99"/>
      <c r="BVI6" s="99"/>
      <c r="BVJ6" s="99"/>
      <c r="BVK6" s="99"/>
      <c r="BVL6" s="99"/>
      <c r="BVM6" s="99"/>
      <c r="BVN6" s="99"/>
      <c r="BVO6" s="99"/>
      <c r="BVP6" s="99"/>
      <c r="BVQ6" s="99"/>
      <c r="BVR6" s="99"/>
      <c r="BVS6" s="99"/>
      <c r="BVT6" s="99"/>
      <c r="BVU6" s="99"/>
      <c r="BVV6" s="99"/>
      <c r="BVW6" s="99"/>
      <c r="BVX6" s="99"/>
      <c r="BVY6" s="99"/>
      <c r="BVZ6" s="99"/>
      <c r="BWA6" s="99"/>
      <c r="BWB6" s="99"/>
      <c r="BWC6" s="99"/>
      <c r="BWD6" s="99"/>
      <c r="BWE6" s="99"/>
      <c r="BWF6" s="99"/>
      <c r="BWG6" s="99"/>
      <c r="BWH6" s="99"/>
      <c r="BWI6" s="99"/>
      <c r="BWJ6" s="99"/>
      <c r="BWK6" s="99"/>
      <c r="BWL6" s="99"/>
      <c r="BWM6" s="99"/>
      <c r="BWN6" s="99"/>
      <c r="BWO6" s="99"/>
      <c r="BWP6" s="99"/>
      <c r="BWQ6" s="99"/>
      <c r="BWR6" s="99"/>
      <c r="BWS6" s="99"/>
      <c r="BWT6" s="99"/>
      <c r="BWU6" s="99"/>
      <c r="BWV6" s="99"/>
      <c r="BWW6" s="99"/>
      <c r="BWX6" s="99"/>
      <c r="BWY6" s="99"/>
      <c r="BWZ6" s="99"/>
      <c r="BXA6" s="99"/>
      <c r="BXB6" s="99"/>
      <c r="BXC6" s="99"/>
      <c r="BXD6" s="99"/>
      <c r="BXE6" s="99"/>
      <c r="BXF6" s="99"/>
      <c r="BXG6" s="99"/>
      <c r="BXH6" s="99"/>
      <c r="BXI6" s="99"/>
      <c r="BXJ6" s="99"/>
      <c r="BXK6" s="99"/>
      <c r="BXL6" s="99"/>
      <c r="BXM6" s="99"/>
      <c r="BXN6" s="99"/>
      <c r="BXO6" s="99"/>
      <c r="BXP6" s="99"/>
      <c r="BXQ6" s="99"/>
      <c r="BXR6" s="99"/>
      <c r="BXS6" s="99"/>
      <c r="BXT6" s="99"/>
      <c r="BXU6" s="99"/>
      <c r="BXV6" s="99"/>
      <c r="BXW6" s="99"/>
      <c r="BXX6" s="99"/>
      <c r="BXY6" s="99"/>
      <c r="BXZ6" s="99"/>
      <c r="BYA6" s="99"/>
      <c r="BYB6" s="99"/>
      <c r="BYC6" s="99"/>
      <c r="BYD6" s="99"/>
      <c r="BYE6" s="99"/>
      <c r="BYF6" s="99"/>
      <c r="BYG6" s="99"/>
      <c r="BYH6" s="99"/>
      <c r="BYI6" s="99"/>
      <c r="BYJ6" s="99"/>
      <c r="BYK6" s="99"/>
      <c r="BYL6" s="99"/>
      <c r="BYM6" s="99"/>
      <c r="BYN6" s="99"/>
      <c r="BYO6" s="99"/>
      <c r="BYP6" s="99"/>
      <c r="BYQ6" s="99"/>
      <c r="BYR6" s="99"/>
      <c r="BYS6" s="99"/>
      <c r="BYT6" s="99"/>
      <c r="BYU6" s="99"/>
      <c r="BYV6" s="99"/>
      <c r="BYW6" s="99"/>
      <c r="BYX6" s="99"/>
      <c r="BYY6" s="99"/>
      <c r="BYZ6" s="99"/>
      <c r="BZA6" s="99"/>
      <c r="BZB6" s="99"/>
      <c r="BZC6" s="99"/>
      <c r="BZD6" s="99"/>
      <c r="BZE6" s="99"/>
      <c r="BZF6" s="99"/>
      <c r="BZG6" s="99"/>
      <c r="BZH6" s="99"/>
      <c r="BZI6" s="99"/>
      <c r="BZV6" s="99"/>
      <c r="BZW6" s="99"/>
      <c r="BZX6" s="99"/>
      <c r="BZY6" s="99"/>
      <c r="BZZ6" s="99"/>
      <c r="CAA6" s="99"/>
      <c r="CAB6" s="99"/>
      <c r="CAC6" s="99"/>
      <c r="CAD6" s="99"/>
      <c r="CAE6" s="99"/>
      <c r="CAF6" s="99"/>
      <c r="CAG6" s="99"/>
      <c r="CAH6" s="99"/>
      <c r="CAI6" s="99"/>
      <c r="CAJ6" s="99"/>
      <c r="CAK6" s="99"/>
      <c r="CAL6" s="99"/>
      <c r="CAM6" s="99"/>
      <c r="CAN6" s="99"/>
      <c r="CAO6" s="99"/>
      <c r="CAP6" s="99"/>
      <c r="CAQ6" s="99"/>
      <c r="CAR6" s="99"/>
      <c r="CAS6" s="99"/>
      <c r="CAT6" s="99"/>
      <c r="CAU6" s="99"/>
      <c r="CAV6" s="99"/>
      <c r="CAW6" s="99"/>
      <c r="CAX6" s="99"/>
      <c r="CAY6" s="99"/>
      <c r="CAZ6" s="99"/>
      <c r="CBA6" s="99"/>
      <c r="CBB6" s="99"/>
      <c r="CBC6" s="99"/>
      <c r="CBD6" s="99"/>
      <c r="CBE6" s="99"/>
      <c r="CBF6" s="99"/>
      <c r="CBG6" s="99"/>
      <c r="CBH6" s="99"/>
      <c r="CBI6" s="99"/>
      <c r="CBJ6" s="99"/>
      <c r="CBK6" s="99"/>
      <c r="CBL6" s="99"/>
      <c r="CBM6" s="99"/>
      <c r="CBN6" s="99"/>
      <c r="CBO6" s="99"/>
      <c r="CBP6" s="99"/>
      <c r="CBQ6" s="99"/>
      <c r="CBR6" s="99"/>
      <c r="CBS6" s="99"/>
      <c r="CBT6" s="99"/>
      <c r="CBU6" s="99"/>
      <c r="CBV6" s="99"/>
      <c r="CBW6" s="99"/>
      <c r="CBX6" s="99"/>
      <c r="CBY6" s="99"/>
      <c r="CBZ6" s="99"/>
      <c r="CCA6" s="99"/>
      <c r="CCB6" s="99"/>
      <c r="CCC6" s="99"/>
      <c r="CCD6" s="99"/>
      <c r="CCE6" s="99"/>
      <c r="CCF6" s="99"/>
      <c r="CCG6" s="99"/>
      <c r="CCH6" s="99"/>
      <c r="CCI6" s="99"/>
      <c r="CCJ6" s="99"/>
      <c r="CCK6" s="99"/>
      <c r="CCL6" s="99"/>
      <c r="CCM6" s="99"/>
      <c r="CCN6" s="99"/>
      <c r="CCO6" s="99"/>
      <c r="CCP6" s="99"/>
      <c r="CCQ6" s="99"/>
      <c r="CCR6" s="99"/>
      <c r="CCS6" s="99"/>
      <c r="CCT6" s="99"/>
      <c r="CCU6" s="99"/>
      <c r="CCV6" s="99"/>
      <c r="CCW6" s="99"/>
      <c r="CCX6" s="99"/>
      <c r="CCY6" s="99"/>
      <c r="CCZ6" s="99"/>
      <c r="CDA6" s="99"/>
      <c r="CDB6" s="99"/>
      <c r="CDC6" s="99"/>
      <c r="CDD6" s="99"/>
      <c r="CDE6" s="99"/>
      <c r="CDF6" s="99"/>
      <c r="CDG6" s="99"/>
      <c r="CDH6" s="99"/>
      <c r="CDI6" s="99"/>
      <c r="CDJ6" s="99"/>
      <c r="CDK6" s="99"/>
      <c r="CDL6" s="99"/>
      <c r="CDM6" s="99"/>
      <c r="CDN6" s="99"/>
      <c r="CDO6" s="99"/>
      <c r="CDP6" s="99"/>
      <c r="CDQ6" s="99"/>
      <c r="CDR6" s="99"/>
      <c r="CDS6" s="99"/>
      <c r="CDT6" s="99"/>
      <c r="CDU6" s="99"/>
      <c r="CDV6" s="99"/>
      <c r="CDW6" s="99"/>
      <c r="CDX6" s="99"/>
      <c r="CDY6" s="99"/>
      <c r="CDZ6" s="99"/>
      <c r="CEA6" s="99"/>
      <c r="CEB6" s="99"/>
      <c r="CEC6" s="99"/>
      <c r="CED6" s="99"/>
      <c r="CEE6" s="99"/>
      <c r="CEF6" s="99"/>
      <c r="CEG6" s="99"/>
      <c r="CEH6" s="99"/>
      <c r="CEI6" s="99"/>
      <c r="CEJ6" s="99"/>
      <c r="CEK6" s="99"/>
      <c r="CEL6" s="99"/>
      <c r="CEM6" s="99"/>
      <c r="CEN6" s="99"/>
      <c r="CEO6" s="99"/>
      <c r="CEP6" s="99"/>
      <c r="CEQ6" s="99"/>
      <c r="CER6" s="99"/>
      <c r="CES6" s="99"/>
      <c r="CET6" s="99"/>
      <c r="CEU6" s="99"/>
      <c r="CEV6" s="99"/>
      <c r="CEW6" s="99"/>
      <c r="CEX6" s="99"/>
      <c r="CEY6" s="99"/>
      <c r="CEZ6" s="99"/>
      <c r="CFA6" s="99"/>
      <c r="CFB6" s="99"/>
      <c r="CFC6" s="99"/>
      <c r="CFD6" s="99"/>
      <c r="CFE6" s="99"/>
      <c r="CFF6" s="99"/>
      <c r="CFG6" s="99"/>
      <c r="CFH6" s="99"/>
      <c r="CFI6" s="99"/>
      <c r="CFJ6" s="99"/>
      <c r="CFK6" s="99"/>
      <c r="CFL6" s="99"/>
      <c r="CFM6" s="99"/>
      <c r="CFN6" s="99"/>
      <c r="CFO6" s="99"/>
      <c r="CFP6" s="99"/>
      <c r="CFQ6" s="99"/>
      <c r="CFR6" s="99"/>
      <c r="CFS6" s="99"/>
      <c r="CFT6" s="99"/>
      <c r="CFU6" s="99"/>
      <c r="CFV6" s="99"/>
      <c r="CFW6" s="99"/>
      <c r="CFX6" s="99"/>
      <c r="CFY6" s="99"/>
      <c r="CFZ6" s="99"/>
      <c r="CGA6" s="99"/>
      <c r="CGB6" s="99"/>
      <c r="CGC6" s="99"/>
      <c r="CGD6" s="99"/>
      <c r="CGE6" s="99"/>
      <c r="CGF6" s="99"/>
      <c r="CGG6" s="99"/>
      <c r="CGH6" s="99"/>
      <c r="CGI6" s="99"/>
      <c r="CGJ6" s="99"/>
      <c r="CGK6" s="99"/>
      <c r="CGL6" s="99"/>
      <c r="CGM6" s="99"/>
      <c r="CGN6" s="99"/>
      <c r="CGO6" s="99"/>
      <c r="CGP6" s="99"/>
      <c r="CGQ6" s="99"/>
      <c r="CGR6" s="99"/>
      <c r="CGS6" s="99"/>
      <c r="CGT6" s="99"/>
      <c r="CGU6" s="99"/>
      <c r="CGV6" s="99"/>
      <c r="CGW6" s="99"/>
      <c r="CGX6" s="99"/>
      <c r="CGY6" s="99"/>
      <c r="CGZ6" s="99"/>
      <c r="CHA6" s="99"/>
      <c r="CHB6" s="99"/>
      <c r="CHC6" s="99"/>
      <c r="CHD6" s="99"/>
      <c r="CHE6" s="99"/>
      <c r="CHF6" s="99"/>
      <c r="CHG6" s="99"/>
      <c r="CHH6" s="99"/>
      <c r="CHI6" s="99"/>
      <c r="CHJ6" s="99"/>
      <c r="CHK6" s="99"/>
      <c r="CHL6" s="99"/>
      <c r="CHM6" s="99"/>
      <c r="CHN6" s="99"/>
      <c r="CHO6" s="99"/>
      <c r="CHP6" s="99"/>
      <c r="CHQ6" s="99"/>
      <c r="CHR6" s="99"/>
      <c r="CHS6" s="99"/>
      <c r="CHT6" s="99"/>
      <c r="CHU6" s="99"/>
      <c r="CHV6" s="99"/>
      <c r="CHW6" s="99"/>
      <c r="CHX6" s="99"/>
      <c r="CHY6" s="99"/>
      <c r="CHZ6" s="99"/>
      <c r="CIA6" s="99"/>
      <c r="CIB6" s="99"/>
      <c r="CIC6" s="99"/>
      <c r="CID6" s="99"/>
      <c r="CIE6" s="99"/>
      <c r="CIF6" s="99"/>
      <c r="CIG6" s="99"/>
      <c r="CIH6" s="99"/>
      <c r="CII6" s="99"/>
      <c r="CIJ6" s="99"/>
      <c r="CIK6" s="99"/>
      <c r="CIL6" s="99"/>
      <c r="CIM6" s="99"/>
      <c r="CIN6" s="99"/>
      <c r="CIO6" s="99"/>
      <c r="CIP6" s="99"/>
      <c r="CIQ6" s="99"/>
      <c r="CIR6" s="99"/>
      <c r="CIS6" s="99"/>
      <c r="CIT6" s="99"/>
      <c r="CIU6" s="99"/>
      <c r="CIV6" s="99"/>
      <c r="CIW6" s="99"/>
      <c r="CIX6" s="99"/>
      <c r="CIY6" s="99"/>
      <c r="CIZ6" s="99"/>
      <c r="CJA6" s="99"/>
      <c r="CJB6" s="99"/>
      <c r="CJC6" s="99"/>
      <c r="CJD6" s="99"/>
      <c r="CJE6" s="99"/>
      <c r="CJF6" s="99"/>
      <c r="CJG6" s="99"/>
      <c r="CJH6" s="99"/>
      <c r="CJI6" s="99"/>
      <c r="CJJ6" s="99"/>
      <c r="CJK6" s="99"/>
      <c r="CJL6" s="99"/>
      <c r="CJM6" s="99"/>
      <c r="CJN6" s="99"/>
      <c r="CJO6" s="99"/>
      <c r="CJP6" s="99"/>
      <c r="CJQ6" s="99"/>
      <c r="CJR6" s="99"/>
      <c r="CJS6" s="99"/>
      <c r="CJT6" s="99"/>
      <c r="CJU6" s="99"/>
      <c r="CJV6" s="99"/>
      <c r="CJW6" s="99"/>
      <c r="CJX6" s="99"/>
      <c r="CJY6" s="99"/>
      <c r="CJZ6" s="99"/>
      <c r="CKA6" s="99"/>
      <c r="CKB6" s="99"/>
      <c r="CKC6" s="99"/>
      <c r="CKD6" s="99"/>
      <c r="CKE6" s="99"/>
      <c r="CKF6" s="99"/>
      <c r="CKG6" s="99"/>
      <c r="CKH6" s="99"/>
      <c r="CKI6" s="99"/>
      <c r="CKJ6" s="99"/>
      <c r="CKK6" s="99"/>
      <c r="CKL6" s="99"/>
      <c r="CKM6" s="99"/>
      <c r="CKN6" s="99"/>
      <c r="CKO6" s="99"/>
      <c r="CKP6" s="99"/>
      <c r="CKQ6" s="99"/>
      <c r="CKR6" s="99"/>
      <c r="CKS6" s="99"/>
      <c r="CKT6" s="99"/>
      <c r="CKU6" s="99"/>
      <c r="CKV6" s="99"/>
      <c r="CKW6" s="99"/>
      <c r="CKX6" s="99"/>
      <c r="CKY6" s="99"/>
      <c r="CKZ6" s="99"/>
      <c r="CLA6" s="99"/>
      <c r="CLB6" s="99"/>
      <c r="CLC6" s="99"/>
      <c r="CLD6" s="99"/>
      <c r="CLE6" s="99"/>
      <c r="CLF6" s="99"/>
      <c r="CLG6" s="99"/>
      <c r="CLH6" s="99"/>
      <c r="CLI6" s="99"/>
      <c r="CLJ6" s="99"/>
      <c r="CLK6" s="99"/>
      <c r="CLL6" s="99"/>
      <c r="CLM6" s="99"/>
      <c r="CLN6" s="99"/>
      <c r="CLO6" s="99"/>
      <c r="CLP6" s="99"/>
      <c r="CLQ6" s="99"/>
      <c r="CLR6" s="99"/>
      <c r="CLS6" s="99"/>
      <c r="CLT6" s="99"/>
      <c r="CLU6" s="99"/>
      <c r="CLV6" s="99"/>
      <c r="CLW6" s="99"/>
      <c r="CLX6" s="99"/>
      <c r="CLY6" s="99"/>
      <c r="CLZ6" s="99"/>
      <c r="CMA6" s="99"/>
      <c r="CMB6" s="99"/>
      <c r="CMC6" s="99"/>
      <c r="CMD6" s="99"/>
      <c r="CME6" s="99"/>
      <c r="CMF6" s="99"/>
      <c r="CMG6" s="99"/>
      <c r="CMH6" s="99"/>
      <c r="CMI6" s="99"/>
      <c r="CMJ6" s="99"/>
      <c r="CMK6" s="99"/>
      <c r="CML6" s="99"/>
      <c r="CMM6" s="99"/>
      <c r="CMN6" s="99"/>
      <c r="CMO6" s="99"/>
      <c r="CMP6" s="99"/>
      <c r="CMQ6" s="99"/>
      <c r="CMR6" s="99"/>
      <c r="CMS6" s="99"/>
      <c r="CMT6" s="99"/>
      <c r="CMU6" s="99"/>
      <c r="CMV6" s="99"/>
      <c r="CMW6" s="99"/>
      <c r="CMX6" s="99"/>
      <c r="CMY6" s="99"/>
      <c r="CMZ6" s="99"/>
      <c r="CNA6" s="99"/>
      <c r="CNB6" s="99"/>
      <c r="CNC6" s="99"/>
      <c r="CND6" s="99"/>
      <c r="CNE6" s="99"/>
      <c r="CNF6" s="99"/>
      <c r="CNG6" s="99"/>
      <c r="CNH6" s="99"/>
      <c r="CNI6" s="99"/>
      <c r="CNJ6" s="99"/>
      <c r="CNK6" s="99"/>
      <c r="CNL6" s="99"/>
      <c r="CNM6" s="99"/>
      <c r="CNN6" s="99"/>
      <c r="CNO6" s="99"/>
      <c r="CNP6" s="99"/>
      <c r="CNQ6" s="99"/>
      <c r="CNR6" s="99"/>
      <c r="CNS6" s="99"/>
      <c r="CNT6" s="99"/>
      <c r="CNU6" s="99"/>
      <c r="CNV6" s="99"/>
      <c r="CNW6" s="99"/>
    </row>
    <row r="7" spans="1:1013 1026:2037 2050:3061 3074:4085 4098:5109 5122:6133 6146:7157 7170:8181 8194:9205 9218:10229 10242:11221" s="134" customFormat="1" ht="14.95" customHeight="1" thickBot="1" x14ac:dyDescent="0.3">
      <c r="A7" s="479" t="s">
        <v>426</v>
      </c>
      <c r="B7" s="461" t="s">
        <v>199</v>
      </c>
      <c r="C7" s="462" t="s">
        <v>165</v>
      </c>
      <c r="D7" s="463" t="s">
        <v>36</v>
      </c>
      <c r="E7" s="463" t="s">
        <v>34</v>
      </c>
      <c r="F7" s="463">
        <v>16</v>
      </c>
      <c r="G7" s="463">
        <v>43</v>
      </c>
      <c r="H7" s="463">
        <v>0</v>
      </c>
      <c r="I7" s="463">
        <v>0</v>
      </c>
      <c r="J7" s="463">
        <v>1</v>
      </c>
      <c r="K7" s="463">
        <v>1</v>
      </c>
      <c r="L7" s="463">
        <v>0</v>
      </c>
      <c r="M7" s="463">
        <v>3</v>
      </c>
      <c r="N7" s="463">
        <v>1</v>
      </c>
      <c r="O7" s="463">
        <v>0</v>
      </c>
      <c r="P7" s="463">
        <v>1</v>
      </c>
      <c r="Q7" s="463">
        <v>0</v>
      </c>
      <c r="R7" s="463">
        <v>7</v>
      </c>
      <c r="S7" s="464">
        <v>26399</v>
      </c>
      <c r="T7" s="481" t="s">
        <v>466</v>
      </c>
      <c r="U7" s="466" t="s">
        <v>463</v>
      </c>
      <c r="V7" s="464" t="s">
        <v>464</v>
      </c>
      <c r="W7" s="464" t="s">
        <v>304</v>
      </c>
      <c r="X7" s="467" t="s">
        <v>465</v>
      </c>
      <c r="Y7" s="464">
        <v>1</v>
      </c>
      <c r="Z7" s="464">
        <v>0</v>
      </c>
      <c r="AA7" s="464">
        <v>0</v>
      </c>
      <c r="AB7" s="464">
        <v>1</v>
      </c>
      <c r="AC7" s="464">
        <v>0</v>
      </c>
      <c r="AD7" s="464">
        <v>0</v>
      </c>
      <c r="AE7" s="464">
        <v>0</v>
      </c>
      <c r="AF7" s="464">
        <v>0</v>
      </c>
      <c r="AG7" s="464">
        <v>1</v>
      </c>
      <c r="AH7" s="464">
        <v>0</v>
      </c>
      <c r="AI7" s="464">
        <v>0</v>
      </c>
      <c r="AJ7" s="466">
        <v>1</v>
      </c>
      <c r="AK7" s="464">
        <v>0</v>
      </c>
      <c r="AL7" s="464">
        <v>0</v>
      </c>
      <c r="AM7" s="464">
        <v>0</v>
      </c>
      <c r="AN7" s="466">
        <v>0</v>
      </c>
      <c r="AO7" s="133"/>
      <c r="AP7" s="175" t="s">
        <v>1</v>
      </c>
      <c r="AQ7" s="176">
        <f>Bthhistlost</f>
        <v>220</v>
      </c>
      <c r="AR7" s="133"/>
      <c r="AS7" s="177" t="s">
        <v>168</v>
      </c>
      <c r="AT7" s="189">
        <f>btheuropeancuphistdrawn</f>
        <v>2</v>
      </c>
      <c r="AU7" s="179" t="s">
        <v>168</v>
      </c>
      <c r="AV7" s="180">
        <f>bthchampscuphistdrawn</f>
        <v>1</v>
      </c>
      <c r="AW7" s="181" t="s">
        <v>168</v>
      </c>
      <c r="AX7" s="178">
        <f>bthchallcuphistdrawn</f>
        <v>0</v>
      </c>
      <c r="AY7" s="182" t="s">
        <v>168</v>
      </c>
      <c r="AZ7" s="183">
        <f t="shared" si="0"/>
        <v>2</v>
      </c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287"/>
      <c r="ACM7" s="287"/>
      <c r="ACN7" s="287"/>
      <c r="ACO7" s="287"/>
      <c r="ACP7" s="287"/>
      <c r="ACQ7" s="287"/>
      <c r="ACR7" s="287"/>
      <c r="ACS7" s="287"/>
      <c r="ACT7" s="287"/>
      <c r="ACU7" s="287"/>
      <c r="ACV7" s="287"/>
      <c r="ACW7" s="287"/>
      <c r="ACX7" s="287"/>
      <c r="ACY7" s="287"/>
      <c r="ACZ7" s="287"/>
      <c r="ADA7" s="287"/>
      <c r="ADB7" s="287"/>
      <c r="ADC7" s="287"/>
      <c r="ADD7" s="287"/>
      <c r="ADE7" s="287"/>
      <c r="ADF7" s="287"/>
      <c r="ADG7" s="287"/>
      <c r="ADH7" s="287"/>
      <c r="ADI7" s="287"/>
      <c r="ADJ7" s="287"/>
      <c r="ADK7" s="287"/>
      <c r="ADL7" s="287"/>
      <c r="ADM7" s="287"/>
      <c r="ADN7" s="287"/>
      <c r="ADO7" s="287"/>
      <c r="ADP7" s="287"/>
      <c r="ADQ7" s="287"/>
      <c r="ADR7" s="287"/>
      <c r="ADS7" s="287"/>
      <c r="ADT7" s="287"/>
      <c r="ADU7" s="287"/>
      <c r="ADV7" s="287"/>
      <c r="ADW7" s="287"/>
      <c r="ADX7" s="287"/>
      <c r="ADY7" s="287"/>
      <c r="ADZ7" s="287"/>
      <c r="AEA7" s="287"/>
      <c r="AEB7" s="287"/>
      <c r="AEC7" s="287"/>
      <c r="AED7" s="287"/>
      <c r="AEE7" s="287"/>
      <c r="AEF7" s="287"/>
      <c r="AEG7" s="287"/>
      <c r="AEH7" s="287"/>
      <c r="AEI7" s="287"/>
      <c r="AEJ7" s="287"/>
      <c r="AEK7" s="287"/>
      <c r="AEL7" s="287"/>
      <c r="AEM7" s="287"/>
      <c r="AEN7" s="287"/>
      <c r="AEO7" s="287"/>
      <c r="AEP7" s="287"/>
      <c r="AEQ7" s="287"/>
      <c r="AER7" s="287"/>
      <c r="AES7" s="287"/>
      <c r="AET7" s="287"/>
      <c r="AEU7" s="287"/>
      <c r="AEV7" s="287"/>
      <c r="AEW7" s="287"/>
      <c r="AEX7" s="287"/>
      <c r="AEY7" s="287"/>
      <c r="AEZ7" s="287"/>
      <c r="AFA7" s="287"/>
      <c r="AFB7" s="287"/>
      <c r="AFC7" s="287"/>
      <c r="AFD7" s="287"/>
      <c r="AFE7" s="287"/>
      <c r="AFF7" s="287"/>
      <c r="AFG7" s="287"/>
      <c r="AFH7" s="287"/>
      <c r="AFI7" s="287"/>
      <c r="AFJ7" s="287"/>
      <c r="AFK7" s="287"/>
      <c r="AFL7" s="287"/>
      <c r="AFM7" s="287"/>
      <c r="AFN7" s="287"/>
      <c r="AFO7" s="287"/>
      <c r="AFP7" s="287"/>
      <c r="AFQ7" s="287"/>
      <c r="AFR7" s="287"/>
      <c r="AFS7" s="287"/>
      <c r="AFT7" s="287"/>
      <c r="AFU7" s="287"/>
      <c r="AFV7" s="287"/>
      <c r="AFW7" s="287"/>
      <c r="AFX7" s="287"/>
      <c r="AFY7" s="287"/>
      <c r="AFZ7" s="287"/>
      <c r="AGA7" s="287"/>
      <c r="AGB7" s="287"/>
      <c r="AGC7" s="287"/>
      <c r="AGD7" s="287"/>
      <c r="AGE7" s="287"/>
      <c r="AGF7" s="287"/>
      <c r="AGG7" s="287"/>
      <c r="AGH7" s="287"/>
      <c r="AGI7" s="287"/>
      <c r="AGJ7" s="287"/>
      <c r="AGK7" s="287"/>
      <c r="AGL7" s="287"/>
      <c r="AGM7" s="287"/>
      <c r="AGN7" s="287"/>
      <c r="AGO7" s="287"/>
      <c r="AGP7" s="287"/>
      <c r="AGQ7" s="287"/>
      <c r="AGR7" s="287"/>
      <c r="AGS7" s="287"/>
      <c r="AGT7" s="287"/>
      <c r="AGU7" s="287"/>
      <c r="AGV7" s="287"/>
      <c r="AGW7" s="287"/>
      <c r="AGX7" s="287"/>
      <c r="AGY7" s="287"/>
      <c r="AGZ7" s="287"/>
      <c r="AHA7" s="287"/>
      <c r="AHB7" s="287"/>
      <c r="AHC7" s="287"/>
      <c r="AHD7" s="287"/>
      <c r="AHE7" s="287"/>
      <c r="AHF7" s="287"/>
      <c r="AHG7" s="287"/>
      <c r="AHH7" s="287"/>
      <c r="AHI7" s="287"/>
      <c r="AHJ7" s="287"/>
      <c r="AHK7" s="287"/>
      <c r="AHL7" s="287"/>
      <c r="AHM7" s="287"/>
      <c r="AHN7" s="287"/>
      <c r="AHO7" s="287"/>
      <c r="AHP7" s="287"/>
      <c r="AHQ7" s="287"/>
      <c r="AHR7" s="287"/>
      <c r="AHS7" s="287"/>
      <c r="AHT7" s="287"/>
      <c r="AHU7" s="287"/>
      <c r="AHV7" s="287"/>
      <c r="AHW7" s="287"/>
      <c r="AHX7" s="287"/>
      <c r="AHY7" s="287"/>
      <c r="AHZ7" s="287"/>
      <c r="AIA7" s="287"/>
      <c r="AIB7" s="287"/>
      <c r="AIC7" s="287"/>
      <c r="AID7" s="287"/>
      <c r="AIE7" s="287"/>
      <c r="AIF7" s="287"/>
      <c r="AIG7" s="287"/>
      <c r="AIH7" s="287"/>
      <c r="AII7" s="287"/>
      <c r="AIJ7" s="287"/>
      <c r="AIK7" s="287"/>
      <c r="AIL7" s="287"/>
      <c r="AIM7" s="287"/>
      <c r="AIN7" s="287"/>
      <c r="AIO7" s="287"/>
      <c r="AIP7" s="287"/>
      <c r="AIQ7" s="287"/>
      <c r="AIR7" s="287"/>
      <c r="AIS7" s="287"/>
      <c r="AIT7" s="287"/>
      <c r="AIU7" s="287"/>
      <c r="AIV7" s="287"/>
      <c r="AIW7" s="287"/>
      <c r="AIX7" s="287"/>
      <c r="AIY7" s="287"/>
      <c r="AIZ7" s="287"/>
      <c r="AJA7" s="287"/>
      <c r="AJB7" s="287"/>
      <c r="AJC7" s="287"/>
      <c r="AJD7" s="287"/>
      <c r="AJE7" s="287"/>
      <c r="AJF7" s="287"/>
      <c r="AJG7" s="287"/>
      <c r="AJH7" s="287"/>
      <c r="AJI7" s="287"/>
      <c r="AJJ7" s="287"/>
      <c r="AJK7" s="287"/>
      <c r="AJL7" s="287"/>
      <c r="AJM7" s="287"/>
      <c r="AJN7" s="287"/>
      <c r="AJO7" s="287"/>
      <c r="AJP7" s="287"/>
      <c r="AJQ7" s="287"/>
      <c r="AJR7" s="287"/>
      <c r="AJS7" s="287"/>
      <c r="AJT7" s="287"/>
      <c r="AJU7" s="287"/>
      <c r="AJV7" s="287"/>
      <c r="AJW7" s="287"/>
      <c r="AJX7" s="287"/>
      <c r="AJY7" s="287"/>
      <c r="AJZ7" s="287"/>
      <c r="AKA7" s="287"/>
      <c r="AKB7" s="287"/>
      <c r="AKC7" s="287"/>
      <c r="AKD7" s="287"/>
      <c r="AKE7" s="287"/>
      <c r="AKF7" s="287"/>
      <c r="AKG7" s="287"/>
      <c r="AKH7" s="287"/>
      <c r="AKI7" s="287"/>
      <c r="AKJ7" s="287"/>
      <c r="AKK7" s="287"/>
      <c r="AKL7" s="287"/>
      <c r="AKM7" s="287"/>
      <c r="AKN7" s="287"/>
      <c r="AKO7" s="287"/>
      <c r="AKP7" s="287"/>
      <c r="AKQ7" s="287"/>
      <c r="AKR7" s="287"/>
      <c r="AKS7" s="287"/>
      <c r="AKT7" s="287"/>
      <c r="AKU7" s="287"/>
      <c r="AKV7" s="287"/>
      <c r="AKW7" s="287"/>
      <c r="AKX7" s="287"/>
      <c r="AKY7" s="287"/>
      <c r="AKZ7" s="287"/>
      <c r="ALA7" s="287"/>
      <c r="ALB7" s="287"/>
      <c r="ALC7" s="287"/>
      <c r="ALD7" s="287"/>
      <c r="ALE7" s="287"/>
      <c r="ALF7" s="287"/>
      <c r="ALG7" s="287"/>
      <c r="ALH7" s="287"/>
      <c r="ALI7" s="287"/>
      <c r="ALJ7" s="287"/>
      <c r="ALK7" s="287"/>
      <c r="ALL7" s="287"/>
      <c r="ALM7" s="287"/>
      <c r="ALN7" s="287"/>
      <c r="ALO7" s="287"/>
      <c r="ALP7" s="287"/>
      <c r="ALQ7" s="287"/>
      <c r="ALR7" s="287"/>
      <c r="ALS7" s="287"/>
      <c r="ALT7" s="287"/>
      <c r="ALU7" s="287"/>
      <c r="ALV7" s="287"/>
      <c r="ALW7" s="287"/>
      <c r="ALX7" s="287"/>
      <c r="ALY7" s="287"/>
      <c r="AML7" s="287"/>
      <c r="AMM7" s="287"/>
      <c r="AMN7" s="287"/>
      <c r="AMO7" s="287"/>
      <c r="AMP7" s="287"/>
      <c r="AMQ7" s="287"/>
      <c r="AMR7" s="287"/>
      <c r="AMS7" s="287"/>
      <c r="AMT7" s="287"/>
      <c r="AMU7" s="287"/>
      <c r="AMV7" s="287"/>
      <c r="AMW7" s="287"/>
      <c r="AMX7" s="287"/>
      <c r="AMY7" s="287"/>
      <c r="AMZ7" s="287"/>
      <c r="ANA7" s="287"/>
      <c r="ANB7" s="287"/>
      <c r="ANC7" s="287"/>
      <c r="AND7" s="287"/>
      <c r="ANE7" s="287"/>
      <c r="ANF7" s="287"/>
      <c r="ANG7" s="287"/>
      <c r="ANH7" s="287"/>
      <c r="ANI7" s="287"/>
      <c r="ANJ7" s="287"/>
      <c r="ANK7" s="287"/>
      <c r="ANL7" s="287"/>
      <c r="ANM7" s="287"/>
      <c r="ANN7" s="287"/>
      <c r="ANO7" s="287"/>
      <c r="ANP7" s="287"/>
      <c r="ANQ7" s="287"/>
      <c r="ANR7" s="287"/>
      <c r="ANS7" s="287"/>
      <c r="ANT7" s="287"/>
      <c r="ANU7" s="287"/>
      <c r="ANV7" s="287"/>
      <c r="ANW7" s="287"/>
      <c r="ANX7" s="287"/>
      <c r="ANY7" s="287"/>
      <c r="ANZ7" s="287"/>
      <c r="AOA7" s="287"/>
      <c r="AOB7" s="287"/>
      <c r="AOC7" s="287"/>
      <c r="AOD7" s="287"/>
      <c r="AOE7" s="287"/>
      <c r="AOF7" s="287"/>
      <c r="AOG7" s="287"/>
      <c r="AOH7" s="287"/>
      <c r="AOI7" s="287"/>
      <c r="AOJ7" s="287"/>
      <c r="AOK7" s="287"/>
      <c r="AOL7" s="287"/>
      <c r="AOM7" s="287"/>
      <c r="AON7" s="287"/>
      <c r="AOO7" s="287"/>
      <c r="AOP7" s="287"/>
      <c r="AOQ7" s="287"/>
      <c r="AOR7" s="287"/>
      <c r="AOS7" s="287"/>
      <c r="AOT7" s="287"/>
      <c r="AOU7" s="287"/>
      <c r="AOV7" s="287"/>
      <c r="AOW7" s="287"/>
      <c r="AOX7" s="287"/>
      <c r="AOY7" s="287"/>
      <c r="AOZ7" s="287"/>
      <c r="APA7" s="287"/>
      <c r="APB7" s="287"/>
      <c r="APC7" s="287"/>
      <c r="APD7" s="287"/>
      <c r="APE7" s="287"/>
      <c r="APF7" s="287"/>
      <c r="APG7" s="287"/>
      <c r="APH7" s="287"/>
      <c r="API7" s="287"/>
      <c r="APJ7" s="287"/>
      <c r="APK7" s="287"/>
      <c r="APL7" s="287"/>
      <c r="APM7" s="287"/>
      <c r="APN7" s="287"/>
      <c r="APO7" s="287"/>
      <c r="APP7" s="287"/>
      <c r="APQ7" s="287"/>
      <c r="APR7" s="287"/>
      <c r="APS7" s="287"/>
      <c r="APT7" s="287"/>
      <c r="APU7" s="287"/>
      <c r="APV7" s="287"/>
      <c r="APW7" s="287"/>
      <c r="APX7" s="287"/>
      <c r="APY7" s="287"/>
      <c r="APZ7" s="287"/>
      <c r="AQA7" s="287"/>
      <c r="AQB7" s="287"/>
      <c r="AQC7" s="287"/>
      <c r="AQD7" s="287"/>
      <c r="AQE7" s="287"/>
      <c r="AQF7" s="287"/>
      <c r="AQG7" s="287"/>
      <c r="AQH7" s="287"/>
      <c r="AQI7" s="287"/>
      <c r="AQJ7" s="287"/>
      <c r="AQK7" s="287"/>
      <c r="AQL7" s="287"/>
      <c r="AQM7" s="287"/>
      <c r="AQN7" s="287"/>
      <c r="AQO7" s="287"/>
      <c r="AQP7" s="287"/>
      <c r="AQQ7" s="287"/>
      <c r="AQR7" s="287"/>
      <c r="AQS7" s="287"/>
      <c r="AQT7" s="287"/>
      <c r="AQU7" s="287"/>
      <c r="AQV7" s="287"/>
      <c r="AQW7" s="287"/>
      <c r="AQX7" s="287"/>
      <c r="AQY7" s="287"/>
      <c r="AQZ7" s="287"/>
      <c r="ARA7" s="287"/>
      <c r="ARB7" s="287"/>
      <c r="ARC7" s="287"/>
      <c r="ARD7" s="287"/>
      <c r="ARE7" s="287"/>
      <c r="ARF7" s="287"/>
      <c r="ARG7" s="287"/>
      <c r="ARH7" s="287"/>
      <c r="ARI7" s="287"/>
      <c r="ARJ7" s="287"/>
      <c r="ARK7" s="287"/>
      <c r="ARL7" s="287"/>
      <c r="ARM7" s="287"/>
      <c r="ARN7" s="287"/>
      <c r="ARO7" s="287"/>
      <c r="ARP7" s="287"/>
      <c r="ARQ7" s="287"/>
      <c r="ARR7" s="287"/>
      <c r="ARS7" s="287"/>
      <c r="ART7" s="287"/>
      <c r="ARU7" s="287"/>
      <c r="ARV7" s="287"/>
      <c r="ARW7" s="287"/>
      <c r="ARX7" s="287"/>
      <c r="ARY7" s="287"/>
      <c r="ARZ7" s="287"/>
      <c r="ASA7" s="287"/>
      <c r="ASB7" s="287"/>
      <c r="ASC7" s="287"/>
      <c r="ASD7" s="287"/>
      <c r="ASE7" s="287"/>
      <c r="ASF7" s="287"/>
      <c r="ASG7" s="287"/>
      <c r="ASH7" s="287"/>
      <c r="ASI7" s="287"/>
      <c r="ASJ7" s="287"/>
      <c r="ASK7" s="287"/>
      <c r="ASL7" s="287"/>
      <c r="ASM7" s="287"/>
      <c r="ASN7" s="287"/>
      <c r="ASO7" s="287"/>
      <c r="ASP7" s="287"/>
      <c r="ASQ7" s="287"/>
      <c r="ASR7" s="287"/>
      <c r="ASS7" s="287"/>
      <c r="AST7" s="287"/>
      <c r="ASU7" s="287"/>
      <c r="ASV7" s="287"/>
      <c r="ASW7" s="287"/>
      <c r="ASX7" s="287"/>
      <c r="ASY7" s="287"/>
      <c r="ASZ7" s="287"/>
      <c r="ATA7" s="287"/>
      <c r="ATB7" s="287"/>
      <c r="ATC7" s="287"/>
      <c r="ATD7" s="287"/>
      <c r="ATE7" s="287"/>
      <c r="ATF7" s="287"/>
      <c r="ATG7" s="287"/>
      <c r="ATH7" s="287"/>
      <c r="ATI7" s="287"/>
      <c r="ATJ7" s="287"/>
      <c r="ATK7" s="287"/>
      <c r="ATL7" s="287"/>
      <c r="ATM7" s="287"/>
      <c r="ATN7" s="287"/>
      <c r="ATO7" s="287"/>
      <c r="ATP7" s="287"/>
      <c r="ATQ7" s="287"/>
      <c r="ATR7" s="287"/>
      <c r="ATS7" s="287"/>
      <c r="ATT7" s="287"/>
      <c r="ATU7" s="287"/>
      <c r="ATV7" s="287"/>
      <c r="ATW7" s="287"/>
      <c r="ATX7" s="287"/>
      <c r="ATY7" s="287"/>
      <c r="ATZ7" s="287"/>
      <c r="AUA7" s="287"/>
      <c r="AUB7" s="287"/>
      <c r="AUC7" s="287"/>
      <c r="AUD7" s="287"/>
      <c r="AUE7" s="287"/>
      <c r="AUF7" s="287"/>
      <c r="AUG7" s="287"/>
      <c r="AUH7" s="287"/>
      <c r="AUI7" s="287"/>
      <c r="AUJ7" s="287"/>
      <c r="AUK7" s="287"/>
      <c r="AUL7" s="287"/>
      <c r="AUM7" s="287"/>
      <c r="AUN7" s="287"/>
      <c r="AUO7" s="287"/>
      <c r="AUP7" s="287"/>
      <c r="AUQ7" s="287"/>
      <c r="AUR7" s="287"/>
      <c r="AUS7" s="287"/>
      <c r="AUT7" s="287"/>
      <c r="AUU7" s="287"/>
      <c r="AUV7" s="287"/>
      <c r="AUW7" s="287"/>
      <c r="AUX7" s="287"/>
      <c r="AUY7" s="287"/>
      <c r="AUZ7" s="287"/>
      <c r="AVA7" s="287"/>
      <c r="AVB7" s="287"/>
      <c r="AVC7" s="287"/>
      <c r="AVD7" s="287"/>
      <c r="AVE7" s="287"/>
      <c r="AVF7" s="287"/>
      <c r="AVG7" s="287"/>
      <c r="AVH7" s="287"/>
      <c r="AVI7" s="287"/>
      <c r="AVJ7" s="287"/>
      <c r="AVK7" s="287"/>
      <c r="AVL7" s="287"/>
      <c r="AVM7" s="287"/>
      <c r="AVN7" s="287"/>
      <c r="AVO7" s="287"/>
      <c r="AVP7" s="287"/>
      <c r="AVQ7" s="287"/>
      <c r="AVR7" s="287"/>
      <c r="AVS7" s="287"/>
      <c r="AVT7" s="287"/>
      <c r="AVU7" s="287"/>
      <c r="AVV7" s="287"/>
      <c r="AVW7" s="287"/>
      <c r="AVX7" s="287"/>
      <c r="AVY7" s="287"/>
      <c r="AVZ7" s="287"/>
      <c r="AWA7" s="287"/>
      <c r="AWB7" s="287"/>
      <c r="AWC7" s="287"/>
      <c r="AWD7" s="287"/>
      <c r="AWE7" s="287"/>
      <c r="AWF7" s="287"/>
      <c r="AWG7" s="287"/>
      <c r="AWH7" s="287"/>
      <c r="AWI7" s="287"/>
      <c r="AWJ7" s="287"/>
      <c r="AWK7" s="287"/>
      <c r="AWL7" s="287"/>
      <c r="AWM7" s="287"/>
      <c r="AWN7" s="287"/>
      <c r="AWO7" s="287"/>
      <c r="AWP7" s="287"/>
      <c r="AWQ7" s="287"/>
      <c r="AWR7" s="287"/>
      <c r="AWS7" s="287"/>
      <c r="AWT7" s="287"/>
      <c r="AWU7" s="287"/>
      <c r="AWV7" s="287"/>
      <c r="AWW7" s="287"/>
      <c r="AWX7" s="287"/>
      <c r="AWY7" s="287"/>
      <c r="AWZ7" s="287"/>
      <c r="AXA7" s="287"/>
      <c r="AXB7" s="287"/>
      <c r="AXC7" s="287"/>
      <c r="AXD7" s="287"/>
      <c r="AXE7" s="287"/>
      <c r="AXF7" s="287"/>
      <c r="AXG7" s="287"/>
      <c r="AXH7" s="287"/>
      <c r="AXI7" s="287"/>
      <c r="AXJ7" s="287"/>
      <c r="AXK7" s="287"/>
      <c r="AXL7" s="287"/>
      <c r="AXM7" s="287"/>
      <c r="AXN7" s="287"/>
      <c r="AXO7" s="287"/>
      <c r="AXP7" s="287"/>
      <c r="AXQ7" s="287"/>
      <c r="AXR7" s="287"/>
      <c r="AXS7" s="287"/>
      <c r="AXT7" s="287"/>
      <c r="AXU7" s="287"/>
      <c r="AXV7" s="287"/>
      <c r="AXW7" s="287"/>
      <c r="AXX7" s="287"/>
      <c r="AXY7" s="287"/>
      <c r="AXZ7" s="287"/>
      <c r="AYA7" s="287"/>
      <c r="AYB7" s="287"/>
      <c r="AYC7" s="287"/>
      <c r="AYD7" s="287"/>
      <c r="AYE7" s="287"/>
      <c r="AYF7" s="287"/>
      <c r="AYG7" s="287"/>
      <c r="AYH7" s="287"/>
      <c r="AYI7" s="287"/>
      <c r="AYJ7" s="287"/>
      <c r="AYK7" s="287"/>
      <c r="AYL7" s="287"/>
      <c r="AYM7" s="287"/>
      <c r="AYN7" s="287"/>
      <c r="AYO7" s="287"/>
      <c r="AYP7" s="287"/>
      <c r="AYQ7" s="287"/>
      <c r="AYR7" s="287"/>
      <c r="AYS7" s="287"/>
      <c r="AYT7" s="287"/>
      <c r="AYU7" s="287"/>
      <c r="AYV7" s="287"/>
      <c r="AYW7" s="287"/>
      <c r="AYX7" s="287"/>
      <c r="AYY7" s="287"/>
      <c r="AYZ7" s="287"/>
      <c r="AZA7" s="287"/>
      <c r="AZB7" s="287"/>
      <c r="AZC7" s="287"/>
      <c r="AZD7" s="287"/>
      <c r="AZE7" s="287"/>
      <c r="AZF7" s="287"/>
      <c r="AZG7" s="287"/>
      <c r="AZH7" s="287"/>
      <c r="AZI7" s="287"/>
      <c r="AZJ7" s="287"/>
      <c r="AZK7" s="287"/>
      <c r="AZL7" s="287"/>
      <c r="AZM7" s="287"/>
      <c r="AZN7" s="287"/>
      <c r="AZO7" s="287"/>
      <c r="AZP7" s="287"/>
      <c r="AZQ7" s="287"/>
      <c r="AZR7" s="287"/>
      <c r="AZS7" s="287"/>
      <c r="AZT7" s="287"/>
      <c r="AZU7" s="287"/>
      <c r="AZV7" s="287"/>
      <c r="AZW7" s="287"/>
      <c r="AZX7" s="287"/>
      <c r="AZY7" s="287"/>
      <c r="AZZ7" s="287"/>
      <c r="BAA7" s="287"/>
      <c r="BAB7" s="287"/>
      <c r="BAC7" s="287"/>
      <c r="BAD7" s="287"/>
      <c r="BAE7" s="287"/>
      <c r="BAF7" s="287"/>
      <c r="BAG7" s="287"/>
      <c r="BAH7" s="287"/>
      <c r="BAI7" s="287"/>
      <c r="BAJ7" s="287"/>
      <c r="BAK7" s="287"/>
      <c r="BAL7" s="287"/>
      <c r="BAM7" s="287"/>
      <c r="BAN7" s="287"/>
      <c r="BAO7" s="287"/>
      <c r="BAP7" s="287"/>
      <c r="BAQ7" s="287"/>
      <c r="BAR7" s="287"/>
      <c r="BAS7" s="287"/>
      <c r="BAT7" s="287"/>
      <c r="BAU7" s="287"/>
      <c r="BAV7" s="287"/>
      <c r="BAW7" s="287"/>
      <c r="BAX7" s="287"/>
      <c r="BAY7" s="287"/>
      <c r="BAZ7" s="287"/>
      <c r="BBA7" s="287"/>
      <c r="BBB7" s="287"/>
      <c r="BBC7" s="287"/>
      <c r="BBD7" s="287"/>
      <c r="BBE7" s="287"/>
      <c r="BBF7" s="287"/>
      <c r="BBG7" s="287"/>
      <c r="BBH7" s="287"/>
      <c r="BBI7" s="287"/>
      <c r="BBJ7" s="287"/>
      <c r="BBK7" s="287"/>
      <c r="BBL7" s="287"/>
      <c r="BBM7" s="287"/>
      <c r="BBN7" s="287"/>
      <c r="BBO7" s="287"/>
      <c r="BBP7" s="287"/>
      <c r="BBQ7" s="287"/>
      <c r="BBR7" s="287"/>
      <c r="BBS7" s="287"/>
      <c r="BBT7" s="287"/>
      <c r="BBU7" s="287"/>
      <c r="BBV7" s="287"/>
      <c r="BBW7" s="287"/>
      <c r="BBX7" s="287"/>
      <c r="BBY7" s="287"/>
      <c r="BBZ7" s="287"/>
      <c r="BCA7" s="287"/>
      <c r="BCB7" s="287"/>
      <c r="BCC7" s="287"/>
      <c r="BCD7" s="287"/>
      <c r="BCE7" s="287"/>
      <c r="BCF7" s="287"/>
      <c r="BCG7" s="287"/>
      <c r="BCH7" s="287"/>
      <c r="BCI7" s="287"/>
      <c r="BCJ7" s="287"/>
      <c r="BCK7" s="287"/>
      <c r="BCL7" s="287"/>
      <c r="BCM7" s="287"/>
      <c r="BCN7" s="287"/>
      <c r="BCO7" s="287"/>
      <c r="BCP7" s="287"/>
      <c r="BCQ7" s="287"/>
      <c r="BCR7" s="287"/>
      <c r="BCS7" s="287"/>
      <c r="BCT7" s="287"/>
      <c r="BCU7" s="287"/>
      <c r="BCV7" s="287"/>
      <c r="BCW7" s="287"/>
      <c r="BCX7" s="287"/>
      <c r="BCY7" s="287"/>
      <c r="BCZ7" s="287"/>
      <c r="BDA7" s="287"/>
      <c r="BDB7" s="287"/>
      <c r="BDC7" s="287"/>
      <c r="BDD7" s="287"/>
      <c r="BDE7" s="287"/>
      <c r="BDF7" s="287"/>
      <c r="BDG7" s="287"/>
      <c r="BDH7" s="287"/>
      <c r="BDI7" s="287"/>
      <c r="BDJ7" s="287"/>
      <c r="BDK7" s="287"/>
      <c r="BDL7" s="287"/>
      <c r="BDM7" s="287"/>
      <c r="BDN7" s="287"/>
      <c r="BDO7" s="287"/>
      <c r="BDP7" s="287"/>
      <c r="BDQ7" s="287"/>
      <c r="BDR7" s="287"/>
      <c r="BDS7" s="287"/>
      <c r="BDT7" s="287"/>
      <c r="BDU7" s="287"/>
      <c r="BDV7" s="287"/>
      <c r="BDW7" s="287"/>
      <c r="BDX7" s="287"/>
      <c r="BDY7" s="287"/>
      <c r="BDZ7" s="287"/>
      <c r="BEA7" s="287"/>
      <c r="BEB7" s="287"/>
      <c r="BEC7" s="287"/>
      <c r="BED7" s="287"/>
      <c r="BEE7" s="287"/>
      <c r="BEF7" s="287"/>
      <c r="BEG7" s="287"/>
      <c r="BEH7" s="287"/>
      <c r="BEI7" s="287"/>
      <c r="BEJ7" s="287"/>
      <c r="BEK7" s="287"/>
      <c r="BEL7" s="287"/>
      <c r="BEM7" s="287"/>
      <c r="BEN7" s="287"/>
      <c r="BEO7" s="287"/>
      <c r="BEP7" s="287"/>
      <c r="BEQ7" s="287"/>
      <c r="BER7" s="287"/>
      <c r="BES7" s="287"/>
      <c r="BET7" s="287"/>
      <c r="BEU7" s="287"/>
      <c r="BEV7" s="287"/>
      <c r="BEW7" s="287"/>
      <c r="BEX7" s="287"/>
      <c r="BEY7" s="287"/>
      <c r="BEZ7" s="287"/>
      <c r="BFA7" s="287"/>
      <c r="BFB7" s="287"/>
      <c r="BFC7" s="287"/>
      <c r="BFD7" s="287"/>
      <c r="BFE7" s="287"/>
      <c r="BFF7" s="287"/>
      <c r="BFG7" s="287"/>
      <c r="BFH7" s="287"/>
      <c r="BFI7" s="287"/>
      <c r="BFJ7" s="287"/>
      <c r="BFK7" s="287"/>
      <c r="BFL7" s="287"/>
      <c r="BFM7" s="287"/>
      <c r="BFN7" s="287"/>
      <c r="BFO7" s="287"/>
      <c r="BFP7" s="287"/>
      <c r="BFQ7" s="287"/>
      <c r="BFR7" s="287"/>
      <c r="BFS7" s="287"/>
      <c r="BFT7" s="287"/>
      <c r="BFU7" s="287"/>
      <c r="BFV7" s="287"/>
      <c r="BFW7" s="287"/>
      <c r="BFX7" s="287"/>
      <c r="BFY7" s="287"/>
      <c r="BFZ7" s="287"/>
      <c r="BGA7" s="287"/>
      <c r="BGB7" s="287"/>
      <c r="BGC7" s="287"/>
      <c r="BGD7" s="287"/>
      <c r="BGE7" s="287"/>
      <c r="BGF7" s="287"/>
      <c r="BGG7" s="287"/>
      <c r="BGH7" s="287"/>
      <c r="BGI7" s="287"/>
      <c r="BGJ7" s="287"/>
      <c r="BGK7" s="287"/>
      <c r="BGL7" s="287"/>
      <c r="BGM7" s="287"/>
      <c r="BGN7" s="287"/>
      <c r="BGO7" s="287"/>
      <c r="BGP7" s="287"/>
      <c r="BGQ7" s="287"/>
      <c r="BGR7" s="287"/>
      <c r="BGS7" s="287"/>
      <c r="BGT7" s="287"/>
      <c r="BGU7" s="287"/>
      <c r="BGV7" s="287"/>
      <c r="BGW7" s="287"/>
      <c r="BGX7" s="287"/>
      <c r="BGY7" s="287"/>
      <c r="BGZ7" s="287"/>
      <c r="BHA7" s="287"/>
      <c r="BHB7" s="287"/>
      <c r="BHC7" s="287"/>
      <c r="BHD7" s="287"/>
      <c r="BHE7" s="287"/>
      <c r="BHF7" s="287"/>
      <c r="BHG7" s="287"/>
      <c r="BHH7" s="287"/>
      <c r="BHI7" s="287"/>
      <c r="BHJ7" s="287"/>
      <c r="BHK7" s="287"/>
      <c r="BHL7" s="287"/>
      <c r="BHM7" s="287"/>
      <c r="BHN7" s="287"/>
      <c r="BHO7" s="287"/>
      <c r="BHP7" s="287"/>
      <c r="BHQ7" s="287"/>
      <c r="BHR7" s="287"/>
      <c r="BHS7" s="287"/>
      <c r="BHT7" s="287"/>
      <c r="BHU7" s="287"/>
      <c r="BHV7" s="287"/>
      <c r="BHW7" s="287"/>
      <c r="BHX7" s="287"/>
      <c r="BHY7" s="287"/>
      <c r="BHZ7" s="287"/>
      <c r="BIA7" s="287"/>
      <c r="BIB7" s="287"/>
      <c r="BIC7" s="287"/>
      <c r="BID7" s="287"/>
      <c r="BIE7" s="287"/>
      <c r="BIF7" s="287"/>
      <c r="BIG7" s="287"/>
      <c r="BIH7" s="287"/>
      <c r="BII7" s="287"/>
      <c r="BIJ7" s="287"/>
      <c r="BIK7" s="287"/>
      <c r="BIL7" s="287"/>
      <c r="BIM7" s="287"/>
      <c r="BIN7" s="287"/>
      <c r="BIO7" s="287"/>
      <c r="BIP7" s="287"/>
      <c r="BIQ7" s="287"/>
      <c r="BIR7" s="287"/>
      <c r="BIS7" s="287"/>
      <c r="BIT7" s="287"/>
      <c r="BIU7" s="287"/>
      <c r="BIV7" s="287"/>
      <c r="BIW7" s="287"/>
      <c r="BIX7" s="287"/>
      <c r="BIY7" s="287"/>
      <c r="BIZ7" s="287"/>
      <c r="BJA7" s="287"/>
      <c r="BJB7" s="287"/>
      <c r="BJC7" s="287"/>
      <c r="BJD7" s="287"/>
      <c r="BJE7" s="287"/>
      <c r="BJF7" s="287"/>
      <c r="BJG7" s="287"/>
      <c r="BJH7" s="287"/>
      <c r="BJI7" s="287"/>
      <c r="BJJ7" s="287"/>
      <c r="BJK7" s="287"/>
      <c r="BJL7" s="287"/>
      <c r="BJM7" s="287"/>
      <c r="BJN7" s="287"/>
      <c r="BJO7" s="287"/>
      <c r="BJP7" s="287"/>
      <c r="BJQ7" s="287"/>
      <c r="BJR7" s="287"/>
      <c r="BJS7" s="287"/>
      <c r="BJT7" s="287"/>
      <c r="BJU7" s="287"/>
      <c r="BJV7" s="287"/>
      <c r="BJW7" s="287"/>
      <c r="BJX7" s="287"/>
      <c r="BJY7" s="287"/>
      <c r="BJZ7" s="287"/>
      <c r="BKA7" s="287"/>
      <c r="BKB7" s="287"/>
      <c r="BKC7" s="287"/>
      <c r="BKD7" s="287"/>
      <c r="BKE7" s="287"/>
      <c r="BKF7" s="287"/>
      <c r="BKG7" s="287"/>
      <c r="BKH7" s="287"/>
      <c r="BKI7" s="287"/>
      <c r="BKJ7" s="287"/>
      <c r="BKK7" s="287"/>
      <c r="BKL7" s="287"/>
      <c r="BKM7" s="287"/>
      <c r="BKN7" s="287"/>
      <c r="BKO7" s="287"/>
      <c r="BKP7" s="287"/>
      <c r="BKQ7" s="287"/>
      <c r="BKR7" s="287"/>
      <c r="BKS7" s="287"/>
      <c r="BKT7" s="287"/>
      <c r="BKU7" s="287"/>
      <c r="BKV7" s="287"/>
      <c r="BKW7" s="287"/>
      <c r="BKX7" s="287"/>
      <c r="BKY7" s="287"/>
      <c r="BKZ7" s="287"/>
      <c r="BLA7" s="287"/>
      <c r="BLB7" s="287"/>
      <c r="BLC7" s="287"/>
      <c r="BLD7" s="287"/>
      <c r="BLE7" s="287"/>
      <c r="BLF7" s="287"/>
      <c r="BLG7" s="287"/>
      <c r="BLH7" s="287"/>
      <c r="BLI7" s="287"/>
      <c r="BLJ7" s="287"/>
      <c r="BLK7" s="287"/>
      <c r="BLL7" s="287"/>
      <c r="BLM7" s="287"/>
      <c r="BLN7" s="287"/>
      <c r="BLO7" s="287"/>
      <c r="BLP7" s="287"/>
      <c r="BLQ7" s="287"/>
      <c r="BLR7" s="287"/>
      <c r="BLS7" s="287"/>
      <c r="BLT7" s="287"/>
      <c r="BLU7" s="287"/>
      <c r="BLV7" s="287"/>
      <c r="BLW7" s="287"/>
      <c r="BLX7" s="287"/>
      <c r="BLY7" s="287"/>
      <c r="BLZ7" s="287"/>
      <c r="BMA7" s="287"/>
      <c r="BMB7" s="287"/>
      <c r="BMC7" s="287"/>
      <c r="BMD7" s="287"/>
      <c r="BME7" s="287"/>
      <c r="BMF7" s="287"/>
      <c r="BMG7" s="287"/>
      <c r="BMH7" s="287"/>
      <c r="BMI7" s="287"/>
      <c r="BMJ7" s="287"/>
      <c r="BMK7" s="287"/>
      <c r="BML7" s="287"/>
      <c r="BMM7" s="287"/>
      <c r="BMN7" s="287"/>
      <c r="BMO7" s="287"/>
      <c r="BMP7" s="287"/>
      <c r="BMQ7" s="287"/>
      <c r="BMR7" s="287"/>
      <c r="BMS7" s="287"/>
      <c r="BMT7" s="287"/>
      <c r="BMU7" s="287"/>
      <c r="BMV7" s="287"/>
      <c r="BMW7" s="287"/>
      <c r="BMX7" s="287"/>
      <c r="BMY7" s="287"/>
      <c r="BMZ7" s="287"/>
      <c r="BNA7" s="287"/>
      <c r="BNB7" s="287"/>
      <c r="BNC7" s="287"/>
      <c r="BND7" s="287"/>
      <c r="BNE7" s="287"/>
      <c r="BNF7" s="287"/>
      <c r="BNG7" s="287"/>
      <c r="BNH7" s="287"/>
      <c r="BNI7" s="287"/>
      <c r="BNJ7" s="287"/>
      <c r="BNK7" s="287"/>
      <c r="BNL7" s="287"/>
      <c r="BNM7" s="287"/>
      <c r="BNN7" s="287"/>
      <c r="BNO7" s="287"/>
      <c r="BNP7" s="287"/>
      <c r="BNQ7" s="287"/>
      <c r="BNR7" s="287"/>
      <c r="BNS7" s="287"/>
      <c r="BNT7" s="287"/>
      <c r="BNU7" s="287"/>
      <c r="BNV7" s="287"/>
      <c r="BNW7" s="287"/>
      <c r="BNX7" s="287"/>
      <c r="BNY7" s="287"/>
      <c r="BNZ7" s="287"/>
      <c r="BOA7" s="287"/>
      <c r="BOB7" s="287"/>
      <c r="BOC7" s="287"/>
      <c r="BOD7" s="287"/>
      <c r="BOE7" s="287"/>
      <c r="BOF7" s="287"/>
      <c r="BOG7" s="287"/>
      <c r="BOH7" s="287"/>
      <c r="BOI7" s="287"/>
      <c r="BOJ7" s="287"/>
      <c r="BOK7" s="287"/>
      <c r="BOL7" s="287"/>
      <c r="BOM7" s="287"/>
      <c r="BON7" s="287"/>
      <c r="BOO7" s="287"/>
      <c r="BOP7" s="287"/>
      <c r="BOQ7" s="287"/>
      <c r="BOR7" s="287"/>
      <c r="BOS7" s="287"/>
      <c r="BOT7" s="287"/>
      <c r="BOU7" s="287"/>
      <c r="BOV7" s="287"/>
      <c r="BOW7" s="287"/>
      <c r="BOX7" s="287"/>
      <c r="BOY7" s="287"/>
      <c r="BOZ7" s="287"/>
      <c r="BPA7" s="287"/>
      <c r="BPB7" s="287"/>
      <c r="BPC7" s="287"/>
      <c r="BPD7" s="287"/>
      <c r="BPE7" s="287"/>
      <c r="BPF7" s="287"/>
      <c r="BPG7" s="287"/>
      <c r="BPH7" s="287"/>
      <c r="BPI7" s="287"/>
      <c r="BPJ7" s="287"/>
      <c r="BPK7" s="287"/>
      <c r="BPL7" s="287"/>
      <c r="BPM7" s="287"/>
      <c r="BPN7" s="287"/>
      <c r="BPO7" s="287"/>
      <c r="BPP7" s="287"/>
      <c r="BPQ7" s="287"/>
      <c r="BPR7" s="287"/>
      <c r="BPS7" s="287"/>
      <c r="BPT7" s="287"/>
      <c r="BPU7" s="287"/>
      <c r="BPV7" s="287"/>
      <c r="BPW7" s="287"/>
      <c r="BPX7" s="287"/>
      <c r="BPY7" s="287"/>
      <c r="BPZ7" s="287"/>
      <c r="BQA7" s="287"/>
      <c r="BQB7" s="287"/>
      <c r="BQC7" s="287"/>
      <c r="BQD7" s="287"/>
      <c r="BQE7" s="287"/>
      <c r="BQF7" s="287"/>
      <c r="BQG7" s="287"/>
      <c r="BQH7" s="287"/>
      <c r="BQI7" s="287"/>
      <c r="BQJ7" s="287"/>
      <c r="BQK7" s="287"/>
      <c r="BQL7" s="287"/>
      <c r="BQM7" s="287"/>
      <c r="BQN7" s="287"/>
      <c r="BQO7" s="287"/>
      <c r="BQP7" s="287"/>
      <c r="BQQ7" s="287"/>
      <c r="BQR7" s="287"/>
      <c r="BQS7" s="287"/>
      <c r="BQT7" s="287"/>
      <c r="BQU7" s="287"/>
      <c r="BQV7" s="287"/>
      <c r="BQW7" s="287"/>
      <c r="BQX7" s="287"/>
      <c r="BQY7" s="287"/>
      <c r="BQZ7" s="287"/>
      <c r="BRA7" s="287"/>
      <c r="BRB7" s="287"/>
      <c r="BRC7" s="287"/>
      <c r="BRD7" s="287"/>
      <c r="BRE7" s="287"/>
      <c r="BRF7" s="287"/>
      <c r="BRG7" s="287"/>
      <c r="BRH7" s="287"/>
      <c r="BRI7" s="287"/>
      <c r="BRJ7" s="287"/>
      <c r="BRK7" s="287"/>
      <c r="BRL7" s="287"/>
      <c r="BRM7" s="287"/>
      <c r="BRN7" s="287"/>
      <c r="BRO7" s="287"/>
      <c r="BRP7" s="287"/>
      <c r="BRQ7" s="287"/>
      <c r="BRR7" s="287"/>
      <c r="BRS7" s="287"/>
      <c r="BRT7" s="287"/>
      <c r="BRU7" s="287"/>
      <c r="BRV7" s="287"/>
      <c r="BRW7" s="287"/>
      <c r="BRX7" s="287"/>
      <c r="BRY7" s="287"/>
      <c r="BRZ7" s="287"/>
      <c r="BSA7" s="287"/>
      <c r="BSB7" s="287"/>
      <c r="BSC7" s="287"/>
      <c r="BSD7" s="287"/>
      <c r="BSE7" s="287"/>
      <c r="BSF7" s="287"/>
      <c r="BSG7" s="287"/>
      <c r="BSH7" s="287"/>
      <c r="BSI7" s="287"/>
      <c r="BSJ7" s="287"/>
      <c r="BSK7" s="287"/>
      <c r="BSL7" s="287"/>
      <c r="BSM7" s="287"/>
      <c r="BSN7" s="287"/>
      <c r="BSO7" s="287"/>
      <c r="BSP7" s="287"/>
      <c r="BSQ7" s="287"/>
      <c r="BSR7" s="287"/>
      <c r="BSS7" s="287"/>
      <c r="BST7" s="287"/>
      <c r="BSU7" s="287"/>
      <c r="BSV7" s="287"/>
      <c r="BSW7" s="287"/>
      <c r="BSX7" s="287"/>
      <c r="BSY7" s="287"/>
      <c r="BSZ7" s="287"/>
      <c r="BTA7" s="287"/>
      <c r="BTB7" s="287"/>
      <c r="BTC7" s="287"/>
      <c r="BTD7" s="287"/>
      <c r="BTE7" s="287"/>
      <c r="BTF7" s="287"/>
      <c r="BTG7" s="287"/>
      <c r="BTH7" s="287"/>
      <c r="BTI7" s="287"/>
      <c r="BTJ7" s="287"/>
      <c r="BTK7" s="287"/>
      <c r="BTL7" s="287"/>
      <c r="BTM7" s="287"/>
      <c r="BTN7" s="287"/>
      <c r="BTO7" s="287"/>
      <c r="BTP7" s="287"/>
      <c r="BTQ7" s="287"/>
      <c r="BTR7" s="287"/>
      <c r="BTS7" s="287"/>
      <c r="BTT7" s="287"/>
      <c r="BTU7" s="287"/>
      <c r="BTV7" s="287"/>
      <c r="BTW7" s="287"/>
      <c r="BTX7" s="287"/>
      <c r="BTY7" s="287"/>
      <c r="BTZ7" s="287"/>
      <c r="BUA7" s="287"/>
      <c r="BUB7" s="287"/>
      <c r="BUC7" s="287"/>
      <c r="BUD7" s="287"/>
      <c r="BUE7" s="287"/>
      <c r="BUF7" s="287"/>
      <c r="BUG7" s="287"/>
      <c r="BUH7" s="287"/>
      <c r="BUI7" s="287"/>
      <c r="BUJ7" s="287"/>
      <c r="BUK7" s="287"/>
      <c r="BUL7" s="287"/>
      <c r="BUM7" s="287"/>
      <c r="BUN7" s="287"/>
      <c r="BUO7" s="287"/>
      <c r="BUP7" s="287"/>
      <c r="BUQ7" s="287"/>
      <c r="BUR7" s="287"/>
      <c r="BUS7" s="287"/>
      <c r="BUT7" s="287"/>
      <c r="BUU7" s="287"/>
      <c r="BUV7" s="287"/>
      <c r="BUW7" s="287"/>
      <c r="BUX7" s="287"/>
      <c r="BUY7" s="287"/>
      <c r="BUZ7" s="287"/>
      <c r="BVA7" s="287"/>
      <c r="BVB7" s="287"/>
      <c r="BVC7" s="287"/>
      <c r="BVD7" s="287"/>
      <c r="BVE7" s="287"/>
      <c r="BVF7" s="287"/>
      <c r="BVG7" s="287"/>
      <c r="BVH7" s="287"/>
      <c r="BVI7" s="287"/>
      <c r="BVJ7" s="287"/>
      <c r="BVK7" s="287"/>
      <c r="BVL7" s="287"/>
      <c r="BVM7" s="287"/>
      <c r="BVN7" s="287"/>
      <c r="BVO7" s="287"/>
      <c r="BVP7" s="287"/>
      <c r="BVQ7" s="287"/>
      <c r="BVR7" s="287"/>
      <c r="BVS7" s="287"/>
      <c r="BVT7" s="287"/>
      <c r="BVU7" s="287"/>
      <c r="BVV7" s="287"/>
      <c r="BVW7" s="287"/>
      <c r="BVX7" s="287"/>
      <c r="BVY7" s="287"/>
      <c r="BVZ7" s="287"/>
      <c r="BWA7" s="287"/>
      <c r="BWB7" s="287"/>
      <c r="BWC7" s="287"/>
      <c r="BWD7" s="287"/>
      <c r="BWE7" s="287"/>
      <c r="BWF7" s="287"/>
      <c r="BWG7" s="287"/>
      <c r="BWH7" s="287"/>
      <c r="BWI7" s="287"/>
      <c r="BWJ7" s="287"/>
      <c r="BWK7" s="287"/>
      <c r="BWL7" s="287"/>
      <c r="BWM7" s="287"/>
      <c r="BWN7" s="287"/>
      <c r="BWO7" s="287"/>
      <c r="BWP7" s="287"/>
      <c r="BWQ7" s="287"/>
      <c r="BWR7" s="287"/>
      <c r="BWS7" s="287"/>
      <c r="BWT7" s="287"/>
      <c r="BWU7" s="287"/>
      <c r="BWV7" s="287"/>
      <c r="BWW7" s="287"/>
      <c r="BWX7" s="287"/>
      <c r="BWY7" s="287"/>
      <c r="BWZ7" s="287"/>
      <c r="BXA7" s="287"/>
      <c r="BXB7" s="287"/>
      <c r="BXC7" s="287"/>
      <c r="BXD7" s="287"/>
      <c r="BXE7" s="287"/>
      <c r="BXF7" s="287"/>
      <c r="BXG7" s="287"/>
      <c r="BXH7" s="287"/>
      <c r="BXI7" s="287"/>
      <c r="BXJ7" s="287"/>
      <c r="BXK7" s="287"/>
      <c r="BXL7" s="287"/>
      <c r="BXM7" s="287"/>
      <c r="BXN7" s="287"/>
      <c r="BXO7" s="287"/>
      <c r="BXP7" s="287"/>
      <c r="BXQ7" s="287"/>
      <c r="BXR7" s="287"/>
      <c r="BXS7" s="287"/>
      <c r="BXT7" s="287"/>
      <c r="BXU7" s="287"/>
      <c r="BXV7" s="287"/>
      <c r="BXW7" s="287"/>
      <c r="BXX7" s="287"/>
      <c r="BXY7" s="287"/>
      <c r="BXZ7" s="287"/>
      <c r="BYA7" s="287"/>
      <c r="BYB7" s="287"/>
      <c r="BYC7" s="287"/>
      <c r="BYD7" s="287"/>
      <c r="BYE7" s="287"/>
      <c r="BYF7" s="287"/>
      <c r="BYG7" s="287"/>
      <c r="BYH7" s="287"/>
      <c r="BYI7" s="287"/>
      <c r="BYJ7" s="287"/>
      <c r="BYK7" s="287"/>
      <c r="BYL7" s="287"/>
      <c r="BYM7" s="287"/>
      <c r="BYN7" s="287"/>
      <c r="BYO7" s="287"/>
      <c r="BYP7" s="287"/>
      <c r="BYQ7" s="287"/>
      <c r="BYR7" s="287"/>
      <c r="BYS7" s="287"/>
      <c r="BYT7" s="287"/>
      <c r="BYU7" s="287"/>
      <c r="BYV7" s="287"/>
      <c r="BYW7" s="287"/>
      <c r="BYX7" s="287"/>
      <c r="BYY7" s="287"/>
      <c r="BYZ7" s="287"/>
      <c r="BZA7" s="287"/>
      <c r="BZB7" s="287"/>
      <c r="BZC7" s="287"/>
      <c r="BZD7" s="287"/>
      <c r="BZE7" s="287"/>
      <c r="BZF7" s="287"/>
      <c r="BZG7" s="287"/>
      <c r="BZH7" s="287"/>
      <c r="BZI7" s="287"/>
      <c r="BZV7" s="287"/>
      <c r="BZW7" s="287"/>
      <c r="BZX7" s="287"/>
      <c r="BZY7" s="287"/>
      <c r="BZZ7" s="287"/>
      <c r="CAA7" s="287"/>
      <c r="CAB7" s="287"/>
      <c r="CAC7" s="287"/>
      <c r="CAD7" s="287"/>
      <c r="CAE7" s="287"/>
      <c r="CAF7" s="287"/>
      <c r="CAG7" s="287"/>
      <c r="CAH7" s="287"/>
      <c r="CAI7" s="287"/>
      <c r="CAJ7" s="287"/>
      <c r="CAK7" s="287"/>
      <c r="CAL7" s="287"/>
      <c r="CAM7" s="287"/>
      <c r="CAN7" s="287"/>
      <c r="CAO7" s="287"/>
      <c r="CAP7" s="287"/>
      <c r="CAQ7" s="287"/>
      <c r="CAR7" s="287"/>
      <c r="CAS7" s="287"/>
      <c r="CAT7" s="287"/>
      <c r="CAU7" s="287"/>
      <c r="CAV7" s="287"/>
      <c r="CAW7" s="287"/>
      <c r="CAX7" s="287"/>
      <c r="CAY7" s="287"/>
      <c r="CAZ7" s="287"/>
      <c r="CBA7" s="287"/>
      <c r="CBB7" s="287"/>
      <c r="CBC7" s="287"/>
      <c r="CBD7" s="287"/>
      <c r="CBE7" s="287"/>
      <c r="CBF7" s="287"/>
      <c r="CBG7" s="287"/>
      <c r="CBH7" s="287"/>
      <c r="CBI7" s="287"/>
      <c r="CBJ7" s="287"/>
      <c r="CBK7" s="287"/>
      <c r="CBL7" s="287"/>
      <c r="CBM7" s="287"/>
      <c r="CBN7" s="287"/>
      <c r="CBO7" s="287"/>
      <c r="CBP7" s="287"/>
      <c r="CBQ7" s="287"/>
      <c r="CBR7" s="287"/>
      <c r="CBS7" s="287"/>
      <c r="CBT7" s="287"/>
      <c r="CBU7" s="287"/>
      <c r="CBV7" s="287"/>
      <c r="CBW7" s="287"/>
      <c r="CBX7" s="287"/>
      <c r="CBY7" s="287"/>
      <c r="CBZ7" s="287"/>
      <c r="CCA7" s="287"/>
      <c r="CCB7" s="287"/>
      <c r="CCC7" s="287"/>
      <c r="CCD7" s="287"/>
      <c r="CCE7" s="287"/>
      <c r="CCF7" s="287"/>
      <c r="CCG7" s="287"/>
      <c r="CCH7" s="287"/>
      <c r="CCI7" s="287"/>
      <c r="CCJ7" s="287"/>
      <c r="CCK7" s="287"/>
      <c r="CCL7" s="287"/>
      <c r="CCM7" s="287"/>
      <c r="CCN7" s="287"/>
      <c r="CCO7" s="287"/>
      <c r="CCP7" s="287"/>
      <c r="CCQ7" s="287"/>
      <c r="CCR7" s="287"/>
      <c r="CCS7" s="287"/>
      <c r="CCT7" s="287"/>
      <c r="CCU7" s="287"/>
      <c r="CCV7" s="287"/>
      <c r="CCW7" s="287"/>
      <c r="CCX7" s="287"/>
      <c r="CCY7" s="287"/>
      <c r="CCZ7" s="287"/>
      <c r="CDA7" s="287"/>
      <c r="CDB7" s="287"/>
      <c r="CDC7" s="287"/>
      <c r="CDD7" s="287"/>
      <c r="CDE7" s="287"/>
      <c r="CDF7" s="287"/>
      <c r="CDG7" s="287"/>
      <c r="CDH7" s="287"/>
      <c r="CDI7" s="287"/>
      <c r="CDJ7" s="287"/>
      <c r="CDK7" s="287"/>
      <c r="CDL7" s="287"/>
      <c r="CDM7" s="287"/>
      <c r="CDN7" s="287"/>
      <c r="CDO7" s="287"/>
      <c r="CDP7" s="287"/>
      <c r="CDQ7" s="287"/>
      <c r="CDR7" s="287"/>
      <c r="CDS7" s="287"/>
      <c r="CDT7" s="287"/>
      <c r="CDU7" s="287"/>
      <c r="CDV7" s="287"/>
      <c r="CDW7" s="287"/>
      <c r="CDX7" s="287"/>
      <c r="CDY7" s="287"/>
      <c r="CDZ7" s="287"/>
      <c r="CEA7" s="287"/>
      <c r="CEB7" s="287"/>
      <c r="CEC7" s="287"/>
      <c r="CED7" s="287"/>
      <c r="CEE7" s="287"/>
      <c r="CEF7" s="287"/>
      <c r="CEG7" s="287"/>
      <c r="CEH7" s="287"/>
      <c r="CEI7" s="287"/>
      <c r="CEJ7" s="287"/>
      <c r="CEK7" s="287"/>
      <c r="CEL7" s="287"/>
      <c r="CEM7" s="287"/>
      <c r="CEN7" s="287"/>
      <c r="CEO7" s="287"/>
      <c r="CEP7" s="287"/>
      <c r="CEQ7" s="287"/>
      <c r="CER7" s="287"/>
      <c r="CES7" s="287"/>
      <c r="CET7" s="287"/>
      <c r="CEU7" s="287"/>
      <c r="CEV7" s="287"/>
      <c r="CEW7" s="287"/>
      <c r="CEX7" s="287"/>
      <c r="CEY7" s="287"/>
      <c r="CEZ7" s="287"/>
      <c r="CFA7" s="287"/>
      <c r="CFB7" s="287"/>
      <c r="CFC7" s="287"/>
      <c r="CFD7" s="287"/>
      <c r="CFE7" s="287"/>
      <c r="CFF7" s="287"/>
      <c r="CFG7" s="287"/>
      <c r="CFH7" s="287"/>
      <c r="CFI7" s="287"/>
      <c r="CFJ7" s="287"/>
      <c r="CFK7" s="287"/>
      <c r="CFL7" s="287"/>
      <c r="CFM7" s="287"/>
      <c r="CFN7" s="287"/>
      <c r="CFO7" s="287"/>
      <c r="CFP7" s="287"/>
      <c r="CFQ7" s="287"/>
      <c r="CFR7" s="287"/>
      <c r="CFS7" s="287"/>
      <c r="CFT7" s="287"/>
      <c r="CFU7" s="287"/>
      <c r="CFV7" s="287"/>
      <c r="CFW7" s="287"/>
      <c r="CFX7" s="287"/>
      <c r="CFY7" s="287"/>
      <c r="CFZ7" s="287"/>
      <c r="CGA7" s="287"/>
      <c r="CGB7" s="287"/>
      <c r="CGC7" s="287"/>
      <c r="CGD7" s="287"/>
      <c r="CGE7" s="287"/>
      <c r="CGF7" s="287"/>
      <c r="CGG7" s="287"/>
      <c r="CGH7" s="287"/>
      <c r="CGI7" s="287"/>
      <c r="CGJ7" s="287"/>
      <c r="CGK7" s="287"/>
      <c r="CGL7" s="287"/>
      <c r="CGM7" s="287"/>
      <c r="CGN7" s="287"/>
      <c r="CGO7" s="287"/>
      <c r="CGP7" s="287"/>
      <c r="CGQ7" s="287"/>
      <c r="CGR7" s="287"/>
      <c r="CGS7" s="287"/>
      <c r="CGT7" s="287"/>
      <c r="CGU7" s="287"/>
      <c r="CGV7" s="287"/>
      <c r="CGW7" s="287"/>
      <c r="CGX7" s="287"/>
      <c r="CGY7" s="287"/>
      <c r="CGZ7" s="287"/>
      <c r="CHA7" s="287"/>
      <c r="CHB7" s="287"/>
      <c r="CHC7" s="287"/>
      <c r="CHD7" s="287"/>
      <c r="CHE7" s="287"/>
      <c r="CHF7" s="287"/>
      <c r="CHG7" s="287"/>
      <c r="CHH7" s="287"/>
      <c r="CHI7" s="287"/>
      <c r="CHJ7" s="287"/>
      <c r="CHK7" s="287"/>
      <c r="CHL7" s="287"/>
      <c r="CHM7" s="287"/>
      <c r="CHN7" s="287"/>
      <c r="CHO7" s="287"/>
      <c r="CHP7" s="287"/>
      <c r="CHQ7" s="287"/>
      <c r="CHR7" s="287"/>
      <c r="CHS7" s="287"/>
      <c r="CHT7" s="287"/>
      <c r="CHU7" s="287"/>
      <c r="CHV7" s="287"/>
      <c r="CHW7" s="287"/>
      <c r="CHX7" s="287"/>
      <c r="CHY7" s="287"/>
      <c r="CHZ7" s="287"/>
      <c r="CIA7" s="287"/>
      <c r="CIB7" s="287"/>
      <c r="CIC7" s="287"/>
      <c r="CID7" s="287"/>
      <c r="CIE7" s="287"/>
      <c r="CIF7" s="287"/>
      <c r="CIG7" s="287"/>
      <c r="CIH7" s="287"/>
      <c r="CII7" s="287"/>
      <c r="CIJ7" s="287"/>
      <c r="CIK7" s="287"/>
      <c r="CIL7" s="287"/>
      <c r="CIM7" s="287"/>
      <c r="CIN7" s="287"/>
      <c r="CIO7" s="287"/>
      <c r="CIP7" s="287"/>
      <c r="CIQ7" s="287"/>
      <c r="CIR7" s="287"/>
      <c r="CIS7" s="287"/>
      <c r="CIT7" s="287"/>
      <c r="CIU7" s="287"/>
      <c r="CIV7" s="287"/>
      <c r="CIW7" s="287"/>
      <c r="CIX7" s="287"/>
      <c r="CIY7" s="287"/>
      <c r="CIZ7" s="287"/>
      <c r="CJA7" s="287"/>
      <c r="CJB7" s="287"/>
      <c r="CJC7" s="287"/>
      <c r="CJD7" s="287"/>
      <c r="CJE7" s="287"/>
      <c r="CJF7" s="287"/>
      <c r="CJG7" s="287"/>
      <c r="CJH7" s="287"/>
      <c r="CJI7" s="287"/>
      <c r="CJJ7" s="287"/>
      <c r="CJK7" s="287"/>
      <c r="CJL7" s="287"/>
      <c r="CJM7" s="287"/>
      <c r="CJN7" s="287"/>
      <c r="CJO7" s="287"/>
      <c r="CJP7" s="287"/>
      <c r="CJQ7" s="287"/>
      <c r="CJR7" s="287"/>
      <c r="CJS7" s="287"/>
      <c r="CJT7" s="287"/>
      <c r="CJU7" s="287"/>
      <c r="CJV7" s="287"/>
      <c r="CJW7" s="287"/>
      <c r="CJX7" s="287"/>
      <c r="CJY7" s="287"/>
      <c r="CJZ7" s="287"/>
      <c r="CKA7" s="287"/>
      <c r="CKB7" s="287"/>
      <c r="CKC7" s="287"/>
      <c r="CKD7" s="287"/>
      <c r="CKE7" s="287"/>
      <c r="CKF7" s="287"/>
      <c r="CKG7" s="287"/>
      <c r="CKH7" s="287"/>
      <c r="CKI7" s="287"/>
      <c r="CKJ7" s="287"/>
      <c r="CKK7" s="287"/>
      <c r="CKL7" s="287"/>
      <c r="CKM7" s="287"/>
      <c r="CKN7" s="287"/>
      <c r="CKO7" s="287"/>
      <c r="CKP7" s="287"/>
      <c r="CKQ7" s="287"/>
      <c r="CKR7" s="287"/>
      <c r="CKS7" s="287"/>
      <c r="CKT7" s="287"/>
      <c r="CKU7" s="287"/>
      <c r="CKV7" s="287"/>
      <c r="CKW7" s="287"/>
      <c r="CKX7" s="287"/>
      <c r="CKY7" s="287"/>
      <c r="CKZ7" s="287"/>
      <c r="CLA7" s="287"/>
      <c r="CLB7" s="287"/>
      <c r="CLC7" s="287"/>
      <c r="CLD7" s="287"/>
      <c r="CLE7" s="287"/>
      <c r="CLF7" s="287"/>
      <c r="CLG7" s="287"/>
      <c r="CLH7" s="287"/>
      <c r="CLI7" s="287"/>
      <c r="CLJ7" s="287"/>
      <c r="CLK7" s="287"/>
      <c r="CLL7" s="287"/>
      <c r="CLM7" s="287"/>
      <c r="CLN7" s="287"/>
      <c r="CLO7" s="287"/>
      <c r="CLP7" s="287"/>
      <c r="CLQ7" s="287"/>
      <c r="CLR7" s="287"/>
      <c r="CLS7" s="287"/>
      <c r="CLT7" s="287"/>
      <c r="CLU7" s="287"/>
      <c r="CLV7" s="287"/>
      <c r="CLW7" s="287"/>
      <c r="CLX7" s="287"/>
      <c r="CLY7" s="287"/>
      <c r="CLZ7" s="287"/>
      <c r="CMA7" s="287"/>
      <c r="CMB7" s="287"/>
      <c r="CMC7" s="287"/>
      <c r="CMD7" s="287"/>
      <c r="CME7" s="287"/>
      <c r="CMF7" s="287"/>
      <c r="CMG7" s="287"/>
      <c r="CMH7" s="287"/>
      <c r="CMI7" s="287"/>
      <c r="CMJ7" s="287"/>
      <c r="CMK7" s="287"/>
      <c r="CML7" s="287"/>
      <c r="CMM7" s="287"/>
      <c r="CMN7" s="287"/>
      <c r="CMO7" s="287"/>
      <c r="CMP7" s="287"/>
      <c r="CMQ7" s="287"/>
      <c r="CMR7" s="287"/>
      <c r="CMS7" s="287"/>
      <c r="CMT7" s="287"/>
      <c r="CMU7" s="287"/>
      <c r="CMV7" s="287"/>
      <c r="CMW7" s="287"/>
      <c r="CMX7" s="287"/>
      <c r="CMY7" s="287"/>
      <c r="CMZ7" s="287"/>
      <c r="CNA7" s="287"/>
      <c r="CNB7" s="287"/>
      <c r="CNC7" s="287"/>
      <c r="CND7" s="287"/>
      <c r="CNE7" s="287"/>
      <c r="CNF7" s="287"/>
      <c r="CNG7" s="287"/>
      <c r="CNH7" s="287"/>
      <c r="CNI7" s="287"/>
      <c r="CNJ7" s="287"/>
      <c r="CNK7" s="287"/>
      <c r="CNL7" s="287"/>
      <c r="CNM7" s="287"/>
      <c r="CNN7" s="287"/>
      <c r="CNO7" s="287"/>
      <c r="CNP7" s="287"/>
      <c r="CNQ7" s="287"/>
      <c r="CNR7" s="287"/>
      <c r="CNS7" s="287"/>
      <c r="CNT7" s="287"/>
      <c r="CNU7" s="287"/>
      <c r="CNV7" s="287"/>
      <c r="CNW7" s="287"/>
      <c r="CNX7" s="133"/>
      <c r="CNY7" s="133"/>
      <c r="CNZ7" s="133"/>
      <c r="COA7" s="133"/>
      <c r="COB7" s="133"/>
      <c r="COC7" s="133"/>
      <c r="COD7" s="133"/>
      <c r="COE7" s="133"/>
      <c r="COF7" s="133"/>
      <c r="COG7" s="133"/>
      <c r="COH7" s="133"/>
      <c r="COI7" s="133"/>
      <c r="COJ7" s="133"/>
      <c r="COK7" s="133"/>
      <c r="COL7" s="133"/>
      <c r="COM7" s="133"/>
      <c r="CON7" s="133"/>
      <c r="COO7" s="133"/>
      <c r="COP7" s="133"/>
      <c r="COQ7" s="133"/>
      <c r="COR7" s="133"/>
      <c r="COS7" s="133"/>
      <c r="COT7" s="133"/>
      <c r="COU7" s="133"/>
      <c r="COV7" s="133"/>
      <c r="COW7" s="133"/>
      <c r="COX7" s="133"/>
      <c r="COY7" s="133"/>
      <c r="COZ7" s="133"/>
      <c r="CPA7" s="133"/>
      <c r="CPB7" s="133"/>
      <c r="CPC7" s="133"/>
      <c r="CPD7" s="133"/>
      <c r="CPE7" s="133"/>
      <c r="CPF7" s="133"/>
      <c r="CPG7" s="133"/>
      <c r="CPH7" s="133"/>
      <c r="CPI7" s="133"/>
      <c r="CPJ7" s="133"/>
      <c r="CPK7" s="133"/>
      <c r="CPL7" s="133"/>
      <c r="CPM7" s="133"/>
      <c r="CPN7" s="133"/>
      <c r="CPO7" s="133"/>
      <c r="CPP7" s="133"/>
      <c r="CPQ7" s="133"/>
      <c r="CPR7" s="133"/>
      <c r="CPS7" s="133"/>
      <c r="CPT7" s="133"/>
      <c r="CPU7" s="133"/>
      <c r="CPV7" s="133"/>
      <c r="CPW7" s="133"/>
      <c r="CPX7" s="133"/>
      <c r="CPY7" s="133"/>
      <c r="CPZ7" s="133"/>
      <c r="CQA7" s="133"/>
      <c r="CQB7" s="133"/>
      <c r="CQC7" s="133"/>
      <c r="CQD7" s="133"/>
      <c r="CQE7" s="133"/>
      <c r="CQF7" s="133"/>
      <c r="CQG7" s="133"/>
      <c r="CQH7" s="133"/>
      <c r="CQI7" s="133"/>
      <c r="CQJ7" s="133"/>
      <c r="CQK7" s="133"/>
      <c r="CQL7" s="133"/>
      <c r="CQM7" s="133"/>
      <c r="CQN7" s="133"/>
      <c r="CQO7" s="133"/>
      <c r="CQP7" s="133"/>
      <c r="CQQ7" s="133"/>
      <c r="CQR7" s="133"/>
      <c r="CQS7" s="133"/>
      <c r="CQT7" s="133"/>
      <c r="CQU7" s="133"/>
      <c r="CQV7" s="133"/>
      <c r="CQW7" s="133"/>
      <c r="CQX7" s="133"/>
      <c r="CQY7" s="133"/>
      <c r="CQZ7" s="133"/>
      <c r="CRA7" s="133"/>
      <c r="CRB7" s="133"/>
      <c r="CRC7" s="133"/>
      <c r="CRD7" s="133"/>
      <c r="CRE7" s="133"/>
      <c r="CRF7" s="133"/>
      <c r="CRG7" s="133"/>
      <c r="CRH7" s="133"/>
      <c r="CRI7" s="133"/>
      <c r="CRJ7" s="133"/>
      <c r="CRK7" s="133"/>
      <c r="CRL7" s="133"/>
      <c r="CRM7" s="133"/>
      <c r="CRN7" s="133"/>
      <c r="CRO7" s="133"/>
      <c r="CRP7" s="133"/>
      <c r="CRQ7" s="133"/>
      <c r="CRR7" s="133"/>
      <c r="CRS7" s="133"/>
      <c r="CRT7" s="133"/>
      <c r="CRU7" s="133"/>
      <c r="CRV7" s="133"/>
      <c r="CRW7" s="133"/>
      <c r="CRX7" s="133"/>
      <c r="CRY7" s="133"/>
      <c r="CRZ7" s="133"/>
      <c r="CSA7" s="133"/>
      <c r="CSB7" s="133"/>
      <c r="CSC7" s="133"/>
      <c r="CSD7" s="133"/>
      <c r="CSE7" s="133"/>
      <c r="CSF7" s="133"/>
      <c r="CSG7" s="133"/>
      <c r="CSH7" s="133"/>
      <c r="CSI7" s="133"/>
      <c r="CSJ7" s="133"/>
      <c r="CSK7" s="133"/>
      <c r="CSL7" s="133"/>
      <c r="CSM7" s="133"/>
      <c r="CSN7" s="133"/>
      <c r="CSO7" s="133"/>
      <c r="CSP7" s="133"/>
      <c r="CSQ7" s="133"/>
      <c r="CSR7" s="133"/>
      <c r="CSS7" s="133"/>
      <c r="CST7" s="133"/>
      <c r="CSU7" s="133"/>
      <c r="CSV7" s="133"/>
      <c r="CSW7" s="133"/>
      <c r="CSX7" s="133"/>
      <c r="CSY7" s="133"/>
      <c r="CSZ7" s="133"/>
      <c r="CTA7" s="133"/>
      <c r="CTB7" s="133"/>
      <c r="CTC7" s="133"/>
      <c r="CTD7" s="133"/>
      <c r="CTE7" s="133"/>
      <c r="CTF7" s="133"/>
      <c r="CTG7" s="133"/>
      <c r="CTH7" s="133"/>
      <c r="CTI7" s="133"/>
      <c r="CTJ7" s="133"/>
      <c r="CTK7" s="133"/>
      <c r="CTL7" s="133"/>
      <c r="CTM7" s="133"/>
      <c r="CTN7" s="133"/>
      <c r="CTO7" s="133"/>
      <c r="CTP7" s="133"/>
      <c r="CTQ7" s="133"/>
      <c r="CTR7" s="133"/>
      <c r="CTS7" s="133"/>
      <c r="CTT7" s="133"/>
      <c r="CTU7" s="133"/>
      <c r="CTV7" s="133"/>
      <c r="CTW7" s="133"/>
      <c r="CTX7" s="133"/>
      <c r="CTY7" s="133"/>
      <c r="CTZ7" s="133"/>
      <c r="CUA7" s="133"/>
      <c r="CUB7" s="133"/>
      <c r="CUC7" s="133"/>
      <c r="CUD7" s="133"/>
      <c r="CUE7" s="133"/>
      <c r="CUF7" s="133"/>
      <c r="CUG7" s="133"/>
      <c r="CUH7" s="133"/>
      <c r="CUI7" s="133"/>
      <c r="CUJ7" s="133"/>
      <c r="CUK7" s="133"/>
      <c r="CUL7" s="133"/>
      <c r="CUM7" s="133"/>
      <c r="CUN7" s="133"/>
      <c r="CUO7" s="133"/>
      <c r="CUP7" s="133"/>
      <c r="CUQ7" s="133"/>
      <c r="CUR7" s="133"/>
      <c r="CUS7" s="133"/>
      <c r="CUT7" s="133"/>
      <c r="CUU7" s="133"/>
      <c r="CUV7" s="133"/>
      <c r="CUW7" s="133"/>
      <c r="CUX7" s="133"/>
      <c r="CUY7" s="133"/>
      <c r="CUZ7" s="133"/>
      <c r="CVA7" s="133"/>
      <c r="CVB7" s="133"/>
      <c r="CVC7" s="133"/>
      <c r="CVD7" s="133"/>
      <c r="CVE7" s="133"/>
      <c r="CVF7" s="133"/>
      <c r="CVG7" s="133"/>
      <c r="CVH7" s="133"/>
      <c r="CVI7" s="133"/>
      <c r="CVJ7" s="133"/>
      <c r="CVK7" s="133"/>
      <c r="CVL7" s="133"/>
      <c r="CVM7" s="133"/>
      <c r="CVN7" s="133"/>
      <c r="CVO7" s="133"/>
      <c r="CVP7" s="133"/>
      <c r="CVQ7" s="133"/>
      <c r="CVR7" s="133"/>
      <c r="CVS7" s="133"/>
      <c r="CVT7" s="133"/>
      <c r="CVU7" s="133"/>
      <c r="CVV7" s="133"/>
      <c r="CVW7" s="133"/>
      <c r="CVX7" s="133"/>
      <c r="CVY7" s="133"/>
      <c r="CVZ7" s="133"/>
      <c r="CWA7" s="133"/>
      <c r="CWB7" s="133"/>
      <c r="CWC7" s="133"/>
      <c r="CWD7" s="133"/>
      <c r="CWE7" s="133"/>
      <c r="CWF7" s="133"/>
      <c r="CWG7" s="133"/>
      <c r="CWH7" s="133"/>
      <c r="CWI7" s="133"/>
      <c r="CWJ7" s="133"/>
      <c r="CWK7" s="133"/>
      <c r="CWL7" s="133"/>
      <c r="CWM7" s="133"/>
      <c r="CWN7" s="133"/>
      <c r="CWO7" s="133"/>
      <c r="CWP7" s="133"/>
      <c r="CWQ7" s="133"/>
      <c r="CWR7" s="133"/>
      <c r="CWS7" s="133"/>
      <c r="CWT7" s="133"/>
      <c r="CWU7" s="133"/>
      <c r="CWV7" s="133"/>
      <c r="CWW7" s="133"/>
      <c r="CWX7" s="133"/>
      <c r="CWY7" s="133"/>
      <c r="CWZ7" s="133"/>
      <c r="CXA7" s="133"/>
      <c r="CXB7" s="133"/>
      <c r="CXC7" s="133"/>
      <c r="CXD7" s="133"/>
      <c r="CXE7" s="133"/>
      <c r="CXF7" s="133"/>
      <c r="CXG7" s="133"/>
      <c r="CXH7" s="133"/>
      <c r="CXI7" s="133"/>
      <c r="CXJ7" s="133"/>
      <c r="CXK7" s="133"/>
      <c r="CXL7" s="133"/>
      <c r="CXM7" s="133"/>
      <c r="CXN7" s="133"/>
      <c r="CXO7" s="133"/>
      <c r="CXP7" s="133"/>
      <c r="CXQ7" s="133"/>
      <c r="CXR7" s="133"/>
      <c r="CXS7" s="133"/>
      <c r="CXT7" s="133"/>
      <c r="CXU7" s="133"/>
      <c r="CXV7" s="133"/>
      <c r="CXW7" s="133"/>
      <c r="CXX7" s="133"/>
      <c r="CXY7" s="133"/>
      <c r="CXZ7" s="133"/>
      <c r="CYA7" s="133"/>
      <c r="CYB7" s="133"/>
      <c r="CYC7" s="133"/>
      <c r="CYD7" s="133"/>
      <c r="CYE7" s="133"/>
      <c r="CYF7" s="133"/>
      <c r="CYG7" s="133"/>
      <c r="CYH7" s="133"/>
      <c r="CYI7" s="133"/>
      <c r="CYJ7" s="133"/>
      <c r="CYK7" s="133"/>
      <c r="CYL7" s="133"/>
      <c r="CYM7" s="133"/>
      <c r="CYN7" s="133"/>
      <c r="CYO7" s="133"/>
      <c r="CYP7" s="133"/>
      <c r="CYQ7" s="133"/>
      <c r="CYR7" s="133"/>
      <c r="CYS7" s="133"/>
      <c r="CYT7" s="133"/>
      <c r="CYU7" s="133"/>
      <c r="CYV7" s="133"/>
      <c r="CYW7" s="133"/>
      <c r="CYX7" s="133"/>
      <c r="CYY7" s="133"/>
      <c r="CYZ7" s="133"/>
      <c r="CZA7" s="133"/>
      <c r="CZB7" s="133"/>
      <c r="CZC7" s="133"/>
      <c r="CZD7" s="133"/>
      <c r="CZE7" s="133"/>
      <c r="CZF7" s="133"/>
      <c r="CZG7" s="133"/>
      <c r="CZH7" s="133"/>
      <c r="CZI7" s="133"/>
      <c r="CZJ7" s="133"/>
      <c r="CZK7" s="133"/>
      <c r="CZL7" s="133"/>
      <c r="CZM7" s="133"/>
      <c r="CZN7" s="133"/>
      <c r="CZO7" s="133"/>
      <c r="CZP7" s="133"/>
      <c r="CZQ7" s="133"/>
      <c r="CZR7" s="133"/>
      <c r="CZS7" s="133"/>
      <c r="CZT7" s="133"/>
      <c r="CZU7" s="133"/>
      <c r="CZV7" s="133"/>
      <c r="CZW7" s="133"/>
      <c r="CZX7" s="133"/>
      <c r="CZY7" s="133"/>
      <c r="CZZ7" s="133"/>
      <c r="DAA7" s="133"/>
      <c r="DAB7" s="133"/>
      <c r="DAC7" s="133"/>
      <c r="DAD7" s="133"/>
      <c r="DAE7" s="133"/>
      <c r="DAF7" s="133"/>
      <c r="DAG7" s="133"/>
      <c r="DAH7" s="133"/>
      <c r="DAI7" s="133"/>
      <c r="DAJ7" s="133"/>
      <c r="DAK7" s="133"/>
      <c r="DAL7" s="133"/>
      <c r="DAM7" s="133"/>
      <c r="DAN7" s="133"/>
      <c r="DAO7" s="133"/>
      <c r="DAP7" s="133"/>
      <c r="DAQ7" s="133"/>
      <c r="DAR7" s="133"/>
      <c r="DAS7" s="133"/>
      <c r="DAT7" s="133"/>
      <c r="DAU7" s="133"/>
      <c r="DAV7" s="133"/>
      <c r="DAW7" s="133"/>
      <c r="DAX7" s="133"/>
      <c r="DAY7" s="133"/>
      <c r="DAZ7" s="133"/>
      <c r="DBA7" s="133"/>
      <c r="DBB7" s="133"/>
      <c r="DBC7" s="133"/>
      <c r="DBD7" s="133"/>
      <c r="DBE7" s="133"/>
      <c r="DBF7" s="133"/>
      <c r="DBG7" s="133"/>
      <c r="DBH7" s="133"/>
      <c r="DBI7" s="133"/>
      <c r="DBJ7" s="133"/>
      <c r="DBK7" s="133"/>
      <c r="DBL7" s="133"/>
      <c r="DBM7" s="133"/>
      <c r="DBN7" s="133"/>
      <c r="DBO7" s="133"/>
      <c r="DBP7" s="133"/>
      <c r="DBQ7" s="133"/>
      <c r="DBR7" s="133"/>
      <c r="DBS7" s="133"/>
      <c r="DBT7" s="133"/>
      <c r="DBU7" s="133"/>
      <c r="DBV7" s="133"/>
      <c r="DBW7" s="133"/>
      <c r="DBX7" s="133"/>
      <c r="DBY7" s="133"/>
      <c r="DBZ7" s="133"/>
      <c r="DCA7" s="133"/>
      <c r="DCB7" s="133"/>
      <c r="DCC7" s="133"/>
      <c r="DCD7" s="133"/>
      <c r="DCE7" s="133"/>
      <c r="DCF7" s="133"/>
      <c r="DCG7" s="133"/>
      <c r="DCH7" s="133"/>
      <c r="DCI7" s="133"/>
      <c r="DCJ7" s="133"/>
      <c r="DCK7" s="133"/>
      <c r="DCL7" s="133"/>
      <c r="DCM7" s="133"/>
      <c r="DCN7" s="133"/>
      <c r="DCO7" s="133"/>
      <c r="DCP7" s="133"/>
      <c r="DCQ7" s="133"/>
      <c r="DCR7" s="133"/>
      <c r="DCS7" s="133"/>
      <c r="DCT7" s="133"/>
      <c r="DCU7" s="133"/>
      <c r="DCV7" s="133"/>
      <c r="DCW7" s="133"/>
      <c r="DCX7" s="133"/>
      <c r="DCY7" s="133"/>
      <c r="DCZ7" s="133"/>
      <c r="DDA7" s="133"/>
      <c r="DDB7" s="133"/>
      <c r="DDC7" s="133"/>
      <c r="DDD7" s="133"/>
      <c r="DDE7" s="133"/>
      <c r="DDF7" s="133"/>
      <c r="DDG7" s="133"/>
      <c r="DDH7" s="133"/>
      <c r="DDI7" s="133"/>
      <c r="DDJ7" s="133"/>
      <c r="DDK7" s="133"/>
      <c r="DDL7" s="133"/>
      <c r="DDM7" s="133"/>
      <c r="DDN7" s="133"/>
      <c r="DDO7" s="133"/>
      <c r="DDP7" s="133"/>
      <c r="DDQ7" s="133"/>
      <c r="DDR7" s="133"/>
      <c r="DDS7" s="133"/>
      <c r="DDT7" s="133"/>
      <c r="DDU7" s="133"/>
      <c r="DDV7" s="133"/>
      <c r="DDW7" s="133"/>
      <c r="DDX7" s="133"/>
      <c r="DDY7" s="133"/>
      <c r="DDZ7" s="133"/>
      <c r="DEA7" s="133"/>
      <c r="DEB7" s="133"/>
      <c r="DEC7" s="133"/>
      <c r="DED7" s="133"/>
      <c r="DEE7" s="133"/>
      <c r="DEF7" s="133"/>
      <c r="DEG7" s="133"/>
      <c r="DEH7" s="133"/>
      <c r="DEI7" s="133"/>
      <c r="DEJ7" s="133"/>
      <c r="DEK7" s="133"/>
      <c r="DEL7" s="133"/>
      <c r="DEM7" s="133"/>
      <c r="DEN7" s="133"/>
      <c r="DEO7" s="133"/>
      <c r="DEP7" s="133"/>
      <c r="DEQ7" s="133"/>
      <c r="DER7" s="133"/>
      <c r="DES7" s="133"/>
      <c r="DET7" s="133"/>
      <c r="DEU7" s="133"/>
      <c r="DEV7" s="133"/>
      <c r="DEW7" s="133"/>
      <c r="DEX7" s="133"/>
      <c r="DEY7" s="133"/>
      <c r="DEZ7" s="133"/>
      <c r="DFA7" s="133"/>
      <c r="DFB7" s="133"/>
      <c r="DFC7" s="133"/>
      <c r="DFD7" s="133"/>
      <c r="DFE7" s="133"/>
      <c r="DFF7" s="133"/>
      <c r="DFG7" s="133"/>
      <c r="DFH7" s="133"/>
      <c r="DFI7" s="133"/>
      <c r="DFJ7" s="133"/>
      <c r="DFK7" s="133"/>
      <c r="DFL7" s="133"/>
      <c r="DFM7" s="133"/>
      <c r="DFN7" s="133"/>
      <c r="DFO7" s="133"/>
      <c r="DFP7" s="133"/>
      <c r="DFQ7" s="133"/>
      <c r="DFR7" s="133"/>
      <c r="DFS7" s="133"/>
      <c r="DFT7" s="133"/>
      <c r="DFU7" s="133"/>
      <c r="DFV7" s="133"/>
      <c r="DFW7" s="133"/>
      <c r="DFX7" s="133"/>
      <c r="DFY7" s="133"/>
      <c r="DFZ7" s="133"/>
      <c r="DGA7" s="133"/>
      <c r="DGB7" s="133"/>
      <c r="DGC7" s="133"/>
      <c r="DGD7" s="133"/>
      <c r="DGE7" s="133"/>
      <c r="DGF7" s="133"/>
      <c r="DGG7" s="133"/>
      <c r="DGH7" s="133"/>
      <c r="DGI7" s="133"/>
      <c r="DGJ7" s="133"/>
      <c r="DGK7" s="133"/>
      <c r="DGL7" s="133"/>
      <c r="DGM7" s="133"/>
      <c r="DGN7" s="133"/>
      <c r="DGO7" s="133"/>
      <c r="DGP7" s="133"/>
      <c r="DGQ7" s="133"/>
      <c r="DGR7" s="133"/>
      <c r="DGS7" s="133"/>
      <c r="DGT7" s="133"/>
      <c r="DGU7" s="133"/>
      <c r="DGV7" s="133"/>
      <c r="DGW7" s="133"/>
      <c r="DGX7" s="133"/>
      <c r="DGY7" s="133"/>
      <c r="DGZ7" s="133"/>
      <c r="DHA7" s="133"/>
      <c r="DHB7" s="133"/>
      <c r="DHC7" s="133"/>
      <c r="DHD7" s="133"/>
      <c r="DHE7" s="133"/>
      <c r="DHF7" s="133"/>
      <c r="DHG7" s="133"/>
      <c r="DHH7" s="133"/>
      <c r="DHI7" s="133"/>
      <c r="DHJ7" s="133"/>
      <c r="DHK7" s="133"/>
      <c r="DHL7" s="133"/>
      <c r="DHM7" s="133"/>
      <c r="DHN7" s="133"/>
      <c r="DHO7" s="133"/>
      <c r="DHP7" s="133"/>
      <c r="DHQ7" s="133"/>
      <c r="DHR7" s="133"/>
      <c r="DHS7" s="133"/>
      <c r="DHT7" s="133"/>
      <c r="DHU7" s="133"/>
      <c r="DHV7" s="133"/>
      <c r="DHW7" s="133"/>
      <c r="DHX7" s="133"/>
      <c r="DHY7" s="133"/>
      <c r="DHZ7" s="133"/>
      <c r="DIA7" s="133"/>
      <c r="DIB7" s="133"/>
      <c r="DIC7" s="133"/>
      <c r="DID7" s="133"/>
      <c r="DIE7" s="133"/>
      <c r="DIF7" s="133"/>
      <c r="DIG7" s="133"/>
      <c r="DIH7" s="133"/>
      <c r="DII7" s="133"/>
      <c r="DIJ7" s="133"/>
      <c r="DIK7" s="133"/>
      <c r="DIL7" s="133"/>
      <c r="DIM7" s="133"/>
      <c r="DIN7" s="133"/>
      <c r="DIO7" s="133"/>
      <c r="DIP7" s="133"/>
      <c r="DIQ7" s="133"/>
      <c r="DIR7" s="133"/>
      <c r="DIS7" s="133"/>
      <c r="DIT7" s="133"/>
      <c r="DIU7" s="133"/>
      <c r="DIV7" s="133"/>
      <c r="DIW7" s="133"/>
      <c r="DIX7" s="133"/>
      <c r="DIY7" s="133"/>
      <c r="DIZ7" s="133"/>
      <c r="DJA7" s="133"/>
      <c r="DJB7" s="133"/>
      <c r="DJC7" s="133"/>
      <c r="DJD7" s="133"/>
      <c r="DJE7" s="133"/>
      <c r="DJF7" s="133"/>
      <c r="DJG7" s="133"/>
      <c r="DJH7" s="133"/>
      <c r="DJI7" s="133"/>
      <c r="DJJ7" s="133"/>
      <c r="DJK7" s="133"/>
      <c r="DJL7" s="133"/>
      <c r="DJM7" s="133"/>
      <c r="DJN7" s="133"/>
      <c r="DJO7" s="133"/>
      <c r="DJP7" s="133"/>
      <c r="DJQ7" s="133"/>
      <c r="DJR7" s="133"/>
      <c r="DJS7" s="133"/>
      <c r="DJT7" s="133"/>
      <c r="DJU7" s="133"/>
      <c r="DJV7" s="133"/>
      <c r="DJW7" s="133"/>
      <c r="DJX7" s="133"/>
      <c r="DJY7" s="133"/>
      <c r="DJZ7" s="133"/>
      <c r="DKA7" s="133"/>
      <c r="DKB7" s="133"/>
      <c r="DKC7" s="133"/>
      <c r="DKD7" s="133"/>
      <c r="DKE7" s="133"/>
      <c r="DKF7" s="133"/>
      <c r="DKG7" s="133"/>
      <c r="DKH7" s="133"/>
      <c r="DKI7" s="133"/>
      <c r="DKJ7" s="133"/>
      <c r="DKK7" s="133"/>
      <c r="DKL7" s="133"/>
      <c r="DKM7" s="133"/>
      <c r="DKN7" s="133"/>
      <c r="DKO7" s="133"/>
      <c r="DKP7" s="133"/>
      <c r="DKQ7" s="133"/>
      <c r="DKR7" s="133"/>
      <c r="DKS7" s="133"/>
      <c r="DKT7" s="133"/>
      <c r="DKU7" s="133"/>
      <c r="DKV7" s="133"/>
      <c r="DKW7" s="133"/>
      <c r="DKX7" s="133"/>
      <c r="DKY7" s="133"/>
      <c r="DKZ7" s="133"/>
      <c r="DLA7" s="133"/>
      <c r="DLB7" s="133"/>
      <c r="DLC7" s="133"/>
      <c r="DLD7" s="133"/>
      <c r="DLE7" s="133"/>
      <c r="DLF7" s="133"/>
      <c r="DLG7" s="133"/>
      <c r="DLH7" s="133"/>
      <c r="DLI7" s="133"/>
      <c r="DLJ7" s="133"/>
      <c r="DLK7" s="133"/>
      <c r="DLL7" s="133"/>
      <c r="DLM7" s="133"/>
      <c r="DLN7" s="133"/>
      <c r="DLO7" s="133"/>
      <c r="DLP7" s="133"/>
      <c r="DLQ7" s="133"/>
      <c r="DLR7" s="133"/>
      <c r="DLS7" s="133"/>
      <c r="DLT7" s="133"/>
      <c r="DLU7" s="133"/>
      <c r="DLV7" s="133"/>
      <c r="DLW7" s="133"/>
      <c r="DLX7" s="133"/>
      <c r="DLY7" s="133"/>
      <c r="DLZ7" s="133"/>
      <c r="DMA7" s="133"/>
      <c r="DMB7" s="133"/>
      <c r="DMC7" s="133"/>
      <c r="DMD7" s="133"/>
      <c r="DME7" s="133"/>
      <c r="DMF7" s="133"/>
      <c r="DMG7" s="133"/>
      <c r="DMH7" s="133"/>
      <c r="DMI7" s="133"/>
      <c r="DMJ7" s="133"/>
      <c r="DMK7" s="133"/>
      <c r="DML7" s="133"/>
      <c r="DMM7" s="133"/>
      <c r="DMN7" s="133"/>
      <c r="DMO7" s="133"/>
      <c r="DMP7" s="133"/>
      <c r="DMQ7" s="133"/>
      <c r="DMR7" s="133"/>
      <c r="DMS7" s="133"/>
      <c r="DNF7" s="133"/>
      <c r="DNG7" s="133"/>
      <c r="DNH7" s="133"/>
      <c r="DNI7" s="133"/>
      <c r="DNJ7" s="133"/>
      <c r="DNK7" s="133"/>
      <c r="DNL7" s="133"/>
      <c r="DNM7" s="133"/>
      <c r="DNN7" s="133"/>
      <c r="DNO7" s="133"/>
      <c r="DNP7" s="133"/>
      <c r="DNQ7" s="133"/>
      <c r="DNR7" s="133"/>
      <c r="DNS7" s="133"/>
      <c r="DNT7" s="133"/>
      <c r="DNU7" s="133"/>
      <c r="DNV7" s="133"/>
      <c r="DNW7" s="133"/>
      <c r="DNX7" s="133"/>
      <c r="DNY7" s="133"/>
      <c r="DNZ7" s="133"/>
      <c r="DOA7" s="133"/>
      <c r="DOB7" s="133"/>
      <c r="DOC7" s="133"/>
      <c r="DOD7" s="133"/>
      <c r="DOE7" s="133"/>
      <c r="DOF7" s="133"/>
      <c r="DOG7" s="133"/>
      <c r="DOH7" s="133"/>
      <c r="DOI7" s="133"/>
      <c r="DOJ7" s="133"/>
      <c r="DOK7" s="133"/>
      <c r="DOL7" s="133"/>
      <c r="DOM7" s="133"/>
      <c r="DON7" s="133"/>
      <c r="DOO7" s="133"/>
      <c r="DOP7" s="133"/>
      <c r="DOQ7" s="133"/>
      <c r="DOR7" s="133"/>
      <c r="DOS7" s="133"/>
      <c r="DOT7" s="133"/>
      <c r="DOU7" s="133"/>
      <c r="DOV7" s="133"/>
      <c r="DOW7" s="133"/>
      <c r="DOX7" s="133"/>
      <c r="DOY7" s="133"/>
      <c r="DOZ7" s="133"/>
      <c r="DPA7" s="133"/>
      <c r="DPB7" s="133"/>
      <c r="DPC7" s="133"/>
      <c r="DPD7" s="133"/>
      <c r="DPE7" s="133"/>
      <c r="DPF7" s="133"/>
      <c r="DPG7" s="133"/>
      <c r="DPH7" s="133"/>
      <c r="DPI7" s="133"/>
      <c r="DPJ7" s="133"/>
      <c r="DPK7" s="133"/>
      <c r="DPL7" s="133"/>
      <c r="DPM7" s="133"/>
      <c r="DPN7" s="133"/>
      <c r="DPO7" s="133"/>
      <c r="DPP7" s="133"/>
      <c r="DPQ7" s="133"/>
      <c r="DPR7" s="133"/>
      <c r="DPS7" s="133"/>
      <c r="DPT7" s="133"/>
      <c r="DPU7" s="133"/>
      <c r="DPV7" s="133"/>
      <c r="DPW7" s="133"/>
      <c r="DPX7" s="133"/>
      <c r="DPY7" s="133"/>
      <c r="DPZ7" s="133"/>
      <c r="DQA7" s="133"/>
      <c r="DQB7" s="133"/>
      <c r="DQC7" s="133"/>
      <c r="DQD7" s="133"/>
      <c r="DQE7" s="133"/>
      <c r="DQF7" s="133"/>
      <c r="DQG7" s="133"/>
      <c r="DQH7" s="133"/>
      <c r="DQI7" s="133"/>
      <c r="DQJ7" s="133"/>
      <c r="DQK7" s="133"/>
      <c r="DQL7" s="133"/>
      <c r="DQM7" s="133"/>
      <c r="DQN7" s="133"/>
      <c r="DQO7" s="133"/>
      <c r="DQP7" s="133"/>
      <c r="DQQ7" s="133"/>
      <c r="DQR7" s="133"/>
      <c r="DQS7" s="133"/>
      <c r="DQT7" s="133"/>
      <c r="DQU7" s="133"/>
      <c r="DQV7" s="133"/>
      <c r="DQW7" s="133"/>
      <c r="DQX7" s="133"/>
      <c r="DQY7" s="133"/>
      <c r="DQZ7" s="133"/>
      <c r="DRA7" s="133"/>
      <c r="DRB7" s="133"/>
      <c r="DRC7" s="133"/>
      <c r="DRD7" s="133"/>
      <c r="DRE7" s="133"/>
      <c r="DRF7" s="133"/>
      <c r="DRG7" s="133"/>
      <c r="DRH7" s="133"/>
      <c r="DRI7" s="133"/>
      <c r="DRJ7" s="133"/>
      <c r="DRK7" s="133"/>
      <c r="DRL7" s="133"/>
      <c r="DRM7" s="133"/>
      <c r="DRN7" s="133"/>
      <c r="DRO7" s="133"/>
      <c r="DRP7" s="133"/>
      <c r="DRQ7" s="133"/>
      <c r="DRR7" s="133"/>
      <c r="DRS7" s="133"/>
      <c r="DRT7" s="133"/>
      <c r="DRU7" s="133"/>
      <c r="DRV7" s="133"/>
      <c r="DRW7" s="133"/>
      <c r="DRX7" s="133"/>
      <c r="DRY7" s="133"/>
      <c r="DRZ7" s="133"/>
      <c r="DSA7" s="133"/>
      <c r="DSB7" s="133"/>
      <c r="DSC7" s="133"/>
      <c r="DSD7" s="133"/>
      <c r="DSE7" s="133"/>
      <c r="DSF7" s="133"/>
      <c r="DSG7" s="133"/>
      <c r="DSH7" s="133"/>
      <c r="DSI7" s="133"/>
      <c r="DSJ7" s="133"/>
      <c r="DSK7" s="133"/>
      <c r="DSL7" s="133"/>
      <c r="DSM7" s="133"/>
      <c r="DSN7" s="133"/>
      <c r="DSO7" s="133"/>
      <c r="DSP7" s="133"/>
      <c r="DSQ7" s="133"/>
      <c r="DSR7" s="133"/>
      <c r="DSS7" s="133"/>
      <c r="DST7" s="133"/>
      <c r="DSU7" s="133"/>
      <c r="DSV7" s="133"/>
      <c r="DSW7" s="133"/>
      <c r="DSX7" s="133"/>
      <c r="DSY7" s="133"/>
      <c r="DSZ7" s="133"/>
      <c r="DTA7" s="133"/>
      <c r="DTB7" s="133"/>
      <c r="DTC7" s="133"/>
      <c r="DTD7" s="133"/>
      <c r="DTE7" s="133"/>
      <c r="DTF7" s="133"/>
      <c r="DTG7" s="133"/>
      <c r="DTH7" s="133"/>
      <c r="DTI7" s="133"/>
      <c r="DTJ7" s="133"/>
      <c r="DTK7" s="133"/>
      <c r="DTL7" s="133"/>
      <c r="DTM7" s="133"/>
      <c r="DTN7" s="133"/>
      <c r="DTO7" s="133"/>
      <c r="DTP7" s="133"/>
      <c r="DTQ7" s="133"/>
      <c r="DTR7" s="133"/>
      <c r="DTS7" s="133"/>
      <c r="DTT7" s="133"/>
      <c r="DTU7" s="133"/>
      <c r="DTV7" s="133"/>
      <c r="DTW7" s="133"/>
      <c r="DTX7" s="133"/>
      <c r="DTY7" s="133"/>
      <c r="DTZ7" s="133"/>
      <c r="DUA7" s="133"/>
      <c r="DUB7" s="133"/>
      <c r="DUC7" s="133"/>
      <c r="DUD7" s="133"/>
      <c r="DUE7" s="133"/>
      <c r="DUF7" s="133"/>
      <c r="DUG7" s="133"/>
      <c r="DUH7" s="133"/>
      <c r="DUI7" s="133"/>
      <c r="DUJ7" s="133"/>
      <c r="DUK7" s="133"/>
      <c r="DUL7" s="133"/>
      <c r="DUM7" s="133"/>
      <c r="DUN7" s="133"/>
      <c r="DUO7" s="133"/>
      <c r="DUP7" s="133"/>
      <c r="DUQ7" s="133"/>
      <c r="DUR7" s="133"/>
      <c r="DUS7" s="133"/>
      <c r="DUT7" s="133"/>
      <c r="DUU7" s="133"/>
      <c r="DUV7" s="133"/>
      <c r="DUW7" s="133"/>
      <c r="DUX7" s="133"/>
      <c r="DUY7" s="133"/>
      <c r="DUZ7" s="133"/>
      <c r="DVA7" s="133"/>
      <c r="DVB7" s="133"/>
      <c r="DVC7" s="133"/>
      <c r="DVD7" s="133"/>
      <c r="DVE7" s="133"/>
      <c r="DVF7" s="133"/>
      <c r="DVG7" s="133"/>
      <c r="DVH7" s="133"/>
      <c r="DVI7" s="133"/>
      <c r="DVJ7" s="133"/>
      <c r="DVK7" s="133"/>
      <c r="DVL7" s="133"/>
      <c r="DVM7" s="133"/>
      <c r="DVN7" s="133"/>
      <c r="DVO7" s="133"/>
      <c r="DVP7" s="133"/>
      <c r="DVQ7" s="133"/>
      <c r="DVR7" s="133"/>
      <c r="DVS7" s="133"/>
      <c r="DVT7" s="133"/>
      <c r="DVU7" s="133"/>
      <c r="DVV7" s="133"/>
      <c r="DVW7" s="133"/>
      <c r="DVX7" s="133"/>
      <c r="DVY7" s="133"/>
      <c r="DVZ7" s="133"/>
      <c r="DWA7" s="133"/>
      <c r="DWB7" s="133"/>
      <c r="DWC7" s="133"/>
      <c r="DWD7" s="133"/>
      <c r="DWE7" s="133"/>
      <c r="DWF7" s="133"/>
      <c r="DWG7" s="133"/>
      <c r="DWH7" s="133"/>
      <c r="DWI7" s="133"/>
      <c r="DWJ7" s="133"/>
      <c r="DWK7" s="133"/>
      <c r="DWL7" s="133"/>
      <c r="DWM7" s="133"/>
      <c r="DWN7" s="133"/>
      <c r="DWO7" s="133"/>
      <c r="DWP7" s="133"/>
      <c r="DWQ7" s="133"/>
      <c r="DWR7" s="133"/>
      <c r="DWS7" s="133"/>
      <c r="DWT7" s="133"/>
      <c r="DWU7" s="133"/>
      <c r="DWV7" s="133"/>
      <c r="DWW7" s="133"/>
      <c r="DWX7" s="133"/>
      <c r="DWY7" s="133"/>
      <c r="DWZ7" s="133"/>
      <c r="DXA7" s="133"/>
      <c r="DXB7" s="133"/>
      <c r="DXC7" s="133"/>
      <c r="DXD7" s="133"/>
      <c r="DXE7" s="133"/>
      <c r="DXF7" s="133"/>
      <c r="DXG7" s="133"/>
      <c r="DXH7" s="133"/>
      <c r="DXI7" s="133"/>
      <c r="DXJ7" s="133"/>
      <c r="DXK7" s="133"/>
      <c r="DXL7" s="133"/>
      <c r="DXM7" s="133"/>
      <c r="DXN7" s="133"/>
      <c r="DXO7" s="133"/>
      <c r="DXP7" s="133"/>
      <c r="DXQ7" s="133"/>
      <c r="DXR7" s="133"/>
      <c r="DXS7" s="133"/>
      <c r="DXT7" s="133"/>
      <c r="DXU7" s="133"/>
      <c r="DXV7" s="133"/>
      <c r="DXW7" s="133"/>
      <c r="DXX7" s="133"/>
      <c r="DXY7" s="133"/>
      <c r="DXZ7" s="133"/>
      <c r="DYA7" s="133"/>
      <c r="DYB7" s="133"/>
      <c r="DYC7" s="133"/>
      <c r="DYD7" s="133"/>
      <c r="DYE7" s="133"/>
      <c r="DYF7" s="133"/>
      <c r="DYG7" s="133"/>
      <c r="DYH7" s="133"/>
      <c r="DYI7" s="133"/>
      <c r="DYJ7" s="133"/>
      <c r="DYK7" s="133"/>
      <c r="DYL7" s="133"/>
      <c r="DYM7" s="133"/>
      <c r="DYN7" s="133"/>
      <c r="DYO7" s="133"/>
      <c r="DYP7" s="133"/>
      <c r="DYQ7" s="133"/>
      <c r="DYR7" s="133"/>
      <c r="DYS7" s="133"/>
      <c r="DYT7" s="133"/>
      <c r="DYU7" s="133"/>
      <c r="DYV7" s="133"/>
      <c r="DYW7" s="133"/>
      <c r="DYX7" s="133"/>
      <c r="DYY7" s="133"/>
      <c r="DYZ7" s="133"/>
      <c r="DZA7" s="133"/>
      <c r="DZB7" s="133"/>
      <c r="DZC7" s="133"/>
      <c r="DZD7" s="133"/>
      <c r="DZE7" s="133"/>
      <c r="DZF7" s="133"/>
      <c r="DZG7" s="133"/>
      <c r="DZH7" s="133"/>
      <c r="DZI7" s="133"/>
      <c r="DZJ7" s="133"/>
      <c r="DZK7" s="133"/>
      <c r="DZL7" s="133"/>
      <c r="DZM7" s="133"/>
      <c r="DZN7" s="133"/>
      <c r="DZO7" s="133"/>
      <c r="DZP7" s="133"/>
      <c r="DZQ7" s="133"/>
      <c r="DZR7" s="133"/>
      <c r="DZS7" s="133"/>
      <c r="DZT7" s="133"/>
      <c r="DZU7" s="133"/>
      <c r="DZV7" s="133"/>
      <c r="DZW7" s="133"/>
      <c r="DZX7" s="133"/>
      <c r="DZY7" s="133"/>
      <c r="DZZ7" s="133"/>
      <c r="EAA7" s="133"/>
      <c r="EAB7" s="133"/>
      <c r="EAC7" s="133"/>
      <c r="EAD7" s="133"/>
      <c r="EAE7" s="133"/>
      <c r="EAF7" s="133"/>
      <c r="EAG7" s="133"/>
      <c r="EAH7" s="133"/>
      <c r="EAI7" s="133"/>
      <c r="EAJ7" s="133"/>
      <c r="EAK7" s="133"/>
      <c r="EAL7" s="133"/>
      <c r="EAM7" s="133"/>
      <c r="EAN7" s="133"/>
      <c r="EAO7" s="133"/>
      <c r="EAP7" s="133"/>
      <c r="EAQ7" s="133"/>
      <c r="EAR7" s="133"/>
      <c r="EAS7" s="133"/>
      <c r="EAT7" s="133"/>
      <c r="EAU7" s="133"/>
      <c r="EAV7" s="133"/>
      <c r="EAW7" s="133"/>
      <c r="EAX7" s="133"/>
      <c r="EAY7" s="133"/>
      <c r="EAZ7" s="133"/>
      <c r="EBA7" s="133"/>
      <c r="EBB7" s="133"/>
      <c r="EBC7" s="133"/>
      <c r="EBD7" s="133"/>
      <c r="EBE7" s="133"/>
      <c r="EBF7" s="133"/>
      <c r="EBG7" s="133"/>
      <c r="EBH7" s="133"/>
      <c r="EBI7" s="133"/>
      <c r="EBJ7" s="133"/>
      <c r="EBK7" s="133"/>
      <c r="EBL7" s="133"/>
      <c r="EBM7" s="133"/>
      <c r="EBN7" s="133"/>
      <c r="EBO7" s="133"/>
      <c r="EBP7" s="133"/>
      <c r="EBQ7" s="133"/>
      <c r="EBR7" s="133"/>
      <c r="EBS7" s="133"/>
      <c r="EBT7" s="133"/>
      <c r="EBU7" s="133"/>
      <c r="EBV7" s="133"/>
      <c r="EBW7" s="133"/>
      <c r="EBX7" s="133"/>
      <c r="EBY7" s="133"/>
      <c r="EBZ7" s="133"/>
      <c r="ECA7" s="133"/>
      <c r="ECB7" s="133"/>
      <c r="ECC7" s="133"/>
      <c r="ECD7" s="133"/>
      <c r="ECE7" s="133"/>
      <c r="ECF7" s="133"/>
      <c r="ECG7" s="133"/>
      <c r="ECH7" s="133"/>
      <c r="ECI7" s="133"/>
      <c r="ECJ7" s="133"/>
      <c r="ECK7" s="133"/>
      <c r="ECL7" s="133"/>
      <c r="ECM7" s="133"/>
      <c r="ECN7" s="133"/>
      <c r="ECO7" s="133"/>
      <c r="ECP7" s="133"/>
      <c r="ECQ7" s="133"/>
      <c r="ECR7" s="133"/>
      <c r="ECS7" s="133"/>
      <c r="ECT7" s="133"/>
      <c r="ECU7" s="133"/>
      <c r="ECV7" s="133"/>
      <c r="ECW7" s="133"/>
      <c r="ECX7" s="133"/>
      <c r="ECY7" s="133"/>
      <c r="ECZ7" s="133"/>
      <c r="EDA7" s="133"/>
      <c r="EDB7" s="133"/>
      <c r="EDC7" s="133"/>
      <c r="EDD7" s="133"/>
      <c r="EDE7" s="133"/>
      <c r="EDF7" s="133"/>
      <c r="EDG7" s="133"/>
      <c r="EDH7" s="133"/>
      <c r="EDI7" s="133"/>
      <c r="EDJ7" s="133"/>
      <c r="EDK7" s="133"/>
      <c r="EDL7" s="133"/>
      <c r="EDM7" s="133"/>
      <c r="EDN7" s="133"/>
      <c r="EDO7" s="133"/>
      <c r="EDP7" s="133"/>
      <c r="EDQ7" s="133"/>
      <c r="EDR7" s="133"/>
      <c r="EDS7" s="133"/>
      <c r="EDT7" s="133"/>
      <c r="EDU7" s="133"/>
      <c r="EDV7" s="133"/>
      <c r="EDW7" s="133"/>
      <c r="EDX7" s="133"/>
      <c r="EDY7" s="133"/>
      <c r="EDZ7" s="133"/>
      <c r="EEA7" s="133"/>
      <c r="EEB7" s="133"/>
      <c r="EEC7" s="133"/>
      <c r="EED7" s="133"/>
      <c r="EEE7" s="133"/>
      <c r="EEF7" s="133"/>
      <c r="EEG7" s="133"/>
      <c r="EEH7" s="133"/>
      <c r="EEI7" s="133"/>
      <c r="EEJ7" s="133"/>
      <c r="EEK7" s="133"/>
      <c r="EEL7" s="133"/>
      <c r="EEM7" s="133"/>
      <c r="EEN7" s="133"/>
      <c r="EEO7" s="133"/>
      <c r="EEP7" s="133"/>
      <c r="EEQ7" s="133"/>
      <c r="EER7" s="133"/>
      <c r="EES7" s="133"/>
      <c r="EET7" s="133"/>
      <c r="EEU7" s="133"/>
      <c r="EEV7" s="133"/>
      <c r="EEW7" s="133"/>
      <c r="EEX7" s="133"/>
      <c r="EEY7" s="133"/>
      <c r="EEZ7" s="133"/>
      <c r="EFA7" s="133"/>
      <c r="EFB7" s="133"/>
      <c r="EFC7" s="133"/>
      <c r="EFD7" s="133"/>
      <c r="EFE7" s="133"/>
      <c r="EFF7" s="133"/>
      <c r="EFG7" s="133"/>
      <c r="EFH7" s="133"/>
      <c r="EFI7" s="133"/>
      <c r="EFJ7" s="133"/>
      <c r="EFK7" s="133"/>
      <c r="EFL7" s="133"/>
      <c r="EFM7" s="133"/>
      <c r="EFN7" s="133"/>
      <c r="EFO7" s="133"/>
      <c r="EFP7" s="133"/>
      <c r="EFQ7" s="133"/>
      <c r="EFR7" s="133"/>
      <c r="EFS7" s="133"/>
      <c r="EFT7" s="133"/>
      <c r="EFU7" s="133"/>
      <c r="EFV7" s="133"/>
      <c r="EFW7" s="133"/>
      <c r="EFX7" s="133"/>
      <c r="EFY7" s="133"/>
      <c r="EFZ7" s="133"/>
      <c r="EGA7" s="133"/>
      <c r="EGB7" s="133"/>
      <c r="EGC7" s="133"/>
      <c r="EGD7" s="133"/>
      <c r="EGE7" s="133"/>
      <c r="EGF7" s="133"/>
      <c r="EGG7" s="133"/>
      <c r="EGH7" s="133"/>
      <c r="EGI7" s="133"/>
      <c r="EGJ7" s="133"/>
      <c r="EGK7" s="133"/>
      <c r="EGL7" s="133"/>
      <c r="EGM7" s="133"/>
      <c r="EGN7" s="133"/>
      <c r="EGO7" s="133"/>
      <c r="EGP7" s="133"/>
      <c r="EGQ7" s="133"/>
      <c r="EGR7" s="133"/>
      <c r="EGS7" s="133"/>
      <c r="EGT7" s="133"/>
      <c r="EGU7" s="133"/>
      <c r="EGV7" s="133"/>
      <c r="EGW7" s="133"/>
      <c r="EGX7" s="133"/>
      <c r="EGY7" s="133"/>
      <c r="EGZ7" s="133"/>
      <c r="EHA7" s="133"/>
      <c r="EHB7" s="133"/>
      <c r="EHC7" s="133"/>
      <c r="EHD7" s="133"/>
      <c r="EHE7" s="133"/>
      <c r="EHF7" s="133"/>
      <c r="EHG7" s="133"/>
      <c r="EHH7" s="133"/>
      <c r="EHI7" s="133"/>
      <c r="EHJ7" s="133"/>
      <c r="EHK7" s="133"/>
      <c r="EHL7" s="133"/>
      <c r="EHM7" s="133"/>
      <c r="EHN7" s="133"/>
      <c r="EHO7" s="133"/>
      <c r="EHP7" s="133"/>
      <c r="EHQ7" s="133"/>
      <c r="EHR7" s="133"/>
      <c r="EHS7" s="133"/>
      <c r="EHT7" s="133"/>
      <c r="EHU7" s="133"/>
      <c r="EHV7" s="133"/>
      <c r="EHW7" s="133"/>
      <c r="EHX7" s="133"/>
      <c r="EHY7" s="133"/>
      <c r="EHZ7" s="133"/>
      <c r="EIA7" s="133"/>
      <c r="EIB7" s="133"/>
      <c r="EIC7" s="133"/>
      <c r="EID7" s="133"/>
      <c r="EIE7" s="133"/>
      <c r="EIF7" s="133"/>
      <c r="EIG7" s="133"/>
      <c r="EIH7" s="133"/>
      <c r="EII7" s="133"/>
      <c r="EIJ7" s="133"/>
      <c r="EIK7" s="133"/>
      <c r="EIL7" s="133"/>
      <c r="EIM7" s="133"/>
      <c r="EIN7" s="133"/>
      <c r="EIO7" s="133"/>
      <c r="EIP7" s="133"/>
      <c r="EIQ7" s="133"/>
      <c r="EIR7" s="133"/>
      <c r="EIS7" s="133"/>
      <c r="EIT7" s="133"/>
      <c r="EIU7" s="133"/>
      <c r="EIV7" s="133"/>
      <c r="EIW7" s="133"/>
      <c r="EIX7" s="133"/>
      <c r="EIY7" s="133"/>
      <c r="EIZ7" s="133"/>
      <c r="EJA7" s="133"/>
      <c r="EJB7" s="133"/>
      <c r="EJC7" s="133"/>
      <c r="EJD7" s="133"/>
      <c r="EJE7" s="133"/>
      <c r="EJF7" s="133"/>
      <c r="EJG7" s="133"/>
      <c r="EJH7" s="133"/>
      <c r="EJI7" s="133"/>
      <c r="EJJ7" s="133"/>
      <c r="EJK7" s="133"/>
      <c r="EJL7" s="133"/>
      <c r="EJM7" s="133"/>
      <c r="EJN7" s="133"/>
      <c r="EJO7" s="133"/>
      <c r="EJP7" s="133"/>
      <c r="EJQ7" s="133"/>
      <c r="EJR7" s="133"/>
      <c r="EJS7" s="133"/>
      <c r="EJT7" s="133"/>
      <c r="EJU7" s="133"/>
      <c r="EJV7" s="133"/>
      <c r="EJW7" s="133"/>
      <c r="EJX7" s="133"/>
      <c r="EJY7" s="133"/>
      <c r="EJZ7" s="133"/>
      <c r="EKA7" s="133"/>
      <c r="EKB7" s="133"/>
      <c r="EKC7" s="133"/>
      <c r="EKD7" s="133"/>
      <c r="EKE7" s="133"/>
      <c r="EKF7" s="133"/>
      <c r="EKG7" s="133"/>
      <c r="EKH7" s="133"/>
      <c r="EKI7" s="133"/>
      <c r="EKJ7" s="133"/>
      <c r="EKK7" s="133"/>
      <c r="EKL7" s="133"/>
      <c r="EKM7" s="133"/>
      <c r="EKN7" s="133"/>
      <c r="EKO7" s="133"/>
      <c r="EKP7" s="133"/>
      <c r="EKQ7" s="133"/>
      <c r="EKR7" s="133"/>
      <c r="EKS7" s="133"/>
      <c r="EKT7" s="133"/>
      <c r="EKU7" s="133"/>
      <c r="EKV7" s="133"/>
      <c r="EKW7" s="133"/>
      <c r="EKX7" s="133"/>
      <c r="EKY7" s="133"/>
      <c r="EKZ7" s="133"/>
      <c r="ELA7" s="133"/>
      <c r="ELB7" s="133"/>
      <c r="ELC7" s="133"/>
      <c r="ELD7" s="133"/>
      <c r="ELE7" s="133"/>
      <c r="ELF7" s="133"/>
      <c r="ELG7" s="133"/>
      <c r="ELH7" s="133"/>
      <c r="ELI7" s="133"/>
      <c r="ELJ7" s="133"/>
      <c r="ELK7" s="133"/>
      <c r="ELL7" s="133"/>
      <c r="ELM7" s="133"/>
      <c r="ELN7" s="133"/>
      <c r="ELO7" s="133"/>
      <c r="ELP7" s="133"/>
      <c r="ELQ7" s="133"/>
      <c r="ELR7" s="133"/>
      <c r="ELS7" s="133"/>
      <c r="ELT7" s="133"/>
      <c r="ELU7" s="133"/>
      <c r="ELV7" s="133"/>
      <c r="ELW7" s="133"/>
      <c r="ELX7" s="133"/>
      <c r="ELY7" s="133"/>
      <c r="ELZ7" s="133"/>
      <c r="EMA7" s="133"/>
      <c r="EMB7" s="133"/>
      <c r="EMC7" s="133"/>
      <c r="EMD7" s="133"/>
      <c r="EME7" s="133"/>
      <c r="EMF7" s="133"/>
      <c r="EMG7" s="133"/>
      <c r="EMH7" s="133"/>
      <c r="EMI7" s="133"/>
      <c r="EMJ7" s="133"/>
      <c r="EMK7" s="133"/>
      <c r="EML7" s="133"/>
      <c r="EMM7" s="133"/>
      <c r="EMN7" s="133"/>
      <c r="EMO7" s="133"/>
      <c r="EMP7" s="133"/>
      <c r="EMQ7" s="133"/>
      <c r="EMR7" s="133"/>
      <c r="EMS7" s="133"/>
      <c r="EMT7" s="133"/>
      <c r="EMU7" s="133"/>
      <c r="EMV7" s="133"/>
      <c r="EMW7" s="133"/>
      <c r="EMX7" s="133"/>
      <c r="EMY7" s="133"/>
      <c r="EMZ7" s="133"/>
      <c r="ENA7" s="133"/>
      <c r="ENB7" s="133"/>
      <c r="ENC7" s="133"/>
      <c r="END7" s="133"/>
      <c r="ENE7" s="133"/>
      <c r="ENF7" s="133"/>
      <c r="ENG7" s="133"/>
      <c r="ENH7" s="133"/>
      <c r="ENI7" s="133"/>
      <c r="ENJ7" s="133"/>
      <c r="ENK7" s="133"/>
      <c r="ENL7" s="133"/>
      <c r="ENM7" s="133"/>
      <c r="ENN7" s="133"/>
      <c r="ENO7" s="133"/>
      <c r="ENP7" s="133"/>
      <c r="ENQ7" s="133"/>
      <c r="ENR7" s="133"/>
      <c r="ENS7" s="133"/>
      <c r="ENT7" s="133"/>
      <c r="ENU7" s="133"/>
      <c r="ENV7" s="133"/>
      <c r="ENW7" s="133"/>
      <c r="ENX7" s="133"/>
      <c r="ENY7" s="133"/>
      <c r="ENZ7" s="133"/>
      <c r="EOA7" s="133"/>
      <c r="EOB7" s="133"/>
      <c r="EOC7" s="133"/>
      <c r="EOD7" s="133"/>
      <c r="EOE7" s="133"/>
      <c r="EOF7" s="133"/>
      <c r="EOG7" s="133"/>
      <c r="EOH7" s="133"/>
      <c r="EOI7" s="133"/>
      <c r="EOJ7" s="133"/>
      <c r="EOK7" s="133"/>
      <c r="EOL7" s="133"/>
      <c r="EOM7" s="133"/>
      <c r="EON7" s="133"/>
      <c r="EOO7" s="133"/>
      <c r="EOP7" s="133"/>
      <c r="EOQ7" s="133"/>
      <c r="EOR7" s="133"/>
      <c r="EOS7" s="133"/>
      <c r="EOT7" s="133"/>
      <c r="EOU7" s="133"/>
      <c r="EOV7" s="133"/>
      <c r="EOW7" s="133"/>
      <c r="EOX7" s="133"/>
      <c r="EOY7" s="133"/>
      <c r="EOZ7" s="133"/>
      <c r="EPA7" s="133"/>
      <c r="EPB7" s="133"/>
      <c r="EPC7" s="133"/>
      <c r="EPD7" s="133"/>
      <c r="EPE7" s="133"/>
      <c r="EPF7" s="133"/>
      <c r="EPG7" s="133"/>
      <c r="EPH7" s="133"/>
      <c r="EPI7" s="133"/>
      <c r="EPJ7" s="133"/>
      <c r="EPK7" s="133"/>
      <c r="EPL7" s="133"/>
      <c r="EPM7" s="133"/>
      <c r="EPN7" s="133"/>
      <c r="EPO7" s="133"/>
      <c r="EPP7" s="133"/>
      <c r="EPQ7" s="133"/>
      <c r="EPR7" s="133"/>
      <c r="EPS7" s="133"/>
      <c r="EPT7" s="133"/>
      <c r="EPU7" s="133"/>
      <c r="EPV7" s="133"/>
      <c r="EPW7" s="133"/>
      <c r="EPX7" s="133"/>
      <c r="EPY7" s="133"/>
      <c r="EPZ7" s="133"/>
      <c r="EQA7" s="133"/>
      <c r="EQB7" s="133"/>
      <c r="EQC7" s="133"/>
      <c r="EQD7" s="133"/>
      <c r="EQE7" s="133"/>
      <c r="EQF7" s="133"/>
      <c r="EQG7" s="133"/>
      <c r="EQH7" s="133"/>
      <c r="EQI7" s="133"/>
      <c r="EQJ7" s="133"/>
      <c r="EQK7" s="133"/>
      <c r="EQL7" s="133"/>
      <c r="EQM7" s="133"/>
      <c r="EQN7" s="133"/>
      <c r="EQO7" s="133"/>
      <c r="EQP7" s="133"/>
      <c r="EQQ7" s="133"/>
      <c r="EQR7" s="133"/>
      <c r="EQS7" s="133"/>
      <c r="EQT7" s="133"/>
      <c r="EQU7" s="133"/>
      <c r="EQV7" s="133"/>
      <c r="EQW7" s="133"/>
      <c r="EQX7" s="133"/>
      <c r="EQY7" s="133"/>
      <c r="EQZ7" s="133"/>
      <c r="ERA7" s="133"/>
      <c r="ERB7" s="133"/>
      <c r="ERC7" s="133"/>
      <c r="ERD7" s="133"/>
      <c r="ERE7" s="133"/>
      <c r="ERF7" s="133"/>
      <c r="ERG7" s="133"/>
      <c r="ERH7" s="133"/>
      <c r="ERI7" s="133"/>
      <c r="ERJ7" s="133"/>
      <c r="ERK7" s="133"/>
      <c r="ERL7" s="133"/>
      <c r="ERM7" s="133"/>
      <c r="ERN7" s="133"/>
      <c r="ERO7" s="133"/>
      <c r="ERP7" s="133"/>
      <c r="ERQ7" s="133"/>
      <c r="ERR7" s="133"/>
      <c r="ERS7" s="133"/>
      <c r="ERT7" s="133"/>
      <c r="ERU7" s="133"/>
      <c r="ERV7" s="133"/>
      <c r="ERW7" s="133"/>
      <c r="ERX7" s="133"/>
      <c r="ERY7" s="133"/>
      <c r="ERZ7" s="133"/>
      <c r="ESA7" s="133"/>
      <c r="ESB7" s="133"/>
      <c r="ESC7" s="133"/>
      <c r="ESD7" s="133"/>
      <c r="ESE7" s="133"/>
      <c r="ESF7" s="133"/>
      <c r="ESG7" s="133"/>
      <c r="ESH7" s="133"/>
      <c r="ESI7" s="133"/>
      <c r="ESJ7" s="133"/>
      <c r="ESK7" s="133"/>
      <c r="ESL7" s="133"/>
      <c r="ESM7" s="133"/>
      <c r="ESN7" s="133"/>
      <c r="ESO7" s="133"/>
      <c r="ESP7" s="133"/>
      <c r="ESQ7" s="133"/>
      <c r="ESR7" s="133"/>
      <c r="ESS7" s="133"/>
      <c r="EST7" s="133"/>
      <c r="ESU7" s="133"/>
      <c r="ESV7" s="133"/>
      <c r="ESW7" s="133"/>
      <c r="ESX7" s="133"/>
      <c r="ESY7" s="133"/>
      <c r="ESZ7" s="133"/>
      <c r="ETA7" s="133"/>
      <c r="ETB7" s="133"/>
      <c r="ETC7" s="133"/>
      <c r="ETD7" s="133"/>
      <c r="ETE7" s="133"/>
      <c r="ETF7" s="133"/>
      <c r="ETG7" s="133"/>
      <c r="ETH7" s="133"/>
      <c r="ETI7" s="133"/>
      <c r="ETJ7" s="133"/>
      <c r="ETK7" s="133"/>
      <c r="ETL7" s="133"/>
      <c r="ETM7" s="133"/>
      <c r="ETN7" s="133"/>
      <c r="ETO7" s="133"/>
      <c r="ETP7" s="133"/>
      <c r="ETQ7" s="133"/>
      <c r="ETR7" s="133"/>
      <c r="ETS7" s="133"/>
      <c r="ETT7" s="133"/>
      <c r="ETU7" s="133"/>
      <c r="ETV7" s="133"/>
      <c r="ETW7" s="133"/>
      <c r="ETX7" s="133"/>
      <c r="ETY7" s="133"/>
      <c r="ETZ7" s="133"/>
      <c r="EUA7" s="133"/>
      <c r="EUB7" s="133"/>
      <c r="EUC7" s="133"/>
      <c r="EUD7" s="133"/>
      <c r="EUE7" s="133"/>
      <c r="EUF7" s="133"/>
      <c r="EUG7" s="133"/>
      <c r="EUH7" s="133"/>
      <c r="EUI7" s="133"/>
      <c r="EUJ7" s="133"/>
      <c r="EUK7" s="133"/>
      <c r="EUL7" s="133"/>
      <c r="EUM7" s="133"/>
      <c r="EUN7" s="133"/>
      <c r="EUO7" s="133"/>
      <c r="EUP7" s="133"/>
      <c r="EUQ7" s="133"/>
      <c r="EUR7" s="133"/>
      <c r="EUS7" s="133"/>
      <c r="EUT7" s="133"/>
      <c r="EUU7" s="133"/>
      <c r="EUV7" s="133"/>
      <c r="EUW7" s="133"/>
      <c r="EUX7" s="133"/>
      <c r="EUY7" s="133"/>
      <c r="EUZ7" s="133"/>
      <c r="EVA7" s="133"/>
      <c r="EVB7" s="133"/>
      <c r="EVC7" s="133"/>
      <c r="EVD7" s="133"/>
      <c r="EVE7" s="133"/>
      <c r="EVF7" s="133"/>
      <c r="EVG7" s="133"/>
      <c r="EVH7" s="133"/>
      <c r="EVI7" s="133"/>
      <c r="EVJ7" s="133"/>
      <c r="EVK7" s="133"/>
      <c r="EVL7" s="133"/>
      <c r="EVM7" s="133"/>
      <c r="EVN7" s="133"/>
      <c r="EVO7" s="133"/>
      <c r="EVP7" s="133"/>
      <c r="EVQ7" s="133"/>
      <c r="EVR7" s="133"/>
      <c r="EVS7" s="133"/>
      <c r="EVT7" s="133"/>
      <c r="EVU7" s="133"/>
      <c r="EVV7" s="133"/>
      <c r="EVW7" s="133"/>
      <c r="EVX7" s="133"/>
      <c r="EVY7" s="133"/>
      <c r="EVZ7" s="133"/>
      <c r="EWA7" s="133"/>
      <c r="EWB7" s="133"/>
      <c r="EWC7" s="133"/>
      <c r="EWD7" s="133"/>
      <c r="EWE7" s="133"/>
      <c r="EWF7" s="133"/>
      <c r="EWG7" s="133"/>
      <c r="EWH7" s="133"/>
      <c r="EWI7" s="133"/>
      <c r="EWJ7" s="133"/>
      <c r="EWK7" s="133"/>
      <c r="EWL7" s="133"/>
      <c r="EWM7" s="133"/>
      <c r="EWN7" s="133"/>
      <c r="EWO7" s="133"/>
      <c r="EWP7" s="133"/>
      <c r="EWQ7" s="133"/>
      <c r="EWR7" s="133"/>
      <c r="EWS7" s="133"/>
      <c r="EWT7" s="133"/>
      <c r="EWU7" s="133"/>
      <c r="EWV7" s="133"/>
      <c r="EWW7" s="133"/>
      <c r="EWX7" s="133"/>
      <c r="EWY7" s="133"/>
      <c r="EWZ7" s="133"/>
      <c r="EXA7" s="133"/>
      <c r="EXB7" s="133"/>
      <c r="EXC7" s="133"/>
      <c r="EXD7" s="133"/>
      <c r="EXE7" s="133"/>
      <c r="EXF7" s="133"/>
      <c r="EXG7" s="133"/>
      <c r="EXH7" s="133"/>
      <c r="EXI7" s="133"/>
      <c r="EXJ7" s="133"/>
      <c r="EXK7" s="133"/>
      <c r="EXL7" s="133"/>
      <c r="EXM7" s="133"/>
      <c r="EXN7" s="133"/>
      <c r="EXO7" s="133"/>
      <c r="EXP7" s="133"/>
      <c r="EXQ7" s="133"/>
      <c r="EXR7" s="133"/>
      <c r="EXS7" s="133"/>
      <c r="EXT7" s="133"/>
      <c r="EXU7" s="133"/>
      <c r="EXV7" s="133"/>
      <c r="EXW7" s="133"/>
      <c r="EXX7" s="133"/>
      <c r="EXY7" s="133"/>
      <c r="EXZ7" s="133"/>
      <c r="EYA7" s="133"/>
      <c r="EYB7" s="133"/>
      <c r="EYC7" s="133"/>
      <c r="EYD7" s="133"/>
      <c r="EYE7" s="133"/>
      <c r="EYF7" s="133"/>
      <c r="EYG7" s="133"/>
      <c r="EYH7" s="133"/>
      <c r="EYI7" s="133"/>
      <c r="EYJ7" s="133"/>
      <c r="EYK7" s="133"/>
      <c r="EYL7" s="133"/>
      <c r="EYM7" s="133"/>
      <c r="EYN7" s="133"/>
      <c r="EYO7" s="133"/>
      <c r="EYP7" s="133"/>
      <c r="EYQ7" s="133"/>
      <c r="EYR7" s="133"/>
      <c r="EYS7" s="133"/>
      <c r="EYT7" s="133"/>
      <c r="EYU7" s="133"/>
      <c r="EYV7" s="133"/>
      <c r="EYW7" s="133"/>
      <c r="EYX7" s="133"/>
      <c r="EYY7" s="133"/>
      <c r="EYZ7" s="133"/>
      <c r="EZA7" s="133"/>
      <c r="EZB7" s="133"/>
      <c r="EZC7" s="133"/>
      <c r="EZD7" s="133"/>
      <c r="EZE7" s="133"/>
      <c r="EZF7" s="133"/>
      <c r="EZG7" s="133"/>
      <c r="EZH7" s="133"/>
      <c r="EZI7" s="133"/>
      <c r="EZJ7" s="133"/>
      <c r="EZK7" s="133"/>
      <c r="EZL7" s="133"/>
      <c r="EZM7" s="133"/>
      <c r="EZN7" s="133"/>
      <c r="EZO7" s="133"/>
      <c r="EZP7" s="133"/>
      <c r="EZQ7" s="133"/>
      <c r="EZR7" s="133"/>
      <c r="EZS7" s="133"/>
      <c r="EZT7" s="133"/>
      <c r="EZU7" s="133"/>
      <c r="EZV7" s="133"/>
      <c r="EZW7" s="133"/>
      <c r="EZX7" s="133"/>
      <c r="EZY7" s="133"/>
      <c r="EZZ7" s="133"/>
      <c r="FAA7" s="133"/>
      <c r="FAB7" s="133"/>
      <c r="FAC7" s="133"/>
      <c r="FAP7" s="133"/>
      <c r="FAQ7" s="133"/>
      <c r="FAR7" s="133"/>
      <c r="FAS7" s="133"/>
      <c r="FAT7" s="133"/>
      <c r="FAU7" s="133"/>
      <c r="FAV7" s="133"/>
      <c r="FAW7" s="133"/>
      <c r="FAX7" s="133"/>
      <c r="FAY7" s="133"/>
      <c r="FAZ7" s="133"/>
      <c r="FBA7" s="133"/>
      <c r="FBB7" s="133"/>
      <c r="FBC7" s="133"/>
      <c r="FBD7" s="133"/>
      <c r="FBE7" s="133"/>
      <c r="FBF7" s="133"/>
      <c r="FBG7" s="133"/>
      <c r="FBH7" s="133"/>
      <c r="FBI7" s="133"/>
      <c r="FBJ7" s="133"/>
      <c r="FBK7" s="133"/>
      <c r="FBL7" s="133"/>
      <c r="FBM7" s="133"/>
      <c r="FBN7" s="133"/>
      <c r="FBO7" s="133"/>
      <c r="FBP7" s="133"/>
      <c r="FBQ7" s="133"/>
      <c r="FBR7" s="133"/>
      <c r="FBS7" s="133"/>
      <c r="FBT7" s="133"/>
      <c r="FBU7" s="133"/>
      <c r="FBV7" s="133"/>
      <c r="FBW7" s="133"/>
      <c r="FBX7" s="133"/>
      <c r="FBY7" s="133"/>
      <c r="FBZ7" s="133"/>
      <c r="FCA7" s="133"/>
      <c r="FCB7" s="133"/>
      <c r="FCC7" s="133"/>
      <c r="FCD7" s="133"/>
      <c r="FCE7" s="133"/>
      <c r="FCF7" s="133"/>
      <c r="FCG7" s="133"/>
      <c r="FCH7" s="133"/>
      <c r="FCI7" s="133"/>
      <c r="FCJ7" s="133"/>
      <c r="FCK7" s="133"/>
      <c r="FCL7" s="133"/>
      <c r="FCM7" s="133"/>
      <c r="FCN7" s="133"/>
      <c r="FCO7" s="133"/>
      <c r="FCP7" s="133"/>
      <c r="FCQ7" s="133"/>
      <c r="FCR7" s="133"/>
      <c r="FCS7" s="133"/>
      <c r="FCT7" s="133"/>
      <c r="FCU7" s="133"/>
      <c r="FCV7" s="133"/>
      <c r="FCW7" s="133"/>
      <c r="FCX7" s="133"/>
      <c r="FCY7" s="133"/>
      <c r="FCZ7" s="133"/>
      <c r="FDA7" s="133"/>
      <c r="FDB7" s="133"/>
      <c r="FDC7" s="133"/>
      <c r="FDD7" s="133"/>
      <c r="FDE7" s="133"/>
      <c r="FDF7" s="133"/>
      <c r="FDG7" s="133"/>
      <c r="FDH7" s="133"/>
      <c r="FDI7" s="133"/>
      <c r="FDJ7" s="133"/>
      <c r="FDK7" s="133"/>
      <c r="FDL7" s="133"/>
      <c r="FDM7" s="133"/>
      <c r="FDN7" s="133"/>
      <c r="FDO7" s="133"/>
      <c r="FDP7" s="133"/>
      <c r="FDQ7" s="133"/>
      <c r="FDR7" s="133"/>
      <c r="FDS7" s="133"/>
      <c r="FDT7" s="133"/>
      <c r="FDU7" s="133"/>
      <c r="FDV7" s="133"/>
      <c r="FDW7" s="133"/>
      <c r="FDX7" s="133"/>
      <c r="FDY7" s="133"/>
      <c r="FDZ7" s="133"/>
      <c r="FEA7" s="133"/>
      <c r="FEB7" s="133"/>
      <c r="FEC7" s="133"/>
      <c r="FED7" s="133"/>
      <c r="FEE7" s="133"/>
      <c r="FEF7" s="133"/>
      <c r="FEG7" s="133"/>
      <c r="FEH7" s="133"/>
      <c r="FEI7" s="133"/>
      <c r="FEJ7" s="133"/>
      <c r="FEK7" s="133"/>
      <c r="FEL7" s="133"/>
      <c r="FEM7" s="133"/>
      <c r="FEN7" s="133"/>
      <c r="FEO7" s="133"/>
      <c r="FEP7" s="133"/>
      <c r="FEQ7" s="133"/>
      <c r="FER7" s="133"/>
      <c r="FES7" s="133"/>
      <c r="FET7" s="133"/>
      <c r="FEU7" s="133"/>
      <c r="FEV7" s="133"/>
      <c r="FEW7" s="133"/>
      <c r="FEX7" s="133"/>
      <c r="FEY7" s="133"/>
      <c r="FEZ7" s="133"/>
      <c r="FFA7" s="133"/>
      <c r="FFB7" s="133"/>
      <c r="FFC7" s="133"/>
      <c r="FFD7" s="133"/>
      <c r="FFE7" s="133"/>
      <c r="FFF7" s="133"/>
      <c r="FFG7" s="133"/>
      <c r="FFH7" s="133"/>
      <c r="FFI7" s="133"/>
      <c r="FFJ7" s="133"/>
      <c r="FFK7" s="133"/>
      <c r="FFL7" s="133"/>
      <c r="FFM7" s="133"/>
      <c r="FFN7" s="133"/>
      <c r="FFO7" s="133"/>
      <c r="FFP7" s="133"/>
      <c r="FFQ7" s="133"/>
      <c r="FFR7" s="133"/>
      <c r="FFS7" s="133"/>
      <c r="FFT7" s="133"/>
      <c r="FFU7" s="133"/>
      <c r="FFV7" s="133"/>
      <c r="FFW7" s="133"/>
      <c r="FFX7" s="133"/>
      <c r="FFY7" s="133"/>
      <c r="FFZ7" s="133"/>
      <c r="FGA7" s="133"/>
      <c r="FGB7" s="133"/>
      <c r="FGC7" s="133"/>
      <c r="FGD7" s="133"/>
      <c r="FGE7" s="133"/>
      <c r="FGF7" s="133"/>
      <c r="FGG7" s="133"/>
      <c r="FGH7" s="133"/>
      <c r="FGI7" s="133"/>
      <c r="FGJ7" s="133"/>
      <c r="FGK7" s="133"/>
      <c r="FGL7" s="133"/>
      <c r="FGM7" s="133"/>
      <c r="FGN7" s="133"/>
      <c r="FGO7" s="133"/>
      <c r="FGP7" s="133"/>
      <c r="FGQ7" s="133"/>
      <c r="FGR7" s="133"/>
      <c r="FGS7" s="133"/>
      <c r="FGT7" s="133"/>
      <c r="FGU7" s="133"/>
      <c r="FGV7" s="133"/>
      <c r="FGW7" s="133"/>
      <c r="FGX7" s="133"/>
      <c r="FGY7" s="133"/>
      <c r="FGZ7" s="133"/>
      <c r="FHA7" s="133"/>
      <c r="FHB7" s="133"/>
      <c r="FHC7" s="133"/>
      <c r="FHD7" s="133"/>
      <c r="FHE7" s="133"/>
      <c r="FHF7" s="133"/>
      <c r="FHG7" s="133"/>
      <c r="FHH7" s="133"/>
      <c r="FHI7" s="133"/>
      <c r="FHJ7" s="133"/>
      <c r="FHK7" s="133"/>
      <c r="FHL7" s="133"/>
      <c r="FHM7" s="133"/>
      <c r="FHN7" s="133"/>
      <c r="FHO7" s="133"/>
      <c r="FHP7" s="133"/>
      <c r="FHQ7" s="133"/>
      <c r="FHR7" s="133"/>
      <c r="FHS7" s="133"/>
      <c r="FHT7" s="133"/>
      <c r="FHU7" s="133"/>
      <c r="FHV7" s="133"/>
      <c r="FHW7" s="133"/>
      <c r="FHX7" s="133"/>
      <c r="FHY7" s="133"/>
      <c r="FHZ7" s="133"/>
      <c r="FIA7" s="133"/>
      <c r="FIB7" s="133"/>
      <c r="FIC7" s="133"/>
      <c r="FID7" s="133"/>
      <c r="FIE7" s="133"/>
      <c r="FIF7" s="133"/>
      <c r="FIG7" s="133"/>
      <c r="FIH7" s="133"/>
      <c r="FII7" s="133"/>
      <c r="FIJ7" s="133"/>
      <c r="FIK7" s="133"/>
      <c r="FIL7" s="133"/>
      <c r="FIM7" s="133"/>
      <c r="FIN7" s="133"/>
      <c r="FIO7" s="133"/>
      <c r="FIP7" s="133"/>
      <c r="FIQ7" s="133"/>
      <c r="FIR7" s="133"/>
      <c r="FIS7" s="133"/>
      <c r="FIT7" s="133"/>
      <c r="FIU7" s="133"/>
      <c r="FIV7" s="133"/>
      <c r="FIW7" s="133"/>
      <c r="FIX7" s="133"/>
      <c r="FIY7" s="133"/>
      <c r="FIZ7" s="133"/>
      <c r="FJA7" s="133"/>
      <c r="FJB7" s="133"/>
      <c r="FJC7" s="133"/>
      <c r="FJD7" s="133"/>
      <c r="FJE7" s="133"/>
      <c r="FJF7" s="133"/>
      <c r="FJG7" s="133"/>
      <c r="FJH7" s="133"/>
      <c r="FJI7" s="133"/>
      <c r="FJJ7" s="133"/>
      <c r="FJK7" s="133"/>
      <c r="FJL7" s="133"/>
      <c r="FJM7" s="133"/>
      <c r="FJN7" s="133"/>
      <c r="FJO7" s="133"/>
      <c r="FJP7" s="133"/>
      <c r="FJQ7" s="133"/>
      <c r="FJR7" s="133"/>
      <c r="FJS7" s="133"/>
      <c r="FJT7" s="133"/>
      <c r="FJU7" s="133"/>
      <c r="FJV7" s="133"/>
      <c r="FJW7" s="133"/>
      <c r="FJX7" s="133"/>
      <c r="FJY7" s="133"/>
      <c r="FJZ7" s="133"/>
      <c r="FKA7" s="133"/>
      <c r="FKB7" s="133"/>
      <c r="FKC7" s="133"/>
      <c r="FKD7" s="133"/>
      <c r="FKE7" s="133"/>
      <c r="FKF7" s="133"/>
      <c r="FKG7" s="133"/>
      <c r="FKH7" s="133"/>
      <c r="FKI7" s="133"/>
      <c r="FKJ7" s="133"/>
      <c r="FKK7" s="133"/>
      <c r="FKL7" s="133"/>
      <c r="FKM7" s="133"/>
      <c r="FKN7" s="133"/>
      <c r="FKO7" s="133"/>
      <c r="FKP7" s="133"/>
      <c r="FKQ7" s="133"/>
      <c r="FKR7" s="133"/>
      <c r="FKS7" s="133"/>
      <c r="FKT7" s="133"/>
      <c r="FKU7" s="133"/>
      <c r="FKV7" s="133"/>
      <c r="FKW7" s="133"/>
      <c r="FKX7" s="133"/>
      <c r="FKY7" s="133"/>
      <c r="FKZ7" s="133"/>
      <c r="FLA7" s="133"/>
      <c r="FLB7" s="133"/>
      <c r="FLC7" s="133"/>
      <c r="FLD7" s="133"/>
      <c r="FLE7" s="133"/>
      <c r="FLF7" s="133"/>
      <c r="FLG7" s="133"/>
      <c r="FLH7" s="133"/>
      <c r="FLI7" s="133"/>
      <c r="FLJ7" s="133"/>
      <c r="FLK7" s="133"/>
      <c r="FLL7" s="133"/>
      <c r="FLM7" s="133"/>
      <c r="FLN7" s="133"/>
      <c r="FLO7" s="133"/>
      <c r="FLP7" s="133"/>
      <c r="FLQ7" s="133"/>
      <c r="FLR7" s="133"/>
      <c r="FLS7" s="133"/>
      <c r="FLT7" s="133"/>
      <c r="FLU7" s="133"/>
      <c r="FLV7" s="133"/>
      <c r="FLW7" s="133"/>
      <c r="FLX7" s="133"/>
      <c r="FLY7" s="133"/>
      <c r="FLZ7" s="133"/>
      <c r="FMA7" s="133"/>
      <c r="FMB7" s="133"/>
      <c r="FMC7" s="133"/>
      <c r="FMD7" s="133"/>
      <c r="FME7" s="133"/>
      <c r="FMF7" s="133"/>
      <c r="FMG7" s="133"/>
      <c r="FMH7" s="133"/>
      <c r="FMI7" s="133"/>
      <c r="FMJ7" s="133"/>
      <c r="FMK7" s="133"/>
      <c r="FML7" s="133"/>
      <c r="FMM7" s="133"/>
      <c r="FMN7" s="133"/>
      <c r="FMO7" s="133"/>
      <c r="FMP7" s="133"/>
      <c r="FMQ7" s="133"/>
      <c r="FMR7" s="133"/>
      <c r="FMS7" s="133"/>
      <c r="FMT7" s="133"/>
      <c r="FMU7" s="133"/>
      <c r="FMV7" s="133"/>
      <c r="FMW7" s="133"/>
      <c r="FMX7" s="133"/>
      <c r="FMY7" s="133"/>
      <c r="FMZ7" s="133"/>
      <c r="FNA7" s="133"/>
      <c r="FNB7" s="133"/>
      <c r="FNC7" s="133"/>
      <c r="FND7" s="133"/>
      <c r="FNE7" s="133"/>
      <c r="FNF7" s="133"/>
      <c r="FNG7" s="133"/>
      <c r="FNH7" s="133"/>
      <c r="FNI7" s="133"/>
      <c r="FNJ7" s="133"/>
      <c r="FNK7" s="133"/>
      <c r="FNL7" s="133"/>
      <c r="FNM7" s="133"/>
      <c r="FNN7" s="133"/>
      <c r="FNO7" s="133"/>
      <c r="FNP7" s="133"/>
      <c r="FNQ7" s="133"/>
      <c r="FNR7" s="133"/>
      <c r="FNS7" s="133"/>
      <c r="FNT7" s="133"/>
      <c r="FNU7" s="133"/>
      <c r="FNV7" s="133"/>
      <c r="FNW7" s="133"/>
      <c r="FNX7" s="133"/>
      <c r="FNY7" s="133"/>
      <c r="FNZ7" s="133"/>
      <c r="FOA7" s="133"/>
      <c r="FOB7" s="133"/>
      <c r="FOC7" s="133"/>
      <c r="FOD7" s="133"/>
      <c r="FOE7" s="133"/>
      <c r="FOF7" s="133"/>
      <c r="FOG7" s="133"/>
      <c r="FOH7" s="133"/>
      <c r="FOI7" s="133"/>
      <c r="FOJ7" s="133"/>
      <c r="FOK7" s="133"/>
      <c r="FOL7" s="133"/>
      <c r="FOM7" s="133"/>
      <c r="FON7" s="133"/>
      <c r="FOO7" s="133"/>
      <c r="FOP7" s="133"/>
      <c r="FOQ7" s="133"/>
      <c r="FOR7" s="133"/>
      <c r="FOS7" s="133"/>
      <c r="FOT7" s="133"/>
      <c r="FOU7" s="133"/>
      <c r="FOV7" s="133"/>
      <c r="FOW7" s="133"/>
      <c r="FOX7" s="133"/>
      <c r="FOY7" s="133"/>
      <c r="FOZ7" s="133"/>
      <c r="FPA7" s="133"/>
      <c r="FPB7" s="133"/>
      <c r="FPC7" s="133"/>
      <c r="FPD7" s="133"/>
      <c r="FPE7" s="133"/>
      <c r="FPF7" s="133"/>
      <c r="FPG7" s="133"/>
      <c r="FPH7" s="133"/>
      <c r="FPI7" s="133"/>
      <c r="FPJ7" s="133"/>
      <c r="FPK7" s="133"/>
      <c r="FPL7" s="133"/>
      <c r="FPM7" s="133"/>
      <c r="FPN7" s="133"/>
      <c r="FPO7" s="133"/>
      <c r="FPP7" s="133"/>
      <c r="FPQ7" s="133"/>
      <c r="FPR7" s="133"/>
      <c r="FPS7" s="133"/>
      <c r="FPT7" s="133"/>
      <c r="FPU7" s="133"/>
      <c r="FPV7" s="133"/>
      <c r="FPW7" s="133"/>
      <c r="FPX7" s="133"/>
      <c r="FPY7" s="133"/>
      <c r="FPZ7" s="133"/>
      <c r="FQA7" s="133"/>
      <c r="FQB7" s="133"/>
      <c r="FQC7" s="133"/>
      <c r="FQD7" s="133"/>
      <c r="FQE7" s="133"/>
      <c r="FQF7" s="133"/>
      <c r="FQG7" s="133"/>
      <c r="FQH7" s="133"/>
      <c r="FQI7" s="133"/>
      <c r="FQJ7" s="133"/>
      <c r="FQK7" s="133"/>
      <c r="FQL7" s="133"/>
      <c r="FQM7" s="133"/>
      <c r="FQN7" s="133"/>
      <c r="FQO7" s="133"/>
      <c r="FQP7" s="133"/>
      <c r="FQQ7" s="133"/>
      <c r="FQR7" s="133"/>
      <c r="FQS7" s="133"/>
      <c r="FQT7" s="133"/>
      <c r="FQU7" s="133"/>
      <c r="FQV7" s="133"/>
      <c r="FQW7" s="133"/>
      <c r="FQX7" s="133"/>
      <c r="FQY7" s="133"/>
      <c r="FQZ7" s="133"/>
      <c r="FRA7" s="133"/>
      <c r="FRB7" s="133"/>
      <c r="FRC7" s="133"/>
      <c r="FRD7" s="133"/>
      <c r="FRE7" s="133"/>
      <c r="FRF7" s="133"/>
      <c r="FRG7" s="133"/>
      <c r="FRH7" s="133"/>
      <c r="FRI7" s="133"/>
      <c r="FRJ7" s="133"/>
      <c r="FRK7" s="133"/>
      <c r="FRL7" s="133"/>
      <c r="FRM7" s="133"/>
      <c r="FRN7" s="133"/>
      <c r="FRO7" s="133"/>
      <c r="FRP7" s="133"/>
      <c r="FRQ7" s="133"/>
      <c r="FRR7" s="133"/>
      <c r="FRS7" s="133"/>
      <c r="FRT7" s="133"/>
      <c r="FRU7" s="133"/>
      <c r="FRV7" s="133"/>
      <c r="FRW7" s="133"/>
      <c r="FRX7" s="133"/>
      <c r="FRY7" s="133"/>
      <c r="FRZ7" s="133"/>
      <c r="FSA7" s="133"/>
      <c r="FSB7" s="133"/>
      <c r="FSC7" s="133"/>
      <c r="FSD7" s="133"/>
      <c r="FSE7" s="133"/>
      <c r="FSF7" s="133"/>
      <c r="FSG7" s="133"/>
      <c r="FSH7" s="133"/>
      <c r="FSI7" s="133"/>
      <c r="FSJ7" s="133"/>
      <c r="FSK7" s="133"/>
      <c r="FSL7" s="133"/>
      <c r="FSM7" s="133"/>
      <c r="FSN7" s="133"/>
      <c r="FSO7" s="133"/>
      <c r="FSP7" s="133"/>
      <c r="FSQ7" s="133"/>
      <c r="FSR7" s="133"/>
      <c r="FSS7" s="133"/>
      <c r="FST7" s="133"/>
      <c r="FSU7" s="133"/>
      <c r="FSV7" s="133"/>
      <c r="FSW7" s="133"/>
      <c r="FSX7" s="133"/>
      <c r="FSY7" s="133"/>
      <c r="FSZ7" s="133"/>
      <c r="FTA7" s="133"/>
      <c r="FTB7" s="133"/>
      <c r="FTC7" s="133"/>
      <c r="FTD7" s="133"/>
      <c r="FTE7" s="133"/>
      <c r="FTF7" s="133"/>
      <c r="FTG7" s="133"/>
      <c r="FTH7" s="133"/>
      <c r="FTI7" s="133"/>
      <c r="FTJ7" s="133"/>
      <c r="FTK7" s="133"/>
      <c r="FTL7" s="133"/>
      <c r="FTM7" s="133"/>
      <c r="FTN7" s="133"/>
      <c r="FTO7" s="133"/>
      <c r="FTP7" s="133"/>
      <c r="FTQ7" s="133"/>
      <c r="FTR7" s="133"/>
      <c r="FTS7" s="133"/>
      <c r="FTT7" s="133"/>
      <c r="FTU7" s="133"/>
      <c r="FTV7" s="133"/>
      <c r="FTW7" s="133"/>
      <c r="FTX7" s="133"/>
      <c r="FTY7" s="133"/>
      <c r="FTZ7" s="133"/>
      <c r="FUA7" s="133"/>
      <c r="FUB7" s="133"/>
      <c r="FUC7" s="133"/>
      <c r="FUD7" s="133"/>
      <c r="FUE7" s="133"/>
      <c r="FUF7" s="133"/>
      <c r="FUG7" s="133"/>
      <c r="FUH7" s="133"/>
      <c r="FUI7" s="133"/>
      <c r="FUJ7" s="133"/>
      <c r="FUK7" s="133"/>
      <c r="FUL7" s="133"/>
      <c r="FUM7" s="133"/>
      <c r="FUN7" s="133"/>
      <c r="FUO7" s="133"/>
      <c r="FUP7" s="133"/>
      <c r="FUQ7" s="133"/>
      <c r="FUR7" s="133"/>
      <c r="FUS7" s="133"/>
      <c r="FUT7" s="133"/>
      <c r="FUU7" s="133"/>
      <c r="FUV7" s="133"/>
      <c r="FUW7" s="133"/>
      <c r="FUX7" s="133"/>
      <c r="FUY7" s="133"/>
      <c r="FUZ7" s="133"/>
      <c r="FVA7" s="133"/>
      <c r="FVB7" s="133"/>
      <c r="FVC7" s="133"/>
      <c r="FVD7" s="133"/>
      <c r="FVE7" s="133"/>
      <c r="FVF7" s="133"/>
      <c r="FVG7" s="133"/>
      <c r="FVH7" s="133"/>
      <c r="FVI7" s="133"/>
      <c r="FVJ7" s="133"/>
      <c r="FVK7" s="133"/>
      <c r="FVL7" s="133"/>
      <c r="FVM7" s="133"/>
      <c r="FVN7" s="133"/>
      <c r="FVO7" s="133"/>
      <c r="FVP7" s="133"/>
      <c r="FVQ7" s="133"/>
      <c r="FVR7" s="133"/>
      <c r="FVS7" s="133"/>
      <c r="FVT7" s="133"/>
      <c r="FVU7" s="133"/>
      <c r="FVV7" s="133"/>
      <c r="FVW7" s="133"/>
      <c r="FVX7" s="133"/>
      <c r="FVY7" s="133"/>
      <c r="FVZ7" s="133"/>
      <c r="FWA7" s="133"/>
      <c r="FWB7" s="133"/>
      <c r="FWC7" s="133"/>
      <c r="FWD7" s="133"/>
      <c r="FWE7" s="133"/>
      <c r="FWF7" s="133"/>
      <c r="FWG7" s="133"/>
      <c r="FWH7" s="133"/>
      <c r="FWI7" s="133"/>
      <c r="FWJ7" s="133"/>
      <c r="FWK7" s="133"/>
      <c r="FWL7" s="133"/>
      <c r="FWM7" s="133"/>
      <c r="FWN7" s="133"/>
      <c r="FWO7" s="133"/>
      <c r="FWP7" s="133"/>
      <c r="FWQ7" s="133"/>
      <c r="FWR7" s="133"/>
      <c r="FWS7" s="133"/>
      <c r="FWT7" s="133"/>
      <c r="FWU7" s="133"/>
      <c r="FWV7" s="133"/>
      <c r="FWW7" s="133"/>
      <c r="FWX7" s="133"/>
      <c r="FWY7" s="133"/>
      <c r="FWZ7" s="133"/>
      <c r="FXA7" s="133"/>
      <c r="FXB7" s="133"/>
      <c r="FXC7" s="133"/>
      <c r="FXD7" s="133"/>
      <c r="FXE7" s="133"/>
      <c r="FXF7" s="133"/>
      <c r="FXG7" s="133"/>
      <c r="FXH7" s="133"/>
      <c r="FXI7" s="133"/>
      <c r="FXJ7" s="133"/>
      <c r="FXK7" s="133"/>
      <c r="FXL7" s="133"/>
      <c r="FXM7" s="133"/>
      <c r="FXN7" s="133"/>
      <c r="FXO7" s="133"/>
      <c r="FXP7" s="133"/>
      <c r="FXQ7" s="133"/>
      <c r="FXR7" s="133"/>
      <c r="FXS7" s="133"/>
      <c r="FXT7" s="133"/>
      <c r="FXU7" s="133"/>
      <c r="FXV7" s="133"/>
      <c r="FXW7" s="133"/>
      <c r="FXX7" s="133"/>
      <c r="FXY7" s="133"/>
      <c r="FXZ7" s="133"/>
      <c r="FYA7" s="133"/>
      <c r="FYB7" s="133"/>
      <c r="FYC7" s="133"/>
      <c r="FYD7" s="133"/>
      <c r="FYE7" s="133"/>
      <c r="FYF7" s="133"/>
      <c r="FYG7" s="133"/>
      <c r="FYH7" s="133"/>
      <c r="FYI7" s="133"/>
      <c r="FYJ7" s="133"/>
      <c r="FYK7" s="133"/>
      <c r="FYL7" s="133"/>
      <c r="FYM7" s="133"/>
      <c r="FYN7" s="133"/>
      <c r="FYO7" s="133"/>
      <c r="FYP7" s="133"/>
      <c r="FYQ7" s="133"/>
      <c r="FYR7" s="133"/>
      <c r="FYS7" s="133"/>
      <c r="FYT7" s="133"/>
      <c r="FYU7" s="133"/>
      <c r="FYV7" s="133"/>
      <c r="FYW7" s="133"/>
      <c r="FYX7" s="133"/>
      <c r="FYY7" s="133"/>
      <c r="FYZ7" s="133"/>
      <c r="FZA7" s="133"/>
      <c r="FZB7" s="133"/>
      <c r="FZC7" s="133"/>
      <c r="FZD7" s="133"/>
      <c r="FZE7" s="133"/>
      <c r="FZF7" s="133"/>
      <c r="FZG7" s="133"/>
      <c r="FZH7" s="133"/>
      <c r="FZI7" s="133"/>
      <c r="FZJ7" s="133"/>
      <c r="FZK7" s="133"/>
      <c r="FZL7" s="133"/>
      <c r="FZM7" s="133"/>
      <c r="FZN7" s="133"/>
      <c r="FZO7" s="133"/>
      <c r="FZP7" s="133"/>
      <c r="FZQ7" s="133"/>
      <c r="FZR7" s="133"/>
      <c r="FZS7" s="133"/>
      <c r="FZT7" s="133"/>
      <c r="FZU7" s="133"/>
      <c r="FZV7" s="133"/>
      <c r="FZW7" s="133"/>
      <c r="FZX7" s="133"/>
      <c r="FZY7" s="133"/>
      <c r="FZZ7" s="133"/>
      <c r="GAA7" s="133"/>
      <c r="GAB7" s="133"/>
      <c r="GAC7" s="133"/>
      <c r="GAD7" s="133"/>
      <c r="GAE7" s="133"/>
      <c r="GAF7" s="133"/>
      <c r="GAG7" s="133"/>
      <c r="GAH7" s="133"/>
      <c r="GAI7" s="133"/>
      <c r="GAJ7" s="133"/>
      <c r="GAK7" s="133"/>
      <c r="GAL7" s="133"/>
      <c r="GAM7" s="133"/>
      <c r="GAN7" s="133"/>
      <c r="GAO7" s="133"/>
      <c r="GAP7" s="133"/>
      <c r="GAQ7" s="133"/>
      <c r="GAR7" s="133"/>
      <c r="GAS7" s="133"/>
      <c r="GAT7" s="133"/>
      <c r="GAU7" s="133"/>
      <c r="GAV7" s="133"/>
      <c r="GAW7" s="133"/>
      <c r="GAX7" s="133"/>
      <c r="GAY7" s="133"/>
      <c r="GAZ7" s="133"/>
      <c r="GBA7" s="133"/>
      <c r="GBB7" s="133"/>
      <c r="GBC7" s="133"/>
      <c r="GBD7" s="133"/>
      <c r="GBE7" s="133"/>
      <c r="GBF7" s="133"/>
      <c r="GBG7" s="133"/>
      <c r="GBH7" s="133"/>
      <c r="GBI7" s="133"/>
      <c r="GBJ7" s="133"/>
      <c r="GBK7" s="133"/>
      <c r="GBL7" s="133"/>
      <c r="GBM7" s="133"/>
      <c r="GBN7" s="133"/>
      <c r="GBO7" s="133"/>
      <c r="GBP7" s="133"/>
      <c r="GBQ7" s="133"/>
      <c r="GBR7" s="133"/>
      <c r="GBS7" s="133"/>
      <c r="GBT7" s="133"/>
      <c r="GBU7" s="133"/>
      <c r="GBV7" s="133"/>
      <c r="GBW7" s="133"/>
      <c r="GBX7" s="133"/>
      <c r="GBY7" s="133"/>
      <c r="GBZ7" s="133"/>
      <c r="GCA7" s="133"/>
      <c r="GCB7" s="133"/>
      <c r="GCC7" s="133"/>
      <c r="GCD7" s="133"/>
      <c r="GCE7" s="133"/>
      <c r="GCF7" s="133"/>
      <c r="GCG7" s="133"/>
      <c r="GCH7" s="133"/>
      <c r="GCI7" s="133"/>
      <c r="GCJ7" s="133"/>
      <c r="GCK7" s="133"/>
      <c r="GCL7" s="133"/>
      <c r="GCM7" s="133"/>
      <c r="GCN7" s="133"/>
      <c r="GCO7" s="133"/>
      <c r="GCP7" s="133"/>
      <c r="GCQ7" s="133"/>
      <c r="GCR7" s="133"/>
      <c r="GCS7" s="133"/>
      <c r="GCT7" s="133"/>
      <c r="GCU7" s="133"/>
      <c r="GCV7" s="133"/>
      <c r="GCW7" s="133"/>
      <c r="GCX7" s="133"/>
      <c r="GCY7" s="133"/>
      <c r="GCZ7" s="133"/>
      <c r="GDA7" s="133"/>
      <c r="GDB7" s="133"/>
      <c r="GDC7" s="133"/>
      <c r="GDD7" s="133"/>
      <c r="GDE7" s="133"/>
      <c r="GDF7" s="133"/>
      <c r="GDG7" s="133"/>
      <c r="GDH7" s="133"/>
      <c r="GDI7" s="133"/>
      <c r="GDJ7" s="133"/>
      <c r="GDK7" s="133"/>
      <c r="GDL7" s="133"/>
      <c r="GDM7" s="133"/>
      <c r="GDN7" s="133"/>
      <c r="GDO7" s="133"/>
      <c r="GDP7" s="133"/>
      <c r="GDQ7" s="133"/>
      <c r="GDR7" s="133"/>
      <c r="GDS7" s="133"/>
      <c r="GDT7" s="133"/>
      <c r="GDU7" s="133"/>
      <c r="GDV7" s="133"/>
      <c r="GDW7" s="133"/>
      <c r="GDX7" s="133"/>
      <c r="GDY7" s="133"/>
      <c r="GDZ7" s="133"/>
      <c r="GEA7" s="133"/>
      <c r="GEB7" s="133"/>
      <c r="GEC7" s="133"/>
      <c r="GED7" s="133"/>
      <c r="GEE7" s="133"/>
      <c r="GEF7" s="133"/>
      <c r="GEG7" s="133"/>
      <c r="GEH7" s="133"/>
      <c r="GEI7" s="133"/>
      <c r="GEJ7" s="133"/>
      <c r="GEK7" s="133"/>
      <c r="GEL7" s="133"/>
      <c r="GEM7" s="133"/>
      <c r="GEN7" s="133"/>
      <c r="GEO7" s="133"/>
      <c r="GEP7" s="133"/>
      <c r="GEQ7" s="133"/>
      <c r="GER7" s="133"/>
      <c r="GES7" s="133"/>
      <c r="GET7" s="133"/>
      <c r="GEU7" s="133"/>
      <c r="GEV7" s="133"/>
      <c r="GEW7" s="133"/>
      <c r="GEX7" s="133"/>
      <c r="GEY7" s="133"/>
      <c r="GEZ7" s="133"/>
      <c r="GFA7" s="133"/>
      <c r="GFB7" s="133"/>
      <c r="GFC7" s="133"/>
      <c r="GFD7" s="133"/>
      <c r="GFE7" s="133"/>
      <c r="GFF7" s="133"/>
      <c r="GFG7" s="133"/>
      <c r="GFH7" s="133"/>
      <c r="GFI7" s="133"/>
      <c r="GFJ7" s="133"/>
      <c r="GFK7" s="133"/>
      <c r="GFL7" s="133"/>
      <c r="GFM7" s="133"/>
      <c r="GFN7" s="133"/>
      <c r="GFO7" s="133"/>
      <c r="GFP7" s="133"/>
      <c r="GFQ7" s="133"/>
      <c r="GFR7" s="133"/>
      <c r="GFS7" s="133"/>
      <c r="GFT7" s="133"/>
      <c r="GFU7" s="133"/>
      <c r="GFV7" s="133"/>
      <c r="GFW7" s="133"/>
      <c r="GFX7" s="133"/>
      <c r="GFY7" s="133"/>
      <c r="GFZ7" s="133"/>
      <c r="GGA7" s="133"/>
      <c r="GGB7" s="133"/>
      <c r="GGC7" s="133"/>
      <c r="GGD7" s="133"/>
      <c r="GGE7" s="133"/>
      <c r="GGF7" s="133"/>
      <c r="GGG7" s="133"/>
      <c r="GGH7" s="133"/>
      <c r="GGI7" s="133"/>
      <c r="GGJ7" s="133"/>
      <c r="GGK7" s="133"/>
      <c r="GGL7" s="133"/>
      <c r="GGM7" s="133"/>
      <c r="GGN7" s="133"/>
      <c r="GGO7" s="133"/>
      <c r="GGP7" s="133"/>
      <c r="GGQ7" s="133"/>
      <c r="GGR7" s="133"/>
      <c r="GGS7" s="133"/>
      <c r="GGT7" s="133"/>
      <c r="GGU7" s="133"/>
      <c r="GGV7" s="133"/>
      <c r="GGW7" s="133"/>
      <c r="GGX7" s="133"/>
      <c r="GGY7" s="133"/>
      <c r="GGZ7" s="133"/>
      <c r="GHA7" s="133"/>
      <c r="GHB7" s="133"/>
      <c r="GHC7" s="133"/>
      <c r="GHD7" s="133"/>
      <c r="GHE7" s="133"/>
      <c r="GHF7" s="133"/>
      <c r="GHG7" s="133"/>
      <c r="GHH7" s="133"/>
      <c r="GHI7" s="133"/>
      <c r="GHJ7" s="133"/>
      <c r="GHK7" s="133"/>
      <c r="GHL7" s="133"/>
      <c r="GHM7" s="133"/>
      <c r="GHN7" s="133"/>
      <c r="GHO7" s="133"/>
      <c r="GHP7" s="133"/>
      <c r="GHQ7" s="133"/>
      <c r="GHR7" s="133"/>
      <c r="GHS7" s="133"/>
      <c r="GHT7" s="133"/>
      <c r="GHU7" s="133"/>
      <c r="GHV7" s="133"/>
      <c r="GHW7" s="133"/>
      <c r="GHX7" s="133"/>
      <c r="GHY7" s="133"/>
      <c r="GHZ7" s="133"/>
      <c r="GIA7" s="133"/>
      <c r="GIB7" s="133"/>
      <c r="GIC7" s="133"/>
      <c r="GID7" s="133"/>
      <c r="GIE7" s="133"/>
      <c r="GIF7" s="133"/>
      <c r="GIG7" s="133"/>
      <c r="GIH7" s="133"/>
      <c r="GII7" s="133"/>
      <c r="GIJ7" s="133"/>
      <c r="GIK7" s="133"/>
      <c r="GIL7" s="133"/>
      <c r="GIM7" s="133"/>
      <c r="GIN7" s="133"/>
      <c r="GIO7" s="133"/>
      <c r="GIP7" s="133"/>
      <c r="GIQ7" s="133"/>
      <c r="GIR7" s="133"/>
      <c r="GIS7" s="133"/>
      <c r="GIT7" s="133"/>
      <c r="GIU7" s="133"/>
      <c r="GIV7" s="133"/>
      <c r="GIW7" s="133"/>
      <c r="GIX7" s="133"/>
      <c r="GIY7" s="133"/>
      <c r="GIZ7" s="133"/>
      <c r="GJA7" s="133"/>
      <c r="GJB7" s="133"/>
      <c r="GJC7" s="133"/>
      <c r="GJD7" s="133"/>
      <c r="GJE7" s="133"/>
      <c r="GJF7" s="133"/>
      <c r="GJG7" s="133"/>
      <c r="GJH7" s="133"/>
      <c r="GJI7" s="133"/>
      <c r="GJJ7" s="133"/>
      <c r="GJK7" s="133"/>
      <c r="GJL7" s="133"/>
      <c r="GJM7" s="133"/>
      <c r="GJN7" s="133"/>
      <c r="GJO7" s="133"/>
      <c r="GJP7" s="133"/>
      <c r="GJQ7" s="133"/>
      <c r="GJR7" s="133"/>
      <c r="GJS7" s="133"/>
      <c r="GJT7" s="133"/>
      <c r="GJU7" s="133"/>
      <c r="GJV7" s="133"/>
      <c r="GJW7" s="133"/>
      <c r="GJX7" s="133"/>
      <c r="GJY7" s="133"/>
      <c r="GJZ7" s="133"/>
      <c r="GKA7" s="133"/>
      <c r="GKB7" s="133"/>
      <c r="GKC7" s="133"/>
      <c r="GKD7" s="133"/>
      <c r="GKE7" s="133"/>
      <c r="GKF7" s="133"/>
      <c r="GKG7" s="133"/>
      <c r="GKH7" s="133"/>
      <c r="GKI7" s="133"/>
      <c r="GKJ7" s="133"/>
      <c r="GKK7" s="133"/>
      <c r="GKL7" s="133"/>
      <c r="GKM7" s="133"/>
      <c r="GKN7" s="133"/>
      <c r="GKO7" s="133"/>
      <c r="GKP7" s="133"/>
      <c r="GKQ7" s="133"/>
      <c r="GKR7" s="133"/>
      <c r="GKS7" s="133"/>
      <c r="GKT7" s="133"/>
      <c r="GKU7" s="133"/>
      <c r="GKV7" s="133"/>
      <c r="GKW7" s="133"/>
      <c r="GKX7" s="133"/>
      <c r="GKY7" s="133"/>
      <c r="GKZ7" s="133"/>
      <c r="GLA7" s="133"/>
      <c r="GLB7" s="133"/>
      <c r="GLC7" s="133"/>
      <c r="GLD7" s="133"/>
      <c r="GLE7" s="133"/>
      <c r="GLF7" s="133"/>
      <c r="GLG7" s="133"/>
      <c r="GLH7" s="133"/>
      <c r="GLI7" s="133"/>
      <c r="GLJ7" s="133"/>
      <c r="GLK7" s="133"/>
      <c r="GLL7" s="133"/>
      <c r="GLM7" s="133"/>
      <c r="GLN7" s="133"/>
      <c r="GLO7" s="133"/>
      <c r="GLP7" s="133"/>
      <c r="GLQ7" s="133"/>
      <c r="GLR7" s="133"/>
      <c r="GLS7" s="133"/>
      <c r="GLT7" s="133"/>
      <c r="GLU7" s="133"/>
      <c r="GLV7" s="133"/>
      <c r="GLW7" s="133"/>
      <c r="GLX7" s="133"/>
      <c r="GLY7" s="133"/>
      <c r="GLZ7" s="133"/>
      <c r="GMA7" s="133"/>
      <c r="GMB7" s="133"/>
      <c r="GMC7" s="133"/>
      <c r="GMD7" s="133"/>
      <c r="GME7" s="133"/>
      <c r="GMF7" s="133"/>
      <c r="GMG7" s="133"/>
      <c r="GMH7" s="133"/>
      <c r="GMI7" s="133"/>
      <c r="GMJ7" s="133"/>
      <c r="GMK7" s="133"/>
      <c r="GML7" s="133"/>
      <c r="GMM7" s="133"/>
      <c r="GMN7" s="133"/>
      <c r="GMO7" s="133"/>
      <c r="GMP7" s="133"/>
      <c r="GMQ7" s="133"/>
      <c r="GMR7" s="133"/>
      <c r="GMS7" s="133"/>
      <c r="GMT7" s="133"/>
      <c r="GMU7" s="133"/>
      <c r="GMV7" s="133"/>
      <c r="GMW7" s="133"/>
      <c r="GMX7" s="133"/>
      <c r="GMY7" s="133"/>
      <c r="GMZ7" s="133"/>
      <c r="GNA7" s="133"/>
      <c r="GNB7" s="133"/>
      <c r="GNC7" s="133"/>
      <c r="GND7" s="133"/>
      <c r="GNE7" s="133"/>
      <c r="GNF7" s="133"/>
      <c r="GNG7" s="133"/>
      <c r="GNH7" s="133"/>
      <c r="GNI7" s="133"/>
      <c r="GNJ7" s="133"/>
      <c r="GNK7" s="133"/>
      <c r="GNL7" s="133"/>
      <c r="GNM7" s="133"/>
      <c r="GNZ7" s="133"/>
      <c r="GOA7" s="133"/>
      <c r="GOB7" s="133"/>
      <c r="GOC7" s="133"/>
      <c r="GOD7" s="133"/>
      <c r="GOE7" s="133"/>
      <c r="GOF7" s="133"/>
      <c r="GOG7" s="133"/>
      <c r="GOH7" s="133"/>
      <c r="GOI7" s="133"/>
      <c r="GOJ7" s="133"/>
      <c r="GOK7" s="133"/>
      <c r="GOL7" s="133"/>
      <c r="GOM7" s="133"/>
      <c r="GON7" s="133"/>
      <c r="GOO7" s="133"/>
      <c r="GOP7" s="133"/>
      <c r="GOQ7" s="133"/>
      <c r="GOR7" s="133"/>
      <c r="GOS7" s="133"/>
      <c r="GOT7" s="133"/>
      <c r="GOU7" s="133"/>
      <c r="GOV7" s="133"/>
      <c r="GOW7" s="133"/>
      <c r="GOX7" s="133"/>
      <c r="GOY7" s="133"/>
      <c r="GOZ7" s="133"/>
      <c r="GPA7" s="133"/>
      <c r="GPB7" s="133"/>
      <c r="GPC7" s="133"/>
      <c r="GPD7" s="133"/>
      <c r="GPE7" s="133"/>
      <c r="GPF7" s="133"/>
      <c r="GPG7" s="133"/>
      <c r="GPH7" s="133"/>
      <c r="GPI7" s="133"/>
      <c r="GPJ7" s="133"/>
      <c r="GPK7" s="133"/>
      <c r="GPL7" s="133"/>
      <c r="GPM7" s="133"/>
      <c r="GPN7" s="133"/>
      <c r="GPO7" s="133"/>
      <c r="GPP7" s="133"/>
      <c r="GPQ7" s="133"/>
      <c r="GPR7" s="133"/>
      <c r="GPS7" s="133"/>
      <c r="GPT7" s="133"/>
      <c r="GPU7" s="133"/>
      <c r="GPV7" s="133"/>
      <c r="GPW7" s="133"/>
      <c r="GPX7" s="133"/>
      <c r="GPY7" s="133"/>
      <c r="GPZ7" s="133"/>
      <c r="GQA7" s="133"/>
      <c r="GQB7" s="133"/>
      <c r="GQC7" s="133"/>
      <c r="GQD7" s="133"/>
      <c r="GQE7" s="133"/>
      <c r="GQF7" s="133"/>
      <c r="GQG7" s="133"/>
      <c r="GQH7" s="133"/>
      <c r="GQI7" s="133"/>
      <c r="GQJ7" s="133"/>
      <c r="GQK7" s="133"/>
      <c r="GQL7" s="133"/>
      <c r="GQM7" s="133"/>
      <c r="GQN7" s="133"/>
      <c r="GQO7" s="133"/>
      <c r="GQP7" s="133"/>
      <c r="GQQ7" s="133"/>
      <c r="GQR7" s="133"/>
      <c r="GQS7" s="133"/>
      <c r="GQT7" s="133"/>
      <c r="GQU7" s="133"/>
      <c r="GQV7" s="133"/>
      <c r="GQW7" s="133"/>
      <c r="GQX7" s="133"/>
      <c r="GQY7" s="133"/>
      <c r="GQZ7" s="133"/>
      <c r="GRA7" s="133"/>
      <c r="GRB7" s="133"/>
      <c r="GRC7" s="133"/>
      <c r="GRD7" s="133"/>
      <c r="GRE7" s="133"/>
      <c r="GRF7" s="133"/>
      <c r="GRG7" s="133"/>
      <c r="GRH7" s="133"/>
      <c r="GRI7" s="133"/>
      <c r="GRJ7" s="133"/>
      <c r="GRK7" s="133"/>
      <c r="GRL7" s="133"/>
      <c r="GRM7" s="133"/>
      <c r="GRN7" s="133"/>
      <c r="GRO7" s="133"/>
      <c r="GRP7" s="133"/>
      <c r="GRQ7" s="133"/>
      <c r="GRR7" s="133"/>
      <c r="GRS7" s="133"/>
      <c r="GRT7" s="133"/>
      <c r="GRU7" s="133"/>
      <c r="GRV7" s="133"/>
      <c r="GRW7" s="133"/>
      <c r="GRX7" s="133"/>
      <c r="GRY7" s="133"/>
      <c r="GRZ7" s="133"/>
      <c r="GSA7" s="133"/>
      <c r="GSB7" s="133"/>
      <c r="GSC7" s="133"/>
      <c r="GSD7" s="133"/>
      <c r="GSE7" s="133"/>
      <c r="GSF7" s="133"/>
      <c r="GSG7" s="133"/>
      <c r="GSH7" s="133"/>
      <c r="GSI7" s="133"/>
      <c r="GSJ7" s="133"/>
      <c r="GSK7" s="133"/>
      <c r="GSL7" s="133"/>
      <c r="GSM7" s="133"/>
      <c r="GSN7" s="133"/>
      <c r="GSO7" s="133"/>
      <c r="GSP7" s="133"/>
      <c r="GSQ7" s="133"/>
      <c r="GSR7" s="133"/>
      <c r="GSS7" s="133"/>
      <c r="GST7" s="133"/>
      <c r="GSU7" s="133"/>
      <c r="GSV7" s="133"/>
      <c r="GSW7" s="133"/>
      <c r="GSX7" s="133"/>
      <c r="GSY7" s="133"/>
      <c r="GSZ7" s="133"/>
      <c r="GTA7" s="133"/>
      <c r="GTB7" s="133"/>
      <c r="GTC7" s="133"/>
      <c r="GTD7" s="133"/>
      <c r="GTE7" s="133"/>
      <c r="GTF7" s="133"/>
      <c r="GTG7" s="133"/>
      <c r="GTH7" s="133"/>
      <c r="GTI7" s="133"/>
      <c r="GTJ7" s="133"/>
      <c r="GTK7" s="133"/>
      <c r="GTL7" s="133"/>
      <c r="GTM7" s="133"/>
      <c r="GTN7" s="133"/>
      <c r="GTO7" s="133"/>
      <c r="GTP7" s="133"/>
      <c r="GTQ7" s="133"/>
      <c r="GTR7" s="133"/>
      <c r="GTS7" s="133"/>
      <c r="GTT7" s="133"/>
      <c r="GTU7" s="133"/>
      <c r="GTV7" s="133"/>
      <c r="GTW7" s="133"/>
      <c r="GTX7" s="133"/>
      <c r="GTY7" s="133"/>
      <c r="GTZ7" s="133"/>
      <c r="GUA7" s="133"/>
      <c r="GUB7" s="133"/>
      <c r="GUC7" s="133"/>
      <c r="GUD7" s="133"/>
      <c r="GUE7" s="133"/>
      <c r="GUF7" s="133"/>
      <c r="GUG7" s="133"/>
      <c r="GUH7" s="133"/>
      <c r="GUI7" s="133"/>
      <c r="GUJ7" s="133"/>
      <c r="GUK7" s="133"/>
      <c r="GUL7" s="133"/>
      <c r="GUM7" s="133"/>
      <c r="GUN7" s="133"/>
      <c r="GUO7" s="133"/>
      <c r="GUP7" s="133"/>
      <c r="GUQ7" s="133"/>
      <c r="GUR7" s="133"/>
      <c r="GUS7" s="133"/>
      <c r="GUT7" s="133"/>
      <c r="GUU7" s="133"/>
      <c r="GUV7" s="133"/>
      <c r="GUW7" s="133"/>
      <c r="GUX7" s="133"/>
      <c r="GUY7" s="133"/>
      <c r="GUZ7" s="133"/>
      <c r="GVA7" s="133"/>
      <c r="GVB7" s="133"/>
      <c r="GVC7" s="133"/>
      <c r="GVD7" s="133"/>
      <c r="GVE7" s="133"/>
      <c r="GVF7" s="133"/>
      <c r="GVG7" s="133"/>
      <c r="GVH7" s="133"/>
      <c r="GVI7" s="133"/>
      <c r="GVJ7" s="133"/>
      <c r="GVK7" s="133"/>
      <c r="GVL7" s="133"/>
      <c r="GVM7" s="133"/>
      <c r="GVN7" s="133"/>
      <c r="GVO7" s="133"/>
      <c r="GVP7" s="133"/>
      <c r="GVQ7" s="133"/>
      <c r="GVR7" s="133"/>
      <c r="GVS7" s="133"/>
      <c r="GVT7" s="133"/>
      <c r="GVU7" s="133"/>
      <c r="GVV7" s="133"/>
      <c r="GVW7" s="133"/>
      <c r="GVX7" s="133"/>
      <c r="GVY7" s="133"/>
      <c r="GVZ7" s="133"/>
      <c r="GWA7" s="133"/>
      <c r="GWB7" s="133"/>
      <c r="GWC7" s="133"/>
      <c r="GWD7" s="133"/>
      <c r="GWE7" s="133"/>
      <c r="GWF7" s="133"/>
      <c r="GWG7" s="133"/>
      <c r="GWH7" s="133"/>
      <c r="GWI7" s="133"/>
      <c r="GWJ7" s="133"/>
      <c r="GWK7" s="133"/>
      <c r="GWL7" s="133"/>
      <c r="GWM7" s="133"/>
      <c r="GWN7" s="133"/>
      <c r="GWO7" s="133"/>
      <c r="GWP7" s="133"/>
      <c r="GWQ7" s="133"/>
      <c r="GWR7" s="133"/>
      <c r="GWS7" s="133"/>
      <c r="GWT7" s="133"/>
      <c r="GWU7" s="133"/>
      <c r="GWV7" s="133"/>
      <c r="GWW7" s="133"/>
      <c r="GWX7" s="133"/>
      <c r="GWY7" s="133"/>
      <c r="GWZ7" s="133"/>
      <c r="GXA7" s="133"/>
      <c r="GXB7" s="133"/>
      <c r="GXC7" s="133"/>
      <c r="GXD7" s="133"/>
      <c r="GXE7" s="133"/>
      <c r="GXF7" s="133"/>
      <c r="GXG7" s="133"/>
      <c r="GXH7" s="133"/>
      <c r="GXI7" s="133"/>
      <c r="GXJ7" s="133"/>
      <c r="GXK7" s="133"/>
      <c r="GXL7" s="133"/>
      <c r="GXM7" s="133"/>
      <c r="GXN7" s="133"/>
      <c r="GXO7" s="133"/>
      <c r="GXP7" s="133"/>
      <c r="GXQ7" s="133"/>
      <c r="GXR7" s="133"/>
      <c r="GXS7" s="133"/>
      <c r="GXT7" s="133"/>
      <c r="GXU7" s="133"/>
      <c r="GXV7" s="133"/>
      <c r="GXW7" s="133"/>
      <c r="GXX7" s="133"/>
      <c r="GXY7" s="133"/>
      <c r="GXZ7" s="133"/>
      <c r="GYA7" s="133"/>
      <c r="GYB7" s="133"/>
      <c r="GYC7" s="133"/>
      <c r="GYD7" s="133"/>
      <c r="GYE7" s="133"/>
      <c r="GYF7" s="133"/>
      <c r="GYG7" s="133"/>
      <c r="GYH7" s="133"/>
      <c r="GYI7" s="133"/>
      <c r="GYJ7" s="133"/>
      <c r="GYK7" s="133"/>
      <c r="GYL7" s="133"/>
      <c r="GYM7" s="133"/>
      <c r="GYN7" s="133"/>
      <c r="GYO7" s="133"/>
      <c r="GYP7" s="133"/>
      <c r="GYQ7" s="133"/>
      <c r="GYR7" s="133"/>
      <c r="GYS7" s="133"/>
      <c r="GYT7" s="133"/>
      <c r="GYU7" s="133"/>
      <c r="GYV7" s="133"/>
      <c r="GYW7" s="133"/>
      <c r="GYX7" s="133"/>
      <c r="GYY7" s="133"/>
      <c r="GYZ7" s="133"/>
      <c r="GZA7" s="133"/>
      <c r="GZB7" s="133"/>
      <c r="GZC7" s="133"/>
      <c r="GZD7" s="133"/>
      <c r="GZE7" s="133"/>
      <c r="GZF7" s="133"/>
      <c r="GZG7" s="133"/>
      <c r="GZH7" s="133"/>
      <c r="GZI7" s="133"/>
      <c r="GZJ7" s="133"/>
      <c r="GZK7" s="133"/>
      <c r="GZL7" s="133"/>
      <c r="GZM7" s="133"/>
      <c r="GZN7" s="133"/>
      <c r="GZO7" s="133"/>
      <c r="GZP7" s="133"/>
      <c r="GZQ7" s="133"/>
      <c r="GZR7" s="133"/>
      <c r="GZS7" s="133"/>
      <c r="GZT7" s="133"/>
      <c r="GZU7" s="133"/>
      <c r="GZV7" s="133"/>
      <c r="GZW7" s="133"/>
      <c r="GZX7" s="133"/>
      <c r="GZY7" s="133"/>
      <c r="GZZ7" s="133"/>
      <c r="HAA7" s="133"/>
      <c r="HAB7" s="133"/>
      <c r="HAC7" s="133"/>
      <c r="HAD7" s="133"/>
      <c r="HAE7" s="133"/>
      <c r="HAF7" s="133"/>
      <c r="HAG7" s="133"/>
      <c r="HAH7" s="133"/>
      <c r="HAI7" s="133"/>
      <c r="HAJ7" s="133"/>
      <c r="HAK7" s="133"/>
      <c r="HAL7" s="133"/>
      <c r="HAM7" s="133"/>
      <c r="HAN7" s="133"/>
      <c r="HAO7" s="133"/>
      <c r="HAP7" s="133"/>
      <c r="HAQ7" s="133"/>
      <c r="HAR7" s="133"/>
      <c r="HAS7" s="133"/>
      <c r="HAT7" s="133"/>
      <c r="HAU7" s="133"/>
      <c r="HAV7" s="133"/>
      <c r="HAW7" s="133"/>
      <c r="HAX7" s="133"/>
      <c r="HAY7" s="133"/>
      <c r="HAZ7" s="133"/>
      <c r="HBA7" s="133"/>
      <c r="HBB7" s="133"/>
      <c r="HBC7" s="133"/>
      <c r="HBD7" s="133"/>
      <c r="HBE7" s="133"/>
      <c r="HBF7" s="133"/>
      <c r="HBG7" s="133"/>
      <c r="HBH7" s="133"/>
      <c r="HBI7" s="133"/>
      <c r="HBJ7" s="133"/>
      <c r="HBK7" s="133"/>
      <c r="HBL7" s="133"/>
      <c r="HBM7" s="133"/>
      <c r="HBN7" s="133"/>
      <c r="HBO7" s="133"/>
      <c r="HBP7" s="133"/>
      <c r="HBQ7" s="133"/>
      <c r="HBR7" s="133"/>
      <c r="HBS7" s="133"/>
      <c r="HBT7" s="133"/>
      <c r="HBU7" s="133"/>
      <c r="HBV7" s="133"/>
      <c r="HBW7" s="133"/>
      <c r="HBX7" s="133"/>
      <c r="HBY7" s="133"/>
      <c r="HBZ7" s="133"/>
      <c r="HCA7" s="133"/>
      <c r="HCB7" s="133"/>
      <c r="HCC7" s="133"/>
      <c r="HCD7" s="133"/>
      <c r="HCE7" s="133"/>
      <c r="HCF7" s="133"/>
      <c r="HCG7" s="133"/>
      <c r="HCH7" s="133"/>
      <c r="HCI7" s="133"/>
      <c r="HCJ7" s="133"/>
      <c r="HCK7" s="133"/>
      <c r="HCL7" s="133"/>
      <c r="HCM7" s="133"/>
      <c r="HCN7" s="133"/>
      <c r="HCO7" s="133"/>
      <c r="HCP7" s="133"/>
      <c r="HCQ7" s="133"/>
      <c r="HCR7" s="133"/>
      <c r="HCS7" s="133"/>
      <c r="HCT7" s="133"/>
      <c r="HCU7" s="133"/>
      <c r="HCV7" s="133"/>
      <c r="HCW7" s="133"/>
      <c r="HCX7" s="133"/>
      <c r="HCY7" s="133"/>
      <c r="HCZ7" s="133"/>
      <c r="HDA7" s="133"/>
      <c r="HDB7" s="133"/>
      <c r="HDC7" s="133"/>
      <c r="HDD7" s="133"/>
      <c r="HDE7" s="133"/>
      <c r="HDF7" s="133"/>
      <c r="HDG7" s="133"/>
      <c r="HDH7" s="133"/>
      <c r="HDI7" s="133"/>
      <c r="HDJ7" s="133"/>
      <c r="HDK7" s="133"/>
      <c r="HDL7" s="133"/>
      <c r="HDM7" s="133"/>
      <c r="HDN7" s="133"/>
      <c r="HDO7" s="133"/>
      <c r="HDP7" s="133"/>
      <c r="HDQ7" s="133"/>
      <c r="HDR7" s="133"/>
      <c r="HDS7" s="133"/>
      <c r="HDT7" s="133"/>
      <c r="HDU7" s="133"/>
      <c r="HDV7" s="133"/>
      <c r="HDW7" s="133"/>
      <c r="HDX7" s="133"/>
      <c r="HDY7" s="133"/>
      <c r="HDZ7" s="133"/>
      <c r="HEA7" s="133"/>
      <c r="HEB7" s="133"/>
      <c r="HEC7" s="133"/>
      <c r="HED7" s="133"/>
      <c r="HEE7" s="133"/>
      <c r="HEF7" s="133"/>
      <c r="HEG7" s="133"/>
      <c r="HEH7" s="133"/>
      <c r="HEI7" s="133"/>
      <c r="HEJ7" s="133"/>
      <c r="HEK7" s="133"/>
      <c r="HEL7" s="133"/>
      <c r="HEM7" s="133"/>
      <c r="HEN7" s="133"/>
      <c r="HEO7" s="133"/>
      <c r="HEP7" s="133"/>
      <c r="HEQ7" s="133"/>
      <c r="HER7" s="133"/>
      <c r="HES7" s="133"/>
      <c r="HET7" s="133"/>
      <c r="HEU7" s="133"/>
      <c r="HEV7" s="133"/>
      <c r="HEW7" s="133"/>
      <c r="HEX7" s="133"/>
      <c r="HEY7" s="133"/>
      <c r="HEZ7" s="133"/>
      <c r="HFA7" s="133"/>
      <c r="HFB7" s="133"/>
      <c r="HFC7" s="133"/>
      <c r="HFD7" s="133"/>
      <c r="HFE7" s="133"/>
      <c r="HFF7" s="133"/>
      <c r="HFG7" s="133"/>
      <c r="HFH7" s="133"/>
      <c r="HFI7" s="133"/>
      <c r="HFJ7" s="133"/>
      <c r="HFK7" s="133"/>
      <c r="HFL7" s="133"/>
      <c r="HFM7" s="133"/>
      <c r="HFN7" s="133"/>
      <c r="HFO7" s="133"/>
      <c r="HFP7" s="133"/>
      <c r="HFQ7" s="133"/>
      <c r="HFR7" s="133"/>
      <c r="HFS7" s="133"/>
      <c r="HFT7" s="133"/>
      <c r="HFU7" s="133"/>
      <c r="HFV7" s="133"/>
      <c r="HFW7" s="133"/>
      <c r="HFX7" s="133"/>
      <c r="HFY7" s="133"/>
      <c r="HFZ7" s="133"/>
      <c r="HGA7" s="133"/>
      <c r="HGB7" s="133"/>
      <c r="HGC7" s="133"/>
      <c r="HGD7" s="133"/>
      <c r="HGE7" s="133"/>
      <c r="HGF7" s="133"/>
      <c r="HGG7" s="133"/>
      <c r="HGH7" s="133"/>
      <c r="HGI7" s="133"/>
      <c r="HGJ7" s="133"/>
      <c r="HGK7" s="133"/>
      <c r="HGL7" s="133"/>
      <c r="HGM7" s="133"/>
      <c r="HGN7" s="133"/>
      <c r="HGO7" s="133"/>
      <c r="HGP7" s="133"/>
      <c r="HGQ7" s="133"/>
      <c r="HGR7" s="133"/>
      <c r="HGS7" s="133"/>
      <c r="HGT7" s="133"/>
      <c r="HGU7" s="133"/>
      <c r="HGV7" s="133"/>
      <c r="HGW7" s="133"/>
      <c r="HGX7" s="133"/>
      <c r="HGY7" s="133"/>
      <c r="HGZ7" s="133"/>
      <c r="HHA7" s="133"/>
      <c r="HHB7" s="133"/>
      <c r="HHC7" s="133"/>
      <c r="HHD7" s="133"/>
      <c r="HHE7" s="133"/>
      <c r="HHF7" s="133"/>
      <c r="HHG7" s="133"/>
      <c r="HHH7" s="133"/>
      <c r="HHI7" s="133"/>
      <c r="HHJ7" s="133"/>
      <c r="HHK7" s="133"/>
      <c r="HHL7" s="133"/>
      <c r="HHM7" s="133"/>
      <c r="HHN7" s="133"/>
      <c r="HHO7" s="133"/>
      <c r="HHP7" s="133"/>
      <c r="HHQ7" s="133"/>
      <c r="HHR7" s="133"/>
      <c r="HHS7" s="133"/>
      <c r="HHT7" s="133"/>
      <c r="HHU7" s="133"/>
      <c r="HHV7" s="133"/>
      <c r="HHW7" s="133"/>
      <c r="HHX7" s="133"/>
      <c r="HHY7" s="133"/>
      <c r="HHZ7" s="133"/>
      <c r="HIA7" s="133"/>
      <c r="HIB7" s="133"/>
      <c r="HIC7" s="133"/>
      <c r="HID7" s="133"/>
      <c r="HIE7" s="133"/>
      <c r="HIF7" s="133"/>
      <c r="HIG7" s="133"/>
      <c r="HIH7" s="133"/>
      <c r="HII7" s="133"/>
      <c r="HIJ7" s="133"/>
      <c r="HIK7" s="133"/>
      <c r="HIL7" s="133"/>
      <c r="HIM7" s="133"/>
      <c r="HIN7" s="133"/>
      <c r="HIO7" s="133"/>
      <c r="HIP7" s="133"/>
      <c r="HIQ7" s="133"/>
      <c r="HIR7" s="133"/>
      <c r="HIS7" s="133"/>
      <c r="HIT7" s="133"/>
      <c r="HIU7" s="133"/>
      <c r="HIV7" s="133"/>
      <c r="HIW7" s="133"/>
      <c r="HIX7" s="133"/>
      <c r="HIY7" s="133"/>
      <c r="HIZ7" s="133"/>
      <c r="HJA7" s="133"/>
      <c r="HJB7" s="133"/>
      <c r="HJC7" s="133"/>
      <c r="HJD7" s="133"/>
      <c r="HJE7" s="133"/>
      <c r="HJF7" s="133"/>
      <c r="HJG7" s="133"/>
      <c r="HJH7" s="133"/>
      <c r="HJI7" s="133"/>
      <c r="HJJ7" s="133"/>
      <c r="HJK7" s="133"/>
      <c r="HJL7" s="133"/>
      <c r="HJM7" s="133"/>
      <c r="HJN7" s="133"/>
      <c r="HJO7" s="133"/>
      <c r="HJP7" s="133"/>
      <c r="HJQ7" s="133"/>
      <c r="HJR7" s="133"/>
      <c r="HJS7" s="133"/>
      <c r="HJT7" s="133"/>
      <c r="HJU7" s="133"/>
      <c r="HJV7" s="133"/>
      <c r="HJW7" s="133"/>
      <c r="HJX7" s="133"/>
      <c r="HJY7" s="133"/>
      <c r="HJZ7" s="133"/>
      <c r="HKA7" s="133"/>
      <c r="HKB7" s="133"/>
      <c r="HKC7" s="133"/>
      <c r="HKD7" s="133"/>
      <c r="HKE7" s="133"/>
      <c r="HKF7" s="133"/>
      <c r="HKG7" s="133"/>
      <c r="HKH7" s="133"/>
      <c r="HKI7" s="133"/>
      <c r="HKJ7" s="133"/>
      <c r="HKK7" s="133"/>
      <c r="HKL7" s="133"/>
      <c r="HKM7" s="133"/>
      <c r="HKN7" s="133"/>
      <c r="HKO7" s="133"/>
      <c r="HKP7" s="133"/>
      <c r="HKQ7" s="133"/>
      <c r="HKR7" s="133"/>
      <c r="HKS7" s="133"/>
      <c r="HKT7" s="133"/>
      <c r="HKU7" s="133"/>
      <c r="HKV7" s="133"/>
      <c r="HKW7" s="133"/>
      <c r="HKX7" s="133"/>
      <c r="HKY7" s="133"/>
      <c r="HKZ7" s="133"/>
      <c r="HLA7" s="133"/>
      <c r="HLB7" s="133"/>
      <c r="HLC7" s="133"/>
      <c r="HLD7" s="133"/>
      <c r="HLE7" s="133"/>
      <c r="HLF7" s="133"/>
      <c r="HLG7" s="133"/>
      <c r="HLH7" s="133"/>
      <c r="HLI7" s="133"/>
      <c r="HLJ7" s="133"/>
      <c r="HLK7" s="133"/>
      <c r="HLL7" s="133"/>
      <c r="HLM7" s="133"/>
      <c r="HLN7" s="133"/>
      <c r="HLO7" s="133"/>
      <c r="HLP7" s="133"/>
      <c r="HLQ7" s="133"/>
      <c r="HLR7" s="133"/>
      <c r="HLS7" s="133"/>
      <c r="HLT7" s="133"/>
      <c r="HLU7" s="133"/>
      <c r="HLV7" s="133"/>
      <c r="HLW7" s="133"/>
      <c r="HLX7" s="133"/>
      <c r="HLY7" s="133"/>
      <c r="HLZ7" s="133"/>
      <c r="HMA7" s="133"/>
      <c r="HMB7" s="133"/>
      <c r="HMC7" s="133"/>
      <c r="HMD7" s="133"/>
      <c r="HME7" s="133"/>
      <c r="HMF7" s="133"/>
      <c r="HMG7" s="133"/>
      <c r="HMH7" s="133"/>
      <c r="HMI7" s="133"/>
      <c r="HMJ7" s="133"/>
      <c r="HMK7" s="133"/>
      <c r="HML7" s="133"/>
      <c r="HMM7" s="133"/>
      <c r="HMN7" s="133"/>
      <c r="HMO7" s="133"/>
      <c r="HMP7" s="133"/>
      <c r="HMQ7" s="133"/>
      <c r="HMR7" s="133"/>
      <c r="HMS7" s="133"/>
      <c r="HMT7" s="133"/>
      <c r="HMU7" s="133"/>
      <c r="HMV7" s="133"/>
      <c r="HMW7" s="133"/>
      <c r="HMX7" s="133"/>
      <c r="HMY7" s="133"/>
      <c r="HMZ7" s="133"/>
      <c r="HNA7" s="133"/>
      <c r="HNB7" s="133"/>
      <c r="HNC7" s="133"/>
      <c r="HND7" s="133"/>
      <c r="HNE7" s="133"/>
      <c r="HNF7" s="133"/>
      <c r="HNG7" s="133"/>
      <c r="HNH7" s="133"/>
      <c r="HNI7" s="133"/>
      <c r="HNJ7" s="133"/>
      <c r="HNK7" s="133"/>
      <c r="HNL7" s="133"/>
      <c r="HNM7" s="133"/>
      <c r="HNN7" s="133"/>
      <c r="HNO7" s="133"/>
      <c r="HNP7" s="133"/>
      <c r="HNQ7" s="133"/>
      <c r="HNR7" s="133"/>
      <c r="HNS7" s="133"/>
      <c r="HNT7" s="133"/>
      <c r="HNU7" s="133"/>
      <c r="HNV7" s="133"/>
      <c r="HNW7" s="133"/>
      <c r="HNX7" s="133"/>
      <c r="HNY7" s="133"/>
      <c r="HNZ7" s="133"/>
      <c r="HOA7" s="133"/>
      <c r="HOB7" s="133"/>
      <c r="HOC7" s="133"/>
      <c r="HOD7" s="133"/>
      <c r="HOE7" s="133"/>
      <c r="HOF7" s="133"/>
      <c r="HOG7" s="133"/>
      <c r="HOH7" s="133"/>
      <c r="HOI7" s="133"/>
      <c r="HOJ7" s="133"/>
      <c r="HOK7" s="133"/>
      <c r="HOL7" s="133"/>
      <c r="HOM7" s="133"/>
      <c r="HON7" s="133"/>
      <c r="HOO7" s="133"/>
      <c r="HOP7" s="133"/>
      <c r="HOQ7" s="133"/>
      <c r="HOR7" s="133"/>
      <c r="HOS7" s="133"/>
      <c r="HOT7" s="133"/>
      <c r="HOU7" s="133"/>
      <c r="HOV7" s="133"/>
      <c r="HOW7" s="133"/>
      <c r="HOX7" s="133"/>
      <c r="HOY7" s="133"/>
      <c r="HOZ7" s="133"/>
      <c r="HPA7" s="133"/>
      <c r="HPB7" s="133"/>
      <c r="HPC7" s="133"/>
      <c r="HPD7" s="133"/>
      <c r="HPE7" s="133"/>
      <c r="HPF7" s="133"/>
      <c r="HPG7" s="133"/>
      <c r="HPH7" s="133"/>
      <c r="HPI7" s="133"/>
      <c r="HPJ7" s="133"/>
      <c r="HPK7" s="133"/>
      <c r="HPL7" s="133"/>
      <c r="HPM7" s="133"/>
      <c r="HPN7" s="133"/>
      <c r="HPO7" s="133"/>
      <c r="HPP7" s="133"/>
      <c r="HPQ7" s="133"/>
      <c r="HPR7" s="133"/>
      <c r="HPS7" s="133"/>
      <c r="HPT7" s="133"/>
      <c r="HPU7" s="133"/>
      <c r="HPV7" s="133"/>
      <c r="HPW7" s="133"/>
      <c r="HPX7" s="133"/>
      <c r="HPY7" s="133"/>
      <c r="HPZ7" s="133"/>
      <c r="HQA7" s="133"/>
      <c r="HQB7" s="133"/>
      <c r="HQC7" s="133"/>
      <c r="HQD7" s="133"/>
      <c r="HQE7" s="133"/>
      <c r="HQF7" s="133"/>
      <c r="HQG7" s="133"/>
      <c r="HQH7" s="133"/>
      <c r="HQI7" s="133"/>
      <c r="HQJ7" s="133"/>
      <c r="HQK7" s="133"/>
      <c r="HQL7" s="133"/>
      <c r="HQM7" s="133"/>
      <c r="HQN7" s="133"/>
      <c r="HQO7" s="133"/>
      <c r="HQP7" s="133"/>
      <c r="HQQ7" s="133"/>
      <c r="HQR7" s="133"/>
      <c r="HQS7" s="133"/>
      <c r="HQT7" s="133"/>
      <c r="HQU7" s="133"/>
      <c r="HQV7" s="133"/>
      <c r="HQW7" s="133"/>
      <c r="HQX7" s="133"/>
      <c r="HQY7" s="133"/>
      <c r="HQZ7" s="133"/>
      <c r="HRA7" s="133"/>
      <c r="HRB7" s="133"/>
      <c r="HRC7" s="133"/>
      <c r="HRD7" s="133"/>
      <c r="HRE7" s="133"/>
      <c r="HRF7" s="133"/>
      <c r="HRG7" s="133"/>
      <c r="HRH7" s="133"/>
      <c r="HRI7" s="133"/>
      <c r="HRJ7" s="133"/>
      <c r="HRK7" s="133"/>
      <c r="HRL7" s="133"/>
      <c r="HRM7" s="133"/>
      <c r="HRN7" s="133"/>
      <c r="HRO7" s="133"/>
      <c r="HRP7" s="133"/>
      <c r="HRQ7" s="133"/>
      <c r="HRR7" s="133"/>
      <c r="HRS7" s="133"/>
      <c r="HRT7" s="133"/>
      <c r="HRU7" s="133"/>
      <c r="HRV7" s="133"/>
      <c r="HRW7" s="133"/>
      <c r="HRX7" s="133"/>
      <c r="HRY7" s="133"/>
      <c r="HRZ7" s="133"/>
      <c r="HSA7" s="133"/>
      <c r="HSB7" s="133"/>
      <c r="HSC7" s="133"/>
      <c r="HSD7" s="133"/>
      <c r="HSE7" s="133"/>
      <c r="HSF7" s="133"/>
      <c r="HSG7" s="133"/>
      <c r="HSH7" s="133"/>
      <c r="HSI7" s="133"/>
      <c r="HSJ7" s="133"/>
      <c r="HSK7" s="133"/>
      <c r="HSL7" s="133"/>
      <c r="HSM7" s="133"/>
      <c r="HSN7" s="133"/>
      <c r="HSO7" s="133"/>
      <c r="HSP7" s="133"/>
      <c r="HSQ7" s="133"/>
      <c r="HSR7" s="133"/>
      <c r="HSS7" s="133"/>
      <c r="HST7" s="133"/>
      <c r="HSU7" s="133"/>
      <c r="HSV7" s="133"/>
      <c r="HSW7" s="133"/>
      <c r="HSX7" s="133"/>
      <c r="HSY7" s="133"/>
      <c r="HSZ7" s="133"/>
      <c r="HTA7" s="133"/>
      <c r="HTB7" s="133"/>
      <c r="HTC7" s="133"/>
      <c r="HTD7" s="133"/>
      <c r="HTE7" s="133"/>
      <c r="HTF7" s="133"/>
      <c r="HTG7" s="133"/>
      <c r="HTH7" s="133"/>
      <c r="HTI7" s="133"/>
      <c r="HTJ7" s="133"/>
      <c r="HTK7" s="133"/>
      <c r="HTL7" s="133"/>
      <c r="HTM7" s="133"/>
      <c r="HTN7" s="133"/>
      <c r="HTO7" s="133"/>
      <c r="HTP7" s="133"/>
      <c r="HTQ7" s="133"/>
      <c r="HTR7" s="133"/>
      <c r="HTS7" s="133"/>
      <c r="HTT7" s="133"/>
      <c r="HTU7" s="133"/>
      <c r="HTV7" s="133"/>
      <c r="HTW7" s="133"/>
      <c r="HTX7" s="133"/>
      <c r="HTY7" s="133"/>
      <c r="HTZ7" s="133"/>
      <c r="HUA7" s="133"/>
      <c r="HUB7" s="133"/>
      <c r="HUC7" s="133"/>
      <c r="HUD7" s="133"/>
      <c r="HUE7" s="133"/>
      <c r="HUF7" s="133"/>
      <c r="HUG7" s="133"/>
      <c r="HUH7" s="133"/>
      <c r="HUI7" s="133"/>
      <c r="HUJ7" s="133"/>
      <c r="HUK7" s="133"/>
      <c r="HUL7" s="133"/>
      <c r="HUM7" s="133"/>
      <c r="HUN7" s="133"/>
      <c r="HUO7" s="133"/>
      <c r="HUP7" s="133"/>
      <c r="HUQ7" s="133"/>
      <c r="HUR7" s="133"/>
      <c r="HUS7" s="133"/>
      <c r="HUT7" s="133"/>
      <c r="HUU7" s="133"/>
      <c r="HUV7" s="133"/>
      <c r="HUW7" s="133"/>
      <c r="HUX7" s="133"/>
      <c r="HUY7" s="133"/>
      <c r="HUZ7" s="133"/>
      <c r="HVA7" s="133"/>
      <c r="HVB7" s="133"/>
      <c r="HVC7" s="133"/>
      <c r="HVD7" s="133"/>
      <c r="HVE7" s="133"/>
      <c r="HVF7" s="133"/>
      <c r="HVG7" s="133"/>
      <c r="HVH7" s="133"/>
      <c r="HVI7" s="133"/>
      <c r="HVJ7" s="133"/>
      <c r="HVK7" s="133"/>
      <c r="HVL7" s="133"/>
      <c r="HVM7" s="133"/>
      <c r="HVN7" s="133"/>
      <c r="HVO7" s="133"/>
      <c r="HVP7" s="133"/>
      <c r="HVQ7" s="133"/>
      <c r="HVR7" s="133"/>
      <c r="HVS7" s="133"/>
      <c r="HVT7" s="133"/>
      <c r="HVU7" s="133"/>
      <c r="HVV7" s="133"/>
      <c r="HVW7" s="133"/>
      <c r="HVX7" s="133"/>
      <c r="HVY7" s="133"/>
      <c r="HVZ7" s="133"/>
      <c r="HWA7" s="133"/>
      <c r="HWB7" s="133"/>
      <c r="HWC7" s="133"/>
      <c r="HWD7" s="133"/>
      <c r="HWE7" s="133"/>
      <c r="HWF7" s="133"/>
      <c r="HWG7" s="133"/>
      <c r="HWH7" s="133"/>
      <c r="HWI7" s="133"/>
      <c r="HWJ7" s="133"/>
      <c r="HWK7" s="133"/>
      <c r="HWL7" s="133"/>
      <c r="HWM7" s="133"/>
      <c r="HWN7" s="133"/>
      <c r="HWO7" s="133"/>
      <c r="HWP7" s="133"/>
      <c r="HWQ7" s="133"/>
      <c r="HWR7" s="133"/>
      <c r="HWS7" s="133"/>
      <c r="HWT7" s="133"/>
      <c r="HWU7" s="133"/>
      <c r="HWV7" s="133"/>
      <c r="HWW7" s="133"/>
      <c r="HWX7" s="133"/>
      <c r="HWY7" s="133"/>
      <c r="HWZ7" s="133"/>
      <c r="HXA7" s="133"/>
      <c r="HXB7" s="133"/>
      <c r="HXC7" s="133"/>
      <c r="HXD7" s="133"/>
      <c r="HXE7" s="133"/>
      <c r="HXF7" s="133"/>
      <c r="HXG7" s="133"/>
      <c r="HXH7" s="133"/>
      <c r="HXI7" s="133"/>
      <c r="HXJ7" s="133"/>
      <c r="HXK7" s="133"/>
      <c r="HXL7" s="133"/>
      <c r="HXM7" s="133"/>
      <c r="HXN7" s="133"/>
      <c r="HXO7" s="133"/>
      <c r="HXP7" s="133"/>
      <c r="HXQ7" s="133"/>
      <c r="HXR7" s="133"/>
      <c r="HXS7" s="133"/>
      <c r="HXT7" s="133"/>
      <c r="HXU7" s="133"/>
      <c r="HXV7" s="133"/>
      <c r="HXW7" s="133"/>
      <c r="HXX7" s="133"/>
      <c r="HXY7" s="133"/>
      <c r="HXZ7" s="133"/>
      <c r="HYA7" s="133"/>
      <c r="HYB7" s="133"/>
      <c r="HYC7" s="133"/>
      <c r="HYD7" s="133"/>
      <c r="HYE7" s="133"/>
      <c r="HYF7" s="133"/>
      <c r="HYG7" s="133"/>
      <c r="HYH7" s="133"/>
      <c r="HYI7" s="133"/>
      <c r="HYJ7" s="133"/>
      <c r="HYK7" s="133"/>
      <c r="HYL7" s="133"/>
      <c r="HYM7" s="133"/>
      <c r="HYN7" s="133"/>
      <c r="HYO7" s="133"/>
      <c r="HYP7" s="133"/>
      <c r="HYQ7" s="133"/>
      <c r="HYR7" s="133"/>
      <c r="HYS7" s="133"/>
      <c r="HYT7" s="133"/>
      <c r="HYU7" s="133"/>
      <c r="HYV7" s="133"/>
      <c r="HYW7" s="133"/>
      <c r="HYX7" s="133"/>
      <c r="HYY7" s="133"/>
      <c r="HYZ7" s="133"/>
      <c r="HZA7" s="133"/>
      <c r="HZB7" s="133"/>
      <c r="HZC7" s="133"/>
      <c r="HZD7" s="133"/>
      <c r="HZE7" s="133"/>
      <c r="HZF7" s="133"/>
      <c r="HZG7" s="133"/>
      <c r="HZH7" s="133"/>
      <c r="HZI7" s="133"/>
      <c r="HZJ7" s="133"/>
      <c r="HZK7" s="133"/>
      <c r="HZL7" s="133"/>
      <c r="HZM7" s="133"/>
      <c r="HZN7" s="133"/>
      <c r="HZO7" s="133"/>
      <c r="HZP7" s="133"/>
      <c r="HZQ7" s="133"/>
      <c r="HZR7" s="133"/>
      <c r="HZS7" s="133"/>
      <c r="HZT7" s="133"/>
      <c r="HZU7" s="133"/>
      <c r="HZV7" s="133"/>
      <c r="HZW7" s="133"/>
      <c r="HZX7" s="133"/>
      <c r="HZY7" s="133"/>
      <c r="HZZ7" s="133"/>
      <c r="IAA7" s="133"/>
      <c r="IAB7" s="133"/>
      <c r="IAC7" s="133"/>
      <c r="IAD7" s="133"/>
      <c r="IAE7" s="133"/>
      <c r="IAF7" s="133"/>
      <c r="IAG7" s="133"/>
      <c r="IAH7" s="133"/>
      <c r="IAI7" s="133"/>
      <c r="IAJ7" s="133"/>
      <c r="IAK7" s="133"/>
      <c r="IAL7" s="133"/>
      <c r="IAM7" s="133"/>
      <c r="IAN7" s="133"/>
      <c r="IAO7" s="133"/>
      <c r="IAP7" s="133"/>
      <c r="IAQ7" s="133"/>
      <c r="IAR7" s="133"/>
      <c r="IAS7" s="133"/>
      <c r="IAT7" s="133"/>
      <c r="IAU7" s="133"/>
      <c r="IAV7" s="133"/>
      <c r="IAW7" s="133"/>
      <c r="IBJ7" s="133"/>
      <c r="IBK7" s="133"/>
      <c r="IBL7" s="133"/>
      <c r="IBM7" s="133"/>
      <c r="IBN7" s="133"/>
      <c r="IBO7" s="133"/>
      <c r="IBP7" s="133"/>
      <c r="IBQ7" s="133"/>
      <c r="IBR7" s="133"/>
      <c r="IBS7" s="133"/>
      <c r="IBT7" s="133"/>
      <c r="IBU7" s="133"/>
      <c r="IBV7" s="133"/>
      <c r="IBW7" s="133"/>
      <c r="IBX7" s="133"/>
      <c r="IBY7" s="133"/>
      <c r="IBZ7" s="133"/>
      <c r="ICA7" s="133"/>
      <c r="ICB7" s="133"/>
      <c r="ICC7" s="133"/>
      <c r="ICD7" s="133"/>
      <c r="ICE7" s="133"/>
      <c r="ICF7" s="133"/>
      <c r="ICG7" s="133"/>
      <c r="ICH7" s="133"/>
      <c r="ICI7" s="133"/>
      <c r="ICJ7" s="133"/>
      <c r="ICK7" s="133"/>
      <c r="ICL7" s="133"/>
      <c r="ICM7" s="133"/>
      <c r="ICN7" s="133"/>
      <c r="ICO7" s="133"/>
      <c r="ICP7" s="133"/>
      <c r="ICQ7" s="133"/>
      <c r="ICR7" s="133"/>
      <c r="ICS7" s="133"/>
      <c r="ICT7" s="133"/>
      <c r="ICU7" s="133"/>
      <c r="ICV7" s="133"/>
      <c r="ICW7" s="133"/>
      <c r="ICX7" s="133"/>
      <c r="ICY7" s="133"/>
      <c r="ICZ7" s="133"/>
      <c r="IDA7" s="133"/>
      <c r="IDB7" s="133"/>
      <c r="IDC7" s="133"/>
      <c r="IDD7" s="133"/>
      <c r="IDE7" s="133"/>
      <c r="IDF7" s="133"/>
      <c r="IDG7" s="133"/>
      <c r="IDH7" s="133"/>
      <c r="IDI7" s="133"/>
      <c r="IDJ7" s="133"/>
      <c r="IDK7" s="133"/>
      <c r="IDL7" s="133"/>
      <c r="IDM7" s="133"/>
      <c r="IDN7" s="133"/>
      <c r="IDO7" s="133"/>
      <c r="IDP7" s="133"/>
      <c r="IDQ7" s="133"/>
      <c r="IDR7" s="133"/>
      <c r="IDS7" s="133"/>
      <c r="IDT7" s="133"/>
      <c r="IDU7" s="133"/>
      <c r="IDV7" s="133"/>
      <c r="IDW7" s="133"/>
      <c r="IDX7" s="133"/>
      <c r="IDY7" s="133"/>
      <c r="IDZ7" s="133"/>
      <c r="IEA7" s="133"/>
      <c r="IEB7" s="133"/>
      <c r="IEC7" s="133"/>
      <c r="IED7" s="133"/>
      <c r="IEE7" s="133"/>
      <c r="IEF7" s="133"/>
      <c r="IEG7" s="133"/>
      <c r="IEH7" s="133"/>
      <c r="IEI7" s="133"/>
      <c r="IEJ7" s="133"/>
      <c r="IEK7" s="133"/>
      <c r="IEL7" s="133"/>
      <c r="IEM7" s="133"/>
      <c r="IEN7" s="133"/>
      <c r="IEO7" s="133"/>
      <c r="IEP7" s="133"/>
      <c r="IEQ7" s="133"/>
      <c r="IER7" s="133"/>
      <c r="IES7" s="133"/>
      <c r="IET7" s="133"/>
      <c r="IEU7" s="133"/>
      <c r="IEV7" s="133"/>
      <c r="IEW7" s="133"/>
      <c r="IEX7" s="133"/>
      <c r="IEY7" s="133"/>
      <c r="IEZ7" s="133"/>
      <c r="IFA7" s="133"/>
      <c r="IFB7" s="133"/>
      <c r="IFC7" s="133"/>
      <c r="IFD7" s="133"/>
      <c r="IFE7" s="133"/>
      <c r="IFF7" s="133"/>
      <c r="IFG7" s="133"/>
      <c r="IFH7" s="133"/>
      <c r="IFI7" s="133"/>
      <c r="IFJ7" s="133"/>
      <c r="IFK7" s="133"/>
      <c r="IFL7" s="133"/>
      <c r="IFM7" s="133"/>
      <c r="IFN7" s="133"/>
      <c r="IFO7" s="133"/>
      <c r="IFP7" s="133"/>
      <c r="IFQ7" s="133"/>
      <c r="IFR7" s="133"/>
      <c r="IFS7" s="133"/>
      <c r="IFT7" s="133"/>
      <c r="IFU7" s="133"/>
      <c r="IFV7" s="133"/>
      <c r="IFW7" s="133"/>
      <c r="IFX7" s="133"/>
      <c r="IFY7" s="133"/>
      <c r="IFZ7" s="133"/>
      <c r="IGA7" s="133"/>
      <c r="IGB7" s="133"/>
      <c r="IGC7" s="133"/>
      <c r="IGD7" s="133"/>
      <c r="IGE7" s="133"/>
      <c r="IGF7" s="133"/>
      <c r="IGG7" s="133"/>
      <c r="IGH7" s="133"/>
      <c r="IGI7" s="133"/>
      <c r="IGJ7" s="133"/>
      <c r="IGK7" s="133"/>
      <c r="IGL7" s="133"/>
      <c r="IGM7" s="133"/>
      <c r="IGN7" s="133"/>
      <c r="IGO7" s="133"/>
      <c r="IGP7" s="133"/>
      <c r="IGQ7" s="133"/>
      <c r="IGR7" s="133"/>
      <c r="IGS7" s="133"/>
      <c r="IGT7" s="133"/>
      <c r="IGU7" s="133"/>
      <c r="IGV7" s="133"/>
      <c r="IGW7" s="133"/>
      <c r="IGX7" s="133"/>
      <c r="IGY7" s="133"/>
      <c r="IGZ7" s="133"/>
      <c r="IHA7" s="133"/>
      <c r="IHB7" s="133"/>
      <c r="IHC7" s="133"/>
      <c r="IHD7" s="133"/>
      <c r="IHE7" s="133"/>
      <c r="IHF7" s="133"/>
      <c r="IHG7" s="133"/>
      <c r="IHH7" s="133"/>
      <c r="IHI7" s="133"/>
      <c r="IHJ7" s="133"/>
      <c r="IHK7" s="133"/>
      <c r="IHL7" s="133"/>
      <c r="IHM7" s="133"/>
      <c r="IHN7" s="133"/>
      <c r="IHO7" s="133"/>
      <c r="IHP7" s="133"/>
      <c r="IHQ7" s="133"/>
      <c r="IHR7" s="133"/>
      <c r="IHS7" s="133"/>
      <c r="IHT7" s="133"/>
      <c r="IHU7" s="133"/>
      <c r="IHV7" s="133"/>
      <c r="IHW7" s="133"/>
      <c r="IHX7" s="133"/>
      <c r="IHY7" s="133"/>
      <c r="IHZ7" s="133"/>
      <c r="IIA7" s="133"/>
      <c r="IIB7" s="133"/>
      <c r="IIC7" s="133"/>
      <c r="IID7" s="133"/>
      <c r="IIE7" s="133"/>
      <c r="IIF7" s="133"/>
      <c r="IIG7" s="133"/>
      <c r="IIH7" s="133"/>
      <c r="III7" s="133"/>
      <c r="IIJ7" s="133"/>
      <c r="IIK7" s="133"/>
      <c r="IIL7" s="133"/>
      <c r="IIM7" s="133"/>
      <c r="IIN7" s="133"/>
      <c r="IIO7" s="133"/>
      <c r="IIP7" s="133"/>
      <c r="IIQ7" s="133"/>
      <c r="IIR7" s="133"/>
      <c r="IIS7" s="133"/>
      <c r="IIT7" s="133"/>
      <c r="IIU7" s="133"/>
      <c r="IIV7" s="133"/>
      <c r="IIW7" s="133"/>
      <c r="IIX7" s="133"/>
      <c r="IIY7" s="133"/>
      <c r="IIZ7" s="133"/>
      <c r="IJA7" s="133"/>
      <c r="IJB7" s="133"/>
      <c r="IJC7" s="133"/>
      <c r="IJD7" s="133"/>
      <c r="IJE7" s="133"/>
      <c r="IJF7" s="133"/>
      <c r="IJG7" s="133"/>
      <c r="IJH7" s="133"/>
      <c r="IJI7" s="133"/>
      <c r="IJJ7" s="133"/>
      <c r="IJK7" s="133"/>
      <c r="IJL7" s="133"/>
      <c r="IJM7" s="133"/>
      <c r="IJN7" s="133"/>
      <c r="IJO7" s="133"/>
      <c r="IJP7" s="133"/>
      <c r="IJQ7" s="133"/>
      <c r="IJR7" s="133"/>
      <c r="IJS7" s="133"/>
      <c r="IJT7" s="133"/>
      <c r="IJU7" s="133"/>
      <c r="IJV7" s="133"/>
      <c r="IJW7" s="133"/>
      <c r="IJX7" s="133"/>
      <c r="IJY7" s="133"/>
      <c r="IJZ7" s="133"/>
      <c r="IKA7" s="133"/>
      <c r="IKB7" s="133"/>
      <c r="IKC7" s="133"/>
      <c r="IKD7" s="133"/>
      <c r="IKE7" s="133"/>
      <c r="IKF7" s="133"/>
      <c r="IKG7" s="133"/>
      <c r="IKH7" s="133"/>
      <c r="IKI7" s="133"/>
      <c r="IKJ7" s="133"/>
      <c r="IKK7" s="133"/>
      <c r="IKL7" s="133"/>
      <c r="IKM7" s="133"/>
      <c r="IKN7" s="133"/>
      <c r="IKO7" s="133"/>
      <c r="IKP7" s="133"/>
      <c r="IKQ7" s="133"/>
      <c r="IKR7" s="133"/>
      <c r="IKS7" s="133"/>
      <c r="IKT7" s="133"/>
      <c r="IKU7" s="133"/>
      <c r="IKV7" s="133"/>
      <c r="IKW7" s="133"/>
      <c r="IKX7" s="133"/>
      <c r="IKY7" s="133"/>
      <c r="IKZ7" s="133"/>
      <c r="ILA7" s="133"/>
      <c r="ILB7" s="133"/>
      <c r="ILC7" s="133"/>
      <c r="ILD7" s="133"/>
      <c r="ILE7" s="133"/>
      <c r="ILF7" s="133"/>
      <c r="ILG7" s="133"/>
      <c r="ILH7" s="133"/>
      <c r="ILI7" s="133"/>
      <c r="ILJ7" s="133"/>
      <c r="ILK7" s="133"/>
      <c r="ILL7" s="133"/>
      <c r="ILM7" s="133"/>
      <c r="ILN7" s="133"/>
      <c r="ILO7" s="133"/>
      <c r="ILP7" s="133"/>
      <c r="ILQ7" s="133"/>
      <c r="ILR7" s="133"/>
      <c r="ILS7" s="133"/>
      <c r="ILT7" s="133"/>
      <c r="ILU7" s="133"/>
      <c r="ILV7" s="133"/>
      <c r="ILW7" s="133"/>
      <c r="ILX7" s="133"/>
      <c r="ILY7" s="133"/>
      <c r="ILZ7" s="133"/>
      <c r="IMA7" s="133"/>
      <c r="IMB7" s="133"/>
      <c r="IMC7" s="133"/>
      <c r="IMD7" s="133"/>
      <c r="IME7" s="133"/>
      <c r="IMF7" s="133"/>
      <c r="IMG7" s="133"/>
      <c r="IMH7" s="133"/>
      <c r="IMI7" s="133"/>
      <c r="IMJ7" s="133"/>
      <c r="IMK7" s="133"/>
      <c r="IML7" s="133"/>
      <c r="IMM7" s="133"/>
      <c r="IMN7" s="133"/>
      <c r="IMO7" s="133"/>
      <c r="IMP7" s="133"/>
      <c r="IMQ7" s="133"/>
      <c r="IMR7" s="133"/>
      <c r="IMS7" s="133"/>
      <c r="IMT7" s="133"/>
      <c r="IMU7" s="133"/>
      <c r="IMV7" s="133"/>
      <c r="IMW7" s="133"/>
      <c r="IMX7" s="133"/>
      <c r="IMY7" s="133"/>
      <c r="IMZ7" s="133"/>
      <c r="INA7" s="133"/>
      <c r="INB7" s="133"/>
      <c r="INC7" s="133"/>
      <c r="IND7" s="133"/>
      <c r="INE7" s="133"/>
      <c r="INF7" s="133"/>
      <c r="ING7" s="133"/>
      <c r="INH7" s="133"/>
      <c r="INI7" s="133"/>
      <c r="INJ7" s="133"/>
      <c r="INK7" s="133"/>
      <c r="INL7" s="133"/>
      <c r="INM7" s="133"/>
      <c r="INN7" s="133"/>
      <c r="INO7" s="133"/>
      <c r="INP7" s="133"/>
      <c r="INQ7" s="133"/>
      <c r="INR7" s="133"/>
      <c r="INS7" s="133"/>
      <c r="INT7" s="133"/>
      <c r="INU7" s="133"/>
      <c r="INV7" s="133"/>
      <c r="INW7" s="133"/>
      <c r="INX7" s="133"/>
      <c r="INY7" s="133"/>
      <c r="INZ7" s="133"/>
      <c r="IOA7" s="133"/>
      <c r="IOB7" s="133"/>
      <c r="IOC7" s="133"/>
      <c r="IOD7" s="133"/>
      <c r="IOE7" s="133"/>
      <c r="IOF7" s="133"/>
      <c r="IOG7" s="133"/>
      <c r="IOH7" s="133"/>
      <c r="IOI7" s="133"/>
      <c r="IOJ7" s="133"/>
      <c r="IOK7" s="133"/>
      <c r="IOL7" s="133"/>
      <c r="IOM7" s="133"/>
      <c r="ION7" s="133"/>
      <c r="IOO7" s="133"/>
      <c r="IOP7" s="133"/>
      <c r="IOQ7" s="133"/>
      <c r="IOR7" s="133"/>
      <c r="IOS7" s="133"/>
      <c r="IOT7" s="133"/>
      <c r="IOU7" s="133"/>
      <c r="IOV7" s="133"/>
      <c r="IOW7" s="133"/>
      <c r="IOX7" s="133"/>
      <c r="IOY7" s="133"/>
      <c r="IOZ7" s="133"/>
      <c r="IPA7" s="133"/>
      <c r="IPB7" s="133"/>
      <c r="IPC7" s="133"/>
      <c r="IPD7" s="133"/>
      <c r="IPE7" s="133"/>
      <c r="IPF7" s="133"/>
      <c r="IPG7" s="133"/>
      <c r="IPH7" s="133"/>
      <c r="IPI7" s="133"/>
      <c r="IPJ7" s="133"/>
      <c r="IPK7" s="133"/>
      <c r="IPL7" s="133"/>
      <c r="IPM7" s="133"/>
      <c r="IPN7" s="133"/>
      <c r="IPO7" s="133"/>
      <c r="IPP7" s="133"/>
      <c r="IPQ7" s="133"/>
      <c r="IPR7" s="133"/>
      <c r="IPS7" s="133"/>
      <c r="IPT7" s="133"/>
      <c r="IPU7" s="133"/>
      <c r="IPV7" s="133"/>
      <c r="IPW7" s="133"/>
      <c r="IPX7" s="133"/>
      <c r="IPY7" s="133"/>
      <c r="IPZ7" s="133"/>
      <c r="IQA7" s="133"/>
      <c r="IQB7" s="133"/>
      <c r="IQC7" s="133"/>
      <c r="IQD7" s="133"/>
      <c r="IQE7" s="133"/>
      <c r="IQF7" s="133"/>
      <c r="IQG7" s="133"/>
      <c r="IQH7" s="133"/>
      <c r="IQI7" s="133"/>
      <c r="IQJ7" s="133"/>
      <c r="IQK7" s="133"/>
      <c r="IQL7" s="133"/>
      <c r="IQM7" s="133"/>
      <c r="IQN7" s="133"/>
      <c r="IQO7" s="133"/>
      <c r="IQP7" s="133"/>
      <c r="IQQ7" s="133"/>
      <c r="IQR7" s="133"/>
      <c r="IQS7" s="133"/>
      <c r="IQT7" s="133"/>
      <c r="IQU7" s="133"/>
      <c r="IQV7" s="133"/>
      <c r="IQW7" s="133"/>
      <c r="IQX7" s="133"/>
      <c r="IQY7" s="133"/>
      <c r="IQZ7" s="133"/>
      <c r="IRA7" s="133"/>
      <c r="IRB7" s="133"/>
      <c r="IRC7" s="133"/>
      <c r="IRD7" s="133"/>
      <c r="IRE7" s="133"/>
      <c r="IRF7" s="133"/>
      <c r="IRG7" s="133"/>
      <c r="IRH7" s="133"/>
      <c r="IRI7" s="133"/>
      <c r="IRJ7" s="133"/>
      <c r="IRK7" s="133"/>
      <c r="IRL7" s="133"/>
      <c r="IRM7" s="133"/>
      <c r="IRN7" s="133"/>
      <c r="IRO7" s="133"/>
      <c r="IRP7" s="133"/>
      <c r="IRQ7" s="133"/>
      <c r="IRR7" s="133"/>
      <c r="IRS7" s="133"/>
      <c r="IRT7" s="133"/>
      <c r="IRU7" s="133"/>
      <c r="IRV7" s="133"/>
      <c r="IRW7" s="133"/>
      <c r="IRX7" s="133"/>
      <c r="IRY7" s="133"/>
      <c r="IRZ7" s="133"/>
      <c r="ISA7" s="133"/>
      <c r="ISB7" s="133"/>
      <c r="ISC7" s="133"/>
      <c r="ISD7" s="133"/>
      <c r="ISE7" s="133"/>
      <c r="ISF7" s="133"/>
      <c r="ISG7" s="133"/>
      <c r="ISH7" s="133"/>
      <c r="ISI7" s="133"/>
      <c r="ISJ7" s="133"/>
      <c r="ISK7" s="133"/>
      <c r="ISL7" s="133"/>
      <c r="ISM7" s="133"/>
      <c r="ISN7" s="133"/>
      <c r="ISO7" s="133"/>
      <c r="ISP7" s="133"/>
      <c r="ISQ7" s="133"/>
      <c r="ISR7" s="133"/>
      <c r="ISS7" s="133"/>
      <c r="IST7" s="133"/>
      <c r="ISU7" s="133"/>
      <c r="ISV7" s="133"/>
      <c r="ISW7" s="133"/>
      <c r="ISX7" s="133"/>
      <c r="ISY7" s="133"/>
      <c r="ISZ7" s="133"/>
      <c r="ITA7" s="133"/>
      <c r="ITB7" s="133"/>
      <c r="ITC7" s="133"/>
      <c r="ITD7" s="133"/>
      <c r="ITE7" s="133"/>
      <c r="ITF7" s="133"/>
      <c r="ITG7" s="133"/>
      <c r="ITH7" s="133"/>
      <c r="ITI7" s="133"/>
      <c r="ITJ7" s="133"/>
      <c r="ITK7" s="133"/>
      <c r="ITL7" s="133"/>
      <c r="ITM7" s="133"/>
      <c r="ITN7" s="133"/>
      <c r="ITO7" s="133"/>
      <c r="ITP7" s="133"/>
      <c r="ITQ7" s="133"/>
      <c r="ITR7" s="133"/>
      <c r="ITS7" s="133"/>
      <c r="ITT7" s="133"/>
      <c r="ITU7" s="133"/>
      <c r="ITV7" s="133"/>
      <c r="ITW7" s="133"/>
      <c r="ITX7" s="133"/>
      <c r="ITY7" s="133"/>
      <c r="ITZ7" s="133"/>
      <c r="IUA7" s="133"/>
      <c r="IUB7" s="133"/>
      <c r="IUC7" s="133"/>
      <c r="IUD7" s="133"/>
      <c r="IUE7" s="133"/>
      <c r="IUF7" s="133"/>
      <c r="IUG7" s="133"/>
      <c r="IUH7" s="133"/>
      <c r="IUI7" s="133"/>
      <c r="IUJ7" s="133"/>
      <c r="IUK7" s="133"/>
      <c r="IUL7" s="133"/>
      <c r="IUM7" s="133"/>
      <c r="IUN7" s="133"/>
      <c r="IUO7" s="133"/>
      <c r="IUP7" s="133"/>
      <c r="IUQ7" s="133"/>
      <c r="IUR7" s="133"/>
      <c r="IUS7" s="133"/>
      <c r="IUT7" s="133"/>
      <c r="IUU7" s="133"/>
      <c r="IUV7" s="133"/>
      <c r="IUW7" s="133"/>
      <c r="IUX7" s="133"/>
      <c r="IUY7" s="133"/>
      <c r="IUZ7" s="133"/>
      <c r="IVA7" s="133"/>
      <c r="IVB7" s="133"/>
      <c r="IVC7" s="133"/>
      <c r="IVD7" s="133"/>
      <c r="IVE7" s="133"/>
      <c r="IVF7" s="133"/>
      <c r="IVG7" s="133"/>
      <c r="IVH7" s="133"/>
      <c r="IVI7" s="133"/>
      <c r="IVJ7" s="133"/>
      <c r="IVK7" s="133"/>
      <c r="IVL7" s="133"/>
      <c r="IVM7" s="133"/>
      <c r="IVN7" s="133"/>
      <c r="IVO7" s="133"/>
      <c r="IVP7" s="133"/>
      <c r="IVQ7" s="133"/>
      <c r="IVR7" s="133"/>
      <c r="IVS7" s="133"/>
      <c r="IVT7" s="133"/>
      <c r="IVU7" s="133"/>
      <c r="IVV7" s="133"/>
      <c r="IVW7" s="133"/>
      <c r="IVX7" s="133"/>
      <c r="IVY7" s="133"/>
      <c r="IVZ7" s="133"/>
      <c r="IWA7" s="133"/>
      <c r="IWB7" s="133"/>
      <c r="IWC7" s="133"/>
      <c r="IWD7" s="133"/>
      <c r="IWE7" s="133"/>
      <c r="IWF7" s="133"/>
      <c r="IWG7" s="133"/>
      <c r="IWH7" s="133"/>
      <c r="IWI7" s="133"/>
      <c r="IWJ7" s="133"/>
      <c r="IWK7" s="133"/>
      <c r="IWL7" s="133"/>
      <c r="IWM7" s="133"/>
      <c r="IWN7" s="133"/>
      <c r="IWO7" s="133"/>
      <c r="IWP7" s="133"/>
      <c r="IWQ7" s="133"/>
      <c r="IWR7" s="133"/>
      <c r="IWS7" s="133"/>
      <c r="IWT7" s="133"/>
      <c r="IWU7" s="133"/>
      <c r="IWV7" s="133"/>
      <c r="IWW7" s="133"/>
      <c r="IWX7" s="133"/>
      <c r="IWY7" s="133"/>
      <c r="IWZ7" s="133"/>
      <c r="IXA7" s="133"/>
      <c r="IXB7" s="133"/>
      <c r="IXC7" s="133"/>
      <c r="IXD7" s="133"/>
      <c r="IXE7" s="133"/>
      <c r="IXF7" s="133"/>
      <c r="IXG7" s="133"/>
      <c r="IXH7" s="133"/>
      <c r="IXI7" s="133"/>
      <c r="IXJ7" s="133"/>
      <c r="IXK7" s="133"/>
      <c r="IXL7" s="133"/>
      <c r="IXM7" s="133"/>
      <c r="IXN7" s="133"/>
      <c r="IXO7" s="133"/>
      <c r="IXP7" s="133"/>
      <c r="IXQ7" s="133"/>
      <c r="IXR7" s="133"/>
      <c r="IXS7" s="133"/>
      <c r="IXT7" s="133"/>
      <c r="IXU7" s="133"/>
      <c r="IXV7" s="133"/>
      <c r="IXW7" s="133"/>
      <c r="IXX7" s="133"/>
      <c r="IXY7" s="133"/>
      <c r="IXZ7" s="133"/>
      <c r="IYA7" s="133"/>
      <c r="IYB7" s="133"/>
      <c r="IYC7" s="133"/>
      <c r="IYD7" s="133"/>
      <c r="IYE7" s="133"/>
      <c r="IYF7" s="133"/>
      <c r="IYG7" s="133"/>
      <c r="IYH7" s="133"/>
      <c r="IYI7" s="133"/>
      <c r="IYJ7" s="133"/>
      <c r="IYK7" s="133"/>
      <c r="IYL7" s="133"/>
      <c r="IYM7" s="133"/>
      <c r="IYN7" s="133"/>
      <c r="IYO7" s="133"/>
      <c r="IYP7" s="133"/>
      <c r="IYQ7" s="133"/>
      <c r="IYR7" s="133"/>
      <c r="IYS7" s="133"/>
      <c r="IYT7" s="133"/>
      <c r="IYU7" s="133"/>
      <c r="IYV7" s="133"/>
      <c r="IYW7" s="133"/>
      <c r="IYX7" s="133"/>
      <c r="IYY7" s="133"/>
      <c r="IYZ7" s="133"/>
      <c r="IZA7" s="133"/>
      <c r="IZB7" s="133"/>
      <c r="IZC7" s="133"/>
      <c r="IZD7" s="133"/>
      <c r="IZE7" s="133"/>
      <c r="IZF7" s="133"/>
      <c r="IZG7" s="133"/>
      <c r="IZH7" s="133"/>
      <c r="IZI7" s="133"/>
      <c r="IZJ7" s="133"/>
      <c r="IZK7" s="133"/>
      <c r="IZL7" s="133"/>
      <c r="IZM7" s="133"/>
      <c r="IZN7" s="133"/>
      <c r="IZO7" s="133"/>
      <c r="IZP7" s="133"/>
      <c r="IZQ7" s="133"/>
      <c r="IZR7" s="133"/>
      <c r="IZS7" s="133"/>
      <c r="IZT7" s="133"/>
      <c r="IZU7" s="133"/>
      <c r="IZV7" s="133"/>
      <c r="IZW7" s="133"/>
      <c r="IZX7" s="133"/>
      <c r="IZY7" s="133"/>
      <c r="IZZ7" s="133"/>
      <c r="JAA7" s="133"/>
      <c r="JAB7" s="133"/>
      <c r="JAC7" s="133"/>
      <c r="JAD7" s="133"/>
      <c r="JAE7" s="133"/>
      <c r="JAF7" s="133"/>
      <c r="JAG7" s="133"/>
      <c r="JAH7" s="133"/>
      <c r="JAI7" s="133"/>
      <c r="JAJ7" s="133"/>
      <c r="JAK7" s="133"/>
      <c r="JAL7" s="133"/>
      <c r="JAM7" s="133"/>
      <c r="JAN7" s="133"/>
      <c r="JAO7" s="133"/>
      <c r="JAP7" s="133"/>
      <c r="JAQ7" s="133"/>
      <c r="JAR7" s="133"/>
      <c r="JAS7" s="133"/>
      <c r="JAT7" s="133"/>
      <c r="JAU7" s="133"/>
      <c r="JAV7" s="133"/>
      <c r="JAW7" s="133"/>
      <c r="JAX7" s="133"/>
      <c r="JAY7" s="133"/>
      <c r="JAZ7" s="133"/>
      <c r="JBA7" s="133"/>
      <c r="JBB7" s="133"/>
      <c r="JBC7" s="133"/>
      <c r="JBD7" s="133"/>
      <c r="JBE7" s="133"/>
      <c r="JBF7" s="133"/>
      <c r="JBG7" s="133"/>
      <c r="JBH7" s="133"/>
      <c r="JBI7" s="133"/>
      <c r="JBJ7" s="133"/>
      <c r="JBK7" s="133"/>
      <c r="JBL7" s="133"/>
      <c r="JBM7" s="133"/>
      <c r="JBN7" s="133"/>
      <c r="JBO7" s="133"/>
      <c r="JBP7" s="133"/>
      <c r="JBQ7" s="133"/>
      <c r="JBR7" s="133"/>
      <c r="JBS7" s="133"/>
      <c r="JBT7" s="133"/>
      <c r="JBU7" s="133"/>
      <c r="JBV7" s="133"/>
      <c r="JBW7" s="133"/>
      <c r="JBX7" s="133"/>
      <c r="JBY7" s="133"/>
      <c r="JBZ7" s="133"/>
      <c r="JCA7" s="133"/>
      <c r="JCB7" s="133"/>
      <c r="JCC7" s="133"/>
      <c r="JCD7" s="133"/>
      <c r="JCE7" s="133"/>
      <c r="JCF7" s="133"/>
      <c r="JCG7" s="133"/>
      <c r="JCH7" s="133"/>
      <c r="JCI7" s="133"/>
      <c r="JCJ7" s="133"/>
      <c r="JCK7" s="133"/>
      <c r="JCL7" s="133"/>
      <c r="JCM7" s="133"/>
      <c r="JCN7" s="133"/>
      <c r="JCO7" s="133"/>
      <c r="JCP7" s="133"/>
      <c r="JCQ7" s="133"/>
      <c r="JCR7" s="133"/>
      <c r="JCS7" s="133"/>
      <c r="JCT7" s="133"/>
      <c r="JCU7" s="133"/>
      <c r="JCV7" s="133"/>
      <c r="JCW7" s="133"/>
      <c r="JCX7" s="133"/>
      <c r="JCY7" s="133"/>
      <c r="JCZ7" s="133"/>
      <c r="JDA7" s="133"/>
      <c r="JDB7" s="133"/>
      <c r="JDC7" s="133"/>
      <c r="JDD7" s="133"/>
      <c r="JDE7" s="133"/>
      <c r="JDF7" s="133"/>
      <c r="JDG7" s="133"/>
      <c r="JDH7" s="133"/>
      <c r="JDI7" s="133"/>
      <c r="JDJ7" s="133"/>
      <c r="JDK7" s="133"/>
      <c r="JDL7" s="133"/>
      <c r="JDM7" s="133"/>
      <c r="JDN7" s="133"/>
      <c r="JDO7" s="133"/>
      <c r="JDP7" s="133"/>
      <c r="JDQ7" s="133"/>
      <c r="JDR7" s="133"/>
      <c r="JDS7" s="133"/>
      <c r="JDT7" s="133"/>
      <c r="JDU7" s="133"/>
      <c r="JDV7" s="133"/>
      <c r="JDW7" s="133"/>
      <c r="JDX7" s="133"/>
      <c r="JDY7" s="133"/>
      <c r="JDZ7" s="133"/>
      <c r="JEA7" s="133"/>
      <c r="JEB7" s="133"/>
      <c r="JEC7" s="133"/>
      <c r="JED7" s="133"/>
      <c r="JEE7" s="133"/>
      <c r="JEF7" s="133"/>
      <c r="JEG7" s="133"/>
      <c r="JEH7" s="133"/>
      <c r="JEI7" s="133"/>
      <c r="JEJ7" s="133"/>
      <c r="JEK7" s="133"/>
      <c r="JEL7" s="133"/>
      <c r="JEM7" s="133"/>
      <c r="JEN7" s="133"/>
      <c r="JEO7" s="133"/>
      <c r="JEP7" s="133"/>
      <c r="JEQ7" s="133"/>
      <c r="JER7" s="133"/>
      <c r="JES7" s="133"/>
      <c r="JET7" s="133"/>
      <c r="JEU7" s="133"/>
      <c r="JEV7" s="133"/>
      <c r="JEW7" s="133"/>
      <c r="JEX7" s="133"/>
      <c r="JEY7" s="133"/>
      <c r="JEZ7" s="133"/>
      <c r="JFA7" s="133"/>
      <c r="JFB7" s="133"/>
      <c r="JFC7" s="133"/>
      <c r="JFD7" s="133"/>
      <c r="JFE7" s="133"/>
      <c r="JFF7" s="133"/>
      <c r="JFG7" s="133"/>
      <c r="JFH7" s="133"/>
      <c r="JFI7" s="133"/>
      <c r="JFJ7" s="133"/>
      <c r="JFK7" s="133"/>
      <c r="JFL7" s="133"/>
      <c r="JFM7" s="133"/>
      <c r="JFN7" s="133"/>
      <c r="JFO7" s="133"/>
      <c r="JFP7" s="133"/>
      <c r="JFQ7" s="133"/>
      <c r="JFR7" s="133"/>
      <c r="JFS7" s="133"/>
      <c r="JFT7" s="133"/>
      <c r="JFU7" s="133"/>
      <c r="JFV7" s="133"/>
      <c r="JFW7" s="133"/>
      <c r="JFX7" s="133"/>
      <c r="JFY7" s="133"/>
      <c r="JFZ7" s="133"/>
      <c r="JGA7" s="133"/>
      <c r="JGB7" s="133"/>
      <c r="JGC7" s="133"/>
      <c r="JGD7" s="133"/>
      <c r="JGE7" s="133"/>
      <c r="JGF7" s="133"/>
      <c r="JGG7" s="133"/>
      <c r="JGH7" s="133"/>
      <c r="JGI7" s="133"/>
      <c r="JGJ7" s="133"/>
      <c r="JGK7" s="133"/>
      <c r="JGL7" s="133"/>
      <c r="JGM7" s="133"/>
      <c r="JGN7" s="133"/>
      <c r="JGO7" s="133"/>
      <c r="JGP7" s="133"/>
      <c r="JGQ7" s="133"/>
      <c r="JGR7" s="133"/>
      <c r="JGS7" s="133"/>
      <c r="JGT7" s="133"/>
      <c r="JGU7" s="133"/>
      <c r="JGV7" s="133"/>
      <c r="JGW7" s="133"/>
      <c r="JGX7" s="133"/>
      <c r="JGY7" s="133"/>
      <c r="JGZ7" s="133"/>
      <c r="JHA7" s="133"/>
      <c r="JHB7" s="133"/>
      <c r="JHC7" s="133"/>
      <c r="JHD7" s="133"/>
      <c r="JHE7" s="133"/>
      <c r="JHF7" s="133"/>
      <c r="JHG7" s="133"/>
      <c r="JHH7" s="133"/>
      <c r="JHI7" s="133"/>
      <c r="JHJ7" s="133"/>
      <c r="JHK7" s="133"/>
      <c r="JHL7" s="133"/>
      <c r="JHM7" s="133"/>
      <c r="JHN7" s="133"/>
      <c r="JHO7" s="133"/>
      <c r="JHP7" s="133"/>
      <c r="JHQ7" s="133"/>
      <c r="JHR7" s="133"/>
      <c r="JHS7" s="133"/>
      <c r="JHT7" s="133"/>
      <c r="JHU7" s="133"/>
      <c r="JHV7" s="133"/>
      <c r="JHW7" s="133"/>
      <c r="JHX7" s="133"/>
      <c r="JHY7" s="133"/>
      <c r="JHZ7" s="133"/>
      <c r="JIA7" s="133"/>
      <c r="JIB7" s="133"/>
      <c r="JIC7" s="133"/>
      <c r="JID7" s="133"/>
      <c r="JIE7" s="133"/>
      <c r="JIF7" s="133"/>
      <c r="JIG7" s="133"/>
      <c r="JIH7" s="133"/>
      <c r="JII7" s="133"/>
      <c r="JIJ7" s="133"/>
      <c r="JIK7" s="133"/>
      <c r="JIL7" s="133"/>
      <c r="JIM7" s="133"/>
      <c r="JIN7" s="133"/>
      <c r="JIO7" s="133"/>
      <c r="JIP7" s="133"/>
      <c r="JIQ7" s="133"/>
      <c r="JIR7" s="133"/>
      <c r="JIS7" s="133"/>
      <c r="JIT7" s="133"/>
      <c r="JIU7" s="133"/>
      <c r="JIV7" s="133"/>
      <c r="JIW7" s="133"/>
      <c r="JIX7" s="133"/>
      <c r="JIY7" s="133"/>
      <c r="JIZ7" s="133"/>
      <c r="JJA7" s="133"/>
      <c r="JJB7" s="133"/>
      <c r="JJC7" s="133"/>
      <c r="JJD7" s="133"/>
      <c r="JJE7" s="133"/>
      <c r="JJF7" s="133"/>
      <c r="JJG7" s="133"/>
      <c r="JJH7" s="133"/>
      <c r="JJI7" s="133"/>
      <c r="JJJ7" s="133"/>
      <c r="JJK7" s="133"/>
      <c r="JJL7" s="133"/>
      <c r="JJM7" s="133"/>
      <c r="JJN7" s="133"/>
      <c r="JJO7" s="133"/>
      <c r="JJP7" s="133"/>
      <c r="JJQ7" s="133"/>
      <c r="JJR7" s="133"/>
      <c r="JJS7" s="133"/>
      <c r="JJT7" s="133"/>
      <c r="JJU7" s="133"/>
      <c r="JJV7" s="133"/>
      <c r="JJW7" s="133"/>
      <c r="JJX7" s="133"/>
      <c r="JJY7" s="133"/>
      <c r="JJZ7" s="133"/>
      <c r="JKA7" s="133"/>
      <c r="JKB7" s="133"/>
      <c r="JKC7" s="133"/>
      <c r="JKD7" s="133"/>
      <c r="JKE7" s="133"/>
      <c r="JKF7" s="133"/>
      <c r="JKG7" s="133"/>
      <c r="JKH7" s="133"/>
      <c r="JKI7" s="133"/>
      <c r="JKJ7" s="133"/>
      <c r="JKK7" s="133"/>
      <c r="JKL7" s="133"/>
      <c r="JKM7" s="133"/>
      <c r="JKN7" s="133"/>
      <c r="JKO7" s="133"/>
      <c r="JKP7" s="133"/>
      <c r="JKQ7" s="133"/>
      <c r="JKR7" s="133"/>
      <c r="JKS7" s="133"/>
      <c r="JKT7" s="133"/>
      <c r="JKU7" s="133"/>
      <c r="JKV7" s="133"/>
      <c r="JKW7" s="133"/>
      <c r="JKX7" s="133"/>
      <c r="JKY7" s="133"/>
      <c r="JKZ7" s="133"/>
      <c r="JLA7" s="133"/>
      <c r="JLB7" s="133"/>
      <c r="JLC7" s="133"/>
      <c r="JLD7" s="133"/>
      <c r="JLE7" s="133"/>
      <c r="JLF7" s="133"/>
      <c r="JLG7" s="133"/>
      <c r="JLH7" s="133"/>
      <c r="JLI7" s="133"/>
      <c r="JLJ7" s="133"/>
      <c r="JLK7" s="133"/>
      <c r="JLL7" s="133"/>
      <c r="JLM7" s="133"/>
      <c r="JLN7" s="133"/>
      <c r="JLO7" s="133"/>
      <c r="JLP7" s="133"/>
      <c r="JLQ7" s="133"/>
      <c r="JLR7" s="133"/>
      <c r="JLS7" s="133"/>
      <c r="JLT7" s="133"/>
      <c r="JLU7" s="133"/>
      <c r="JLV7" s="133"/>
      <c r="JLW7" s="133"/>
      <c r="JLX7" s="133"/>
      <c r="JLY7" s="133"/>
      <c r="JLZ7" s="133"/>
      <c r="JMA7" s="133"/>
      <c r="JMB7" s="133"/>
      <c r="JMC7" s="133"/>
      <c r="JMD7" s="133"/>
      <c r="JME7" s="133"/>
      <c r="JMF7" s="133"/>
      <c r="JMG7" s="133"/>
      <c r="JMH7" s="133"/>
      <c r="JMI7" s="133"/>
      <c r="JMJ7" s="133"/>
      <c r="JMK7" s="133"/>
      <c r="JML7" s="133"/>
      <c r="JMM7" s="133"/>
      <c r="JMN7" s="133"/>
      <c r="JMO7" s="133"/>
      <c r="JMP7" s="133"/>
      <c r="JMQ7" s="133"/>
      <c r="JMR7" s="133"/>
      <c r="JMS7" s="133"/>
      <c r="JMT7" s="133"/>
      <c r="JMU7" s="133"/>
      <c r="JMV7" s="133"/>
      <c r="JMW7" s="133"/>
      <c r="JMX7" s="133"/>
      <c r="JMY7" s="133"/>
      <c r="JMZ7" s="133"/>
      <c r="JNA7" s="133"/>
      <c r="JNB7" s="133"/>
      <c r="JNC7" s="133"/>
      <c r="JND7" s="133"/>
      <c r="JNE7" s="133"/>
      <c r="JNF7" s="133"/>
      <c r="JNG7" s="133"/>
      <c r="JNH7" s="133"/>
      <c r="JNI7" s="133"/>
      <c r="JNJ7" s="133"/>
      <c r="JNK7" s="133"/>
      <c r="JNL7" s="133"/>
      <c r="JNM7" s="133"/>
      <c r="JNN7" s="133"/>
      <c r="JNO7" s="133"/>
      <c r="JNP7" s="133"/>
      <c r="JNQ7" s="133"/>
      <c r="JNR7" s="133"/>
      <c r="JNS7" s="133"/>
      <c r="JNT7" s="133"/>
      <c r="JNU7" s="133"/>
      <c r="JNV7" s="133"/>
      <c r="JNW7" s="133"/>
      <c r="JNX7" s="133"/>
      <c r="JNY7" s="133"/>
      <c r="JNZ7" s="133"/>
      <c r="JOA7" s="133"/>
      <c r="JOB7" s="133"/>
      <c r="JOC7" s="133"/>
      <c r="JOD7" s="133"/>
      <c r="JOE7" s="133"/>
      <c r="JOF7" s="133"/>
      <c r="JOG7" s="133"/>
      <c r="JOT7" s="133"/>
      <c r="JOU7" s="133"/>
      <c r="JOV7" s="133"/>
      <c r="JOW7" s="133"/>
      <c r="JOX7" s="133"/>
      <c r="JOY7" s="133"/>
      <c r="JOZ7" s="133"/>
      <c r="JPA7" s="133"/>
      <c r="JPB7" s="133"/>
      <c r="JPC7" s="133"/>
      <c r="JPD7" s="133"/>
      <c r="JPE7" s="133"/>
      <c r="JPF7" s="133"/>
      <c r="JPG7" s="133"/>
      <c r="JPH7" s="133"/>
      <c r="JPI7" s="133"/>
      <c r="JPJ7" s="133"/>
      <c r="JPK7" s="133"/>
      <c r="JPL7" s="133"/>
      <c r="JPM7" s="133"/>
      <c r="JPN7" s="133"/>
      <c r="JPO7" s="133"/>
      <c r="JPP7" s="133"/>
      <c r="JPQ7" s="133"/>
      <c r="JPR7" s="133"/>
      <c r="JPS7" s="133"/>
      <c r="JPT7" s="133"/>
      <c r="JPU7" s="133"/>
      <c r="JPV7" s="133"/>
      <c r="JPW7" s="133"/>
      <c r="JPX7" s="133"/>
      <c r="JPY7" s="133"/>
      <c r="JPZ7" s="133"/>
      <c r="JQA7" s="133"/>
      <c r="JQB7" s="133"/>
      <c r="JQC7" s="133"/>
      <c r="JQD7" s="133"/>
      <c r="JQE7" s="133"/>
      <c r="JQF7" s="133"/>
      <c r="JQG7" s="133"/>
      <c r="JQH7" s="133"/>
      <c r="JQI7" s="133"/>
      <c r="JQJ7" s="133"/>
      <c r="JQK7" s="133"/>
      <c r="JQL7" s="133"/>
      <c r="JQM7" s="133"/>
      <c r="JQN7" s="133"/>
      <c r="JQO7" s="133"/>
      <c r="JQP7" s="133"/>
      <c r="JQQ7" s="133"/>
      <c r="JQR7" s="133"/>
      <c r="JQS7" s="133"/>
      <c r="JQT7" s="133"/>
      <c r="JQU7" s="133"/>
      <c r="JQV7" s="133"/>
      <c r="JQW7" s="133"/>
      <c r="JQX7" s="133"/>
      <c r="JQY7" s="133"/>
      <c r="JQZ7" s="133"/>
      <c r="JRA7" s="133"/>
      <c r="JRB7" s="133"/>
      <c r="JRC7" s="133"/>
      <c r="JRD7" s="133"/>
      <c r="JRE7" s="133"/>
      <c r="JRF7" s="133"/>
      <c r="JRG7" s="133"/>
      <c r="JRH7" s="133"/>
      <c r="JRI7" s="133"/>
      <c r="JRJ7" s="133"/>
      <c r="JRK7" s="133"/>
      <c r="JRL7" s="133"/>
      <c r="JRM7" s="133"/>
      <c r="JRN7" s="133"/>
      <c r="JRO7" s="133"/>
      <c r="JRP7" s="133"/>
      <c r="JRQ7" s="133"/>
      <c r="JRR7" s="133"/>
      <c r="JRS7" s="133"/>
      <c r="JRT7" s="133"/>
      <c r="JRU7" s="133"/>
      <c r="JRV7" s="133"/>
      <c r="JRW7" s="133"/>
      <c r="JRX7" s="133"/>
      <c r="JRY7" s="133"/>
      <c r="JRZ7" s="133"/>
      <c r="JSA7" s="133"/>
      <c r="JSB7" s="133"/>
      <c r="JSC7" s="133"/>
      <c r="JSD7" s="133"/>
      <c r="JSE7" s="133"/>
      <c r="JSF7" s="133"/>
      <c r="JSG7" s="133"/>
      <c r="JSH7" s="133"/>
      <c r="JSI7" s="133"/>
      <c r="JSJ7" s="133"/>
      <c r="JSK7" s="133"/>
      <c r="JSL7" s="133"/>
      <c r="JSM7" s="133"/>
      <c r="JSN7" s="133"/>
      <c r="JSO7" s="133"/>
      <c r="JSP7" s="133"/>
      <c r="JSQ7" s="133"/>
      <c r="JSR7" s="133"/>
      <c r="JSS7" s="133"/>
      <c r="JST7" s="133"/>
      <c r="JSU7" s="133"/>
      <c r="JSV7" s="133"/>
      <c r="JSW7" s="133"/>
      <c r="JSX7" s="133"/>
      <c r="JSY7" s="133"/>
      <c r="JSZ7" s="133"/>
      <c r="JTA7" s="133"/>
      <c r="JTB7" s="133"/>
      <c r="JTC7" s="133"/>
      <c r="JTD7" s="133"/>
      <c r="JTE7" s="133"/>
      <c r="JTF7" s="133"/>
      <c r="JTG7" s="133"/>
      <c r="JTH7" s="133"/>
      <c r="JTI7" s="133"/>
      <c r="JTJ7" s="133"/>
      <c r="JTK7" s="133"/>
      <c r="JTL7" s="133"/>
      <c r="JTM7" s="133"/>
      <c r="JTN7" s="133"/>
      <c r="JTO7" s="133"/>
      <c r="JTP7" s="133"/>
      <c r="JTQ7" s="133"/>
      <c r="JTR7" s="133"/>
      <c r="JTS7" s="133"/>
      <c r="JTT7" s="133"/>
      <c r="JTU7" s="133"/>
      <c r="JTV7" s="133"/>
      <c r="JTW7" s="133"/>
      <c r="JTX7" s="133"/>
      <c r="JTY7" s="133"/>
      <c r="JTZ7" s="133"/>
      <c r="JUA7" s="133"/>
      <c r="JUB7" s="133"/>
      <c r="JUC7" s="133"/>
      <c r="JUD7" s="133"/>
      <c r="JUE7" s="133"/>
      <c r="JUF7" s="133"/>
      <c r="JUG7" s="133"/>
      <c r="JUH7" s="133"/>
      <c r="JUI7" s="133"/>
      <c r="JUJ7" s="133"/>
      <c r="JUK7" s="133"/>
      <c r="JUL7" s="133"/>
      <c r="JUM7" s="133"/>
      <c r="JUN7" s="133"/>
      <c r="JUO7" s="133"/>
      <c r="JUP7" s="133"/>
      <c r="JUQ7" s="133"/>
      <c r="JUR7" s="133"/>
      <c r="JUS7" s="133"/>
      <c r="JUT7" s="133"/>
      <c r="JUU7" s="133"/>
      <c r="JUV7" s="133"/>
      <c r="JUW7" s="133"/>
      <c r="JUX7" s="133"/>
      <c r="JUY7" s="133"/>
      <c r="JUZ7" s="133"/>
      <c r="JVA7" s="133"/>
      <c r="JVB7" s="133"/>
      <c r="JVC7" s="133"/>
      <c r="JVD7" s="133"/>
      <c r="JVE7" s="133"/>
      <c r="JVF7" s="133"/>
      <c r="JVG7" s="133"/>
      <c r="JVH7" s="133"/>
      <c r="JVI7" s="133"/>
      <c r="JVJ7" s="133"/>
      <c r="JVK7" s="133"/>
      <c r="JVL7" s="133"/>
      <c r="JVM7" s="133"/>
      <c r="JVN7" s="133"/>
      <c r="JVO7" s="133"/>
      <c r="JVP7" s="133"/>
      <c r="JVQ7" s="133"/>
      <c r="JVR7" s="133"/>
      <c r="JVS7" s="133"/>
      <c r="JVT7" s="133"/>
      <c r="JVU7" s="133"/>
      <c r="JVV7" s="133"/>
      <c r="JVW7" s="133"/>
      <c r="JVX7" s="133"/>
      <c r="JVY7" s="133"/>
      <c r="JVZ7" s="133"/>
      <c r="JWA7" s="133"/>
      <c r="JWB7" s="133"/>
      <c r="JWC7" s="133"/>
      <c r="JWD7" s="133"/>
      <c r="JWE7" s="133"/>
      <c r="JWF7" s="133"/>
      <c r="JWG7" s="133"/>
      <c r="JWH7" s="133"/>
      <c r="JWI7" s="133"/>
      <c r="JWJ7" s="133"/>
      <c r="JWK7" s="133"/>
      <c r="JWL7" s="133"/>
      <c r="JWM7" s="133"/>
      <c r="JWN7" s="133"/>
      <c r="JWO7" s="133"/>
      <c r="JWP7" s="133"/>
      <c r="JWQ7" s="133"/>
      <c r="JWR7" s="133"/>
      <c r="JWS7" s="133"/>
      <c r="JWT7" s="133"/>
      <c r="JWU7" s="133"/>
      <c r="JWV7" s="133"/>
      <c r="JWW7" s="133"/>
      <c r="JWX7" s="133"/>
      <c r="JWY7" s="133"/>
      <c r="JWZ7" s="133"/>
      <c r="JXA7" s="133"/>
      <c r="JXB7" s="133"/>
      <c r="JXC7" s="133"/>
      <c r="JXD7" s="133"/>
      <c r="JXE7" s="133"/>
      <c r="JXF7" s="133"/>
      <c r="JXG7" s="133"/>
      <c r="JXH7" s="133"/>
      <c r="JXI7" s="133"/>
      <c r="JXJ7" s="133"/>
      <c r="JXK7" s="133"/>
      <c r="JXL7" s="133"/>
      <c r="JXM7" s="133"/>
      <c r="JXN7" s="133"/>
      <c r="JXO7" s="133"/>
      <c r="JXP7" s="133"/>
      <c r="JXQ7" s="133"/>
      <c r="JXR7" s="133"/>
      <c r="JXS7" s="133"/>
      <c r="JXT7" s="133"/>
      <c r="JXU7" s="133"/>
      <c r="JXV7" s="133"/>
      <c r="JXW7" s="133"/>
      <c r="JXX7" s="133"/>
      <c r="JXY7" s="133"/>
      <c r="JXZ7" s="133"/>
      <c r="JYA7" s="133"/>
      <c r="JYB7" s="133"/>
      <c r="JYC7" s="133"/>
      <c r="JYD7" s="133"/>
      <c r="JYE7" s="133"/>
      <c r="JYF7" s="133"/>
      <c r="JYG7" s="133"/>
      <c r="JYH7" s="133"/>
      <c r="JYI7" s="133"/>
      <c r="JYJ7" s="133"/>
      <c r="JYK7" s="133"/>
      <c r="JYL7" s="133"/>
      <c r="JYM7" s="133"/>
      <c r="JYN7" s="133"/>
      <c r="JYO7" s="133"/>
      <c r="JYP7" s="133"/>
      <c r="JYQ7" s="133"/>
      <c r="JYR7" s="133"/>
      <c r="JYS7" s="133"/>
      <c r="JYT7" s="133"/>
      <c r="JYU7" s="133"/>
      <c r="JYV7" s="133"/>
      <c r="JYW7" s="133"/>
      <c r="JYX7" s="133"/>
      <c r="JYY7" s="133"/>
      <c r="JYZ7" s="133"/>
      <c r="JZA7" s="133"/>
      <c r="JZB7" s="133"/>
      <c r="JZC7" s="133"/>
      <c r="JZD7" s="133"/>
      <c r="JZE7" s="133"/>
      <c r="JZF7" s="133"/>
      <c r="JZG7" s="133"/>
      <c r="JZH7" s="133"/>
      <c r="JZI7" s="133"/>
      <c r="JZJ7" s="133"/>
      <c r="JZK7" s="133"/>
      <c r="JZL7" s="133"/>
      <c r="JZM7" s="133"/>
      <c r="JZN7" s="133"/>
      <c r="JZO7" s="133"/>
      <c r="JZP7" s="133"/>
      <c r="JZQ7" s="133"/>
      <c r="JZR7" s="133"/>
      <c r="JZS7" s="133"/>
      <c r="JZT7" s="133"/>
      <c r="JZU7" s="133"/>
      <c r="JZV7" s="133"/>
      <c r="JZW7" s="133"/>
      <c r="JZX7" s="133"/>
      <c r="JZY7" s="133"/>
      <c r="JZZ7" s="133"/>
      <c r="KAA7" s="133"/>
      <c r="KAB7" s="133"/>
      <c r="KAC7" s="133"/>
      <c r="KAD7" s="133"/>
      <c r="KAE7" s="133"/>
      <c r="KAF7" s="133"/>
      <c r="KAG7" s="133"/>
      <c r="KAH7" s="133"/>
      <c r="KAI7" s="133"/>
      <c r="KAJ7" s="133"/>
      <c r="KAK7" s="133"/>
      <c r="KAL7" s="133"/>
      <c r="KAM7" s="133"/>
      <c r="KAN7" s="133"/>
      <c r="KAO7" s="133"/>
      <c r="KAP7" s="133"/>
      <c r="KAQ7" s="133"/>
      <c r="KAR7" s="133"/>
      <c r="KAS7" s="133"/>
      <c r="KAT7" s="133"/>
      <c r="KAU7" s="133"/>
      <c r="KAV7" s="133"/>
      <c r="KAW7" s="133"/>
      <c r="KAX7" s="133"/>
      <c r="KAY7" s="133"/>
      <c r="KAZ7" s="133"/>
      <c r="KBA7" s="133"/>
      <c r="KBB7" s="133"/>
      <c r="KBC7" s="133"/>
      <c r="KBD7" s="133"/>
      <c r="KBE7" s="133"/>
      <c r="KBF7" s="133"/>
      <c r="KBG7" s="133"/>
      <c r="KBH7" s="133"/>
      <c r="KBI7" s="133"/>
      <c r="KBJ7" s="133"/>
      <c r="KBK7" s="133"/>
      <c r="KBL7" s="133"/>
      <c r="KBM7" s="133"/>
      <c r="KBN7" s="133"/>
      <c r="KBO7" s="133"/>
      <c r="KBP7" s="133"/>
      <c r="KBQ7" s="133"/>
      <c r="KBR7" s="133"/>
      <c r="KBS7" s="133"/>
      <c r="KBT7" s="133"/>
      <c r="KBU7" s="133"/>
      <c r="KBV7" s="133"/>
      <c r="KBW7" s="133"/>
      <c r="KBX7" s="133"/>
      <c r="KBY7" s="133"/>
      <c r="KBZ7" s="133"/>
      <c r="KCA7" s="133"/>
      <c r="KCB7" s="133"/>
      <c r="KCC7" s="133"/>
      <c r="KCD7" s="133"/>
      <c r="KCE7" s="133"/>
      <c r="KCF7" s="133"/>
      <c r="KCG7" s="133"/>
      <c r="KCH7" s="133"/>
      <c r="KCI7" s="133"/>
      <c r="KCJ7" s="133"/>
      <c r="KCK7" s="133"/>
      <c r="KCL7" s="133"/>
      <c r="KCM7" s="133"/>
      <c r="KCN7" s="133"/>
      <c r="KCO7" s="133"/>
      <c r="KCP7" s="133"/>
      <c r="KCQ7" s="133"/>
      <c r="KCR7" s="133"/>
      <c r="KCS7" s="133"/>
      <c r="KCT7" s="133"/>
      <c r="KCU7" s="133"/>
      <c r="KCV7" s="133"/>
      <c r="KCW7" s="133"/>
      <c r="KCX7" s="133"/>
      <c r="KCY7" s="133"/>
      <c r="KCZ7" s="133"/>
      <c r="KDA7" s="133"/>
      <c r="KDB7" s="133"/>
      <c r="KDC7" s="133"/>
      <c r="KDD7" s="133"/>
      <c r="KDE7" s="133"/>
      <c r="KDF7" s="133"/>
      <c r="KDG7" s="133"/>
      <c r="KDH7" s="133"/>
      <c r="KDI7" s="133"/>
      <c r="KDJ7" s="133"/>
      <c r="KDK7" s="133"/>
      <c r="KDL7" s="133"/>
      <c r="KDM7" s="133"/>
      <c r="KDN7" s="133"/>
      <c r="KDO7" s="133"/>
      <c r="KDP7" s="133"/>
      <c r="KDQ7" s="133"/>
      <c r="KDR7" s="133"/>
      <c r="KDS7" s="133"/>
      <c r="KDT7" s="133"/>
      <c r="KDU7" s="133"/>
      <c r="KDV7" s="133"/>
      <c r="KDW7" s="133"/>
      <c r="KDX7" s="133"/>
      <c r="KDY7" s="133"/>
      <c r="KDZ7" s="133"/>
      <c r="KEA7" s="133"/>
      <c r="KEB7" s="133"/>
      <c r="KEC7" s="133"/>
      <c r="KED7" s="133"/>
      <c r="KEE7" s="133"/>
      <c r="KEF7" s="133"/>
      <c r="KEG7" s="133"/>
      <c r="KEH7" s="133"/>
      <c r="KEI7" s="133"/>
      <c r="KEJ7" s="133"/>
      <c r="KEK7" s="133"/>
      <c r="KEL7" s="133"/>
      <c r="KEM7" s="133"/>
      <c r="KEN7" s="133"/>
      <c r="KEO7" s="133"/>
      <c r="KEP7" s="133"/>
      <c r="KEQ7" s="133"/>
      <c r="KER7" s="133"/>
      <c r="KES7" s="133"/>
      <c r="KET7" s="133"/>
      <c r="KEU7" s="133"/>
      <c r="KEV7" s="133"/>
      <c r="KEW7" s="133"/>
      <c r="KEX7" s="133"/>
      <c r="KEY7" s="133"/>
      <c r="KEZ7" s="133"/>
      <c r="KFA7" s="133"/>
      <c r="KFB7" s="133"/>
      <c r="KFC7" s="133"/>
      <c r="KFD7" s="133"/>
      <c r="KFE7" s="133"/>
      <c r="KFF7" s="133"/>
      <c r="KFG7" s="133"/>
      <c r="KFH7" s="133"/>
      <c r="KFI7" s="133"/>
      <c r="KFJ7" s="133"/>
      <c r="KFK7" s="133"/>
      <c r="KFL7" s="133"/>
      <c r="KFM7" s="133"/>
      <c r="KFN7" s="133"/>
      <c r="KFO7" s="133"/>
      <c r="KFP7" s="133"/>
      <c r="KFQ7" s="133"/>
      <c r="KFR7" s="133"/>
      <c r="KFS7" s="133"/>
      <c r="KFT7" s="133"/>
      <c r="KFU7" s="133"/>
      <c r="KFV7" s="133"/>
      <c r="KFW7" s="133"/>
      <c r="KFX7" s="133"/>
      <c r="KFY7" s="133"/>
      <c r="KFZ7" s="133"/>
      <c r="KGA7" s="133"/>
      <c r="KGB7" s="133"/>
      <c r="KGC7" s="133"/>
      <c r="KGD7" s="133"/>
      <c r="KGE7" s="133"/>
      <c r="KGF7" s="133"/>
      <c r="KGG7" s="133"/>
      <c r="KGH7" s="133"/>
      <c r="KGI7" s="133"/>
      <c r="KGJ7" s="133"/>
      <c r="KGK7" s="133"/>
      <c r="KGL7" s="133"/>
      <c r="KGM7" s="133"/>
      <c r="KGN7" s="133"/>
      <c r="KGO7" s="133"/>
      <c r="KGP7" s="133"/>
      <c r="KGQ7" s="133"/>
      <c r="KGR7" s="133"/>
      <c r="KGS7" s="133"/>
      <c r="KGT7" s="133"/>
      <c r="KGU7" s="133"/>
      <c r="KGV7" s="133"/>
      <c r="KGW7" s="133"/>
      <c r="KGX7" s="133"/>
      <c r="KGY7" s="133"/>
      <c r="KGZ7" s="133"/>
      <c r="KHA7" s="133"/>
      <c r="KHB7" s="133"/>
      <c r="KHC7" s="133"/>
      <c r="KHD7" s="133"/>
      <c r="KHE7" s="133"/>
      <c r="KHF7" s="133"/>
      <c r="KHG7" s="133"/>
      <c r="KHH7" s="133"/>
      <c r="KHI7" s="133"/>
      <c r="KHJ7" s="133"/>
      <c r="KHK7" s="133"/>
      <c r="KHL7" s="133"/>
      <c r="KHM7" s="133"/>
      <c r="KHN7" s="133"/>
      <c r="KHO7" s="133"/>
      <c r="KHP7" s="133"/>
      <c r="KHQ7" s="133"/>
      <c r="KHR7" s="133"/>
      <c r="KHS7" s="133"/>
      <c r="KHT7" s="133"/>
      <c r="KHU7" s="133"/>
      <c r="KHV7" s="133"/>
      <c r="KHW7" s="133"/>
      <c r="KHX7" s="133"/>
      <c r="KHY7" s="133"/>
      <c r="KHZ7" s="133"/>
      <c r="KIA7" s="133"/>
      <c r="KIB7" s="133"/>
      <c r="KIC7" s="133"/>
      <c r="KID7" s="133"/>
      <c r="KIE7" s="133"/>
      <c r="KIF7" s="133"/>
      <c r="KIG7" s="133"/>
      <c r="KIH7" s="133"/>
      <c r="KII7" s="133"/>
      <c r="KIJ7" s="133"/>
      <c r="KIK7" s="133"/>
      <c r="KIL7" s="133"/>
      <c r="KIM7" s="133"/>
      <c r="KIN7" s="133"/>
      <c r="KIO7" s="133"/>
      <c r="KIP7" s="133"/>
      <c r="KIQ7" s="133"/>
      <c r="KIR7" s="133"/>
      <c r="KIS7" s="133"/>
      <c r="KIT7" s="133"/>
      <c r="KIU7" s="133"/>
      <c r="KIV7" s="133"/>
      <c r="KIW7" s="133"/>
      <c r="KIX7" s="133"/>
      <c r="KIY7" s="133"/>
      <c r="KIZ7" s="133"/>
      <c r="KJA7" s="133"/>
      <c r="KJB7" s="133"/>
      <c r="KJC7" s="133"/>
      <c r="KJD7" s="133"/>
      <c r="KJE7" s="133"/>
      <c r="KJF7" s="133"/>
      <c r="KJG7" s="133"/>
      <c r="KJH7" s="133"/>
      <c r="KJI7" s="133"/>
      <c r="KJJ7" s="133"/>
      <c r="KJK7" s="133"/>
      <c r="KJL7" s="133"/>
      <c r="KJM7" s="133"/>
      <c r="KJN7" s="133"/>
      <c r="KJO7" s="133"/>
      <c r="KJP7" s="133"/>
      <c r="KJQ7" s="133"/>
      <c r="KJR7" s="133"/>
      <c r="KJS7" s="133"/>
      <c r="KJT7" s="133"/>
      <c r="KJU7" s="133"/>
      <c r="KJV7" s="133"/>
      <c r="KJW7" s="133"/>
      <c r="KJX7" s="133"/>
      <c r="KJY7" s="133"/>
      <c r="KJZ7" s="133"/>
      <c r="KKA7" s="133"/>
      <c r="KKB7" s="133"/>
      <c r="KKC7" s="133"/>
      <c r="KKD7" s="133"/>
      <c r="KKE7" s="133"/>
      <c r="KKF7" s="133"/>
      <c r="KKG7" s="133"/>
      <c r="KKH7" s="133"/>
      <c r="KKI7" s="133"/>
      <c r="KKJ7" s="133"/>
      <c r="KKK7" s="133"/>
      <c r="KKL7" s="133"/>
      <c r="KKM7" s="133"/>
      <c r="KKN7" s="133"/>
      <c r="KKO7" s="133"/>
      <c r="KKP7" s="133"/>
      <c r="KKQ7" s="133"/>
      <c r="KKR7" s="133"/>
      <c r="KKS7" s="133"/>
      <c r="KKT7" s="133"/>
      <c r="KKU7" s="133"/>
      <c r="KKV7" s="133"/>
      <c r="KKW7" s="133"/>
      <c r="KKX7" s="133"/>
      <c r="KKY7" s="133"/>
      <c r="KKZ7" s="133"/>
      <c r="KLA7" s="133"/>
      <c r="KLB7" s="133"/>
      <c r="KLC7" s="133"/>
      <c r="KLD7" s="133"/>
      <c r="KLE7" s="133"/>
      <c r="KLF7" s="133"/>
      <c r="KLG7" s="133"/>
      <c r="KLH7" s="133"/>
      <c r="KLI7" s="133"/>
      <c r="KLJ7" s="133"/>
      <c r="KLK7" s="133"/>
      <c r="KLL7" s="133"/>
      <c r="KLM7" s="133"/>
      <c r="KLN7" s="133"/>
      <c r="KLO7" s="133"/>
      <c r="KLP7" s="133"/>
      <c r="KLQ7" s="133"/>
      <c r="KLR7" s="133"/>
      <c r="KLS7" s="133"/>
      <c r="KLT7" s="133"/>
      <c r="KLU7" s="133"/>
      <c r="KLV7" s="133"/>
      <c r="KLW7" s="133"/>
      <c r="KLX7" s="133"/>
      <c r="KLY7" s="133"/>
      <c r="KLZ7" s="133"/>
      <c r="KMA7" s="133"/>
      <c r="KMB7" s="133"/>
      <c r="KMC7" s="133"/>
      <c r="KMD7" s="133"/>
      <c r="KME7" s="133"/>
      <c r="KMF7" s="133"/>
      <c r="KMG7" s="133"/>
      <c r="KMH7" s="133"/>
      <c r="KMI7" s="133"/>
      <c r="KMJ7" s="133"/>
      <c r="KMK7" s="133"/>
      <c r="KML7" s="133"/>
      <c r="KMM7" s="133"/>
      <c r="KMN7" s="133"/>
      <c r="KMO7" s="133"/>
      <c r="KMP7" s="133"/>
      <c r="KMQ7" s="133"/>
      <c r="KMR7" s="133"/>
      <c r="KMS7" s="133"/>
      <c r="KMT7" s="133"/>
      <c r="KMU7" s="133"/>
      <c r="KMV7" s="133"/>
      <c r="KMW7" s="133"/>
      <c r="KMX7" s="133"/>
      <c r="KMY7" s="133"/>
      <c r="KMZ7" s="133"/>
      <c r="KNA7" s="133"/>
      <c r="KNB7" s="133"/>
      <c r="KNC7" s="133"/>
      <c r="KND7" s="133"/>
      <c r="KNE7" s="133"/>
      <c r="KNF7" s="133"/>
      <c r="KNG7" s="133"/>
      <c r="KNH7" s="133"/>
      <c r="KNI7" s="133"/>
      <c r="KNJ7" s="133"/>
      <c r="KNK7" s="133"/>
      <c r="KNL7" s="133"/>
      <c r="KNM7" s="133"/>
      <c r="KNN7" s="133"/>
      <c r="KNO7" s="133"/>
      <c r="KNP7" s="133"/>
      <c r="KNQ7" s="133"/>
      <c r="KNR7" s="133"/>
      <c r="KNS7" s="133"/>
      <c r="KNT7" s="133"/>
      <c r="KNU7" s="133"/>
      <c r="KNV7" s="133"/>
      <c r="KNW7" s="133"/>
      <c r="KNX7" s="133"/>
      <c r="KNY7" s="133"/>
      <c r="KNZ7" s="133"/>
      <c r="KOA7" s="133"/>
      <c r="KOB7" s="133"/>
      <c r="KOC7" s="133"/>
      <c r="KOD7" s="133"/>
      <c r="KOE7" s="133"/>
      <c r="KOF7" s="133"/>
      <c r="KOG7" s="133"/>
      <c r="KOH7" s="133"/>
      <c r="KOI7" s="133"/>
      <c r="KOJ7" s="133"/>
      <c r="KOK7" s="133"/>
      <c r="KOL7" s="133"/>
      <c r="KOM7" s="133"/>
      <c r="KON7" s="133"/>
      <c r="KOO7" s="133"/>
      <c r="KOP7" s="133"/>
      <c r="KOQ7" s="133"/>
      <c r="KOR7" s="133"/>
      <c r="KOS7" s="133"/>
      <c r="KOT7" s="133"/>
      <c r="KOU7" s="133"/>
      <c r="KOV7" s="133"/>
      <c r="KOW7" s="133"/>
      <c r="KOX7" s="133"/>
      <c r="KOY7" s="133"/>
      <c r="KOZ7" s="133"/>
      <c r="KPA7" s="133"/>
      <c r="KPB7" s="133"/>
      <c r="KPC7" s="133"/>
      <c r="KPD7" s="133"/>
      <c r="KPE7" s="133"/>
      <c r="KPF7" s="133"/>
      <c r="KPG7" s="133"/>
      <c r="KPH7" s="133"/>
      <c r="KPI7" s="133"/>
      <c r="KPJ7" s="133"/>
      <c r="KPK7" s="133"/>
      <c r="KPL7" s="133"/>
      <c r="KPM7" s="133"/>
      <c r="KPN7" s="133"/>
      <c r="KPO7" s="133"/>
      <c r="KPP7" s="133"/>
      <c r="KPQ7" s="133"/>
      <c r="KPR7" s="133"/>
      <c r="KPS7" s="133"/>
      <c r="KPT7" s="133"/>
      <c r="KPU7" s="133"/>
      <c r="KPV7" s="133"/>
      <c r="KPW7" s="133"/>
      <c r="KPX7" s="133"/>
      <c r="KPY7" s="133"/>
      <c r="KPZ7" s="133"/>
      <c r="KQA7" s="133"/>
      <c r="KQB7" s="133"/>
      <c r="KQC7" s="133"/>
      <c r="KQD7" s="133"/>
      <c r="KQE7" s="133"/>
      <c r="KQF7" s="133"/>
      <c r="KQG7" s="133"/>
      <c r="KQH7" s="133"/>
      <c r="KQI7" s="133"/>
      <c r="KQJ7" s="133"/>
      <c r="KQK7" s="133"/>
      <c r="KQL7" s="133"/>
      <c r="KQM7" s="133"/>
      <c r="KQN7" s="133"/>
      <c r="KQO7" s="133"/>
      <c r="KQP7" s="133"/>
      <c r="KQQ7" s="133"/>
      <c r="KQR7" s="133"/>
      <c r="KQS7" s="133"/>
      <c r="KQT7" s="133"/>
      <c r="KQU7" s="133"/>
      <c r="KQV7" s="133"/>
      <c r="KQW7" s="133"/>
      <c r="KQX7" s="133"/>
      <c r="KQY7" s="133"/>
      <c r="KQZ7" s="133"/>
      <c r="KRA7" s="133"/>
      <c r="KRB7" s="133"/>
      <c r="KRC7" s="133"/>
      <c r="KRD7" s="133"/>
      <c r="KRE7" s="133"/>
      <c r="KRF7" s="133"/>
      <c r="KRG7" s="133"/>
      <c r="KRH7" s="133"/>
      <c r="KRI7" s="133"/>
      <c r="KRJ7" s="133"/>
      <c r="KRK7" s="133"/>
      <c r="KRL7" s="133"/>
      <c r="KRM7" s="133"/>
      <c r="KRN7" s="133"/>
      <c r="KRO7" s="133"/>
      <c r="KRP7" s="133"/>
      <c r="KRQ7" s="133"/>
      <c r="KRR7" s="133"/>
      <c r="KRS7" s="133"/>
      <c r="KRT7" s="133"/>
      <c r="KRU7" s="133"/>
      <c r="KRV7" s="133"/>
      <c r="KRW7" s="133"/>
      <c r="KRX7" s="133"/>
      <c r="KRY7" s="133"/>
      <c r="KRZ7" s="133"/>
      <c r="KSA7" s="133"/>
      <c r="KSB7" s="133"/>
      <c r="KSC7" s="133"/>
      <c r="KSD7" s="133"/>
      <c r="KSE7" s="133"/>
      <c r="KSF7" s="133"/>
      <c r="KSG7" s="133"/>
      <c r="KSH7" s="133"/>
      <c r="KSI7" s="133"/>
      <c r="KSJ7" s="133"/>
      <c r="KSK7" s="133"/>
      <c r="KSL7" s="133"/>
      <c r="KSM7" s="133"/>
      <c r="KSN7" s="133"/>
      <c r="KSO7" s="133"/>
      <c r="KSP7" s="133"/>
      <c r="KSQ7" s="133"/>
      <c r="KSR7" s="133"/>
      <c r="KSS7" s="133"/>
      <c r="KST7" s="133"/>
      <c r="KSU7" s="133"/>
      <c r="KSV7" s="133"/>
      <c r="KSW7" s="133"/>
      <c r="KSX7" s="133"/>
      <c r="KSY7" s="133"/>
      <c r="KSZ7" s="133"/>
      <c r="KTA7" s="133"/>
      <c r="KTB7" s="133"/>
      <c r="KTC7" s="133"/>
      <c r="KTD7" s="133"/>
      <c r="KTE7" s="133"/>
      <c r="KTF7" s="133"/>
      <c r="KTG7" s="133"/>
      <c r="KTH7" s="133"/>
      <c r="KTI7" s="133"/>
      <c r="KTJ7" s="133"/>
      <c r="KTK7" s="133"/>
      <c r="KTL7" s="133"/>
      <c r="KTM7" s="133"/>
      <c r="KTN7" s="133"/>
      <c r="KTO7" s="133"/>
      <c r="KTP7" s="133"/>
      <c r="KTQ7" s="133"/>
      <c r="KTR7" s="133"/>
      <c r="KTS7" s="133"/>
      <c r="KTT7" s="133"/>
      <c r="KTU7" s="133"/>
      <c r="KTV7" s="133"/>
      <c r="KTW7" s="133"/>
      <c r="KTX7" s="133"/>
      <c r="KTY7" s="133"/>
      <c r="KTZ7" s="133"/>
      <c r="KUA7" s="133"/>
      <c r="KUB7" s="133"/>
      <c r="KUC7" s="133"/>
      <c r="KUD7" s="133"/>
      <c r="KUE7" s="133"/>
      <c r="KUF7" s="133"/>
      <c r="KUG7" s="133"/>
      <c r="KUH7" s="133"/>
      <c r="KUI7" s="133"/>
      <c r="KUJ7" s="133"/>
      <c r="KUK7" s="133"/>
      <c r="KUL7" s="133"/>
      <c r="KUM7" s="133"/>
      <c r="KUN7" s="133"/>
      <c r="KUO7" s="133"/>
      <c r="KUP7" s="133"/>
      <c r="KUQ7" s="133"/>
      <c r="KUR7" s="133"/>
      <c r="KUS7" s="133"/>
      <c r="KUT7" s="133"/>
      <c r="KUU7" s="133"/>
      <c r="KUV7" s="133"/>
      <c r="KUW7" s="133"/>
      <c r="KUX7" s="133"/>
      <c r="KUY7" s="133"/>
      <c r="KUZ7" s="133"/>
      <c r="KVA7" s="133"/>
      <c r="KVB7" s="133"/>
      <c r="KVC7" s="133"/>
      <c r="KVD7" s="133"/>
      <c r="KVE7" s="133"/>
      <c r="KVF7" s="133"/>
      <c r="KVG7" s="133"/>
      <c r="KVH7" s="133"/>
      <c r="KVI7" s="133"/>
      <c r="KVJ7" s="133"/>
      <c r="KVK7" s="133"/>
      <c r="KVL7" s="133"/>
      <c r="KVM7" s="133"/>
      <c r="KVN7" s="133"/>
      <c r="KVO7" s="133"/>
      <c r="KVP7" s="133"/>
      <c r="KVQ7" s="133"/>
      <c r="KVR7" s="133"/>
      <c r="KVS7" s="133"/>
      <c r="KVT7" s="133"/>
      <c r="KVU7" s="133"/>
      <c r="KVV7" s="133"/>
      <c r="KVW7" s="133"/>
      <c r="KVX7" s="133"/>
      <c r="KVY7" s="133"/>
      <c r="KVZ7" s="133"/>
      <c r="KWA7" s="133"/>
      <c r="KWB7" s="133"/>
      <c r="KWC7" s="133"/>
      <c r="KWD7" s="133"/>
      <c r="KWE7" s="133"/>
      <c r="KWF7" s="133"/>
      <c r="KWG7" s="133"/>
      <c r="KWH7" s="133"/>
      <c r="KWI7" s="133"/>
      <c r="KWJ7" s="133"/>
      <c r="KWK7" s="133"/>
      <c r="KWL7" s="133"/>
      <c r="KWM7" s="133"/>
      <c r="KWN7" s="133"/>
      <c r="KWO7" s="133"/>
      <c r="KWP7" s="133"/>
      <c r="KWQ7" s="133"/>
      <c r="KWR7" s="133"/>
      <c r="KWS7" s="133"/>
      <c r="KWT7" s="133"/>
      <c r="KWU7" s="133"/>
      <c r="KWV7" s="133"/>
      <c r="KWW7" s="133"/>
      <c r="KWX7" s="133"/>
      <c r="KWY7" s="133"/>
      <c r="KWZ7" s="133"/>
      <c r="KXA7" s="133"/>
      <c r="KXB7" s="133"/>
      <c r="KXC7" s="133"/>
      <c r="KXD7" s="133"/>
      <c r="KXE7" s="133"/>
      <c r="KXF7" s="133"/>
      <c r="KXG7" s="133"/>
      <c r="KXH7" s="133"/>
      <c r="KXI7" s="133"/>
      <c r="KXJ7" s="133"/>
      <c r="KXK7" s="133"/>
      <c r="KXL7" s="133"/>
      <c r="KXM7" s="133"/>
      <c r="KXN7" s="133"/>
      <c r="KXO7" s="133"/>
      <c r="KXP7" s="133"/>
      <c r="KXQ7" s="133"/>
      <c r="KXR7" s="133"/>
      <c r="KXS7" s="133"/>
      <c r="KXT7" s="133"/>
      <c r="KXU7" s="133"/>
      <c r="KXV7" s="133"/>
      <c r="KXW7" s="133"/>
      <c r="KXX7" s="133"/>
      <c r="KXY7" s="133"/>
      <c r="KXZ7" s="133"/>
      <c r="KYA7" s="133"/>
      <c r="KYB7" s="133"/>
      <c r="KYC7" s="133"/>
      <c r="KYD7" s="133"/>
      <c r="KYE7" s="133"/>
      <c r="KYF7" s="133"/>
      <c r="KYG7" s="133"/>
      <c r="KYH7" s="133"/>
      <c r="KYI7" s="133"/>
      <c r="KYJ7" s="133"/>
      <c r="KYK7" s="133"/>
      <c r="KYL7" s="133"/>
      <c r="KYM7" s="133"/>
      <c r="KYN7" s="133"/>
      <c r="KYO7" s="133"/>
      <c r="KYP7" s="133"/>
      <c r="KYQ7" s="133"/>
      <c r="KYR7" s="133"/>
      <c r="KYS7" s="133"/>
      <c r="KYT7" s="133"/>
      <c r="KYU7" s="133"/>
      <c r="KYV7" s="133"/>
      <c r="KYW7" s="133"/>
      <c r="KYX7" s="133"/>
      <c r="KYY7" s="133"/>
      <c r="KYZ7" s="133"/>
      <c r="KZA7" s="133"/>
      <c r="KZB7" s="133"/>
      <c r="KZC7" s="133"/>
      <c r="KZD7" s="133"/>
      <c r="KZE7" s="133"/>
      <c r="KZF7" s="133"/>
      <c r="KZG7" s="133"/>
      <c r="KZH7" s="133"/>
      <c r="KZI7" s="133"/>
      <c r="KZJ7" s="133"/>
      <c r="KZK7" s="133"/>
      <c r="KZL7" s="133"/>
      <c r="KZM7" s="133"/>
      <c r="KZN7" s="133"/>
      <c r="KZO7" s="133"/>
      <c r="KZP7" s="133"/>
      <c r="KZQ7" s="133"/>
      <c r="KZR7" s="133"/>
      <c r="KZS7" s="133"/>
      <c r="KZT7" s="133"/>
      <c r="KZU7" s="133"/>
      <c r="KZV7" s="133"/>
      <c r="KZW7" s="133"/>
      <c r="KZX7" s="133"/>
      <c r="KZY7" s="133"/>
      <c r="KZZ7" s="133"/>
      <c r="LAA7" s="133"/>
      <c r="LAB7" s="133"/>
      <c r="LAC7" s="133"/>
      <c r="LAD7" s="133"/>
      <c r="LAE7" s="133"/>
      <c r="LAF7" s="133"/>
      <c r="LAG7" s="133"/>
      <c r="LAH7" s="133"/>
      <c r="LAI7" s="133"/>
      <c r="LAJ7" s="133"/>
      <c r="LAK7" s="133"/>
      <c r="LAL7" s="133"/>
      <c r="LAM7" s="133"/>
      <c r="LAN7" s="133"/>
      <c r="LAO7" s="133"/>
      <c r="LAP7" s="133"/>
      <c r="LAQ7" s="133"/>
      <c r="LAR7" s="133"/>
      <c r="LAS7" s="133"/>
      <c r="LAT7" s="133"/>
      <c r="LAU7" s="133"/>
      <c r="LAV7" s="133"/>
      <c r="LAW7" s="133"/>
      <c r="LAX7" s="133"/>
      <c r="LAY7" s="133"/>
      <c r="LAZ7" s="133"/>
      <c r="LBA7" s="133"/>
      <c r="LBB7" s="133"/>
      <c r="LBC7" s="133"/>
      <c r="LBD7" s="133"/>
      <c r="LBE7" s="133"/>
      <c r="LBF7" s="133"/>
      <c r="LBG7" s="133"/>
      <c r="LBH7" s="133"/>
      <c r="LBI7" s="133"/>
      <c r="LBJ7" s="133"/>
      <c r="LBK7" s="133"/>
      <c r="LBL7" s="133"/>
      <c r="LBM7" s="133"/>
      <c r="LBN7" s="133"/>
      <c r="LBO7" s="133"/>
      <c r="LBP7" s="133"/>
      <c r="LBQ7" s="133"/>
      <c r="LCD7" s="133"/>
      <c r="LCE7" s="133"/>
      <c r="LCF7" s="133"/>
      <c r="LCG7" s="133"/>
      <c r="LCH7" s="133"/>
      <c r="LCI7" s="133"/>
      <c r="LCJ7" s="133"/>
      <c r="LCK7" s="133"/>
      <c r="LCL7" s="133"/>
      <c r="LCM7" s="133"/>
      <c r="LCN7" s="133"/>
      <c r="LCO7" s="133"/>
      <c r="LCP7" s="133"/>
      <c r="LCQ7" s="133"/>
      <c r="LCR7" s="133"/>
      <c r="LCS7" s="133"/>
      <c r="LCT7" s="133"/>
      <c r="LCU7" s="133"/>
      <c r="LCV7" s="133"/>
      <c r="LCW7" s="133"/>
      <c r="LCX7" s="133"/>
      <c r="LCY7" s="133"/>
      <c r="LCZ7" s="133"/>
      <c r="LDA7" s="133"/>
      <c r="LDB7" s="133"/>
      <c r="LDC7" s="133"/>
      <c r="LDD7" s="133"/>
      <c r="LDE7" s="133"/>
      <c r="LDF7" s="133"/>
      <c r="LDG7" s="133"/>
      <c r="LDH7" s="133"/>
      <c r="LDI7" s="133"/>
      <c r="LDJ7" s="133"/>
      <c r="LDK7" s="133"/>
      <c r="LDL7" s="133"/>
      <c r="LDM7" s="133"/>
      <c r="LDN7" s="133"/>
      <c r="LDO7" s="133"/>
      <c r="LDP7" s="133"/>
      <c r="LDQ7" s="133"/>
      <c r="LDR7" s="133"/>
      <c r="LDS7" s="133"/>
      <c r="LDT7" s="133"/>
      <c r="LDU7" s="133"/>
      <c r="LDV7" s="133"/>
      <c r="LDW7" s="133"/>
      <c r="LDX7" s="133"/>
      <c r="LDY7" s="133"/>
      <c r="LDZ7" s="133"/>
      <c r="LEA7" s="133"/>
      <c r="LEB7" s="133"/>
      <c r="LEC7" s="133"/>
      <c r="LED7" s="133"/>
      <c r="LEE7" s="133"/>
      <c r="LEF7" s="133"/>
      <c r="LEG7" s="133"/>
      <c r="LEH7" s="133"/>
      <c r="LEI7" s="133"/>
      <c r="LEJ7" s="133"/>
      <c r="LEK7" s="133"/>
      <c r="LEL7" s="133"/>
      <c r="LEM7" s="133"/>
      <c r="LEN7" s="133"/>
      <c r="LEO7" s="133"/>
      <c r="LEP7" s="133"/>
      <c r="LEQ7" s="133"/>
      <c r="LER7" s="133"/>
      <c r="LES7" s="133"/>
      <c r="LET7" s="133"/>
      <c r="LEU7" s="133"/>
      <c r="LEV7" s="133"/>
      <c r="LEW7" s="133"/>
      <c r="LEX7" s="133"/>
      <c r="LEY7" s="133"/>
      <c r="LEZ7" s="133"/>
      <c r="LFA7" s="133"/>
      <c r="LFB7" s="133"/>
      <c r="LFC7" s="133"/>
      <c r="LFD7" s="133"/>
      <c r="LFE7" s="133"/>
      <c r="LFF7" s="133"/>
      <c r="LFG7" s="133"/>
      <c r="LFH7" s="133"/>
      <c r="LFI7" s="133"/>
      <c r="LFJ7" s="133"/>
      <c r="LFK7" s="133"/>
      <c r="LFL7" s="133"/>
      <c r="LFM7" s="133"/>
      <c r="LFN7" s="133"/>
      <c r="LFO7" s="133"/>
      <c r="LFP7" s="133"/>
      <c r="LFQ7" s="133"/>
      <c r="LFR7" s="133"/>
      <c r="LFS7" s="133"/>
      <c r="LFT7" s="133"/>
      <c r="LFU7" s="133"/>
      <c r="LFV7" s="133"/>
      <c r="LFW7" s="133"/>
      <c r="LFX7" s="133"/>
      <c r="LFY7" s="133"/>
      <c r="LFZ7" s="133"/>
      <c r="LGA7" s="133"/>
      <c r="LGB7" s="133"/>
      <c r="LGC7" s="133"/>
      <c r="LGD7" s="133"/>
      <c r="LGE7" s="133"/>
      <c r="LGF7" s="133"/>
      <c r="LGG7" s="133"/>
      <c r="LGH7" s="133"/>
      <c r="LGI7" s="133"/>
      <c r="LGJ7" s="133"/>
      <c r="LGK7" s="133"/>
      <c r="LGL7" s="133"/>
      <c r="LGM7" s="133"/>
      <c r="LGN7" s="133"/>
      <c r="LGO7" s="133"/>
      <c r="LGP7" s="133"/>
      <c r="LGQ7" s="133"/>
      <c r="LGR7" s="133"/>
      <c r="LGS7" s="133"/>
      <c r="LGT7" s="133"/>
      <c r="LGU7" s="133"/>
      <c r="LGV7" s="133"/>
      <c r="LGW7" s="133"/>
      <c r="LGX7" s="133"/>
      <c r="LGY7" s="133"/>
      <c r="LGZ7" s="133"/>
      <c r="LHA7" s="133"/>
      <c r="LHB7" s="133"/>
      <c r="LHC7" s="133"/>
      <c r="LHD7" s="133"/>
      <c r="LHE7" s="133"/>
      <c r="LHF7" s="133"/>
      <c r="LHG7" s="133"/>
      <c r="LHH7" s="133"/>
      <c r="LHI7" s="133"/>
      <c r="LHJ7" s="133"/>
      <c r="LHK7" s="133"/>
      <c r="LHL7" s="133"/>
      <c r="LHM7" s="133"/>
      <c r="LHN7" s="133"/>
      <c r="LHO7" s="133"/>
      <c r="LHP7" s="133"/>
      <c r="LHQ7" s="133"/>
      <c r="LHR7" s="133"/>
      <c r="LHS7" s="133"/>
      <c r="LHT7" s="133"/>
      <c r="LHU7" s="133"/>
      <c r="LHV7" s="133"/>
      <c r="LHW7" s="133"/>
      <c r="LHX7" s="133"/>
      <c r="LHY7" s="133"/>
      <c r="LHZ7" s="133"/>
      <c r="LIA7" s="133"/>
      <c r="LIB7" s="133"/>
      <c r="LIC7" s="133"/>
      <c r="LID7" s="133"/>
      <c r="LIE7" s="133"/>
      <c r="LIF7" s="133"/>
      <c r="LIG7" s="133"/>
      <c r="LIH7" s="133"/>
      <c r="LII7" s="133"/>
      <c r="LIJ7" s="133"/>
      <c r="LIK7" s="133"/>
      <c r="LIL7" s="133"/>
      <c r="LIM7" s="133"/>
      <c r="LIN7" s="133"/>
      <c r="LIO7" s="133"/>
      <c r="LIP7" s="133"/>
      <c r="LIQ7" s="133"/>
      <c r="LIR7" s="133"/>
      <c r="LIS7" s="133"/>
      <c r="LIT7" s="133"/>
      <c r="LIU7" s="133"/>
      <c r="LIV7" s="133"/>
      <c r="LIW7" s="133"/>
      <c r="LIX7" s="133"/>
      <c r="LIY7" s="133"/>
      <c r="LIZ7" s="133"/>
      <c r="LJA7" s="133"/>
      <c r="LJB7" s="133"/>
      <c r="LJC7" s="133"/>
      <c r="LJD7" s="133"/>
      <c r="LJE7" s="133"/>
      <c r="LJF7" s="133"/>
      <c r="LJG7" s="133"/>
      <c r="LJH7" s="133"/>
      <c r="LJI7" s="133"/>
      <c r="LJJ7" s="133"/>
      <c r="LJK7" s="133"/>
      <c r="LJL7" s="133"/>
      <c r="LJM7" s="133"/>
      <c r="LJN7" s="133"/>
      <c r="LJO7" s="133"/>
      <c r="LJP7" s="133"/>
      <c r="LJQ7" s="133"/>
      <c r="LJR7" s="133"/>
      <c r="LJS7" s="133"/>
      <c r="LJT7" s="133"/>
      <c r="LJU7" s="133"/>
      <c r="LJV7" s="133"/>
      <c r="LJW7" s="133"/>
      <c r="LJX7" s="133"/>
      <c r="LJY7" s="133"/>
      <c r="LJZ7" s="133"/>
      <c r="LKA7" s="133"/>
      <c r="LKB7" s="133"/>
      <c r="LKC7" s="133"/>
      <c r="LKD7" s="133"/>
      <c r="LKE7" s="133"/>
      <c r="LKF7" s="133"/>
      <c r="LKG7" s="133"/>
      <c r="LKH7" s="133"/>
      <c r="LKI7" s="133"/>
      <c r="LKJ7" s="133"/>
      <c r="LKK7" s="133"/>
      <c r="LKL7" s="133"/>
      <c r="LKM7" s="133"/>
      <c r="LKN7" s="133"/>
      <c r="LKO7" s="133"/>
      <c r="LKP7" s="133"/>
      <c r="LKQ7" s="133"/>
      <c r="LKR7" s="133"/>
      <c r="LKS7" s="133"/>
      <c r="LKT7" s="133"/>
      <c r="LKU7" s="133"/>
      <c r="LKV7" s="133"/>
      <c r="LKW7" s="133"/>
      <c r="LKX7" s="133"/>
      <c r="LKY7" s="133"/>
      <c r="LKZ7" s="133"/>
      <c r="LLA7" s="133"/>
      <c r="LLB7" s="133"/>
      <c r="LLC7" s="133"/>
      <c r="LLD7" s="133"/>
      <c r="LLE7" s="133"/>
      <c r="LLF7" s="133"/>
      <c r="LLG7" s="133"/>
      <c r="LLH7" s="133"/>
      <c r="LLI7" s="133"/>
      <c r="LLJ7" s="133"/>
      <c r="LLK7" s="133"/>
      <c r="LLL7" s="133"/>
      <c r="LLM7" s="133"/>
      <c r="LLN7" s="133"/>
      <c r="LLO7" s="133"/>
      <c r="LLP7" s="133"/>
      <c r="LLQ7" s="133"/>
      <c r="LLR7" s="133"/>
      <c r="LLS7" s="133"/>
      <c r="LLT7" s="133"/>
      <c r="LLU7" s="133"/>
      <c r="LLV7" s="133"/>
      <c r="LLW7" s="133"/>
      <c r="LLX7" s="133"/>
      <c r="LLY7" s="133"/>
      <c r="LLZ7" s="133"/>
      <c r="LMA7" s="133"/>
      <c r="LMB7" s="133"/>
      <c r="LMC7" s="133"/>
      <c r="LMD7" s="133"/>
      <c r="LME7" s="133"/>
      <c r="LMF7" s="133"/>
      <c r="LMG7" s="133"/>
      <c r="LMH7" s="133"/>
      <c r="LMI7" s="133"/>
      <c r="LMJ7" s="133"/>
      <c r="LMK7" s="133"/>
      <c r="LML7" s="133"/>
      <c r="LMM7" s="133"/>
      <c r="LMN7" s="133"/>
      <c r="LMO7" s="133"/>
      <c r="LMP7" s="133"/>
      <c r="LMQ7" s="133"/>
      <c r="LMR7" s="133"/>
      <c r="LMS7" s="133"/>
      <c r="LMT7" s="133"/>
      <c r="LMU7" s="133"/>
      <c r="LMV7" s="133"/>
      <c r="LMW7" s="133"/>
      <c r="LMX7" s="133"/>
      <c r="LMY7" s="133"/>
      <c r="LMZ7" s="133"/>
      <c r="LNA7" s="133"/>
      <c r="LNB7" s="133"/>
      <c r="LNC7" s="133"/>
      <c r="LND7" s="133"/>
      <c r="LNE7" s="133"/>
      <c r="LNF7" s="133"/>
      <c r="LNG7" s="133"/>
      <c r="LNH7" s="133"/>
      <c r="LNI7" s="133"/>
      <c r="LNJ7" s="133"/>
      <c r="LNK7" s="133"/>
      <c r="LNL7" s="133"/>
      <c r="LNM7" s="133"/>
      <c r="LNN7" s="133"/>
      <c r="LNO7" s="133"/>
      <c r="LNP7" s="133"/>
      <c r="LNQ7" s="133"/>
      <c r="LNR7" s="133"/>
      <c r="LNS7" s="133"/>
      <c r="LNT7" s="133"/>
      <c r="LNU7" s="133"/>
      <c r="LNV7" s="133"/>
      <c r="LNW7" s="133"/>
      <c r="LNX7" s="133"/>
      <c r="LNY7" s="133"/>
      <c r="LNZ7" s="133"/>
      <c r="LOA7" s="133"/>
      <c r="LOB7" s="133"/>
      <c r="LOC7" s="133"/>
      <c r="LOD7" s="133"/>
      <c r="LOE7" s="133"/>
      <c r="LOF7" s="133"/>
      <c r="LOG7" s="133"/>
      <c r="LOH7" s="133"/>
      <c r="LOI7" s="133"/>
      <c r="LOJ7" s="133"/>
      <c r="LOK7" s="133"/>
      <c r="LOL7" s="133"/>
      <c r="LOM7" s="133"/>
      <c r="LON7" s="133"/>
      <c r="LOO7" s="133"/>
      <c r="LOP7" s="133"/>
      <c r="LOQ7" s="133"/>
      <c r="LOR7" s="133"/>
      <c r="LOS7" s="133"/>
      <c r="LOT7" s="133"/>
      <c r="LOU7" s="133"/>
      <c r="LOV7" s="133"/>
      <c r="LOW7" s="133"/>
      <c r="LOX7" s="133"/>
      <c r="LOY7" s="133"/>
      <c r="LOZ7" s="133"/>
      <c r="LPA7" s="133"/>
      <c r="LPB7" s="133"/>
      <c r="LPC7" s="133"/>
      <c r="LPD7" s="133"/>
      <c r="LPE7" s="133"/>
      <c r="LPF7" s="133"/>
      <c r="LPG7" s="133"/>
      <c r="LPH7" s="133"/>
      <c r="LPI7" s="133"/>
      <c r="LPJ7" s="133"/>
      <c r="LPK7" s="133"/>
      <c r="LPL7" s="133"/>
      <c r="LPM7" s="133"/>
      <c r="LPN7" s="133"/>
      <c r="LPO7" s="133"/>
      <c r="LPP7" s="133"/>
      <c r="LPQ7" s="133"/>
      <c r="LPR7" s="133"/>
      <c r="LPS7" s="133"/>
      <c r="LPT7" s="133"/>
      <c r="LPU7" s="133"/>
      <c r="LPV7" s="133"/>
      <c r="LPW7" s="133"/>
      <c r="LPX7" s="133"/>
      <c r="LPY7" s="133"/>
      <c r="LPZ7" s="133"/>
      <c r="LQA7" s="133"/>
      <c r="LQB7" s="133"/>
      <c r="LQC7" s="133"/>
      <c r="LQD7" s="133"/>
      <c r="LQE7" s="133"/>
      <c r="LQF7" s="133"/>
      <c r="LQG7" s="133"/>
      <c r="LQH7" s="133"/>
      <c r="LQI7" s="133"/>
      <c r="LQJ7" s="133"/>
      <c r="LQK7" s="133"/>
      <c r="LQL7" s="133"/>
      <c r="LQM7" s="133"/>
      <c r="LQN7" s="133"/>
      <c r="LQO7" s="133"/>
      <c r="LQP7" s="133"/>
      <c r="LQQ7" s="133"/>
      <c r="LQR7" s="133"/>
      <c r="LQS7" s="133"/>
      <c r="LQT7" s="133"/>
      <c r="LQU7" s="133"/>
      <c r="LQV7" s="133"/>
      <c r="LQW7" s="133"/>
      <c r="LQX7" s="133"/>
      <c r="LQY7" s="133"/>
      <c r="LQZ7" s="133"/>
      <c r="LRA7" s="133"/>
      <c r="LRB7" s="133"/>
      <c r="LRC7" s="133"/>
      <c r="LRD7" s="133"/>
      <c r="LRE7" s="133"/>
      <c r="LRF7" s="133"/>
      <c r="LRG7" s="133"/>
      <c r="LRH7" s="133"/>
      <c r="LRI7" s="133"/>
      <c r="LRJ7" s="133"/>
      <c r="LRK7" s="133"/>
      <c r="LRL7" s="133"/>
      <c r="LRM7" s="133"/>
      <c r="LRN7" s="133"/>
      <c r="LRO7" s="133"/>
      <c r="LRP7" s="133"/>
      <c r="LRQ7" s="133"/>
      <c r="LRR7" s="133"/>
      <c r="LRS7" s="133"/>
      <c r="LRT7" s="133"/>
      <c r="LRU7" s="133"/>
      <c r="LRV7" s="133"/>
      <c r="LRW7" s="133"/>
      <c r="LRX7" s="133"/>
      <c r="LRY7" s="133"/>
      <c r="LRZ7" s="133"/>
      <c r="LSA7" s="133"/>
      <c r="LSB7" s="133"/>
      <c r="LSC7" s="133"/>
      <c r="LSD7" s="133"/>
      <c r="LSE7" s="133"/>
      <c r="LSF7" s="133"/>
      <c r="LSG7" s="133"/>
      <c r="LSH7" s="133"/>
      <c r="LSI7" s="133"/>
      <c r="LSJ7" s="133"/>
      <c r="LSK7" s="133"/>
      <c r="LSL7" s="133"/>
      <c r="LSM7" s="133"/>
      <c r="LSN7" s="133"/>
      <c r="LSO7" s="133"/>
      <c r="LSP7" s="133"/>
      <c r="LSQ7" s="133"/>
      <c r="LSR7" s="133"/>
      <c r="LSS7" s="133"/>
      <c r="LST7" s="133"/>
      <c r="LSU7" s="133"/>
      <c r="LSV7" s="133"/>
      <c r="LSW7" s="133"/>
      <c r="LSX7" s="133"/>
      <c r="LSY7" s="133"/>
      <c r="LSZ7" s="133"/>
      <c r="LTA7" s="133"/>
      <c r="LTB7" s="133"/>
      <c r="LTC7" s="133"/>
      <c r="LTD7" s="133"/>
      <c r="LTE7" s="133"/>
      <c r="LTF7" s="133"/>
      <c r="LTG7" s="133"/>
      <c r="LTH7" s="133"/>
      <c r="LTI7" s="133"/>
      <c r="LTJ7" s="133"/>
      <c r="LTK7" s="133"/>
      <c r="LTL7" s="133"/>
      <c r="LTM7" s="133"/>
      <c r="LTN7" s="133"/>
      <c r="LTO7" s="133"/>
      <c r="LTP7" s="133"/>
      <c r="LTQ7" s="133"/>
      <c r="LTR7" s="133"/>
      <c r="LTS7" s="133"/>
      <c r="LTT7" s="133"/>
      <c r="LTU7" s="133"/>
      <c r="LTV7" s="133"/>
      <c r="LTW7" s="133"/>
      <c r="LTX7" s="133"/>
      <c r="LTY7" s="133"/>
      <c r="LTZ7" s="133"/>
      <c r="LUA7" s="133"/>
      <c r="LUB7" s="133"/>
      <c r="LUC7" s="133"/>
      <c r="LUD7" s="133"/>
      <c r="LUE7" s="133"/>
      <c r="LUF7" s="133"/>
      <c r="LUG7" s="133"/>
      <c r="LUH7" s="133"/>
      <c r="LUI7" s="133"/>
      <c r="LUJ7" s="133"/>
      <c r="LUK7" s="133"/>
      <c r="LUL7" s="133"/>
      <c r="LUM7" s="133"/>
      <c r="LUN7" s="133"/>
      <c r="LUO7" s="133"/>
      <c r="LUP7" s="133"/>
      <c r="LUQ7" s="133"/>
      <c r="LUR7" s="133"/>
      <c r="LUS7" s="133"/>
      <c r="LUT7" s="133"/>
      <c r="LUU7" s="133"/>
      <c r="LUV7" s="133"/>
      <c r="LUW7" s="133"/>
      <c r="LUX7" s="133"/>
      <c r="LUY7" s="133"/>
      <c r="LUZ7" s="133"/>
      <c r="LVA7" s="133"/>
      <c r="LVB7" s="133"/>
      <c r="LVC7" s="133"/>
      <c r="LVD7" s="133"/>
      <c r="LVE7" s="133"/>
      <c r="LVF7" s="133"/>
      <c r="LVG7" s="133"/>
      <c r="LVH7" s="133"/>
      <c r="LVI7" s="133"/>
      <c r="LVJ7" s="133"/>
      <c r="LVK7" s="133"/>
      <c r="LVL7" s="133"/>
      <c r="LVM7" s="133"/>
      <c r="LVN7" s="133"/>
      <c r="LVO7" s="133"/>
      <c r="LVP7" s="133"/>
      <c r="LVQ7" s="133"/>
      <c r="LVR7" s="133"/>
      <c r="LVS7" s="133"/>
      <c r="LVT7" s="133"/>
      <c r="LVU7" s="133"/>
      <c r="LVV7" s="133"/>
      <c r="LVW7" s="133"/>
      <c r="LVX7" s="133"/>
      <c r="LVY7" s="133"/>
      <c r="LVZ7" s="133"/>
      <c r="LWA7" s="133"/>
      <c r="LWB7" s="133"/>
      <c r="LWC7" s="133"/>
      <c r="LWD7" s="133"/>
      <c r="LWE7" s="133"/>
      <c r="LWF7" s="133"/>
      <c r="LWG7" s="133"/>
      <c r="LWH7" s="133"/>
      <c r="LWI7" s="133"/>
      <c r="LWJ7" s="133"/>
      <c r="LWK7" s="133"/>
      <c r="LWL7" s="133"/>
      <c r="LWM7" s="133"/>
      <c r="LWN7" s="133"/>
      <c r="LWO7" s="133"/>
      <c r="LWP7" s="133"/>
      <c r="LWQ7" s="133"/>
      <c r="LWR7" s="133"/>
      <c r="LWS7" s="133"/>
      <c r="LWT7" s="133"/>
      <c r="LWU7" s="133"/>
      <c r="LWV7" s="133"/>
      <c r="LWW7" s="133"/>
      <c r="LWX7" s="133"/>
      <c r="LWY7" s="133"/>
      <c r="LWZ7" s="133"/>
      <c r="LXA7" s="133"/>
      <c r="LXB7" s="133"/>
      <c r="LXC7" s="133"/>
      <c r="LXD7" s="133"/>
      <c r="LXE7" s="133"/>
      <c r="LXF7" s="133"/>
      <c r="LXG7" s="133"/>
      <c r="LXH7" s="133"/>
      <c r="LXI7" s="133"/>
      <c r="LXJ7" s="133"/>
      <c r="LXK7" s="133"/>
      <c r="LXL7" s="133"/>
      <c r="LXM7" s="133"/>
      <c r="LXN7" s="133"/>
      <c r="LXO7" s="133"/>
      <c r="LXP7" s="133"/>
      <c r="LXQ7" s="133"/>
      <c r="LXR7" s="133"/>
      <c r="LXS7" s="133"/>
      <c r="LXT7" s="133"/>
      <c r="LXU7" s="133"/>
      <c r="LXV7" s="133"/>
      <c r="LXW7" s="133"/>
      <c r="LXX7" s="133"/>
      <c r="LXY7" s="133"/>
      <c r="LXZ7" s="133"/>
      <c r="LYA7" s="133"/>
      <c r="LYB7" s="133"/>
      <c r="LYC7" s="133"/>
      <c r="LYD7" s="133"/>
      <c r="LYE7" s="133"/>
      <c r="LYF7" s="133"/>
      <c r="LYG7" s="133"/>
      <c r="LYH7" s="133"/>
      <c r="LYI7" s="133"/>
      <c r="LYJ7" s="133"/>
      <c r="LYK7" s="133"/>
      <c r="LYL7" s="133"/>
      <c r="LYM7" s="133"/>
      <c r="LYN7" s="133"/>
      <c r="LYO7" s="133"/>
      <c r="LYP7" s="133"/>
      <c r="LYQ7" s="133"/>
      <c r="LYR7" s="133"/>
      <c r="LYS7" s="133"/>
      <c r="LYT7" s="133"/>
      <c r="LYU7" s="133"/>
      <c r="LYV7" s="133"/>
      <c r="LYW7" s="133"/>
      <c r="LYX7" s="133"/>
      <c r="LYY7" s="133"/>
      <c r="LYZ7" s="133"/>
      <c r="LZA7" s="133"/>
      <c r="LZB7" s="133"/>
      <c r="LZC7" s="133"/>
      <c r="LZD7" s="133"/>
      <c r="LZE7" s="133"/>
      <c r="LZF7" s="133"/>
      <c r="LZG7" s="133"/>
      <c r="LZH7" s="133"/>
      <c r="LZI7" s="133"/>
      <c r="LZJ7" s="133"/>
      <c r="LZK7" s="133"/>
      <c r="LZL7" s="133"/>
      <c r="LZM7" s="133"/>
      <c r="LZN7" s="133"/>
      <c r="LZO7" s="133"/>
      <c r="LZP7" s="133"/>
      <c r="LZQ7" s="133"/>
      <c r="LZR7" s="133"/>
      <c r="LZS7" s="133"/>
      <c r="LZT7" s="133"/>
      <c r="LZU7" s="133"/>
      <c r="LZV7" s="133"/>
      <c r="LZW7" s="133"/>
      <c r="LZX7" s="133"/>
      <c r="LZY7" s="133"/>
      <c r="LZZ7" s="133"/>
      <c r="MAA7" s="133"/>
      <c r="MAB7" s="133"/>
      <c r="MAC7" s="133"/>
      <c r="MAD7" s="133"/>
      <c r="MAE7" s="133"/>
      <c r="MAF7" s="133"/>
      <c r="MAG7" s="133"/>
      <c r="MAH7" s="133"/>
      <c r="MAI7" s="133"/>
      <c r="MAJ7" s="133"/>
      <c r="MAK7" s="133"/>
      <c r="MAL7" s="133"/>
      <c r="MAM7" s="133"/>
      <c r="MAN7" s="133"/>
      <c r="MAO7" s="133"/>
      <c r="MAP7" s="133"/>
      <c r="MAQ7" s="133"/>
      <c r="MAR7" s="133"/>
      <c r="MAS7" s="133"/>
      <c r="MAT7" s="133"/>
      <c r="MAU7" s="133"/>
      <c r="MAV7" s="133"/>
      <c r="MAW7" s="133"/>
      <c r="MAX7" s="133"/>
      <c r="MAY7" s="133"/>
      <c r="MAZ7" s="133"/>
      <c r="MBA7" s="133"/>
      <c r="MBB7" s="133"/>
      <c r="MBC7" s="133"/>
      <c r="MBD7" s="133"/>
      <c r="MBE7" s="133"/>
      <c r="MBF7" s="133"/>
      <c r="MBG7" s="133"/>
      <c r="MBH7" s="133"/>
      <c r="MBI7" s="133"/>
      <c r="MBJ7" s="133"/>
      <c r="MBK7" s="133"/>
      <c r="MBL7" s="133"/>
      <c r="MBM7" s="133"/>
      <c r="MBN7" s="133"/>
      <c r="MBO7" s="133"/>
      <c r="MBP7" s="133"/>
      <c r="MBQ7" s="133"/>
      <c r="MBR7" s="133"/>
      <c r="MBS7" s="133"/>
      <c r="MBT7" s="133"/>
      <c r="MBU7" s="133"/>
      <c r="MBV7" s="133"/>
      <c r="MBW7" s="133"/>
      <c r="MBX7" s="133"/>
      <c r="MBY7" s="133"/>
      <c r="MBZ7" s="133"/>
      <c r="MCA7" s="133"/>
      <c r="MCB7" s="133"/>
      <c r="MCC7" s="133"/>
      <c r="MCD7" s="133"/>
      <c r="MCE7" s="133"/>
      <c r="MCF7" s="133"/>
      <c r="MCG7" s="133"/>
      <c r="MCH7" s="133"/>
      <c r="MCI7" s="133"/>
      <c r="MCJ7" s="133"/>
      <c r="MCK7" s="133"/>
      <c r="MCL7" s="133"/>
      <c r="MCM7" s="133"/>
      <c r="MCN7" s="133"/>
      <c r="MCO7" s="133"/>
      <c r="MCP7" s="133"/>
      <c r="MCQ7" s="133"/>
      <c r="MCR7" s="133"/>
      <c r="MCS7" s="133"/>
      <c r="MCT7" s="133"/>
      <c r="MCU7" s="133"/>
      <c r="MCV7" s="133"/>
      <c r="MCW7" s="133"/>
      <c r="MCX7" s="133"/>
      <c r="MCY7" s="133"/>
      <c r="MCZ7" s="133"/>
      <c r="MDA7" s="133"/>
      <c r="MDB7" s="133"/>
      <c r="MDC7" s="133"/>
      <c r="MDD7" s="133"/>
      <c r="MDE7" s="133"/>
      <c r="MDF7" s="133"/>
      <c r="MDG7" s="133"/>
      <c r="MDH7" s="133"/>
      <c r="MDI7" s="133"/>
      <c r="MDJ7" s="133"/>
      <c r="MDK7" s="133"/>
      <c r="MDL7" s="133"/>
      <c r="MDM7" s="133"/>
      <c r="MDN7" s="133"/>
      <c r="MDO7" s="133"/>
      <c r="MDP7" s="133"/>
      <c r="MDQ7" s="133"/>
      <c r="MDR7" s="133"/>
      <c r="MDS7" s="133"/>
      <c r="MDT7" s="133"/>
      <c r="MDU7" s="133"/>
      <c r="MDV7" s="133"/>
      <c r="MDW7" s="133"/>
      <c r="MDX7" s="133"/>
      <c r="MDY7" s="133"/>
      <c r="MDZ7" s="133"/>
      <c r="MEA7" s="133"/>
      <c r="MEB7" s="133"/>
      <c r="MEC7" s="133"/>
      <c r="MED7" s="133"/>
      <c r="MEE7" s="133"/>
      <c r="MEF7" s="133"/>
      <c r="MEG7" s="133"/>
      <c r="MEH7" s="133"/>
      <c r="MEI7" s="133"/>
      <c r="MEJ7" s="133"/>
      <c r="MEK7" s="133"/>
      <c r="MEL7" s="133"/>
      <c r="MEM7" s="133"/>
      <c r="MEN7" s="133"/>
      <c r="MEO7" s="133"/>
      <c r="MEP7" s="133"/>
      <c r="MEQ7" s="133"/>
      <c r="MER7" s="133"/>
      <c r="MES7" s="133"/>
      <c r="MET7" s="133"/>
      <c r="MEU7" s="133"/>
      <c r="MEV7" s="133"/>
      <c r="MEW7" s="133"/>
      <c r="MEX7" s="133"/>
      <c r="MEY7" s="133"/>
      <c r="MEZ7" s="133"/>
      <c r="MFA7" s="133"/>
      <c r="MFB7" s="133"/>
      <c r="MFC7" s="133"/>
      <c r="MFD7" s="133"/>
      <c r="MFE7" s="133"/>
      <c r="MFF7" s="133"/>
      <c r="MFG7" s="133"/>
      <c r="MFH7" s="133"/>
      <c r="MFI7" s="133"/>
      <c r="MFJ7" s="133"/>
      <c r="MFK7" s="133"/>
      <c r="MFL7" s="133"/>
      <c r="MFM7" s="133"/>
      <c r="MFN7" s="133"/>
      <c r="MFO7" s="133"/>
      <c r="MFP7" s="133"/>
      <c r="MFQ7" s="133"/>
      <c r="MFR7" s="133"/>
      <c r="MFS7" s="133"/>
      <c r="MFT7" s="133"/>
      <c r="MFU7" s="133"/>
      <c r="MFV7" s="133"/>
      <c r="MFW7" s="133"/>
      <c r="MFX7" s="133"/>
      <c r="MFY7" s="133"/>
      <c r="MFZ7" s="133"/>
      <c r="MGA7" s="133"/>
      <c r="MGB7" s="133"/>
      <c r="MGC7" s="133"/>
      <c r="MGD7" s="133"/>
      <c r="MGE7" s="133"/>
      <c r="MGF7" s="133"/>
      <c r="MGG7" s="133"/>
      <c r="MGH7" s="133"/>
      <c r="MGI7" s="133"/>
      <c r="MGJ7" s="133"/>
      <c r="MGK7" s="133"/>
      <c r="MGL7" s="133"/>
      <c r="MGM7" s="133"/>
      <c r="MGN7" s="133"/>
      <c r="MGO7" s="133"/>
      <c r="MGP7" s="133"/>
      <c r="MGQ7" s="133"/>
      <c r="MGR7" s="133"/>
      <c r="MGS7" s="133"/>
      <c r="MGT7" s="133"/>
      <c r="MGU7" s="133"/>
      <c r="MGV7" s="133"/>
      <c r="MGW7" s="133"/>
      <c r="MGX7" s="133"/>
      <c r="MGY7" s="133"/>
      <c r="MGZ7" s="133"/>
      <c r="MHA7" s="133"/>
      <c r="MHB7" s="133"/>
      <c r="MHC7" s="133"/>
      <c r="MHD7" s="133"/>
      <c r="MHE7" s="133"/>
      <c r="MHF7" s="133"/>
      <c r="MHG7" s="133"/>
      <c r="MHH7" s="133"/>
      <c r="MHI7" s="133"/>
      <c r="MHJ7" s="133"/>
      <c r="MHK7" s="133"/>
      <c r="MHL7" s="133"/>
      <c r="MHM7" s="133"/>
      <c r="MHN7" s="133"/>
      <c r="MHO7" s="133"/>
      <c r="MHP7" s="133"/>
      <c r="MHQ7" s="133"/>
      <c r="MHR7" s="133"/>
      <c r="MHS7" s="133"/>
      <c r="MHT7" s="133"/>
      <c r="MHU7" s="133"/>
      <c r="MHV7" s="133"/>
      <c r="MHW7" s="133"/>
      <c r="MHX7" s="133"/>
      <c r="MHY7" s="133"/>
      <c r="MHZ7" s="133"/>
      <c r="MIA7" s="133"/>
      <c r="MIB7" s="133"/>
      <c r="MIC7" s="133"/>
      <c r="MID7" s="133"/>
      <c r="MIE7" s="133"/>
      <c r="MIF7" s="133"/>
      <c r="MIG7" s="133"/>
      <c r="MIH7" s="133"/>
      <c r="MII7" s="133"/>
      <c r="MIJ7" s="133"/>
      <c r="MIK7" s="133"/>
      <c r="MIL7" s="133"/>
      <c r="MIM7" s="133"/>
      <c r="MIN7" s="133"/>
      <c r="MIO7" s="133"/>
      <c r="MIP7" s="133"/>
      <c r="MIQ7" s="133"/>
      <c r="MIR7" s="133"/>
      <c r="MIS7" s="133"/>
      <c r="MIT7" s="133"/>
      <c r="MIU7" s="133"/>
      <c r="MIV7" s="133"/>
      <c r="MIW7" s="133"/>
      <c r="MIX7" s="133"/>
      <c r="MIY7" s="133"/>
      <c r="MIZ7" s="133"/>
      <c r="MJA7" s="133"/>
      <c r="MJB7" s="133"/>
      <c r="MJC7" s="133"/>
      <c r="MJD7" s="133"/>
      <c r="MJE7" s="133"/>
      <c r="MJF7" s="133"/>
      <c r="MJG7" s="133"/>
      <c r="MJH7" s="133"/>
      <c r="MJI7" s="133"/>
      <c r="MJJ7" s="133"/>
      <c r="MJK7" s="133"/>
      <c r="MJL7" s="133"/>
      <c r="MJM7" s="133"/>
      <c r="MJN7" s="133"/>
      <c r="MJO7" s="133"/>
      <c r="MJP7" s="133"/>
      <c r="MJQ7" s="133"/>
      <c r="MJR7" s="133"/>
      <c r="MJS7" s="133"/>
      <c r="MJT7" s="133"/>
      <c r="MJU7" s="133"/>
      <c r="MJV7" s="133"/>
      <c r="MJW7" s="133"/>
      <c r="MJX7" s="133"/>
      <c r="MJY7" s="133"/>
      <c r="MJZ7" s="133"/>
      <c r="MKA7" s="133"/>
      <c r="MKB7" s="133"/>
      <c r="MKC7" s="133"/>
      <c r="MKD7" s="133"/>
      <c r="MKE7" s="133"/>
      <c r="MKF7" s="133"/>
      <c r="MKG7" s="133"/>
      <c r="MKH7" s="133"/>
      <c r="MKI7" s="133"/>
      <c r="MKJ7" s="133"/>
      <c r="MKK7" s="133"/>
      <c r="MKL7" s="133"/>
      <c r="MKM7" s="133"/>
      <c r="MKN7" s="133"/>
      <c r="MKO7" s="133"/>
      <c r="MKP7" s="133"/>
      <c r="MKQ7" s="133"/>
      <c r="MKR7" s="133"/>
      <c r="MKS7" s="133"/>
      <c r="MKT7" s="133"/>
      <c r="MKU7" s="133"/>
      <c r="MKV7" s="133"/>
      <c r="MKW7" s="133"/>
      <c r="MKX7" s="133"/>
      <c r="MKY7" s="133"/>
      <c r="MKZ7" s="133"/>
      <c r="MLA7" s="133"/>
      <c r="MLB7" s="133"/>
      <c r="MLC7" s="133"/>
      <c r="MLD7" s="133"/>
      <c r="MLE7" s="133"/>
      <c r="MLF7" s="133"/>
      <c r="MLG7" s="133"/>
      <c r="MLH7" s="133"/>
      <c r="MLI7" s="133"/>
      <c r="MLJ7" s="133"/>
      <c r="MLK7" s="133"/>
      <c r="MLL7" s="133"/>
      <c r="MLM7" s="133"/>
      <c r="MLN7" s="133"/>
      <c r="MLO7" s="133"/>
      <c r="MLP7" s="133"/>
      <c r="MLQ7" s="133"/>
      <c r="MLR7" s="133"/>
      <c r="MLS7" s="133"/>
      <c r="MLT7" s="133"/>
      <c r="MLU7" s="133"/>
      <c r="MLV7" s="133"/>
      <c r="MLW7" s="133"/>
      <c r="MLX7" s="133"/>
      <c r="MLY7" s="133"/>
      <c r="MLZ7" s="133"/>
      <c r="MMA7" s="133"/>
      <c r="MMB7" s="133"/>
      <c r="MMC7" s="133"/>
      <c r="MMD7" s="133"/>
      <c r="MME7" s="133"/>
      <c r="MMF7" s="133"/>
      <c r="MMG7" s="133"/>
      <c r="MMH7" s="133"/>
      <c r="MMI7" s="133"/>
      <c r="MMJ7" s="133"/>
      <c r="MMK7" s="133"/>
      <c r="MML7" s="133"/>
      <c r="MMM7" s="133"/>
      <c r="MMN7" s="133"/>
      <c r="MMO7" s="133"/>
      <c r="MMP7" s="133"/>
      <c r="MMQ7" s="133"/>
      <c r="MMR7" s="133"/>
      <c r="MMS7" s="133"/>
      <c r="MMT7" s="133"/>
      <c r="MMU7" s="133"/>
      <c r="MMV7" s="133"/>
      <c r="MMW7" s="133"/>
      <c r="MMX7" s="133"/>
      <c r="MMY7" s="133"/>
      <c r="MMZ7" s="133"/>
      <c r="MNA7" s="133"/>
      <c r="MNB7" s="133"/>
      <c r="MNC7" s="133"/>
      <c r="MND7" s="133"/>
      <c r="MNE7" s="133"/>
      <c r="MNF7" s="133"/>
      <c r="MNG7" s="133"/>
      <c r="MNH7" s="133"/>
      <c r="MNI7" s="133"/>
      <c r="MNJ7" s="133"/>
      <c r="MNK7" s="133"/>
      <c r="MNL7" s="133"/>
      <c r="MNM7" s="133"/>
      <c r="MNN7" s="133"/>
      <c r="MNO7" s="133"/>
      <c r="MNP7" s="133"/>
      <c r="MNQ7" s="133"/>
      <c r="MNR7" s="133"/>
      <c r="MNS7" s="133"/>
      <c r="MNT7" s="133"/>
      <c r="MNU7" s="133"/>
      <c r="MNV7" s="133"/>
      <c r="MNW7" s="133"/>
      <c r="MNX7" s="133"/>
      <c r="MNY7" s="133"/>
      <c r="MNZ7" s="133"/>
      <c r="MOA7" s="133"/>
      <c r="MOB7" s="133"/>
      <c r="MOC7" s="133"/>
      <c r="MOD7" s="133"/>
      <c r="MOE7" s="133"/>
      <c r="MOF7" s="133"/>
      <c r="MOG7" s="133"/>
      <c r="MOH7" s="133"/>
      <c r="MOI7" s="133"/>
      <c r="MOJ7" s="133"/>
      <c r="MOK7" s="133"/>
      <c r="MOL7" s="133"/>
      <c r="MOM7" s="133"/>
      <c r="MON7" s="133"/>
      <c r="MOO7" s="133"/>
      <c r="MOP7" s="133"/>
      <c r="MOQ7" s="133"/>
      <c r="MOR7" s="133"/>
      <c r="MOS7" s="133"/>
      <c r="MOT7" s="133"/>
      <c r="MOU7" s="133"/>
      <c r="MOV7" s="133"/>
      <c r="MOW7" s="133"/>
      <c r="MOX7" s="133"/>
      <c r="MOY7" s="133"/>
      <c r="MOZ7" s="133"/>
      <c r="MPA7" s="133"/>
      <c r="MPN7" s="133"/>
      <c r="MPO7" s="133"/>
      <c r="MPP7" s="133"/>
      <c r="MPQ7" s="133"/>
      <c r="MPR7" s="133"/>
      <c r="MPS7" s="133"/>
      <c r="MPT7" s="133"/>
      <c r="MPU7" s="133"/>
      <c r="MPV7" s="133"/>
      <c r="MPW7" s="133"/>
      <c r="MPX7" s="133"/>
      <c r="MPY7" s="133"/>
      <c r="MPZ7" s="133"/>
      <c r="MQA7" s="133"/>
      <c r="MQB7" s="133"/>
      <c r="MQC7" s="133"/>
      <c r="MQD7" s="133"/>
      <c r="MQE7" s="133"/>
      <c r="MQF7" s="133"/>
      <c r="MQG7" s="133"/>
      <c r="MQH7" s="133"/>
      <c r="MQI7" s="133"/>
      <c r="MQJ7" s="133"/>
      <c r="MQK7" s="133"/>
      <c r="MQL7" s="133"/>
      <c r="MQM7" s="133"/>
      <c r="MQN7" s="133"/>
      <c r="MQO7" s="133"/>
      <c r="MQP7" s="133"/>
      <c r="MQQ7" s="133"/>
      <c r="MQR7" s="133"/>
      <c r="MQS7" s="133"/>
      <c r="MQT7" s="133"/>
      <c r="MQU7" s="133"/>
      <c r="MQV7" s="133"/>
      <c r="MQW7" s="133"/>
      <c r="MQX7" s="133"/>
      <c r="MQY7" s="133"/>
      <c r="MQZ7" s="133"/>
      <c r="MRA7" s="133"/>
      <c r="MRB7" s="133"/>
      <c r="MRC7" s="133"/>
      <c r="MRD7" s="133"/>
      <c r="MRE7" s="133"/>
      <c r="MRF7" s="133"/>
      <c r="MRG7" s="133"/>
      <c r="MRH7" s="133"/>
      <c r="MRI7" s="133"/>
      <c r="MRJ7" s="133"/>
      <c r="MRK7" s="133"/>
      <c r="MRL7" s="133"/>
      <c r="MRM7" s="133"/>
      <c r="MRN7" s="133"/>
      <c r="MRO7" s="133"/>
      <c r="MRP7" s="133"/>
      <c r="MRQ7" s="133"/>
      <c r="MRR7" s="133"/>
      <c r="MRS7" s="133"/>
      <c r="MRT7" s="133"/>
      <c r="MRU7" s="133"/>
      <c r="MRV7" s="133"/>
      <c r="MRW7" s="133"/>
      <c r="MRX7" s="133"/>
      <c r="MRY7" s="133"/>
      <c r="MRZ7" s="133"/>
      <c r="MSA7" s="133"/>
      <c r="MSB7" s="133"/>
      <c r="MSC7" s="133"/>
      <c r="MSD7" s="133"/>
      <c r="MSE7" s="133"/>
      <c r="MSF7" s="133"/>
      <c r="MSG7" s="133"/>
      <c r="MSH7" s="133"/>
      <c r="MSI7" s="133"/>
      <c r="MSJ7" s="133"/>
      <c r="MSK7" s="133"/>
      <c r="MSL7" s="133"/>
      <c r="MSM7" s="133"/>
      <c r="MSN7" s="133"/>
      <c r="MSO7" s="133"/>
      <c r="MSP7" s="133"/>
      <c r="MSQ7" s="133"/>
      <c r="MSR7" s="133"/>
      <c r="MSS7" s="133"/>
      <c r="MST7" s="133"/>
      <c r="MSU7" s="133"/>
      <c r="MSV7" s="133"/>
      <c r="MSW7" s="133"/>
      <c r="MSX7" s="133"/>
      <c r="MSY7" s="133"/>
      <c r="MSZ7" s="133"/>
      <c r="MTA7" s="133"/>
      <c r="MTB7" s="133"/>
      <c r="MTC7" s="133"/>
      <c r="MTD7" s="133"/>
      <c r="MTE7" s="133"/>
      <c r="MTF7" s="133"/>
      <c r="MTG7" s="133"/>
      <c r="MTH7" s="133"/>
      <c r="MTI7" s="133"/>
      <c r="MTJ7" s="133"/>
      <c r="MTK7" s="133"/>
      <c r="MTL7" s="133"/>
      <c r="MTM7" s="133"/>
      <c r="MTN7" s="133"/>
      <c r="MTO7" s="133"/>
      <c r="MTP7" s="133"/>
      <c r="MTQ7" s="133"/>
      <c r="MTR7" s="133"/>
      <c r="MTS7" s="133"/>
      <c r="MTT7" s="133"/>
      <c r="MTU7" s="133"/>
      <c r="MTV7" s="133"/>
      <c r="MTW7" s="133"/>
      <c r="MTX7" s="133"/>
      <c r="MTY7" s="133"/>
      <c r="MTZ7" s="133"/>
      <c r="MUA7" s="133"/>
      <c r="MUB7" s="133"/>
      <c r="MUC7" s="133"/>
      <c r="MUD7" s="133"/>
      <c r="MUE7" s="133"/>
      <c r="MUF7" s="133"/>
      <c r="MUG7" s="133"/>
      <c r="MUH7" s="133"/>
      <c r="MUI7" s="133"/>
      <c r="MUJ7" s="133"/>
      <c r="MUK7" s="133"/>
      <c r="MUL7" s="133"/>
      <c r="MUM7" s="133"/>
      <c r="MUN7" s="133"/>
      <c r="MUO7" s="133"/>
      <c r="MUP7" s="133"/>
      <c r="MUQ7" s="133"/>
      <c r="MUR7" s="133"/>
      <c r="MUS7" s="133"/>
      <c r="MUT7" s="133"/>
      <c r="MUU7" s="133"/>
      <c r="MUV7" s="133"/>
      <c r="MUW7" s="133"/>
      <c r="MUX7" s="133"/>
      <c r="MUY7" s="133"/>
      <c r="MUZ7" s="133"/>
      <c r="MVA7" s="133"/>
      <c r="MVB7" s="133"/>
      <c r="MVC7" s="133"/>
      <c r="MVD7" s="133"/>
      <c r="MVE7" s="133"/>
      <c r="MVF7" s="133"/>
      <c r="MVG7" s="133"/>
      <c r="MVH7" s="133"/>
      <c r="MVI7" s="133"/>
      <c r="MVJ7" s="133"/>
      <c r="MVK7" s="133"/>
      <c r="MVL7" s="133"/>
      <c r="MVM7" s="133"/>
      <c r="MVN7" s="133"/>
      <c r="MVO7" s="133"/>
      <c r="MVP7" s="133"/>
      <c r="MVQ7" s="133"/>
      <c r="MVR7" s="133"/>
      <c r="MVS7" s="133"/>
      <c r="MVT7" s="133"/>
      <c r="MVU7" s="133"/>
      <c r="MVV7" s="133"/>
      <c r="MVW7" s="133"/>
      <c r="MVX7" s="133"/>
      <c r="MVY7" s="133"/>
      <c r="MVZ7" s="133"/>
      <c r="MWA7" s="133"/>
      <c r="MWB7" s="133"/>
      <c r="MWC7" s="133"/>
      <c r="MWD7" s="133"/>
      <c r="MWE7" s="133"/>
      <c r="MWF7" s="133"/>
      <c r="MWG7" s="133"/>
      <c r="MWH7" s="133"/>
      <c r="MWI7" s="133"/>
      <c r="MWJ7" s="133"/>
      <c r="MWK7" s="133"/>
      <c r="MWL7" s="133"/>
      <c r="MWM7" s="133"/>
      <c r="MWN7" s="133"/>
      <c r="MWO7" s="133"/>
      <c r="MWP7" s="133"/>
      <c r="MWQ7" s="133"/>
      <c r="MWR7" s="133"/>
      <c r="MWS7" s="133"/>
      <c r="MWT7" s="133"/>
      <c r="MWU7" s="133"/>
      <c r="MWV7" s="133"/>
      <c r="MWW7" s="133"/>
      <c r="MWX7" s="133"/>
      <c r="MWY7" s="133"/>
      <c r="MWZ7" s="133"/>
      <c r="MXA7" s="133"/>
      <c r="MXB7" s="133"/>
      <c r="MXC7" s="133"/>
      <c r="MXD7" s="133"/>
      <c r="MXE7" s="133"/>
      <c r="MXF7" s="133"/>
      <c r="MXG7" s="133"/>
      <c r="MXH7" s="133"/>
      <c r="MXI7" s="133"/>
      <c r="MXJ7" s="133"/>
      <c r="MXK7" s="133"/>
      <c r="MXL7" s="133"/>
      <c r="MXM7" s="133"/>
      <c r="MXN7" s="133"/>
      <c r="MXO7" s="133"/>
      <c r="MXP7" s="133"/>
      <c r="MXQ7" s="133"/>
      <c r="MXR7" s="133"/>
      <c r="MXS7" s="133"/>
      <c r="MXT7" s="133"/>
      <c r="MXU7" s="133"/>
      <c r="MXV7" s="133"/>
      <c r="MXW7" s="133"/>
      <c r="MXX7" s="133"/>
      <c r="MXY7" s="133"/>
      <c r="MXZ7" s="133"/>
      <c r="MYA7" s="133"/>
      <c r="MYB7" s="133"/>
      <c r="MYC7" s="133"/>
      <c r="MYD7" s="133"/>
      <c r="MYE7" s="133"/>
      <c r="MYF7" s="133"/>
      <c r="MYG7" s="133"/>
      <c r="MYH7" s="133"/>
      <c r="MYI7" s="133"/>
      <c r="MYJ7" s="133"/>
      <c r="MYK7" s="133"/>
      <c r="MYL7" s="133"/>
      <c r="MYM7" s="133"/>
      <c r="MYN7" s="133"/>
      <c r="MYO7" s="133"/>
      <c r="MYP7" s="133"/>
      <c r="MYQ7" s="133"/>
      <c r="MYR7" s="133"/>
      <c r="MYS7" s="133"/>
      <c r="MYT7" s="133"/>
      <c r="MYU7" s="133"/>
      <c r="MYV7" s="133"/>
      <c r="MYW7" s="133"/>
      <c r="MYX7" s="133"/>
      <c r="MYY7" s="133"/>
      <c r="MYZ7" s="133"/>
      <c r="MZA7" s="133"/>
      <c r="MZB7" s="133"/>
      <c r="MZC7" s="133"/>
      <c r="MZD7" s="133"/>
      <c r="MZE7" s="133"/>
      <c r="MZF7" s="133"/>
      <c r="MZG7" s="133"/>
      <c r="MZH7" s="133"/>
      <c r="MZI7" s="133"/>
      <c r="MZJ7" s="133"/>
      <c r="MZK7" s="133"/>
      <c r="MZL7" s="133"/>
      <c r="MZM7" s="133"/>
      <c r="MZN7" s="133"/>
      <c r="MZO7" s="133"/>
      <c r="MZP7" s="133"/>
      <c r="MZQ7" s="133"/>
      <c r="MZR7" s="133"/>
      <c r="MZS7" s="133"/>
      <c r="MZT7" s="133"/>
      <c r="MZU7" s="133"/>
      <c r="MZV7" s="133"/>
      <c r="MZW7" s="133"/>
      <c r="MZX7" s="133"/>
      <c r="MZY7" s="133"/>
      <c r="MZZ7" s="133"/>
      <c r="NAA7" s="133"/>
      <c r="NAB7" s="133"/>
      <c r="NAC7" s="133"/>
      <c r="NAD7" s="133"/>
      <c r="NAE7" s="133"/>
      <c r="NAF7" s="133"/>
      <c r="NAG7" s="133"/>
      <c r="NAH7" s="133"/>
      <c r="NAI7" s="133"/>
      <c r="NAJ7" s="133"/>
      <c r="NAK7" s="133"/>
      <c r="NAL7" s="133"/>
      <c r="NAM7" s="133"/>
      <c r="NAN7" s="133"/>
      <c r="NAO7" s="133"/>
      <c r="NAP7" s="133"/>
      <c r="NAQ7" s="133"/>
      <c r="NAR7" s="133"/>
      <c r="NAS7" s="133"/>
      <c r="NAT7" s="133"/>
      <c r="NAU7" s="133"/>
      <c r="NAV7" s="133"/>
      <c r="NAW7" s="133"/>
      <c r="NAX7" s="133"/>
      <c r="NAY7" s="133"/>
      <c r="NAZ7" s="133"/>
      <c r="NBA7" s="133"/>
      <c r="NBB7" s="133"/>
      <c r="NBC7" s="133"/>
      <c r="NBD7" s="133"/>
      <c r="NBE7" s="133"/>
      <c r="NBF7" s="133"/>
      <c r="NBG7" s="133"/>
      <c r="NBH7" s="133"/>
      <c r="NBI7" s="133"/>
      <c r="NBJ7" s="133"/>
      <c r="NBK7" s="133"/>
      <c r="NBL7" s="133"/>
      <c r="NBM7" s="133"/>
      <c r="NBN7" s="133"/>
      <c r="NBO7" s="133"/>
      <c r="NBP7" s="133"/>
      <c r="NBQ7" s="133"/>
      <c r="NBR7" s="133"/>
      <c r="NBS7" s="133"/>
      <c r="NBT7" s="133"/>
      <c r="NBU7" s="133"/>
      <c r="NBV7" s="133"/>
      <c r="NBW7" s="133"/>
      <c r="NBX7" s="133"/>
      <c r="NBY7" s="133"/>
      <c r="NBZ7" s="133"/>
      <c r="NCA7" s="133"/>
      <c r="NCB7" s="133"/>
      <c r="NCC7" s="133"/>
      <c r="NCD7" s="133"/>
      <c r="NCE7" s="133"/>
      <c r="NCF7" s="133"/>
      <c r="NCG7" s="133"/>
      <c r="NCH7" s="133"/>
      <c r="NCI7" s="133"/>
      <c r="NCJ7" s="133"/>
      <c r="NCK7" s="133"/>
      <c r="NCL7" s="133"/>
      <c r="NCM7" s="133"/>
      <c r="NCN7" s="133"/>
      <c r="NCO7" s="133"/>
      <c r="NCP7" s="133"/>
      <c r="NCQ7" s="133"/>
      <c r="NCR7" s="133"/>
      <c r="NCS7" s="133"/>
      <c r="NCT7" s="133"/>
      <c r="NCU7" s="133"/>
      <c r="NCV7" s="133"/>
      <c r="NCW7" s="133"/>
      <c r="NCX7" s="133"/>
      <c r="NCY7" s="133"/>
      <c r="NCZ7" s="133"/>
      <c r="NDA7" s="133"/>
      <c r="NDB7" s="133"/>
      <c r="NDC7" s="133"/>
      <c r="NDD7" s="133"/>
      <c r="NDE7" s="133"/>
      <c r="NDF7" s="133"/>
      <c r="NDG7" s="133"/>
      <c r="NDH7" s="133"/>
      <c r="NDI7" s="133"/>
      <c r="NDJ7" s="133"/>
      <c r="NDK7" s="133"/>
      <c r="NDL7" s="133"/>
      <c r="NDM7" s="133"/>
      <c r="NDN7" s="133"/>
      <c r="NDO7" s="133"/>
      <c r="NDP7" s="133"/>
      <c r="NDQ7" s="133"/>
      <c r="NDR7" s="133"/>
      <c r="NDS7" s="133"/>
      <c r="NDT7" s="133"/>
      <c r="NDU7" s="133"/>
      <c r="NDV7" s="133"/>
      <c r="NDW7" s="133"/>
      <c r="NDX7" s="133"/>
      <c r="NDY7" s="133"/>
      <c r="NDZ7" s="133"/>
      <c r="NEA7" s="133"/>
      <c r="NEB7" s="133"/>
      <c r="NEC7" s="133"/>
      <c r="NED7" s="133"/>
      <c r="NEE7" s="133"/>
      <c r="NEF7" s="133"/>
      <c r="NEG7" s="133"/>
      <c r="NEH7" s="133"/>
      <c r="NEI7" s="133"/>
      <c r="NEJ7" s="133"/>
      <c r="NEK7" s="133"/>
      <c r="NEL7" s="133"/>
      <c r="NEM7" s="133"/>
      <c r="NEN7" s="133"/>
      <c r="NEO7" s="133"/>
      <c r="NEP7" s="133"/>
      <c r="NEQ7" s="133"/>
      <c r="NER7" s="133"/>
      <c r="NES7" s="133"/>
      <c r="NET7" s="133"/>
      <c r="NEU7" s="133"/>
      <c r="NEV7" s="133"/>
      <c r="NEW7" s="133"/>
      <c r="NEX7" s="133"/>
      <c r="NEY7" s="133"/>
      <c r="NEZ7" s="133"/>
      <c r="NFA7" s="133"/>
      <c r="NFB7" s="133"/>
      <c r="NFC7" s="133"/>
      <c r="NFD7" s="133"/>
      <c r="NFE7" s="133"/>
      <c r="NFF7" s="133"/>
      <c r="NFG7" s="133"/>
      <c r="NFH7" s="133"/>
      <c r="NFI7" s="133"/>
      <c r="NFJ7" s="133"/>
      <c r="NFK7" s="133"/>
      <c r="NFL7" s="133"/>
      <c r="NFM7" s="133"/>
      <c r="NFN7" s="133"/>
      <c r="NFO7" s="133"/>
      <c r="NFP7" s="133"/>
      <c r="NFQ7" s="133"/>
      <c r="NFR7" s="133"/>
      <c r="NFS7" s="133"/>
      <c r="NFT7" s="133"/>
      <c r="NFU7" s="133"/>
      <c r="NFV7" s="133"/>
      <c r="NFW7" s="133"/>
      <c r="NFX7" s="133"/>
      <c r="NFY7" s="133"/>
      <c r="NFZ7" s="133"/>
      <c r="NGA7" s="133"/>
      <c r="NGB7" s="133"/>
      <c r="NGC7" s="133"/>
      <c r="NGD7" s="133"/>
      <c r="NGE7" s="133"/>
      <c r="NGF7" s="133"/>
      <c r="NGG7" s="133"/>
      <c r="NGH7" s="133"/>
      <c r="NGI7" s="133"/>
      <c r="NGJ7" s="133"/>
      <c r="NGK7" s="133"/>
      <c r="NGL7" s="133"/>
      <c r="NGM7" s="133"/>
      <c r="NGN7" s="133"/>
      <c r="NGO7" s="133"/>
      <c r="NGP7" s="133"/>
      <c r="NGQ7" s="133"/>
      <c r="NGR7" s="133"/>
      <c r="NGS7" s="133"/>
      <c r="NGT7" s="133"/>
      <c r="NGU7" s="133"/>
      <c r="NGV7" s="133"/>
      <c r="NGW7" s="133"/>
      <c r="NGX7" s="133"/>
      <c r="NGY7" s="133"/>
      <c r="NGZ7" s="133"/>
      <c r="NHA7" s="133"/>
      <c r="NHB7" s="133"/>
      <c r="NHC7" s="133"/>
      <c r="NHD7" s="133"/>
      <c r="NHE7" s="133"/>
      <c r="NHF7" s="133"/>
      <c r="NHG7" s="133"/>
      <c r="NHH7" s="133"/>
      <c r="NHI7" s="133"/>
      <c r="NHJ7" s="133"/>
      <c r="NHK7" s="133"/>
      <c r="NHL7" s="133"/>
      <c r="NHM7" s="133"/>
      <c r="NHN7" s="133"/>
      <c r="NHO7" s="133"/>
      <c r="NHP7" s="133"/>
      <c r="NHQ7" s="133"/>
      <c r="NHR7" s="133"/>
      <c r="NHS7" s="133"/>
      <c r="NHT7" s="133"/>
      <c r="NHU7" s="133"/>
      <c r="NHV7" s="133"/>
      <c r="NHW7" s="133"/>
      <c r="NHX7" s="133"/>
      <c r="NHY7" s="133"/>
      <c r="NHZ7" s="133"/>
      <c r="NIA7" s="133"/>
      <c r="NIB7" s="133"/>
      <c r="NIC7" s="133"/>
      <c r="NID7" s="133"/>
      <c r="NIE7" s="133"/>
      <c r="NIF7" s="133"/>
      <c r="NIG7" s="133"/>
      <c r="NIH7" s="133"/>
      <c r="NII7" s="133"/>
      <c r="NIJ7" s="133"/>
      <c r="NIK7" s="133"/>
      <c r="NIL7" s="133"/>
      <c r="NIM7" s="133"/>
      <c r="NIN7" s="133"/>
      <c r="NIO7" s="133"/>
      <c r="NIP7" s="133"/>
      <c r="NIQ7" s="133"/>
      <c r="NIR7" s="133"/>
      <c r="NIS7" s="133"/>
      <c r="NIT7" s="133"/>
      <c r="NIU7" s="133"/>
      <c r="NIV7" s="133"/>
      <c r="NIW7" s="133"/>
      <c r="NIX7" s="133"/>
      <c r="NIY7" s="133"/>
      <c r="NIZ7" s="133"/>
      <c r="NJA7" s="133"/>
      <c r="NJB7" s="133"/>
      <c r="NJC7" s="133"/>
      <c r="NJD7" s="133"/>
      <c r="NJE7" s="133"/>
      <c r="NJF7" s="133"/>
      <c r="NJG7" s="133"/>
      <c r="NJH7" s="133"/>
      <c r="NJI7" s="133"/>
      <c r="NJJ7" s="133"/>
      <c r="NJK7" s="133"/>
      <c r="NJL7" s="133"/>
      <c r="NJM7" s="133"/>
      <c r="NJN7" s="133"/>
      <c r="NJO7" s="133"/>
      <c r="NJP7" s="133"/>
      <c r="NJQ7" s="133"/>
      <c r="NJR7" s="133"/>
      <c r="NJS7" s="133"/>
      <c r="NJT7" s="133"/>
      <c r="NJU7" s="133"/>
      <c r="NJV7" s="133"/>
      <c r="NJW7" s="133"/>
      <c r="NJX7" s="133"/>
      <c r="NJY7" s="133"/>
      <c r="NJZ7" s="133"/>
      <c r="NKA7" s="133"/>
      <c r="NKB7" s="133"/>
      <c r="NKC7" s="133"/>
      <c r="NKD7" s="133"/>
      <c r="NKE7" s="133"/>
      <c r="NKF7" s="133"/>
      <c r="NKG7" s="133"/>
      <c r="NKH7" s="133"/>
      <c r="NKI7" s="133"/>
      <c r="NKJ7" s="133"/>
      <c r="NKK7" s="133"/>
      <c r="NKL7" s="133"/>
      <c r="NKM7" s="133"/>
      <c r="NKN7" s="133"/>
      <c r="NKO7" s="133"/>
      <c r="NKP7" s="133"/>
      <c r="NKQ7" s="133"/>
      <c r="NKR7" s="133"/>
      <c r="NKS7" s="133"/>
      <c r="NKT7" s="133"/>
      <c r="NKU7" s="133"/>
      <c r="NKV7" s="133"/>
      <c r="NKW7" s="133"/>
      <c r="NKX7" s="133"/>
      <c r="NKY7" s="133"/>
      <c r="NKZ7" s="133"/>
      <c r="NLA7" s="133"/>
      <c r="NLB7" s="133"/>
      <c r="NLC7" s="133"/>
      <c r="NLD7" s="133"/>
      <c r="NLE7" s="133"/>
      <c r="NLF7" s="133"/>
      <c r="NLG7" s="133"/>
      <c r="NLH7" s="133"/>
      <c r="NLI7" s="133"/>
      <c r="NLJ7" s="133"/>
      <c r="NLK7" s="133"/>
      <c r="NLL7" s="133"/>
      <c r="NLM7" s="133"/>
      <c r="NLN7" s="133"/>
      <c r="NLO7" s="133"/>
      <c r="NLP7" s="133"/>
      <c r="NLQ7" s="133"/>
      <c r="NLR7" s="133"/>
      <c r="NLS7" s="133"/>
      <c r="NLT7" s="133"/>
      <c r="NLU7" s="133"/>
      <c r="NLV7" s="133"/>
      <c r="NLW7" s="133"/>
      <c r="NLX7" s="133"/>
      <c r="NLY7" s="133"/>
      <c r="NLZ7" s="133"/>
      <c r="NMA7" s="133"/>
      <c r="NMB7" s="133"/>
      <c r="NMC7" s="133"/>
      <c r="NMD7" s="133"/>
      <c r="NME7" s="133"/>
      <c r="NMF7" s="133"/>
      <c r="NMG7" s="133"/>
      <c r="NMH7" s="133"/>
      <c r="NMI7" s="133"/>
      <c r="NMJ7" s="133"/>
      <c r="NMK7" s="133"/>
      <c r="NML7" s="133"/>
      <c r="NMM7" s="133"/>
      <c r="NMN7" s="133"/>
      <c r="NMO7" s="133"/>
      <c r="NMP7" s="133"/>
      <c r="NMQ7" s="133"/>
      <c r="NMR7" s="133"/>
      <c r="NMS7" s="133"/>
      <c r="NMT7" s="133"/>
      <c r="NMU7" s="133"/>
      <c r="NMV7" s="133"/>
      <c r="NMW7" s="133"/>
      <c r="NMX7" s="133"/>
      <c r="NMY7" s="133"/>
      <c r="NMZ7" s="133"/>
      <c r="NNA7" s="133"/>
      <c r="NNB7" s="133"/>
      <c r="NNC7" s="133"/>
      <c r="NND7" s="133"/>
      <c r="NNE7" s="133"/>
      <c r="NNF7" s="133"/>
      <c r="NNG7" s="133"/>
      <c r="NNH7" s="133"/>
      <c r="NNI7" s="133"/>
      <c r="NNJ7" s="133"/>
      <c r="NNK7" s="133"/>
      <c r="NNL7" s="133"/>
      <c r="NNM7" s="133"/>
      <c r="NNN7" s="133"/>
      <c r="NNO7" s="133"/>
      <c r="NNP7" s="133"/>
      <c r="NNQ7" s="133"/>
      <c r="NNR7" s="133"/>
      <c r="NNS7" s="133"/>
      <c r="NNT7" s="133"/>
      <c r="NNU7" s="133"/>
      <c r="NNV7" s="133"/>
      <c r="NNW7" s="133"/>
      <c r="NNX7" s="133"/>
      <c r="NNY7" s="133"/>
      <c r="NNZ7" s="133"/>
      <c r="NOA7" s="133"/>
      <c r="NOB7" s="133"/>
      <c r="NOC7" s="133"/>
      <c r="NOD7" s="133"/>
      <c r="NOE7" s="133"/>
      <c r="NOF7" s="133"/>
      <c r="NOG7" s="133"/>
      <c r="NOH7" s="133"/>
      <c r="NOI7" s="133"/>
      <c r="NOJ7" s="133"/>
      <c r="NOK7" s="133"/>
      <c r="NOL7" s="133"/>
      <c r="NOM7" s="133"/>
      <c r="NON7" s="133"/>
      <c r="NOO7" s="133"/>
      <c r="NOP7" s="133"/>
      <c r="NOQ7" s="133"/>
      <c r="NOR7" s="133"/>
      <c r="NOS7" s="133"/>
      <c r="NOT7" s="133"/>
      <c r="NOU7" s="133"/>
      <c r="NOV7" s="133"/>
      <c r="NOW7" s="133"/>
      <c r="NOX7" s="133"/>
      <c r="NOY7" s="133"/>
      <c r="NOZ7" s="133"/>
      <c r="NPA7" s="133"/>
      <c r="NPB7" s="133"/>
      <c r="NPC7" s="133"/>
      <c r="NPD7" s="133"/>
      <c r="NPE7" s="133"/>
      <c r="NPF7" s="133"/>
      <c r="NPG7" s="133"/>
      <c r="NPH7" s="133"/>
      <c r="NPI7" s="133"/>
      <c r="NPJ7" s="133"/>
      <c r="NPK7" s="133"/>
      <c r="NPL7" s="133"/>
      <c r="NPM7" s="133"/>
      <c r="NPN7" s="133"/>
      <c r="NPO7" s="133"/>
      <c r="NPP7" s="133"/>
      <c r="NPQ7" s="133"/>
      <c r="NPR7" s="133"/>
      <c r="NPS7" s="133"/>
      <c r="NPT7" s="133"/>
      <c r="NPU7" s="133"/>
      <c r="NPV7" s="133"/>
      <c r="NPW7" s="133"/>
      <c r="NPX7" s="133"/>
      <c r="NPY7" s="133"/>
      <c r="NPZ7" s="133"/>
      <c r="NQA7" s="133"/>
      <c r="NQB7" s="133"/>
      <c r="NQC7" s="133"/>
      <c r="NQD7" s="133"/>
      <c r="NQE7" s="133"/>
      <c r="NQF7" s="133"/>
      <c r="NQG7" s="133"/>
      <c r="NQH7" s="133"/>
      <c r="NQI7" s="133"/>
      <c r="NQJ7" s="133"/>
      <c r="NQK7" s="133"/>
      <c r="NQL7" s="133"/>
      <c r="NQM7" s="133"/>
      <c r="NQN7" s="133"/>
      <c r="NQO7" s="133"/>
      <c r="NQP7" s="133"/>
      <c r="NQQ7" s="133"/>
      <c r="NQR7" s="133"/>
      <c r="NQS7" s="133"/>
      <c r="NQT7" s="133"/>
      <c r="NQU7" s="133"/>
      <c r="NQV7" s="133"/>
      <c r="NQW7" s="133"/>
      <c r="NQX7" s="133"/>
      <c r="NQY7" s="133"/>
      <c r="NQZ7" s="133"/>
      <c r="NRA7" s="133"/>
      <c r="NRB7" s="133"/>
      <c r="NRC7" s="133"/>
      <c r="NRD7" s="133"/>
      <c r="NRE7" s="133"/>
      <c r="NRF7" s="133"/>
      <c r="NRG7" s="133"/>
      <c r="NRH7" s="133"/>
      <c r="NRI7" s="133"/>
      <c r="NRJ7" s="133"/>
      <c r="NRK7" s="133"/>
      <c r="NRL7" s="133"/>
      <c r="NRM7" s="133"/>
      <c r="NRN7" s="133"/>
      <c r="NRO7" s="133"/>
      <c r="NRP7" s="133"/>
      <c r="NRQ7" s="133"/>
      <c r="NRR7" s="133"/>
      <c r="NRS7" s="133"/>
      <c r="NRT7" s="133"/>
      <c r="NRU7" s="133"/>
      <c r="NRV7" s="133"/>
      <c r="NRW7" s="133"/>
      <c r="NRX7" s="133"/>
      <c r="NRY7" s="133"/>
      <c r="NRZ7" s="133"/>
      <c r="NSA7" s="133"/>
      <c r="NSB7" s="133"/>
      <c r="NSC7" s="133"/>
      <c r="NSD7" s="133"/>
      <c r="NSE7" s="133"/>
      <c r="NSF7" s="133"/>
      <c r="NSG7" s="133"/>
      <c r="NSH7" s="133"/>
      <c r="NSI7" s="133"/>
      <c r="NSJ7" s="133"/>
      <c r="NSK7" s="133"/>
      <c r="NSL7" s="133"/>
      <c r="NSM7" s="133"/>
      <c r="NSN7" s="133"/>
      <c r="NSO7" s="133"/>
      <c r="NSP7" s="133"/>
      <c r="NSQ7" s="133"/>
      <c r="NSR7" s="133"/>
      <c r="NSS7" s="133"/>
      <c r="NST7" s="133"/>
      <c r="NSU7" s="133"/>
      <c r="NSV7" s="133"/>
      <c r="NSW7" s="133"/>
      <c r="NSX7" s="133"/>
      <c r="NSY7" s="133"/>
      <c r="NSZ7" s="133"/>
      <c r="NTA7" s="133"/>
      <c r="NTB7" s="133"/>
      <c r="NTC7" s="133"/>
      <c r="NTD7" s="133"/>
      <c r="NTE7" s="133"/>
      <c r="NTF7" s="133"/>
      <c r="NTG7" s="133"/>
      <c r="NTH7" s="133"/>
      <c r="NTI7" s="133"/>
      <c r="NTJ7" s="133"/>
      <c r="NTK7" s="133"/>
      <c r="NTL7" s="133"/>
      <c r="NTM7" s="133"/>
      <c r="NTN7" s="133"/>
      <c r="NTO7" s="133"/>
      <c r="NTP7" s="133"/>
      <c r="NTQ7" s="133"/>
      <c r="NTR7" s="133"/>
      <c r="NTS7" s="133"/>
      <c r="NTT7" s="133"/>
      <c r="NTU7" s="133"/>
      <c r="NTV7" s="133"/>
      <c r="NTW7" s="133"/>
      <c r="NTX7" s="133"/>
      <c r="NTY7" s="133"/>
      <c r="NTZ7" s="133"/>
      <c r="NUA7" s="133"/>
      <c r="NUB7" s="133"/>
      <c r="NUC7" s="133"/>
      <c r="NUD7" s="133"/>
      <c r="NUE7" s="133"/>
      <c r="NUF7" s="133"/>
      <c r="NUG7" s="133"/>
      <c r="NUH7" s="133"/>
      <c r="NUI7" s="133"/>
      <c r="NUJ7" s="133"/>
      <c r="NUK7" s="133"/>
      <c r="NUL7" s="133"/>
      <c r="NUM7" s="133"/>
      <c r="NUN7" s="133"/>
      <c r="NUO7" s="133"/>
      <c r="NUP7" s="133"/>
      <c r="NUQ7" s="133"/>
      <c r="NUR7" s="133"/>
      <c r="NUS7" s="133"/>
      <c r="NUT7" s="133"/>
      <c r="NUU7" s="133"/>
      <c r="NUV7" s="133"/>
      <c r="NUW7" s="133"/>
      <c r="NUX7" s="133"/>
      <c r="NUY7" s="133"/>
      <c r="NUZ7" s="133"/>
      <c r="NVA7" s="133"/>
      <c r="NVB7" s="133"/>
      <c r="NVC7" s="133"/>
      <c r="NVD7" s="133"/>
      <c r="NVE7" s="133"/>
      <c r="NVF7" s="133"/>
      <c r="NVG7" s="133"/>
      <c r="NVH7" s="133"/>
      <c r="NVI7" s="133"/>
      <c r="NVJ7" s="133"/>
      <c r="NVK7" s="133"/>
      <c r="NVL7" s="133"/>
      <c r="NVM7" s="133"/>
      <c r="NVN7" s="133"/>
      <c r="NVO7" s="133"/>
      <c r="NVP7" s="133"/>
      <c r="NVQ7" s="133"/>
      <c r="NVR7" s="133"/>
      <c r="NVS7" s="133"/>
      <c r="NVT7" s="133"/>
      <c r="NVU7" s="133"/>
      <c r="NVV7" s="133"/>
      <c r="NVW7" s="133"/>
      <c r="NVX7" s="133"/>
      <c r="NVY7" s="133"/>
      <c r="NVZ7" s="133"/>
      <c r="NWA7" s="133"/>
      <c r="NWB7" s="133"/>
      <c r="NWC7" s="133"/>
      <c r="NWD7" s="133"/>
      <c r="NWE7" s="133"/>
      <c r="NWF7" s="133"/>
      <c r="NWG7" s="133"/>
      <c r="NWH7" s="133"/>
      <c r="NWI7" s="133"/>
      <c r="NWJ7" s="133"/>
      <c r="NWK7" s="133"/>
      <c r="NWL7" s="133"/>
      <c r="NWM7" s="133"/>
      <c r="NWN7" s="133"/>
      <c r="NWO7" s="133"/>
      <c r="NWP7" s="133"/>
      <c r="NWQ7" s="133"/>
      <c r="NWR7" s="133"/>
      <c r="NWS7" s="133"/>
      <c r="NWT7" s="133"/>
      <c r="NWU7" s="133"/>
      <c r="NWV7" s="133"/>
      <c r="NWW7" s="133"/>
      <c r="NWX7" s="133"/>
      <c r="NWY7" s="133"/>
      <c r="NWZ7" s="133"/>
      <c r="NXA7" s="133"/>
      <c r="NXB7" s="133"/>
      <c r="NXC7" s="133"/>
      <c r="NXD7" s="133"/>
      <c r="NXE7" s="133"/>
      <c r="NXF7" s="133"/>
      <c r="NXG7" s="133"/>
      <c r="NXH7" s="133"/>
      <c r="NXI7" s="133"/>
      <c r="NXJ7" s="133"/>
      <c r="NXK7" s="133"/>
      <c r="NXL7" s="133"/>
      <c r="NXM7" s="133"/>
      <c r="NXN7" s="133"/>
      <c r="NXO7" s="133"/>
      <c r="NXP7" s="133"/>
      <c r="NXQ7" s="133"/>
      <c r="NXR7" s="133"/>
      <c r="NXS7" s="133"/>
      <c r="NXT7" s="133"/>
      <c r="NXU7" s="133"/>
      <c r="NXV7" s="133"/>
      <c r="NXW7" s="133"/>
      <c r="NXX7" s="133"/>
      <c r="NXY7" s="133"/>
      <c r="NXZ7" s="133"/>
      <c r="NYA7" s="133"/>
      <c r="NYB7" s="133"/>
      <c r="NYC7" s="133"/>
      <c r="NYD7" s="133"/>
      <c r="NYE7" s="133"/>
      <c r="NYF7" s="133"/>
      <c r="NYG7" s="133"/>
      <c r="NYH7" s="133"/>
      <c r="NYI7" s="133"/>
      <c r="NYJ7" s="133"/>
      <c r="NYK7" s="133"/>
      <c r="NYL7" s="133"/>
      <c r="NYM7" s="133"/>
      <c r="NYN7" s="133"/>
      <c r="NYO7" s="133"/>
      <c r="NYP7" s="133"/>
      <c r="NYQ7" s="133"/>
      <c r="NYR7" s="133"/>
      <c r="NYS7" s="133"/>
      <c r="NYT7" s="133"/>
      <c r="NYU7" s="133"/>
      <c r="NYV7" s="133"/>
      <c r="NYW7" s="133"/>
      <c r="NYX7" s="133"/>
      <c r="NYY7" s="133"/>
      <c r="NYZ7" s="133"/>
      <c r="NZA7" s="133"/>
      <c r="NZB7" s="133"/>
      <c r="NZC7" s="133"/>
      <c r="NZD7" s="133"/>
      <c r="NZE7" s="133"/>
      <c r="NZF7" s="133"/>
      <c r="NZG7" s="133"/>
      <c r="NZH7" s="133"/>
      <c r="NZI7" s="133"/>
      <c r="NZJ7" s="133"/>
      <c r="NZK7" s="133"/>
      <c r="NZL7" s="133"/>
      <c r="NZM7" s="133"/>
      <c r="NZN7" s="133"/>
      <c r="NZO7" s="133"/>
      <c r="NZP7" s="133"/>
      <c r="NZQ7" s="133"/>
      <c r="NZR7" s="133"/>
      <c r="NZS7" s="133"/>
      <c r="NZT7" s="133"/>
      <c r="NZU7" s="133"/>
      <c r="NZV7" s="133"/>
      <c r="NZW7" s="133"/>
      <c r="NZX7" s="133"/>
      <c r="NZY7" s="133"/>
      <c r="NZZ7" s="133"/>
      <c r="OAA7" s="133"/>
      <c r="OAB7" s="133"/>
      <c r="OAC7" s="133"/>
      <c r="OAD7" s="133"/>
      <c r="OAE7" s="133"/>
      <c r="OAF7" s="133"/>
      <c r="OAG7" s="133"/>
      <c r="OAH7" s="133"/>
      <c r="OAI7" s="133"/>
      <c r="OAJ7" s="133"/>
      <c r="OAK7" s="133"/>
      <c r="OAL7" s="133"/>
      <c r="OAM7" s="133"/>
      <c r="OAN7" s="133"/>
      <c r="OAO7" s="133"/>
      <c r="OAP7" s="133"/>
      <c r="OAQ7" s="133"/>
      <c r="OAR7" s="133"/>
      <c r="OAS7" s="133"/>
      <c r="OAT7" s="133"/>
      <c r="OAU7" s="133"/>
      <c r="OAV7" s="133"/>
      <c r="OAW7" s="133"/>
      <c r="OAX7" s="133"/>
      <c r="OAY7" s="133"/>
      <c r="OAZ7" s="133"/>
      <c r="OBA7" s="133"/>
      <c r="OBB7" s="133"/>
      <c r="OBC7" s="133"/>
      <c r="OBD7" s="133"/>
      <c r="OBE7" s="133"/>
      <c r="OBF7" s="133"/>
      <c r="OBG7" s="133"/>
      <c r="OBH7" s="133"/>
      <c r="OBI7" s="133"/>
      <c r="OBJ7" s="133"/>
      <c r="OBK7" s="133"/>
      <c r="OBL7" s="133"/>
      <c r="OBM7" s="133"/>
      <c r="OBN7" s="133"/>
      <c r="OBO7" s="133"/>
      <c r="OBP7" s="133"/>
      <c r="OBQ7" s="133"/>
      <c r="OBR7" s="133"/>
      <c r="OBS7" s="133"/>
      <c r="OBT7" s="133"/>
      <c r="OBU7" s="133"/>
      <c r="OBV7" s="133"/>
      <c r="OBW7" s="133"/>
      <c r="OBX7" s="133"/>
      <c r="OBY7" s="133"/>
      <c r="OBZ7" s="133"/>
      <c r="OCA7" s="133"/>
      <c r="OCB7" s="133"/>
      <c r="OCC7" s="133"/>
      <c r="OCD7" s="133"/>
      <c r="OCE7" s="133"/>
      <c r="OCF7" s="133"/>
      <c r="OCG7" s="133"/>
      <c r="OCH7" s="133"/>
      <c r="OCI7" s="133"/>
      <c r="OCJ7" s="133"/>
      <c r="OCK7" s="133"/>
      <c r="OCX7" s="133"/>
      <c r="OCY7" s="133"/>
      <c r="OCZ7" s="133"/>
      <c r="ODA7" s="133"/>
      <c r="ODB7" s="133"/>
      <c r="ODC7" s="133"/>
      <c r="ODD7" s="133"/>
      <c r="ODE7" s="133"/>
      <c r="ODF7" s="133"/>
      <c r="ODG7" s="133"/>
      <c r="ODH7" s="133"/>
      <c r="ODI7" s="133"/>
      <c r="ODJ7" s="133"/>
      <c r="ODK7" s="133"/>
      <c r="ODL7" s="133"/>
      <c r="ODM7" s="133"/>
      <c r="ODN7" s="133"/>
      <c r="ODO7" s="133"/>
      <c r="ODP7" s="133"/>
      <c r="ODQ7" s="133"/>
      <c r="ODR7" s="133"/>
      <c r="ODS7" s="133"/>
      <c r="ODT7" s="133"/>
      <c r="ODU7" s="133"/>
      <c r="ODV7" s="133"/>
      <c r="ODW7" s="133"/>
      <c r="ODX7" s="133"/>
      <c r="ODY7" s="133"/>
      <c r="ODZ7" s="133"/>
      <c r="OEA7" s="133"/>
      <c r="OEB7" s="133"/>
      <c r="OEC7" s="133"/>
      <c r="OED7" s="133"/>
      <c r="OEE7" s="133"/>
      <c r="OEF7" s="133"/>
      <c r="OEG7" s="133"/>
      <c r="OEH7" s="133"/>
      <c r="OEI7" s="133"/>
      <c r="OEJ7" s="133"/>
      <c r="OEK7" s="133"/>
      <c r="OEL7" s="133"/>
      <c r="OEM7" s="133"/>
      <c r="OEN7" s="133"/>
      <c r="OEO7" s="133"/>
      <c r="OEP7" s="133"/>
      <c r="OEQ7" s="133"/>
      <c r="OER7" s="133"/>
      <c r="OES7" s="133"/>
      <c r="OET7" s="133"/>
      <c r="OEU7" s="133"/>
      <c r="OEV7" s="133"/>
      <c r="OEW7" s="133"/>
      <c r="OEX7" s="133"/>
      <c r="OEY7" s="133"/>
      <c r="OEZ7" s="133"/>
      <c r="OFA7" s="133"/>
      <c r="OFB7" s="133"/>
      <c r="OFC7" s="133"/>
      <c r="OFD7" s="133"/>
      <c r="OFE7" s="133"/>
      <c r="OFF7" s="133"/>
      <c r="OFG7" s="133"/>
      <c r="OFH7" s="133"/>
      <c r="OFI7" s="133"/>
      <c r="OFJ7" s="133"/>
      <c r="OFK7" s="133"/>
      <c r="OFL7" s="133"/>
      <c r="OFM7" s="133"/>
      <c r="OFN7" s="133"/>
      <c r="OFO7" s="133"/>
      <c r="OFP7" s="133"/>
      <c r="OFQ7" s="133"/>
      <c r="OFR7" s="133"/>
      <c r="OFS7" s="133"/>
      <c r="OFT7" s="133"/>
      <c r="OFU7" s="133"/>
      <c r="OFV7" s="133"/>
      <c r="OFW7" s="133"/>
      <c r="OFX7" s="133"/>
      <c r="OFY7" s="133"/>
      <c r="OFZ7" s="133"/>
      <c r="OGA7" s="133"/>
      <c r="OGB7" s="133"/>
      <c r="OGC7" s="133"/>
      <c r="OGD7" s="133"/>
      <c r="OGE7" s="133"/>
      <c r="OGF7" s="133"/>
      <c r="OGG7" s="133"/>
      <c r="OGH7" s="133"/>
      <c r="OGI7" s="133"/>
      <c r="OGJ7" s="133"/>
      <c r="OGK7" s="133"/>
      <c r="OGL7" s="133"/>
      <c r="OGM7" s="133"/>
      <c r="OGN7" s="133"/>
      <c r="OGO7" s="133"/>
      <c r="OGP7" s="133"/>
      <c r="OGQ7" s="133"/>
      <c r="OGR7" s="133"/>
      <c r="OGS7" s="133"/>
      <c r="OGT7" s="133"/>
      <c r="OGU7" s="133"/>
      <c r="OGV7" s="133"/>
      <c r="OGW7" s="133"/>
      <c r="OGX7" s="133"/>
      <c r="OGY7" s="133"/>
      <c r="OGZ7" s="133"/>
      <c r="OHA7" s="133"/>
      <c r="OHB7" s="133"/>
      <c r="OHC7" s="133"/>
      <c r="OHD7" s="133"/>
      <c r="OHE7" s="133"/>
      <c r="OHF7" s="133"/>
      <c r="OHG7" s="133"/>
      <c r="OHH7" s="133"/>
      <c r="OHI7" s="133"/>
      <c r="OHJ7" s="133"/>
      <c r="OHK7" s="133"/>
      <c r="OHL7" s="133"/>
      <c r="OHM7" s="133"/>
      <c r="OHN7" s="133"/>
      <c r="OHO7" s="133"/>
      <c r="OHP7" s="133"/>
      <c r="OHQ7" s="133"/>
      <c r="OHR7" s="133"/>
      <c r="OHS7" s="133"/>
      <c r="OHT7" s="133"/>
      <c r="OHU7" s="133"/>
      <c r="OHV7" s="133"/>
      <c r="OHW7" s="133"/>
      <c r="OHX7" s="133"/>
      <c r="OHY7" s="133"/>
      <c r="OHZ7" s="133"/>
      <c r="OIA7" s="133"/>
      <c r="OIB7" s="133"/>
      <c r="OIC7" s="133"/>
      <c r="OID7" s="133"/>
      <c r="OIE7" s="133"/>
      <c r="OIF7" s="133"/>
      <c r="OIG7" s="133"/>
      <c r="OIH7" s="133"/>
      <c r="OII7" s="133"/>
      <c r="OIJ7" s="133"/>
      <c r="OIK7" s="133"/>
      <c r="OIL7" s="133"/>
      <c r="OIM7" s="133"/>
      <c r="OIN7" s="133"/>
      <c r="OIO7" s="133"/>
      <c r="OIP7" s="133"/>
      <c r="OIQ7" s="133"/>
      <c r="OIR7" s="133"/>
      <c r="OIS7" s="133"/>
      <c r="OIT7" s="133"/>
      <c r="OIU7" s="133"/>
      <c r="OIV7" s="133"/>
      <c r="OIW7" s="133"/>
      <c r="OIX7" s="133"/>
      <c r="OIY7" s="133"/>
      <c r="OIZ7" s="133"/>
      <c r="OJA7" s="133"/>
      <c r="OJB7" s="133"/>
      <c r="OJC7" s="133"/>
      <c r="OJD7" s="133"/>
      <c r="OJE7" s="133"/>
      <c r="OJF7" s="133"/>
      <c r="OJG7" s="133"/>
      <c r="OJH7" s="133"/>
      <c r="OJI7" s="133"/>
      <c r="OJJ7" s="133"/>
      <c r="OJK7" s="133"/>
      <c r="OJL7" s="133"/>
      <c r="OJM7" s="133"/>
      <c r="OJN7" s="133"/>
      <c r="OJO7" s="133"/>
      <c r="OJP7" s="133"/>
      <c r="OJQ7" s="133"/>
      <c r="OJR7" s="133"/>
      <c r="OJS7" s="133"/>
      <c r="OJT7" s="133"/>
      <c r="OJU7" s="133"/>
      <c r="OJV7" s="133"/>
      <c r="OJW7" s="133"/>
      <c r="OJX7" s="133"/>
      <c r="OJY7" s="133"/>
      <c r="OJZ7" s="133"/>
      <c r="OKA7" s="133"/>
      <c r="OKB7" s="133"/>
      <c r="OKC7" s="133"/>
      <c r="OKD7" s="133"/>
      <c r="OKE7" s="133"/>
      <c r="OKF7" s="133"/>
      <c r="OKG7" s="133"/>
      <c r="OKH7" s="133"/>
      <c r="OKI7" s="133"/>
      <c r="OKJ7" s="133"/>
      <c r="OKK7" s="133"/>
      <c r="OKL7" s="133"/>
      <c r="OKM7" s="133"/>
      <c r="OKN7" s="133"/>
      <c r="OKO7" s="133"/>
      <c r="OKP7" s="133"/>
      <c r="OKQ7" s="133"/>
      <c r="OKR7" s="133"/>
      <c r="OKS7" s="133"/>
      <c r="OKT7" s="133"/>
      <c r="OKU7" s="133"/>
      <c r="OKV7" s="133"/>
      <c r="OKW7" s="133"/>
      <c r="OKX7" s="133"/>
      <c r="OKY7" s="133"/>
      <c r="OKZ7" s="133"/>
      <c r="OLA7" s="133"/>
      <c r="OLB7" s="133"/>
      <c r="OLC7" s="133"/>
      <c r="OLD7" s="133"/>
      <c r="OLE7" s="133"/>
      <c r="OLF7" s="133"/>
      <c r="OLG7" s="133"/>
      <c r="OLH7" s="133"/>
      <c r="OLI7" s="133"/>
      <c r="OLJ7" s="133"/>
      <c r="OLK7" s="133"/>
      <c r="OLL7" s="133"/>
      <c r="OLM7" s="133"/>
      <c r="OLN7" s="133"/>
      <c r="OLO7" s="133"/>
      <c r="OLP7" s="133"/>
      <c r="OLQ7" s="133"/>
      <c r="OLR7" s="133"/>
      <c r="OLS7" s="133"/>
      <c r="OLT7" s="133"/>
      <c r="OLU7" s="133"/>
      <c r="OLV7" s="133"/>
      <c r="OLW7" s="133"/>
      <c r="OLX7" s="133"/>
      <c r="OLY7" s="133"/>
      <c r="OLZ7" s="133"/>
      <c r="OMA7" s="133"/>
      <c r="OMB7" s="133"/>
      <c r="OMC7" s="133"/>
      <c r="OMD7" s="133"/>
      <c r="OME7" s="133"/>
      <c r="OMF7" s="133"/>
      <c r="OMG7" s="133"/>
      <c r="OMH7" s="133"/>
      <c r="OMI7" s="133"/>
      <c r="OMJ7" s="133"/>
      <c r="OMK7" s="133"/>
      <c r="OML7" s="133"/>
      <c r="OMM7" s="133"/>
      <c r="OMN7" s="133"/>
      <c r="OMO7" s="133"/>
      <c r="OMP7" s="133"/>
      <c r="OMQ7" s="133"/>
      <c r="OMR7" s="133"/>
      <c r="OMS7" s="133"/>
      <c r="OMT7" s="133"/>
      <c r="OMU7" s="133"/>
      <c r="OMV7" s="133"/>
      <c r="OMW7" s="133"/>
      <c r="OMX7" s="133"/>
      <c r="OMY7" s="133"/>
      <c r="OMZ7" s="133"/>
      <c r="ONA7" s="133"/>
      <c r="ONB7" s="133"/>
      <c r="ONC7" s="133"/>
      <c r="OND7" s="133"/>
      <c r="ONE7" s="133"/>
      <c r="ONF7" s="133"/>
      <c r="ONG7" s="133"/>
      <c r="ONH7" s="133"/>
      <c r="ONI7" s="133"/>
      <c r="ONJ7" s="133"/>
      <c r="ONK7" s="133"/>
      <c r="ONL7" s="133"/>
      <c r="ONM7" s="133"/>
      <c r="ONN7" s="133"/>
      <c r="ONO7" s="133"/>
      <c r="ONP7" s="133"/>
      <c r="ONQ7" s="133"/>
      <c r="ONR7" s="133"/>
      <c r="ONS7" s="133"/>
      <c r="ONT7" s="133"/>
      <c r="ONU7" s="133"/>
      <c r="ONV7" s="133"/>
      <c r="ONW7" s="133"/>
      <c r="ONX7" s="133"/>
      <c r="ONY7" s="133"/>
      <c r="ONZ7" s="133"/>
      <c r="OOA7" s="133"/>
      <c r="OOB7" s="133"/>
      <c r="OOC7" s="133"/>
      <c r="OOD7" s="133"/>
      <c r="OOE7" s="133"/>
      <c r="OOF7" s="133"/>
      <c r="OOG7" s="133"/>
      <c r="OOH7" s="133"/>
      <c r="OOI7" s="133"/>
      <c r="OOJ7" s="133"/>
      <c r="OOK7" s="133"/>
      <c r="OOL7" s="133"/>
      <c r="OOM7" s="133"/>
      <c r="OON7" s="133"/>
      <c r="OOO7" s="133"/>
      <c r="OOP7" s="133"/>
      <c r="OOQ7" s="133"/>
      <c r="OOR7" s="133"/>
      <c r="OOS7" s="133"/>
      <c r="OOT7" s="133"/>
      <c r="OOU7" s="133"/>
      <c r="OOV7" s="133"/>
      <c r="OOW7" s="133"/>
      <c r="OOX7" s="133"/>
      <c r="OOY7" s="133"/>
      <c r="OOZ7" s="133"/>
      <c r="OPA7" s="133"/>
      <c r="OPB7" s="133"/>
      <c r="OPC7" s="133"/>
      <c r="OPD7" s="133"/>
      <c r="OPE7" s="133"/>
      <c r="OPF7" s="133"/>
      <c r="OPG7" s="133"/>
      <c r="OPH7" s="133"/>
      <c r="OPI7" s="133"/>
      <c r="OPJ7" s="133"/>
      <c r="OPK7" s="133"/>
      <c r="OPL7" s="133"/>
      <c r="OPM7" s="133"/>
      <c r="OPN7" s="133"/>
      <c r="OPO7" s="133"/>
      <c r="OPP7" s="133"/>
      <c r="OPQ7" s="133"/>
      <c r="OPR7" s="133"/>
      <c r="OPS7" s="133"/>
      <c r="OPT7" s="133"/>
      <c r="OPU7" s="133"/>
      <c r="OPV7" s="133"/>
      <c r="OPW7" s="133"/>
      <c r="OPX7" s="133"/>
      <c r="OPY7" s="133"/>
      <c r="OPZ7" s="133"/>
      <c r="OQA7" s="133"/>
      <c r="OQB7" s="133"/>
      <c r="OQC7" s="133"/>
      <c r="OQD7" s="133"/>
      <c r="OQE7" s="133"/>
      <c r="OQF7" s="133"/>
      <c r="OQG7" s="133"/>
      <c r="OQH7" s="133"/>
      <c r="OQI7" s="133"/>
      <c r="OQJ7" s="133"/>
      <c r="OQK7" s="133"/>
      <c r="OQL7" s="133"/>
      <c r="OQM7" s="133"/>
      <c r="OQN7" s="133"/>
      <c r="OQO7" s="133"/>
      <c r="OQP7" s="133"/>
      <c r="OQQ7" s="133"/>
      <c r="OQR7" s="133"/>
      <c r="OQS7" s="133"/>
      <c r="OQT7" s="133"/>
      <c r="OQU7" s="133"/>
      <c r="OQV7" s="133"/>
      <c r="OQW7" s="133"/>
      <c r="OQX7" s="133"/>
      <c r="OQY7" s="133"/>
      <c r="OQZ7" s="133"/>
      <c r="ORA7" s="133"/>
      <c r="ORB7" s="133"/>
      <c r="ORC7" s="133"/>
      <c r="ORD7" s="133"/>
      <c r="ORE7" s="133"/>
      <c r="ORF7" s="133"/>
      <c r="ORG7" s="133"/>
      <c r="ORH7" s="133"/>
      <c r="ORI7" s="133"/>
      <c r="ORJ7" s="133"/>
      <c r="ORK7" s="133"/>
      <c r="ORL7" s="133"/>
      <c r="ORM7" s="133"/>
      <c r="ORN7" s="133"/>
      <c r="ORO7" s="133"/>
      <c r="ORP7" s="133"/>
      <c r="ORQ7" s="133"/>
      <c r="ORR7" s="133"/>
      <c r="ORS7" s="133"/>
      <c r="ORT7" s="133"/>
      <c r="ORU7" s="133"/>
      <c r="ORV7" s="133"/>
      <c r="ORW7" s="133"/>
      <c r="ORX7" s="133"/>
      <c r="ORY7" s="133"/>
      <c r="ORZ7" s="133"/>
      <c r="OSA7" s="133"/>
      <c r="OSB7" s="133"/>
      <c r="OSC7" s="133"/>
      <c r="OSD7" s="133"/>
      <c r="OSE7" s="133"/>
      <c r="OSF7" s="133"/>
      <c r="OSG7" s="133"/>
      <c r="OSH7" s="133"/>
      <c r="OSI7" s="133"/>
      <c r="OSJ7" s="133"/>
      <c r="OSK7" s="133"/>
      <c r="OSL7" s="133"/>
      <c r="OSM7" s="133"/>
      <c r="OSN7" s="133"/>
      <c r="OSO7" s="133"/>
      <c r="OSP7" s="133"/>
      <c r="OSQ7" s="133"/>
      <c r="OSR7" s="133"/>
      <c r="OSS7" s="133"/>
      <c r="OST7" s="133"/>
      <c r="OSU7" s="133"/>
      <c r="OSV7" s="133"/>
      <c r="OSW7" s="133"/>
      <c r="OSX7" s="133"/>
      <c r="OSY7" s="133"/>
      <c r="OSZ7" s="133"/>
      <c r="OTA7" s="133"/>
      <c r="OTB7" s="133"/>
      <c r="OTC7" s="133"/>
      <c r="OTD7" s="133"/>
      <c r="OTE7" s="133"/>
      <c r="OTF7" s="133"/>
      <c r="OTG7" s="133"/>
      <c r="OTH7" s="133"/>
      <c r="OTI7" s="133"/>
      <c r="OTJ7" s="133"/>
      <c r="OTK7" s="133"/>
      <c r="OTL7" s="133"/>
      <c r="OTM7" s="133"/>
      <c r="OTN7" s="133"/>
      <c r="OTO7" s="133"/>
      <c r="OTP7" s="133"/>
      <c r="OTQ7" s="133"/>
      <c r="OTR7" s="133"/>
      <c r="OTS7" s="133"/>
      <c r="OTT7" s="133"/>
      <c r="OTU7" s="133"/>
      <c r="OTV7" s="133"/>
      <c r="OTW7" s="133"/>
      <c r="OTX7" s="133"/>
      <c r="OTY7" s="133"/>
      <c r="OTZ7" s="133"/>
      <c r="OUA7" s="133"/>
      <c r="OUB7" s="133"/>
      <c r="OUC7" s="133"/>
      <c r="OUD7" s="133"/>
      <c r="OUE7" s="133"/>
      <c r="OUF7" s="133"/>
      <c r="OUG7" s="133"/>
      <c r="OUH7" s="133"/>
      <c r="OUI7" s="133"/>
      <c r="OUJ7" s="133"/>
      <c r="OUK7" s="133"/>
      <c r="OUL7" s="133"/>
      <c r="OUM7" s="133"/>
      <c r="OUN7" s="133"/>
      <c r="OUO7" s="133"/>
      <c r="OUP7" s="133"/>
      <c r="OUQ7" s="133"/>
      <c r="OUR7" s="133"/>
      <c r="OUS7" s="133"/>
      <c r="OUT7" s="133"/>
      <c r="OUU7" s="133"/>
      <c r="OUV7" s="133"/>
      <c r="OUW7" s="133"/>
      <c r="OUX7" s="133"/>
      <c r="OUY7" s="133"/>
      <c r="OUZ7" s="133"/>
      <c r="OVA7" s="133"/>
      <c r="OVB7" s="133"/>
      <c r="OVC7" s="133"/>
      <c r="OVD7" s="133"/>
      <c r="OVE7" s="133"/>
      <c r="OVF7" s="133"/>
      <c r="OVG7" s="133"/>
      <c r="OVH7" s="133"/>
      <c r="OVI7" s="133"/>
      <c r="OVJ7" s="133"/>
      <c r="OVK7" s="133"/>
      <c r="OVL7" s="133"/>
      <c r="OVM7" s="133"/>
      <c r="OVN7" s="133"/>
      <c r="OVO7" s="133"/>
      <c r="OVP7" s="133"/>
      <c r="OVQ7" s="133"/>
      <c r="OVR7" s="133"/>
      <c r="OVS7" s="133"/>
      <c r="OVT7" s="133"/>
      <c r="OVU7" s="133"/>
      <c r="OVV7" s="133"/>
      <c r="OVW7" s="133"/>
      <c r="OVX7" s="133"/>
      <c r="OVY7" s="133"/>
      <c r="OVZ7" s="133"/>
      <c r="OWA7" s="133"/>
      <c r="OWB7" s="133"/>
      <c r="OWC7" s="133"/>
      <c r="OWD7" s="133"/>
      <c r="OWE7" s="133"/>
      <c r="OWF7" s="133"/>
      <c r="OWG7" s="133"/>
      <c r="OWH7" s="133"/>
      <c r="OWI7" s="133"/>
      <c r="OWJ7" s="133"/>
      <c r="OWK7" s="133"/>
      <c r="OWL7" s="133"/>
      <c r="OWM7" s="133"/>
      <c r="OWN7" s="133"/>
      <c r="OWO7" s="133"/>
      <c r="OWP7" s="133"/>
      <c r="OWQ7" s="133"/>
      <c r="OWR7" s="133"/>
      <c r="OWS7" s="133"/>
      <c r="OWT7" s="133"/>
      <c r="OWU7" s="133"/>
      <c r="OWV7" s="133"/>
      <c r="OWW7" s="133"/>
      <c r="OWX7" s="133"/>
      <c r="OWY7" s="133"/>
      <c r="OWZ7" s="133"/>
      <c r="OXA7" s="133"/>
      <c r="OXB7" s="133"/>
      <c r="OXC7" s="133"/>
      <c r="OXD7" s="133"/>
      <c r="OXE7" s="133"/>
      <c r="OXF7" s="133"/>
      <c r="OXG7" s="133"/>
      <c r="OXH7" s="133"/>
      <c r="OXI7" s="133"/>
      <c r="OXJ7" s="133"/>
      <c r="OXK7" s="133"/>
      <c r="OXL7" s="133"/>
      <c r="OXM7" s="133"/>
      <c r="OXN7" s="133"/>
      <c r="OXO7" s="133"/>
      <c r="OXP7" s="133"/>
      <c r="OXQ7" s="133"/>
      <c r="OXR7" s="133"/>
      <c r="OXS7" s="133"/>
      <c r="OXT7" s="133"/>
      <c r="OXU7" s="133"/>
      <c r="OXV7" s="133"/>
      <c r="OXW7" s="133"/>
      <c r="OXX7" s="133"/>
      <c r="OXY7" s="133"/>
      <c r="OXZ7" s="133"/>
      <c r="OYA7" s="133"/>
      <c r="OYB7" s="133"/>
      <c r="OYC7" s="133"/>
      <c r="OYD7" s="133"/>
      <c r="OYE7" s="133"/>
      <c r="OYF7" s="133"/>
      <c r="OYG7" s="133"/>
      <c r="OYH7" s="133"/>
      <c r="OYI7" s="133"/>
      <c r="OYJ7" s="133"/>
      <c r="OYK7" s="133"/>
      <c r="OYL7" s="133"/>
      <c r="OYM7" s="133"/>
      <c r="OYN7" s="133"/>
      <c r="OYO7" s="133"/>
      <c r="OYP7" s="133"/>
      <c r="OYQ7" s="133"/>
      <c r="OYR7" s="133"/>
      <c r="OYS7" s="133"/>
      <c r="OYT7" s="133"/>
      <c r="OYU7" s="133"/>
      <c r="OYV7" s="133"/>
      <c r="OYW7" s="133"/>
      <c r="OYX7" s="133"/>
      <c r="OYY7" s="133"/>
      <c r="OYZ7" s="133"/>
      <c r="OZA7" s="133"/>
      <c r="OZB7" s="133"/>
      <c r="OZC7" s="133"/>
      <c r="OZD7" s="133"/>
      <c r="OZE7" s="133"/>
      <c r="OZF7" s="133"/>
      <c r="OZG7" s="133"/>
      <c r="OZH7" s="133"/>
      <c r="OZI7" s="133"/>
      <c r="OZJ7" s="133"/>
      <c r="OZK7" s="133"/>
      <c r="OZL7" s="133"/>
      <c r="OZM7" s="133"/>
      <c r="OZN7" s="133"/>
      <c r="OZO7" s="133"/>
      <c r="OZP7" s="133"/>
      <c r="OZQ7" s="133"/>
      <c r="OZR7" s="133"/>
      <c r="OZS7" s="133"/>
      <c r="OZT7" s="133"/>
      <c r="OZU7" s="133"/>
      <c r="OZV7" s="133"/>
      <c r="OZW7" s="133"/>
      <c r="OZX7" s="133"/>
      <c r="OZY7" s="133"/>
      <c r="OZZ7" s="133"/>
      <c r="PAA7" s="133"/>
      <c r="PAB7" s="133"/>
      <c r="PAC7" s="133"/>
      <c r="PAD7" s="133"/>
      <c r="PAE7" s="133"/>
      <c r="PAF7" s="133"/>
      <c r="PAG7" s="133"/>
      <c r="PAH7" s="133"/>
      <c r="PAI7" s="133"/>
      <c r="PAJ7" s="133"/>
      <c r="PAK7" s="133"/>
      <c r="PAL7" s="133"/>
      <c r="PAM7" s="133"/>
      <c r="PAN7" s="133"/>
      <c r="PAO7" s="133"/>
      <c r="PAP7" s="133"/>
      <c r="PAQ7" s="133"/>
      <c r="PAR7" s="133"/>
      <c r="PAS7" s="133"/>
      <c r="PAT7" s="133"/>
      <c r="PAU7" s="133"/>
      <c r="PAV7" s="133"/>
      <c r="PAW7" s="133"/>
      <c r="PAX7" s="133"/>
      <c r="PAY7" s="133"/>
      <c r="PAZ7" s="133"/>
      <c r="PBA7" s="133"/>
      <c r="PBB7" s="133"/>
      <c r="PBC7" s="133"/>
      <c r="PBD7" s="133"/>
      <c r="PBE7" s="133"/>
      <c r="PBF7" s="133"/>
      <c r="PBG7" s="133"/>
      <c r="PBH7" s="133"/>
      <c r="PBI7" s="133"/>
      <c r="PBJ7" s="133"/>
      <c r="PBK7" s="133"/>
      <c r="PBL7" s="133"/>
      <c r="PBM7" s="133"/>
      <c r="PBN7" s="133"/>
      <c r="PBO7" s="133"/>
      <c r="PBP7" s="133"/>
      <c r="PBQ7" s="133"/>
      <c r="PBR7" s="133"/>
      <c r="PBS7" s="133"/>
      <c r="PBT7" s="133"/>
      <c r="PBU7" s="133"/>
      <c r="PBV7" s="133"/>
      <c r="PBW7" s="133"/>
      <c r="PBX7" s="133"/>
      <c r="PBY7" s="133"/>
      <c r="PBZ7" s="133"/>
      <c r="PCA7" s="133"/>
      <c r="PCB7" s="133"/>
      <c r="PCC7" s="133"/>
      <c r="PCD7" s="133"/>
      <c r="PCE7" s="133"/>
      <c r="PCF7" s="133"/>
      <c r="PCG7" s="133"/>
      <c r="PCH7" s="133"/>
      <c r="PCI7" s="133"/>
      <c r="PCJ7" s="133"/>
      <c r="PCK7" s="133"/>
      <c r="PCL7" s="133"/>
      <c r="PCM7" s="133"/>
      <c r="PCN7" s="133"/>
      <c r="PCO7" s="133"/>
      <c r="PCP7" s="133"/>
      <c r="PCQ7" s="133"/>
      <c r="PCR7" s="133"/>
      <c r="PCS7" s="133"/>
      <c r="PCT7" s="133"/>
      <c r="PCU7" s="133"/>
      <c r="PCV7" s="133"/>
      <c r="PCW7" s="133"/>
      <c r="PCX7" s="133"/>
      <c r="PCY7" s="133"/>
      <c r="PCZ7" s="133"/>
      <c r="PDA7" s="133"/>
      <c r="PDB7" s="133"/>
      <c r="PDC7" s="133"/>
      <c r="PDD7" s="133"/>
      <c r="PDE7" s="133"/>
      <c r="PDF7" s="133"/>
      <c r="PDG7" s="133"/>
      <c r="PDH7" s="133"/>
      <c r="PDI7" s="133"/>
      <c r="PDJ7" s="133"/>
      <c r="PDK7" s="133"/>
      <c r="PDL7" s="133"/>
      <c r="PDM7" s="133"/>
      <c r="PDN7" s="133"/>
      <c r="PDO7" s="133"/>
      <c r="PDP7" s="133"/>
      <c r="PDQ7" s="133"/>
      <c r="PDR7" s="133"/>
      <c r="PDS7" s="133"/>
      <c r="PDT7" s="133"/>
      <c r="PDU7" s="133"/>
      <c r="PDV7" s="133"/>
      <c r="PDW7" s="133"/>
      <c r="PDX7" s="133"/>
      <c r="PDY7" s="133"/>
      <c r="PDZ7" s="133"/>
      <c r="PEA7" s="133"/>
      <c r="PEB7" s="133"/>
      <c r="PEC7" s="133"/>
      <c r="PED7" s="133"/>
      <c r="PEE7" s="133"/>
      <c r="PEF7" s="133"/>
      <c r="PEG7" s="133"/>
      <c r="PEH7" s="133"/>
      <c r="PEI7" s="133"/>
      <c r="PEJ7" s="133"/>
      <c r="PEK7" s="133"/>
      <c r="PEL7" s="133"/>
      <c r="PEM7" s="133"/>
      <c r="PEN7" s="133"/>
      <c r="PEO7" s="133"/>
      <c r="PEP7" s="133"/>
      <c r="PEQ7" s="133"/>
      <c r="PER7" s="133"/>
      <c r="PES7" s="133"/>
      <c r="PET7" s="133"/>
      <c r="PEU7" s="133"/>
      <c r="PEV7" s="133"/>
      <c r="PEW7" s="133"/>
      <c r="PEX7" s="133"/>
      <c r="PEY7" s="133"/>
      <c r="PEZ7" s="133"/>
      <c r="PFA7" s="133"/>
      <c r="PFB7" s="133"/>
      <c r="PFC7" s="133"/>
      <c r="PFD7" s="133"/>
      <c r="PFE7" s="133"/>
      <c r="PFF7" s="133"/>
      <c r="PFG7" s="133"/>
      <c r="PFH7" s="133"/>
      <c r="PFI7" s="133"/>
      <c r="PFJ7" s="133"/>
      <c r="PFK7" s="133"/>
      <c r="PFL7" s="133"/>
      <c r="PFM7" s="133"/>
      <c r="PFN7" s="133"/>
      <c r="PFO7" s="133"/>
      <c r="PFP7" s="133"/>
      <c r="PFQ7" s="133"/>
      <c r="PFR7" s="133"/>
      <c r="PFS7" s="133"/>
      <c r="PFT7" s="133"/>
      <c r="PFU7" s="133"/>
      <c r="PFV7" s="133"/>
      <c r="PFW7" s="133"/>
      <c r="PFX7" s="133"/>
      <c r="PFY7" s="133"/>
      <c r="PFZ7" s="133"/>
      <c r="PGA7" s="133"/>
      <c r="PGB7" s="133"/>
      <c r="PGC7" s="133"/>
      <c r="PGD7" s="133"/>
      <c r="PGE7" s="133"/>
      <c r="PGF7" s="133"/>
      <c r="PGG7" s="133"/>
      <c r="PGH7" s="133"/>
      <c r="PGI7" s="133"/>
      <c r="PGJ7" s="133"/>
      <c r="PGK7" s="133"/>
      <c r="PGL7" s="133"/>
      <c r="PGM7" s="133"/>
      <c r="PGN7" s="133"/>
      <c r="PGO7" s="133"/>
      <c r="PGP7" s="133"/>
      <c r="PGQ7" s="133"/>
      <c r="PGR7" s="133"/>
      <c r="PGS7" s="133"/>
      <c r="PGT7" s="133"/>
      <c r="PGU7" s="133"/>
      <c r="PGV7" s="133"/>
      <c r="PGW7" s="133"/>
      <c r="PGX7" s="133"/>
      <c r="PGY7" s="133"/>
      <c r="PGZ7" s="133"/>
      <c r="PHA7" s="133"/>
      <c r="PHB7" s="133"/>
      <c r="PHC7" s="133"/>
      <c r="PHD7" s="133"/>
      <c r="PHE7" s="133"/>
      <c r="PHF7" s="133"/>
      <c r="PHG7" s="133"/>
      <c r="PHH7" s="133"/>
      <c r="PHI7" s="133"/>
      <c r="PHJ7" s="133"/>
      <c r="PHK7" s="133"/>
      <c r="PHL7" s="133"/>
      <c r="PHM7" s="133"/>
      <c r="PHN7" s="133"/>
      <c r="PHO7" s="133"/>
      <c r="PHP7" s="133"/>
      <c r="PHQ7" s="133"/>
      <c r="PHR7" s="133"/>
      <c r="PHS7" s="133"/>
      <c r="PHT7" s="133"/>
      <c r="PHU7" s="133"/>
      <c r="PHV7" s="133"/>
      <c r="PHW7" s="133"/>
      <c r="PHX7" s="133"/>
      <c r="PHY7" s="133"/>
      <c r="PHZ7" s="133"/>
      <c r="PIA7" s="133"/>
      <c r="PIB7" s="133"/>
      <c r="PIC7" s="133"/>
      <c r="PID7" s="133"/>
      <c r="PIE7" s="133"/>
      <c r="PIF7" s="133"/>
      <c r="PIG7" s="133"/>
      <c r="PIH7" s="133"/>
      <c r="PII7" s="133"/>
      <c r="PIJ7" s="133"/>
      <c r="PIK7" s="133"/>
      <c r="PIL7" s="133"/>
      <c r="PIM7" s="133"/>
      <c r="PIN7" s="133"/>
      <c r="PIO7" s="133"/>
      <c r="PIP7" s="133"/>
      <c r="PIQ7" s="133"/>
      <c r="PIR7" s="133"/>
      <c r="PIS7" s="133"/>
      <c r="PIT7" s="133"/>
      <c r="PIU7" s="133"/>
      <c r="PIV7" s="133"/>
      <c r="PIW7" s="133"/>
      <c r="PIX7" s="133"/>
      <c r="PIY7" s="133"/>
      <c r="PIZ7" s="133"/>
      <c r="PJA7" s="133"/>
      <c r="PJB7" s="133"/>
      <c r="PJC7" s="133"/>
      <c r="PJD7" s="133"/>
      <c r="PJE7" s="133"/>
      <c r="PJF7" s="133"/>
      <c r="PJG7" s="133"/>
      <c r="PJH7" s="133"/>
      <c r="PJI7" s="133"/>
      <c r="PJJ7" s="133"/>
      <c r="PJK7" s="133"/>
      <c r="PJL7" s="133"/>
      <c r="PJM7" s="133"/>
      <c r="PJN7" s="133"/>
      <c r="PJO7" s="133"/>
      <c r="PJP7" s="133"/>
      <c r="PJQ7" s="133"/>
      <c r="PJR7" s="133"/>
      <c r="PJS7" s="133"/>
      <c r="PJT7" s="133"/>
      <c r="PJU7" s="133"/>
      <c r="PJV7" s="133"/>
      <c r="PJW7" s="133"/>
      <c r="PJX7" s="133"/>
      <c r="PJY7" s="133"/>
      <c r="PJZ7" s="133"/>
      <c r="PKA7" s="133"/>
      <c r="PKB7" s="133"/>
      <c r="PKC7" s="133"/>
      <c r="PKD7" s="133"/>
      <c r="PKE7" s="133"/>
      <c r="PKF7" s="133"/>
      <c r="PKG7" s="133"/>
      <c r="PKH7" s="133"/>
      <c r="PKI7" s="133"/>
      <c r="PKJ7" s="133"/>
      <c r="PKK7" s="133"/>
      <c r="PKL7" s="133"/>
      <c r="PKM7" s="133"/>
      <c r="PKN7" s="133"/>
      <c r="PKO7" s="133"/>
      <c r="PKP7" s="133"/>
      <c r="PKQ7" s="133"/>
      <c r="PKR7" s="133"/>
      <c r="PKS7" s="133"/>
      <c r="PKT7" s="133"/>
      <c r="PKU7" s="133"/>
      <c r="PKV7" s="133"/>
      <c r="PKW7" s="133"/>
      <c r="PKX7" s="133"/>
      <c r="PKY7" s="133"/>
      <c r="PKZ7" s="133"/>
      <c r="PLA7" s="133"/>
      <c r="PLB7" s="133"/>
      <c r="PLC7" s="133"/>
      <c r="PLD7" s="133"/>
      <c r="PLE7" s="133"/>
      <c r="PLF7" s="133"/>
      <c r="PLG7" s="133"/>
      <c r="PLH7" s="133"/>
      <c r="PLI7" s="133"/>
      <c r="PLJ7" s="133"/>
      <c r="PLK7" s="133"/>
      <c r="PLL7" s="133"/>
      <c r="PLM7" s="133"/>
      <c r="PLN7" s="133"/>
      <c r="PLO7" s="133"/>
      <c r="PLP7" s="133"/>
      <c r="PLQ7" s="133"/>
      <c r="PLR7" s="133"/>
      <c r="PLS7" s="133"/>
      <c r="PLT7" s="133"/>
      <c r="PLU7" s="133"/>
      <c r="PLV7" s="133"/>
      <c r="PLW7" s="133"/>
      <c r="PLX7" s="133"/>
      <c r="PLY7" s="133"/>
      <c r="PLZ7" s="133"/>
      <c r="PMA7" s="133"/>
      <c r="PMB7" s="133"/>
      <c r="PMC7" s="133"/>
      <c r="PMD7" s="133"/>
      <c r="PME7" s="133"/>
      <c r="PMF7" s="133"/>
      <c r="PMG7" s="133"/>
      <c r="PMH7" s="133"/>
      <c r="PMI7" s="133"/>
      <c r="PMJ7" s="133"/>
      <c r="PMK7" s="133"/>
      <c r="PML7" s="133"/>
      <c r="PMM7" s="133"/>
      <c r="PMN7" s="133"/>
      <c r="PMO7" s="133"/>
      <c r="PMP7" s="133"/>
      <c r="PMQ7" s="133"/>
      <c r="PMR7" s="133"/>
      <c r="PMS7" s="133"/>
      <c r="PMT7" s="133"/>
      <c r="PMU7" s="133"/>
      <c r="PMV7" s="133"/>
      <c r="PMW7" s="133"/>
      <c r="PMX7" s="133"/>
      <c r="PMY7" s="133"/>
      <c r="PMZ7" s="133"/>
      <c r="PNA7" s="133"/>
      <c r="PNB7" s="133"/>
      <c r="PNC7" s="133"/>
      <c r="PND7" s="133"/>
      <c r="PNE7" s="133"/>
      <c r="PNF7" s="133"/>
      <c r="PNG7" s="133"/>
      <c r="PNH7" s="133"/>
      <c r="PNI7" s="133"/>
      <c r="PNJ7" s="133"/>
      <c r="PNK7" s="133"/>
      <c r="PNL7" s="133"/>
      <c r="PNM7" s="133"/>
      <c r="PNN7" s="133"/>
      <c r="PNO7" s="133"/>
      <c r="PNP7" s="133"/>
      <c r="PNQ7" s="133"/>
      <c r="PNR7" s="133"/>
      <c r="PNS7" s="133"/>
      <c r="PNT7" s="133"/>
      <c r="PNU7" s="133"/>
      <c r="PNV7" s="133"/>
      <c r="PNW7" s="133"/>
      <c r="PNX7" s="133"/>
      <c r="PNY7" s="133"/>
      <c r="PNZ7" s="133"/>
      <c r="POA7" s="133"/>
      <c r="POB7" s="133"/>
      <c r="POC7" s="133"/>
      <c r="POD7" s="133"/>
      <c r="POE7" s="133"/>
      <c r="POF7" s="133"/>
      <c r="POG7" s="133"/>
      <c r="POH7" s="133"/>
      <c r="POI7" s="133"/>
      <c r="POJ7" s="133"/>
      <c r="POK7" s="133"/>
      <c r="POL7" s="133"/>
      <c r="POM7" s="133"/>
      <c r="PON7" s="133"/>
      <c r="POO7" s="133"/>
    </row>
    <row r="8" spans="1:1013 1026:2037 2050:3061 3074:4085 4098:5109 5122:6133 6146:7157 7170:8181 8194:9205 9218:10229 10242:11221" s="134" customFormat="1" ht="14.95" customHeight="1" thickBot="1" x14ac:dyDescent="0.3">
      <c r="A8" s="468" t="s">
        <v>427</v>
      </c>
      <c r="B8" s="469" t="s">
        <v>199</v>
      </c>
      <c r="C8" s="470" t="s">
        <v>28</v>
      </c>
      <c r="D8" s="471" t="s">
        <v>299</v>
      </c>
      <c r="E8" s="471" t="s">
        <v>32</v>
      </c>
      <c r="F8" s="471">
        <v>13</v>
      </c>
      <c r="G8" s="471">
        <v>10</v>
      </c>
      <c r="H8" s="471">
        <v>0</v>
      </c>
      <c r="I8" s="471">
        <v>0</v>
      </c>
      <c r="J8" s="471">
        <v>1</v>
      </c>
      <c r="K8" s="471">
        <v>1</v>
      </c>
      <c r="L8" s="471">
        <v>0</v>
      </c>
      <c r="M8" s="471">
        <v>2</v>
      </c>
      <c r="N8" s="471">
        <v>0</v>
      </c>
      <c r="O8" s="471">
        <v>0</v>
      </c>
      <c r="P8" s="471">
        <v>0</v>
      </c>
      <c r="Q8" s="471">
        <v>1</v>
      </c>
      <c r="R8" s="471">
        <v>1</v>
      </c>
      <c r="S8" s="472">
        <v>14290</v>
      </c>
      <c r="T8" s="498" t="s">
        <v>506</v>
      </c>
      <c r="U8" s="478" t="s">
        <v>324</v>
      </c>
      <c r="V8" s="472" t="s">
        <v>329</v>
      </c>
      <c r="W8" s="472" t="s">
        <v>323</v>
      </c>
      <c r="X8" s="473" t="s">
        <v>316</v>
      </c>
      <c r="Y8" s="472">
        <v>1</v>
      </c>
      <c r="Z8" s="472">
        <v>1</v>
      </c>
      <c r="AA8" s="472">
        <v>0</v>
      </c>
      <c r="AB8" s="472">
        <v>0</v>
      </c>
      <c r="AC8" s="472">
        <v>1</v>
      </c>
      <c r="AD8" s="472">
        <v>1</v>
      </c>
      <c r="AE8" s="472">
        <v>0</v>
      </c>
      <c r="AF8" s="472">
        <v>0</v>
      </c>
      <c r="AG8" s="472">
        <v>0</v>
      </c>
      <c r="AH8" s="472">
        <v>0</v>
      </c>
      <c r="AI8" s="472">
        <v>0</v>
      </c>
      <c r="AJ8" s="478">
        <v>0</v>
      </c>
      <c r="AK8" s="472">
        <v>0</v>
      </c>
      <c r="AL8" s="472">
        <v>0</v>
      </c>
      <c r="AM8" s="472">
        <v>0</v>
      </c>
      <c r="AN8" s="478">
        <v>0</v>
      </c>
      <c r="AO8" s="133"/>
      <c r="AP8" s="175" t="s">
        <v>169</v>
      </c>
      <c r="AQ8" s="176">
        <f>Bthhistfor</f>
        <v>11597</v>
      </c>
      <c r="AR8" s="133"/>
      <c r="AS8" s="177" t="s">
        <v>1</v>
      </c>
      <c r="AT8" s="189">
        <f>btheuropeancuphistlost</f>
        <v>47</v>
      </c>
      <c r="AU8" s="179" t="s">
        <v>1</v>
      </c>
      <c r="AV8" s="180">
        <f>bthchampscuphistlost</f>
        <v>19</v>
      </c>
      <c r="AW8" s="181" t="s">
        <v>1</v>
      </c>
      <c r="AX8" s="178">
        <f>bthchallcuphistlost</f>
        <v>11</v>
      </c>
      <c r="AY8" s="182" t="s">
        <v>1</v>
      </c>
      <c r="AZ8" s="183">
        <f t="shared" si="0"/>
        <v>58</v>
      </c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  <c r="BRW8" s="133"/>
      <c r="BRX8" s="133"/>
      <c r="BRY8" s="133"/>
      <c r="BRZ8" s="133"/>
      <c r="BSA8" s="133"/>
      <c r="BSB8" s="133"/>
      <c r="BSC8" s="133"/>
      <c r="BSD8" s="133"/>
      <c r="BSE8" s="133"/>
      <c r="BSF8" s="133"/>
      <c r="BSG8" s="133"/>
      <c r="BSH8" s="133"/>
      <c r="BSI8" s="133"/>
      <c r="BSJ8" s="133"/>
      <c r="BSK8" s="133"/>
      <c r="BSL8" s="133"/>
      <c r="BSM8" s="133"/>
      <c r="BSN8" s="133"/>
      <c r="BSO8" s="133"/>
      <c r="BSP8" s="133"/>
      <c r="BSQ8" s="133"/>
      <c r="BSR8" s="133"/>
      <c r="BSS8" s="133"/>
      <c r="BST8" s="133"/>
      <c r="BSU8" s="133"/>
      <c r="BSV8" s="133"/>
      <c r="BSW8" s="133"/>
      <c r="BSX8" s="133"/>
      <c r="BSY8" s="133"/>
      <c r="BSZ8" s="133"/>
      <c r="BTA8" s="133"/>
      <c r="BTB8" s="133"/>
      <c r="BTC8" s="133"/>
      <c r="BTD8" s="133"/>
      <c r="BTE8" s="133"/>
      <c r="BTF8" s="133"/>
      <c r="BTG8" s="133"/>
      <c r="BTH8" s="133"/>
      <c r="BTI8" s="133"/>
      <c r="BTJ8" s="133"/>
      <c r="BTK8" s="133"/>
      <c r="BTL8" s="133"/>
      <c r="BTM8" s="133"/>
      <c r="BTN8" s="133"/>
      <c r="BTO8" s="133"/>
      <c r="BTP8" s="133"/>
      <c r="BTQ8" s="133"/>
      <c r="BTR8" s="133"/>
      <c r="BTS8" s="133"/>
      <c r="BTT8" s="133"/>
      <c r="BTU8" s="133"/>
      <c r="BTV8" s="133"/>
      <c r="BTW8" s="133"/>
      <c r="BTX8" s="133"/>
      <c r="BTY8" s="133"/>
      <c r="BTZ8" s="133"/>
      <c r="BUA8" s="133"/>
      <c r="BUB8" s="133"/>
      <c r="BUC8" s="133"/>
      <c r="BUD8" s="133"/>
      <c r="BUE8" s="133"/>
      <c r="BUF8" s="133"/>
      <c r="BUG8" s="133"/>
      <c r="BUH8" s="133"/>
      <c r="BUI8" s="133"/>
      <c r="BUJ8" s="133"/>
      <c r="BUK8" s="133"/>
      <c r="BUL8" s="133"/>
      <c r="BUM8" s="133"/>
      <c r="BUN8" s="133"/>
      <c r="BUO8" s="133"/>
      <c r="BUP8" s="133"/>
      <c r="BUQ8" s="133"/>
      <c r="BUR8" s="133"/>
      <c r="BUS8" s="133"/>
      <c r="BUT8" s="133"/>
      <c r="BUU8" s="133"/>
      <c r="BUV8" s="133"/>
      <c r="BUW8" s="133"/>
      <c r="BUX8" s="133"/>
      <c r="BUY8" s="133"/>
      <c r="BUZ8" s="133"/>
      <c r="BVA8" s="133"/>
      <c r="BVB8" s="133"/>
      <c r="BVC8" s="133"/>
      <c r="BVD8" s="133"/>
      <c r="BVE8" s="133"/>
      <c r="BVF8" s="133"/>
      <c r="BVG8" s="133"/>
      <c r="BVH8" s="133"/>
      <c r="BVI8" s="133"/>
      <c r="BVJ8" s="133"/>
      <c r="BVK8" s="133"/>
      <c r="BVL8" s="133"/>
      <c r="BVM8" s="133"/>
      <c r="BVN8" s="133"/>
      <c r="BVO8" s="133"/>
      <c r="BVP8" s="133"/>
      <c r="BVQ8" s="133"/>
      <c r="BVR8" s="133"/>
      <c r="BVS8" s="133"/>
      <c r="BVT8" s="133"/>
      <c r="BVU8" s="133"/>
      <c r="BVV8" s="133"/>
      <c r="BVW8" s="133"/>
      <c r="BVX8" s="133"/>
      <c r="BVY8" s="133"/>
      <c r="BVZ8" s="133"/>
      <c r="BWA8" s="133"/>
      <c r="BWB8" s="133"/>
      <c r="BWC8" s="133"/>
      <c r="BWD8" s="133"/>
      <c r="BWE8" s="133"/>
      <c r="BWF8" s="133"/>
      <c r="BWG8" s="133"/>
      <c r="BWH8" s="133"/>
      <c r="BWI8" s="133"/>
      <c r="BWJ8" s="133"/>
      <c r="BWK8" s="133"/>
      <c r="BWL8" s="133"/>
      <c r="BWM8" s="133"/>
      <c r="BWN8" s="133"/>
      <c r="BWO8" s="133"/>
      <c r="BWP8" s="133"/>
      <c r="BWQ8" s="133"/>
      <c r="BWR8" s="133"/>
      <c r="BWS8" s="133"/>
      <c r="BWT8" s="133"/>
      <c r="BWU8" s="133"/>
      <c r="BWV8" s="133"/>
      <c r="BWW8" s="133"/>
      <c r="BWX8" s="133"/>
      <c r="BWY8" s="133"/>
      <c r="BWZ8" s="133"/>
      <c r="BXA8" s="133"/>
      <c r="BXB8" s="133"/>
      <c r="BXC8" s="133"/>
      <c r="BXD8" s="133"/>
      <c r="BXE8" s="133"/>
      <c r="BXF8" s="133"/>
      <c r="BXG8" s="133"/>
      <c r="BXH8" s="133"/>
      <c r="BXI8" s="133"/>
      <c r="BXJ8" s="133"/>
      <c r="BXK8" s="133"/>
      <c r="BXL8" s="133"/>
      <c r="BXM8" s="133"/>
      <c r="BXN8" s="133"/>
      <c r="BXO8" s="133"/>
      <c r="BXP8" s="133"/>
      <c r="BXQ8" s="133"/>
      <c r="BXR8" s="133"/>
      <c r="BXS8" s="133"/>
      <c r="BXT8" s="133"/>
      <c r="BXU8" s="133"/>
      <c r="BXV8" s="133"/>
      <c r="BXW8" s="133"/>
      <c r="BXX8" s="133"/>
      <c r="BXY8" s="133"/>
      <c r="BXZ8" s="133"/>
      <c r="BYA8" s="133"/>
      <c r="BYB8" s="133"/>
      <c r="BYC8" s="133"/>
      <c r="BYD8" s="133"/>
      <c r="BYE8" s="133"/>
      <c r="BYF8" s="133"/>
      <c r="BYG8" s="133"/>
      <c r="BYH8" s="133"/>
      <c r="BYI8" s="133"/>
      <c r="BYJ8" s="133"/>
      <c r="BYK8" s="133"/>
      <c r="BYL8" s="133"/>
      <c r="BYM8" s="133"/>
      <c r="BYN8" s="133"/>
      <c r="BYO8" s="133"/>
      <c r="BYP8" s="133"/>
      <c r="BYQ8" s="133"/>
      <c r="BYR8" s="133"/>
      <c r="BYS8" s="133"/>
      <c r="BYT8" s="133"/>
      <c r="BYU8" s="133"/>
      <c r="BYV8" s="133"/>
      <c r="BYW8" s="133"/>
      <c r="BYX8" s="133"/>
      <c r="BYY8" s="133"/>
      <c r="BYZ8" s="133"/>
      <c r="BZA8" s="133"/>
      <c r="BZB8" s="133"/>
      <c r="BZC8" s="133"/>
      <c r="BZD8" s="133"/>
      <c r="BZE8" s="133"/>
      <c r="BZF8" s="133"/>
      <c r="BZG8" s="133"/>
      <c r="BZH8" s="133"/>
      <c r="BZI8" s="133"/>
      <c r="BZV8" s="133"/>
      <c r="BZW8" s="133"/>
      <c r="BZX8" s="133"/>
      <c r="BZY8" s="133"/>
      <c r="BZZ8" s="133"/>
      <c r="CAA8" s="133"/>
      <c r="CAB8" s="133"/>
      <c r="CAC8" s="133"/>
      <c r="CAD8" s="133"/>
      <c r="CAE8" s="133"/>
      <c r="CAF8" s="133"/>
      <c r="CAG8" s="133"/>
      <c r="CAH8" s="133"/>
      <c r="CAI8" s="133"/>
      <c r="CAJ8" s="133"/>
      <c r="CAK8" s="133"/>
      <c r="CAL8" s="133"/>
      <c r="CAM8" s="133"/>
      <c r="CAN8" s="133"/>
      <c r="CAO8" s="133"/>
      <c r="CAP8" s="133"/>
      <c r="CAQ8" s="133"/>
      <c r="CAR8" s="133"/>
      <c r="CAS8" s="133"/>
      <c r="CAT8" s="133"/>
      <c r="CAU8" s="133"/>
      <c r="CAV8" s="133"/>
      <c r="CAW8" s="133"/>
      <c r="CAX8" s="133"/>
      <c r="CAY8" s="133"/>
      <c r="CAZ8" s="133"/>
      <c r="CBA8" s="133"/>
      <c r="CBB8" s="133"/>
      <c r="CBC8" s="133"/>
      <c r="CBD8" s="133"/>
      <c r="CBE8" s="133"/>
      <c r="CBF8" s="133"/>
      <c r="CBG8" s="133"/>
      <c r="CBH8" s="133"/>
      <c r="CBI8" s="133"/>
      <c r="CBJ8" s="133"/>
      <c r="CBK8" s="133"/>
      <c r="CBL8" s="133"/>
      <c r="CBM8" s="133"/>
      <c r="CBN8" s="133"/>
      <c r="CBO8" s="133"/>
      <c r="CBP8" s="133"/>
      <c r="CBQ8" s="133"/>
      <c r="CBR8" s="133"/>
      <c r="CBS8" s="133"/>
      <c r="CBT8" s="133"/>
      <c r="CBU8" s="133"/>
      <c r="CBV8" s="133"/>
      <c r="CBW8" s="133"/>
      <c r="CBX8" s="133"/>
      <c r="CBY8" s="133"/>
      <c r="CBZ8" s="133"/>
      <c r="CCA8" s="133"/>
      <c r="CCB8" s="133"/>
      <c r="CCC8" s="133"/>
      <c r="CCD8" s="133"/>
      <c r="CCE8" s="133"/>
      <c r="CCF8" s="133"/>
      <c r="CCG8" s="133"/>
      <c r="CCH8" s="133"/>
      <c r="CCI8" s="133"/>
      <c r="CCJ8" s="133"/>
      <c r="CCK8" s="133"/>
      <c r="CCL8" s="133"/>
      <c r="CCM8" s="133"/>
      <c r="CCN8" s="133"/>
      <c r="CCO8" s="133"/>
      <c r="CCP8" s="133"/>
      <c r="CCQ8" s="133"/>
      <c r="CCR8" s="133"/>
      <c r="CCS8" s="133"/>
      <c r="CCT8" s="133"/>
      <c r="CCU8" s="133"/>
      <c r="CCV8" s="133"/>
      <c r="CCW8" s="133"/>
      <c r="CCX8" s="133"/>
      <c r="CCY8" s="133"/>
      <c r="CCZ8" s="133"/>
      <c r="CDA8" s="133"/>
      <c r="CDB8" s="133"/>
      <c r="CDC8" s="133"/>
      <c r="CDD8" s="133"/>
      <c r="CDE8" s="133"/>
      <c r="CDF8" s="133"/>
      <c r="CDG8" s="133"/>
      <c r="CDH8" s="133"/>
      <c r="CDI8" s="133"/>
      <c r="CDJ8" s="133"/>
      <c r="CDK8" s="133"/>
      <c r="CDL8" s="133"/>
      <c r="CDM8" s="133"/>
      <c r="CDN8" s="133"/>
      <c r="CDO8" s="133"/>
      <c r="CDP8" s="133"/>
      <c r="CDQ8" s="133"/>
      <c r="CDR8" s="133"/>
      <c r="CDS8" s="133"/>
      <c r="CDT8" s="133"/>
      <c r="CDU8" s="133"/>
      <c r="CDV8" s="133"/>
      <c r="CDW8" s="133"/>
      <c r="CDX8" s="133"/>
      <c r="CDY8" s="133"/>
      <c r="CDZ8" s="133"/>
      <c r="CEA8" s="133"/>
      <c r="CEB8" s="133"/>
      <c r="CEC8" s="133"/>
      <c r="CED8" s="133"/>
      <c r="CEE8" s="133"/>
      <c r="CEF8" s="133"/>
      <c r="CEG8" s="133"/>
      <c r="CEH8" s="133"/>
      <c r="CEI8" s="133"/>
      <c r="CEJ8" s="133"/>
      <c r="CEK8" s="133"/>
      <c r="CEL8" s="133"/>
      <c r="CEM8" s="133"/>
      <c r="CEN8" s="133"/>
      <c r="CEO8" s="133"/>
      <c r="CEP8" s="133"/>
      <c r="CEQ8" s="133"/>
      <c r="CER8" s="133"/>
      <c r="CES8" s="133"/>
      <c r="CET8" s="133"/>
      <c r="CEU8" s="133"/>
      <c r="CEV8" s="133"/>
      <c r="CEW8" s="133"/>
      <c r="CEX8" s="133"/>
      <c r="CEY8" s="133"/>
      <c r="CEZ8" s="133"/>
      <c r="CFA8" s="133"/>
      <c r="CFB8" s="133"/>
      <c r="CFC8" s="133"/>
      <c r="CFD8" s="133"/>
      <c r="CFE8" s="133"/>
      <c r="CFF8" s="133"/>
      <c r="CFG8" s="133"/>
      <c r="CFH8" s="133"/>
      <c r="CFI8" s="133"/>
      <c r="CFJ8" s="133"/>
      <c r="CFK8" s="133"/>
      <c r="CFL8" s="133"/>
      <c r="CFM8" s="133"/>
      <c r="CFN8" s="133"/>
      <c r="CFO8" s="133"/>
      <c r="CFP8" s="133"/>
      <c r="CFQ8" s="133"/>
      <c r="CFR8" s="133"/>
      <c r="CFS8" s="133"/>
      <c r="CFT8" s="133"/>
      <c r="CFU8" s="133"/>
      <c r="CFV8" s="133"/>
      <c r="CFW8" s="133"/>
      <c r="CFX8" s="133"/>
      <c r="CFY8" s="133"/>
      <c r="CFZ8" s="133"/>
      <c r="CGA8" s="133"/>
      <c r="CGB8" s="133"/>
      <c r="CGC8" s="133"/>
      <c r="CGD8" s="133"/>
      <c r="CGE8" s="133"/>
      <c r="CGF8" s="133"/>
      <c r="CGG8" s="133"/>
      <c r="CGH8" s="133"/>
      <c r="CGI8" s="133"/>
      <c r="CGJ8" s="133"/>
      <c r="CGK8" s="133"/>
      <c r="CGL8" s="133"/>
      <c r="CGM8" s="133"/>
      <c r="CGN8" s="133"/>
      <c r="CGO8" s="133"/>
      <c r="CGP8" s="133"/>
      <c r="CGQ8" s="133"/>
      <c r="CGR8" s="133"/>
      <c r="CGS8" s="133"/>
      <c r="CGT8" s="133"/>
      <c r="CGU8" s="133"/>
      <c r="CGV8" s="133"/>
      <c r="CGW8" s="133"/>
      <c r="CGX8" s="133"/>
      <c r="CGY8" s="133"/>
      <c r="CGZ8" s="133"/>
      <c r="CHA8" s="133"/>
      <c r="CHB8" s="133"/>
      <c r="CHC8" s="133"/>
      <c r="CHD8" s="133"/>
      <c r="CHE8" s="133"/>
      <c r="CHF8" s="133"/>
      <c r="CHG8" s="133"/>
      <c r="CHH8" s="133"/>
      <c r="CHI8" s="133"/>
      <c r="CHJ8" s="133"/>
      <c r="CHK8" s="133"/>
      <c r="CHL8" s="133"/>
      <c r="CHM8" s="133"/>
      <c r="CHN8" s="133"/>
      <c r="CHO8" s="133"/>
      <c r="CHP8" s="133"/>
      <c r="CHQ8" s="133"/>
      <c r="CHR8" s="133"/>
      <c r="CHS8" s="133"/>
      <c r="CHT8" s="133"/>
      <c r="CHU8" s="133"/>
      <c r="CHV8" s="133"/>
      <c r="CHW8" s="133"/>
      <c r="CHX8" s="133"/>
      <c r="CHY8" s="133"/>
      <c r="CHZ8" s="133"/>
      <c r="CIA8" s="133"/>
      <c r="CIB8" s="133"/>
      <c r="CIC8" s="133"/>
      <c r="CID8" s="133"/>
      <c r="CIE8" s="133"/>
      <c r="CIF8" s="133"/>
      <c r="CIG8" s="133"/>
      <c r="CIH8" s="133"/>
      <c r="CII8" s="133"/>
      <c r="CIJ8" s="133"/>
      <c r="CIK8" s="133"/>
      <c r="CIL8" s="133"/>
      <c r="CIM8" s="133"/>
      <c r="CIN8" s="133"/>
      <c r="CIO8" s="133"/>
      <c r="CIP8" s="133"/>
      <c r="CIQ8" s="133"/>
      <c r="CIR8" s="133"/>
      <c r="CIS8" s="133"/>
      <c r="CIT8" s="133"/>
      <c r="CIU8" s="133"/>
      <c r="CIV8" s="133"/>
      <c r="CIW8" s="133"/>
      <c r="CIX8" s="133"/>
      <c r="CIY8" s="133"/>
      <c r="CIZ8" s="133"/>
      <c r="CJA8" s="133"/>
      <c r="CJB8" s="133"/>
      <c r="CJC8" s="133"/>
      <c r="CJD8" s="133"/>
      <c r="CJE8" s="133"/>
      <c r="CJF8" s="133"/>
      <c r="CJG8" s="133"/>
      <c r="CJH8" s="133"/>
      <c r="CJI8" s="133"/>
      <c r="CJJ8" s="133"/>
      <c r="CJK8" s="133"/>
      <c r="CJL8" s="133"/>
      <c r="CJM8" s="133"/>
      <c r="CJN8" s="133"/>
      <c r="CJO8" s="133"/>
      <c r="CJP8" s="133"/>
      <c r="CJQ8" s="133"/>
      <c r="CJR8" s="133"/>
      <c r="CJS8" s="133"/>
      <c r="CJT8" s="133"/>
      <c r="CJU8" s="133"/>
      <c r="CJV8" s="133"/>
      <c r="CJW8" s="133"/>
      <c r="CJX8" s="133"/>
      <c r="CJY8" s="133"/>
      <c r="CJZ8" s="133"/>
      <c r="CKA8" s="133"/>
      <c r="CKB8" s="133"/>
      <c r="CKC8" s="133"/>
      <c r="CKD8" s="133"/>
      <c r="CKE8" s="133"/>
      <c r="CKF8" s="133"/>
      <c r="CKG8" s="133"/>
      <c r="CKH8" s="133"/>
      <c r="CKI8" s="133"/>
      <c r="CKJ8" s="133"/>
      <c r="CKK8" s="133"/>
      <c r="CKL8" s="133"/>
      <c r="CKM8" s="133"/>
      <c r="CKN8" s="133"/>
      <c r="CKO8" s="133"/>
      <c r="CKP8" s="133"/>
      <c r="CKQ8" s="133"/>
      <c r="CKR8" s="133"/>
      <c r="CKS8" s="133"/>
      <c r="CKT8" s="133"/>
      <c r="CKU8" s="133"/>
      <c r="CKV8" s="133"/>
      <c r="CKW8" s="133"/>
      <c r="CKX8" s="133"/>
      <c r="CKY8" s="133"/>
      <c r="CKZ8" s="133"/>
      <c r="CLA8" s="133"/>
      <c r="CLB8" s="133"/>
      <c r="CLC8" s="133"/>
      <c r="CLD8" s="133"/>
      <c r="CLE8" s="133"/>
      <c r="CLF8" s="133"/>
      <c r="CLG8" s="133"/>
      <c r="CLH8" s="133"/>
      <c r="CLI8" s="133"/>
      <c r="CLJ8" s="133"/>
      <c r="CLK8" s="133"/>
      <c r="CLL8" s="133"/>
      <c r="CLM8" s="133"/>
      <c r="CLN8" s="133"/>
      <c r="CLO8" s="133"/>
      <c r="CLP8" s="133"/>
      <c r="CLQ8" s="133"/>
      <c r="CLR8" s="133"/>
      <c r="CLS8" s="133"/>
      <c r="CLT8" s="133"/>
      <c r="CLU8" s="133"/>
      <c r="CLV8" s="133"/>
      <c r="CLW8" s="133"/>
      <c r="CLX8" s="133"/>
      <c r="CLY8" s="133"/>
      <c r="CLZ8" s="133"/>
      <c r="CMA8" s="133"/>
      <c r="CMB8" s="133"/>
      <c r="CMC8" s="133"/>
      <c r="CMD8" s="133"/>
      <c r="CME8" s="133"/>
      <c r="CMF8" s="133"/>
      <c r="CMG8" s="133"/>
      <c r="CMH8" s="133"/>
      <c r="CMI8" s="133"/>
      <c r="CMJ8" s="133"/>
      <c r="CMK8" s="133"/>
      <c r="CML8" s="133"/>
      <c r="CMM8" s="133"/>
      <c r="CMN8" s="133"/>
      <c r="CMO8" s="133"/>
      <c r="CMP8" s="133"/>
      <c r="CMQ8" s="133"/>
      <c r="CMR8" s="133"/>
      <c r="CMS8" s="133"/>
      <c r="CMT8" s="133"/>
      <c r="CMU8" s="133"/>
      <c r="CMV8" s="133"/>
      <c r="CMW8" s="133"/>
      <c r="CMX8" s="133"/>
      <c r="CMY8" s="133"/>
      <c r="CMZ8" s="133"/>
      <c r="CNA8" s="133"/>
      <c r="CNB8" s="133"/>
      <c r="CNC8" s="133"/>
      <c r="CND8" s="133"/>
      <c r="CNE8" s="133"/>
      <c r="CNF8" s="133"/>
      <c r="CNG8" s="133"/>
      <c r="CNH8" s="133"/>
      <c r="CNI8" s="133"/>
      <c r="CNJ8" s="133"/>
      <c r="CNK8" s="133"/>
      <c r="CNL8" s="133"/>
      <c r="CNM8" s="133"/>
      <c r="CNN8" s="133"/>
      <c r="CNO8" s="133"/>
      <c r="CNP8" s="133"/>
      <c r="CNQ8" s="133"/>
      <c r="CNR8" s="133"/>
      <c r="CNS8" s="133"/>
      <c r="CNT8" s="133"/>
      <c r="CNU8" s="133"/>
      <c r="CNV8" s="133"/>
      <c r="CNW8" s="133"/>
      <c r="CNX8" s="133"/>
      <c r="CNY8" s="133"/>
      <c r="CNZ8" s="133"/>
      <c r="COA8" s="133"/>
      <c r="COB8" s="133"/>
      <c r="COC8" s="133"/>
      <c r="COD8" s="133"/>
      <c r="COE8" s="133"/>
      <c r="COF8" s="133"/>
      <c r="COG8" s="133"/>
      <c r="COH8" s="133"/>
      <c r="COI8" s="133"/>
      <c r="COJ8" s="133"/>
      <c r="COK8" s="133"/>
      <c r="COL8" s="133"/>
      <c r="COM8" s="133"/>
      <c r="CON8" s="133"/>
      <c r="COO8" s="133"/>
      <c r="COP8" s="133"/>
      <c r="COQ8" s="133"/>
      <c r="COR8" s="133"/>
      <c r="COS8" s="133"/>
      <c r="COT8" s="133"/>
      <c r="COU8" s="133"/>
      <c r="COV8" s="133"/>
      <c r="COW8" s="133"/>
      <c r="COX8" s="133"/>
      <c r="COY8" s="133"/>
      <c r="COZ8" s="133"/>
      <c r="CPA8" s="133"/>
      <c r="CPB8" s="133"/>
      <c r="CPC8" s="133"/>
      <c r="CPD8" s="133"/>
      <c r="CPE8" s="133"/>
      <c r="CPF8" s="133"/>
      <c r="CPG8" s="133"/>
      <c r="CPH8" s="133"/>
      <c r="CPI8" s="133"/>
      <c r="CPJ8" s="133"/>
      <c r="CPK8" s="133"/>
      <c r="CPL8" s="133"/>
      <c r="CPM8" s="133"/>
      <c r="CPN8" s="133"/>
      <c r="CPO8" s="133"/>
      <c r="CPP8" s="133"/>
      <c r="CPQ8" s="133"/>
      <c r="CPR8" s="133"/>
      <c r="CPS8" s="133"/>
      <c r="CPT8" s="133"/>
      <c r="CPU8" s="133"/>
      <c r="CPV8" s="133"/>
      <c r="CPW8" s="133"/>
      <c r="CPX8" s="133"/>
      <c r="CPY8" s="133"/>
      <c r="CPZ8" s="133"/>
      <c r="CQA8" s="133"/>
      <c r="CQB8" s="133"/>
      <c r="CQC8" s="133"/>
      <c r="CQD8" s="133"/>
      <c r="CQE8" s="133"/>
      <c r="CQF8" s="133"/>
      <c r="CQG8" s="133"/>
      <c r="CQH8" s="133"/>
      <c r="CQI8" s="133"/>
      <c r="CQJ8" s="133"/>
      <c r="CQK8" s="133"/>
      <c r="CQL8" s="133"/>
      <c r="CQM8" s="133"/>
      <c r="CQN8" s="133"/>
      <c r="CQO8" s="133"/>
      <c r="CQP8" s="133"/>
      <c r="CQQ8" s="133"/>
      <c r="CQR8" s="133"/>
      <c r="CQS8" s="133"/>
      <c r="CQT8" s="133"/>
      <c r="CQU8" s="133"/>
      <c r="CQV8" s="133"/>
      <c r="CQW8" s="133"/>
      <c r="CQX8" s="133"/>
      <c r="CQY8" s="133"/>
      <c r="CQZ8" s="133"/>
      <c r="CRA8" s="133"/>
      <c r="CRB8" s="133"/>
      <c r="CRC8" s="133"/>
      <c r="CRD8" s="133"/>
      <c r="CRE8" s="133"/>
      <c r="CRF8" s="133"/>
      <c r="CRG8" s="133"/>
      <c r="CRH8" s="133"/>
      <c r="CRI8" s="133"/>
      <c r="CRJ8" s="133"/>
      <c r="CRK8" s="133"/>
      <c r="CRL8" s="133"/>
      <c r="CRM8" s="133"/>
      <c r="CRN8" s="133"/>
      <c r="CRO8" s="133"/>
      <c r="CRP8" s="133"/>
      <c r="CRQ8" s="133"/>
      <c r="CRR8" s="133"/>
      <c r="CRS8" s="133"/>
      <c r="CRT8" s="133"/>
      <c r="CRU8" s="133"/>
      <c r="CRV8" s="133"/>
      <c r="CRW8" s="133"/>
      <c r="CRX8" s="133"/>
      <c r="CRY8" s="133"/>
      <c r="CRZ8" s="133"/>
      <c r="CSA8" s="133"/>
      <c r="CSB8" s="133"/>
      <c r="CSC8" s="133"/>
      <c r="CSD8" s="133"/>
      <c r="CSE8" s="133"/>
      <c r="CSF8" s="133"/>
      <c r="CSG8" s="133"/>
      <c r="CSH8" s="133"/>
      <c r="CSI8" s="133"/>
      <c r="CSJ8" s="133"/>
      <c r="CSK8" s="133"/>
      <c r="CSL8" s="133"/>
      <c r="CSM8" s="133"/>
      <c r="CSN8" s="133"/>
      <c r="CSO8" s="133"/>
      <c r="CSP8" s="133"/>
      <c r="CSQ8" s="133"/>
      <c r="CSR8" s="133"/>
      <c r="CSS8" s="133"/>
      <c r="CST8" s="133"/>
      <c r="CSU8" s="133"/>
      <c r="CSV8" s="133"/>
      <c r="CSW8" s="133"/>
      <c r="CSX8" s="133"/>
      <c r="CSY8" s="133"/>
      <c r="CSZ8" s="133"/>
      <c r="CTA8" s="133"/>
      <c r="CTB8" s="133"/>
      <c r="CTC8" s="133"/>
      <c r="CTD8" s="133"/>
      <c r="CTE8" s="133"/>
      <c r="CTF8" s="133"/>
      <c r="CTG8" s="133"/>
      <c r="CTH8" s="133"/>
      <c r="CTI8" s="133"/>
      <c r="CTJ8" s="133"/>
      <c r="CTK8" s="133"/>
      <c r="CTL8" s="133"/>
      <c r="CTM8" s="133"/>
      <c r="CTN8" s="133"/>
      <c r="CTO8" s="133"/>
      <c r="CTP8" s="133"/>
      <c r="CTQ8" s="133"/>
      <c r="CTR8" s="133"/>
      <c r="CTS8" s="133"/>
      <c r="CTT8" s="133"/>
      <c r="CTU8" s="133"/>
      <c r="CTV8" s="133"/>
      <c r="CTW8" s="133"/>
      <c r="CTX8" s="133"/>
      <c r="CTY8" s="133"/>
      <c r="CTZ8" s="133"/>
      <c r="CUA8" s="133"/>
      <c r="CUB8" s="133"/>
      <c r="CUC8" s="133"/>
      <c r="CUD8" s="133"/>
      <c r="CUE8" s="133"/>
      <c r="CUF8" s="133"/>
      <c r="CUG8" s="133"/>
      <c r="CUH8" s="133"/>
      <c r="CUI8" s="133"/>
      <c r="CUJ8" s="133"/>
      <c r="CUK8" s="133"/>
      <c r="CUL8" s="133"/>
      <c r="CUM8" s="133"/>
      <c r="CUN8" s="133"/>
      <c r="CUO8" s="133"/>
      <c r="CUP8" s="133"/>
      <c r="CUQ8" s="133"/>
      <c r="CUR8" s="133"/>
      <c r="CUS8" s="133"/>
      <c r="CUT8" s="133"/>
      <c r="CUU8" s="133"/>
      <c r="CUV8" s="133"/>
      <c r="CUW8" s="133"/>
      <c r="CUX8" s="133"/>
      <c r="CUY8" s="133"/>
      <c r="CUZ8" s="133"/>
      <c r="CVA8" s="133"/>
      <c r="CVB8" s="133"/>
      <c r="CVC8" s="133"/>
      <c r="CVD8" s="133"/>
      <c r="CVE8" s="133"/>
      <c r="CVF8" s="133"/>
      <c r="CVG8" s="133"/>
      <c r="CVH8" s="133"/>
      <c r="CVI8" s="133"/>
      <c r="CVJ8" s="133"/>
      <c r="CVK8" s="133"/>
      <c r="CVL8" s="133"/>
      <c r="CVM8" s="133"/>
      <c r="CVN8" s="133"/>
      <c r="CVO8" s="133"/>
      <c r="CVP8" s="133"/>
      <c r="CVQ8" s="133"/>
      <c r="CVR8" s="133"/>
      <c r="CVS8" s="133"/>
      <c r="CVT8" s="133"/>
      <c r="CVU8" s="133"/>
      <c r="CVV8" s="133"/>
      <c r="CVW8" s="133"/>
      <c r="CVX8" s="133"/>
      <c r="CVY8" s="133"/>
      <c r="CVZ8" s="133"/>
      <c r="CWA8" s="133"/>
      <c r="CWB8" s="133"/>
      <c r="CWC8" s="133"/>
      <c r="CWD8" s="133"/>
      <c r="CWE8" s="133"/>
      <c r="CWF8" s="133"/>
      <c r="CWG8" s="133"/>
      <c r="CWH8" s="133"/>
      <c r="CWI8" s="133"/>
      <c r="CWJ8" s="133"/>
      <c r="CWK8" s="133"/>
      <c r="CWL8" s="133"/>
      <c r="CWM8" s="133"/>
      <c r="CWN8" s="133"/>
      <c r="CWO8" s="133"/>
      <c r="CWP8" s="133"/>
      <c r="CWQ8" s="133"/>
      <c r="CWR8" s="133"/>
      <c r="CWS8" s="133"/>
      <c r="CWT8" s="133"/>
      <c r="CWU8" s="133"/>
      <c r="CWV8" s="133"/>
      <c r="CWW8" s="133"/>
      <c r="CWX8" s="133"/>
      <c r="CWY8" s="133"/>
      <c r="CWZ8" s="133"/>
      <c r="CXA8" s="133"/>
      <c r="CXB8" s="133"/>
      <c r="CXC8" s="133"/>
      <c r="CXD8" s="133"/>
      <c r="CXE8" s="133"/>
      <c r="CXF8" s="133"/>
      <c r="CXG8" s="133"/>
      <c r="CXH8" s="133"/>
      <c r="CXI8" s="133"/>
      <c r="CXJ8" s="133"/>
      <c r="CXK8" s="133"/>
      <c r="CXL8" s="133"/>
      <c r="CXM8" s="133"/>
      <c r="CXN8" s="133"/>
      <c r="CXO8" s="133"/>
      <c r="CXP8" s="133"/>
      <c r="CXQ8" s="133"/>
      <c r="CXR8" s="133"/>
      <c r="CXS8" s="133"/>
      <c r="CXT8" s="133"/>
      <c r="CXU8" s="133"/>
      <c r="CXV8" s="133"/>
      <c r="CXW8" s="133"/>
      <c r="CXX8" s="133"/>
      <c r="CXY8" s="133"/>
      <c r="CXZ8" s="133"/>
      <c r="CYA8" s="133"/>
      <c r="CYB8" s="133"/>
      <c r="CYC8" s="133"/>
      <c r="CYD8" s="133"/>
      <c r="CYE8" s="133"/>
      <c r="CYF8" s="133"/>
      <c r="CYG8" s="133"/>
      <c r="CYH8" s="133"/>
      <c r="CYI8" s="133"/>
      <c r="CYJ8" s="133"/>
      <c r="CYK8" s="133"/>
      <c r="CYL8" s="133"/>
      <c r="CYM8" s="133"/>
      <c r="CYN8" s="133"/>
      <c r="CYO8" s="133"/>
      <c r="CYP8" s="133"/>
      <c r="CYQ8" s="133"/>
      <c r="CYR8" s="133"/>
      <c r="CYS8" s="133"/>
      <c r="CYT8" s="133"/>
      <c r="CYU8" s="133"/>
      <c r="CYV8" s="133"/>
      <c r="CYW8" s="133"/>
      <c r="CYX8" s="133"/>
      <c r="CYY8" s="133"/>
      <c r="CYZ8" s="133"/>
      <c r="CZA8" s="133"/>
      <c r="CZB8" s="133"/>
      <c r="CZC8" s="133"/>
      <c r="CZD8" s="133"/>
      <c r="CZE8" s="133"/>
      <c r="CZF8" s="133"/>
      <c r="CZG8" s="133"/>
      <c r="CZH8" s="133"/>
      <c r="CZI8" s="133"/>
      <c r="CZJ8" s="133"/>
      <c r="CZK8" s="133"/>
      <c r="CZL8" s="133"/>
      <c r="CZM8" s="133"/>
      <c r="CZN8" s="133"/>
      <c r="CZO8" s="133"/>
      <c r="CZP8" s="133"/>
      <c r="CZQ8" s="133"/>
      <c r="CZR8" s="133"/>
      <c r="CZS8" s="133"/>
      <c r="CZT8" s="133"/>
      <c r="CZU8" s="133"/>
      <c r="CZV8" s="133"/>
      <c r="CZW8" s="133"/>
      <c r="CZX8" s="133"/>
      <c r="CZY8" s="133"/>
      <c r="CZZ8" s="133"/>
      <c r="DAA8" s="133"/>
      <c r="DAB8" s="133"/>
      <c r="DAC8" s="133"/>
      <c r="DAD8" s="133"/>
      <c r="DAE8" s="133"/>
      <c r="DAF8" s="133"/>
      <c r="DAG8" s="133"/>
      <c r="DAH8" s="133"/>
      <c r="DAI8" s="133"/>
      <c r="DAJ8" s="133"/>
      <c r="DAK8" s="133"/>
      <c r="DAL8" s="133"/>
      <c r="DAM8" s="133"/>
      <c r="DAN8" s="133"/>
      <c r="DAO8" s="133"/>
      <c r="DAP8" s="133"/>
      <c r="DAQ8" s="133"/>
      <c r="DAR8" s="133"/>
      <c r="DAS8" s="133"/>
      <c r="DAT8" s="133"/>
      <c r="DAU8" s="133"/>
      <c r="DAV8" s="133"/>
      <c r="DAW8" s="133"/>
      <c r="DAX8" s="133"/>
      <c r="DAY8" s="133"/>
      <c r="DAZ8" s="133"/>
      <c r="DBA8" s="133"/>
      <c r="DBB8" s="133"/>
      <c r="DBC8" s="133"/>
      <c r="DBD8" s="133"/>
      <c r="DBE8" s="133"/>
      <c r="DBF8" s="133"/>
      <c r="DBG8" s="133"/>
      <c r="DBH8" s="133"/>
      <c r="DBI8" s="133"/>
      <c r="DBJ8" s="133"/>
      <c r="DBK8" s="133"/>
      <c r="DBL8" s="133"/>
      <c r="DBM8" s="133"/>
      <c r="DBN8" s="133"/>
      <c r="DBO8" s="133"/>
      <c r="DBP8" s="133"/>
      <c r="DBQ8" s="133"/>
      <c r="DBR8" s="133"/>
      <c r="DBS8" s="133"/>
      <c r="DBT8" s="133"/>
      <c r="DBU8" s="133"/>
      <c r="DBV8" s="133"/>
      <c r="DBW8" s="133"/>
      <c r="DBX8" s="133"/>
      <c r="DBY8" s="133"/>
      <c r="DBZ8" s="133"/>
      <c r="DCA8" s="133"/>
      <c r="DCB8" s="133"/>
      <c r="DCC8" s="133"/>
      <c r="DCD8" s="133"/>
      <c r="DCE8" s="133"/>
      <c r="DCF8" s="133"/>
      <c r="DCG8" s="133"/>
      <c r="DCH8" s="133"/>
      <c r="DCI8" s="133"/>
      <c r="DCJ8" s="133"/>
      <c r="DCK8" s="133"/>
      <c r="DCL8" s="133"/>
      <c r="DCM8" s="133"/>
      <c r="DCN8" s="133"/>
      <c r="DCO8" s="133"/>
      <c r="DCP8" s="133"/>
      <c r="DCQ8" s="133"/>
      <c r="DCR8" s="133"/>
      <c r="DCS8" s="133"/>
      <c r="DCT8" s="133"/>
      <c r="DCU8" s="133"/>
      <c r="DCV8" s="133"/>
      <c r="DCW8" s="133"/>
      <c r="DCX8" s="133"/>
      <c r="DCY8" s="133"/>
      <c r="DCZ8" s="133"/>
      <c r="DDA8" s="133"/>
      <c r="DDB8" s="133"/>
      <c r="DDC8" s="133"/>
      <c r="DDD8" s="133"/>
      <c r="DDE8" s="133"/>
      <c r="DDF8" s="133"/>
      <c r="DDG8" s="133"/>
      <c r="DDH8" s="133"/>
      <c r="DDI8" s="133"/>
      <c r="DDJ8" s="133"/>
      <c r="DDK8" s="133"/>
      <c r="DDL8" s="133"/>
      <c r="DDM8" s="133"/>
      <c r="DDN8" s="133"/>
      <c r="DDO8" s="133"/>
      <c r="DDP8" s="133"/>
      <c r="DDQ8" s="133"/>
      <c r="DDR8" s="133"/>
      <c r="DDS8" s="133"/>
      <c r="DDT8" s="133"/>
      <c r="DDU8" s="133"/>
      <c r="DDV8" s="133"/>
      <c r="DDW8" s="133"/>
      <c r="DDX8" s="133"/>
      <c r="DDY8" s="133"/>
      <c r="DDZ8" s="133"/>
      <c r="DEA8" s="133"/>
      <c r="DEB8" s="133"/>
      <c r="DEC8" s="133"/>
      <c r="DED8" s="133"/>
      <c r="DEE8" s="133"/>
      <c r="DEF8" s="133"/>
      <c r="DEG8" s="133"/>
      <c r="DEH8" s="133"/>
      <c r="DEI8" s="133"/>
      <c r="DEJ8" s="133"/>
      <c r="DEK8" s="133"/>
      <c r="DEL8" s="133"/>
      <c r="DEM8" s="133"/>
      <c r="DEN8" s="133"/>
      <c r="DEO8" s="133"/>
      <c r="DEP8" s="133"/>
      <c r="DEQ8" s="133"/>
      <c r="DER8" s="133"/>
      <c r="DES8" s="133"/>
      <c r="DET8" s="133"/>
      <c r="DEU8" s="133"/>
      <c r="DEV8" s="133"/>
      <c r="DEW8" s="133"/>
      <c r="DEX8" s="133"/>
      <c r="DEY8" s="133"/>
      <c r="DEZ8" s="133"/>
      <c r="DFA8" s="133"/>
      <c r="DFB8" s="133"/>
      <c r="DFC8" s="133"/>
      <c r="DFD8" s="133"/>
      <c r="DFE8" s="133"/>
      <c r="DFF8" s="133"/>
      <c r="DFG8" s="133"/>
      <c r="DFH8" s="133"/>
      <c r="DFI8" s="133"/>
      <c r="DFJ8" s="133"/>
      <c r="DFK8" s="133"/>
      <c r="DFL8" s="133"/>
      <c r="DFM8" s="133"/>
      <c r="DFN8" s="133"/>
      <c r="DFO8" s="133"/>
      <c r="DFP8" s="133"/>
      <c r="DFQ8" s="133"/>
      <c r="DFR8" s="133"/>
      <c r="DFS8" s="133"/>
      <c r="DFT8" s="133"/>
      <c r="DFU8" s="133"/>
      <c r="DFV8" s="133"/>
      <c r="DFW8" s="133"/>
      <c r="DFX8" s="133"/>
      <c r="DFY8" s="133"/>
      <c r="DFZ8" s="133"/>
      <c r="DGA8" s="133"/>
      <c r="DGB8" s="133"/>
      <c r="DGC8" s="133"/>
      <c r="DGD8" s="133"/>
      <c r="DGE8" s="133"/>
      <c r="DGF8" s="133"/>
      <c r="DGG8" s="133"/>
      <c r="DGH8" s="133"/>
      <c r="DGI8" s="133"/>
      <c r="DGJ8" s="133"/>
      <c r="DGK8" s="133"/>
      <c r="DGL8" s="133"/>
      <c r="DGM8" s="133"/>
      <c r="DGN8" s="133"/>
      <c r="DGO8" s="133"/>
      <c r="DGP8" s="133"/>
      <c r="DGQ8" s="133"/>
      <c r="DGR8" s="133"/>
      <c r="DGS8" s="133"/>
      <c r="DGT8" s="133"/>
      <c r="DGU8" s="133"/>
      <c r="DGV8" s="133"/>
      <c r="DGW8" s="133"/>
      <c r="DGX8" s="133"/>
      <c r="DGY8" s="133"/>
      <c r="DGZ8" s="133"/>
      <c r="DHA8" s="133"/>
      <c r="DHB8" s="133"/>
      <c r="DHC8" s="133"/>
      <c r="DHD8" s="133"/>
      <c r="DHE8" s="133"/>
      <c r="DHF8" s="133"/>
      <c r="DHG8" s="133"/>
      <c r="DHH8" s="133"/>
      <c r="DHI8" s="133"/>
      <c r="DHJ8" s="133"/>
      <c r="DHK8" s="133"/>
      <c r="DHL8" s="133"/>
      <c r="DHM8" s="133"/>
      <c r="DHN8" s="133"/>
      <c r="DHO8" s="133"/>
      <c r="DHP8" s="133"/>
      <c r="DHQ8" s="133"/>
      <c r="DHR8" s="133"/>
      <c r="DHS8" s="133"/>
      <c r="DHT8" s="133"/>
      <c r="DHU8" s="133"/>
      <c r="DHV8" s="133"/>
      <c r="DHW8" s="133"/>
      <c r="DHX8" s="133"/>
      <c r="DHY8" s="133"/>
      <c r="DHZ8" s="133"/>
      <c r="DIA8" s="133"/>
      <c r="DIB8" s="133"/>
      <c r="DIC8" s="133"/>
      <c r="DID8" s="133"/>
      <c r="DIE8" s="133"/>
      <c r="DIF8" s="133"/>
      <c r="DIG8" s="133"/>
      <c r="DIH8" s="133"/>
      <c r="DII8" s="133"/>
      <c r="DIJ8" s="133"/>
      <c r="DIK8" s="133"/>
      <c r="DIL8" s="133"/>
      <c r="DIM8" s="133"/>
      <c r="DIN8" s="133"/>
      <c r="DIO8" s="133"/>
      <c r="DIP8" s="133"/>
      <c r="DIQ8" s="133"/>
      <c r="DIR8" s="133"/>
      <c r="DIS8" s="133"/>
      <c r="DIT8" s="133"/>
      <c r="DIU8" s="133"/>
      <c r="DIV8" s="133"/>
      <c r="DIW8" s="133"/>
      <c r="DIX8" s="133"/>
      <c r="DIY8" s="133"/>
      <c r="DIZ8" s="133"/>
      <c r="DJA8" s="133"/>
      <c r="DJB8" s="133"/>
      <c r="DJC8" s="133"/>
      <c r="DJD8" s="133"/>
      <c r="DJE8" s="133"/>
      <c r="DJF8" s="133"/>
      <c r="DJG8" s="133"/>
      <c r="DJH8" s="133"/>
      <c r="DJI8" s="133"/>
      <c r="DJJ8" s="133"/>
      <c r="DJK8" s="133"/>
      <c r="DJL8" s="133"/>
      <c r="DJM8" s="133"/>
      <c r="DJN8" s="133"/>
      <c r="DJO8" s="133"/>
      <c r="DJP8" s="133"/>
      <c r="DJQ8" s="133"/>
      <c r="DJR8" s="133"/>
      <c r="DJS8" s="133"/>
      <c r="DJT8" s="133"/>
      <c r="DJU8" s="133"/>
      <c r="DJV8" s="133"/>
      <c r="DJW8" s="133"/>
      <c r="DJX8" s="133"/>
      <c r="DJY8" s="133"/>
      <c r="DJZ8" s="133"/>
      <c r="DKA8" s="133"/>
      <c r="DKB8" s="133"/>
      <c r="DKC8" s="133"/>
      <c r="DKD8" s="133"/>
      <c r="DKE8" s="133"/>
      <c r="DKF8" s="133"/>
      <c r="DKG8" s="133"/>
      <c r="DKH8" s="133"/>
      <c r="DKI8" s="133"/>
      <c r="DKJ8" s="133"/>
      <c r="DKK8" s="133"/>
      <c r="DKL8" s="133"/>
      <c r="DKM8" s="133"/>
      <c r="DKN8" s="133"/>
      <c r="DKO8" s="133"/>
      <c r="DKP8" s="133"/>
      <c r="DKQ8" s="133"/>
      <c r="DKR8" s="133"/>
      <c r="DKS8" s="133"/>
      <c r="DKT8" s="133"/>
      <c r="DKU8" s="133"/>
      <c r="DKV8" s="133"/>
      <c r="DKW8" s="133"/>
      <c r="DKX8" s="133"/>
      <c r="DKY8" s="133"/>
      <c r="DKZ8" s="133"/>
      <c r="DLA8" s="133"/>
      <c r="DLB8" s="133"/>
      <c r="DLC8" s="133"/>
      <c r="DLD8" s="133"/>
      <c r="DLE8" s="133"/>
      <c r="DLF8" s="133"/>
      <c r="DLG8" s="133"/>
      <c r="DLH8" s="133"/>
      <c r="DLI8" s="133"/>
      <c r="DLJ8" s="133"/>
      <c r="DLK8" s="133"/>
      <c r="DLL8" s="133"/>
      <c r="DLM8" s="133"/>
      <c r="DLN8" s="133"/>
      <c r="DLO8" s="133"/>
      <c r="DLP8" s="133"/>
      <c r="DLQ8" s="133"/>
      <c r="DLR8" s="133"/>
      <c r="DLS8" s="133"/>
      <c r="DLT8" s="133"/>
      <c r="DLU8" s="133"/>
      <c r="DLV8" s="133"/>
      <c r="DLW8" s="133"/>
      <c r="DLX8" s="133"/>
      <c r="DLY8" s="133"/>
      <c r="DLZ8" s="133"/>
      <c r="DMA8" s="133"/>
      <c r="DMB8" s="133"/>
      <c r="DMC8" s="133"/>
      <c r="DMD8" s="133"/>
      <c r="DME8" s="133"/>
      <c r="DMF8" s="133"/>
      <c r="DMG8" s="133"/>
      <c r="DMH8" s="133"/>
      <c r="DMI8" s="133"/>
      <c r="DMJ8" s="133"/>
      <c r="DMK8" s="133"/>
      <c r="DML8" s="133"/>
      <c r="DMM8" s="133"/>
      <c r="DMN8" s="133"/>
      <c r="DMO8" s="133"/>
      <c r="DMP8" s="133"/>
      <c r="DMQ8" s="133"/>
      <c r="DMR8" s="133"/>
      <c r="DMS8" s="133"/>
      <c r="DNF8" s="133"/>
      <c r="DNG8" s="133"/>
      <c r="DNH8" s="133"/>
      <c r="DNI8" s="133"/>
      <c r="DNJ8" s="133"/>
      <c r="DNK8" s="133"/>
      <c r="DNL8" s="133"/>
      <c r="DNM8" s="133"/>
      <c r="DNN8" s="133"/>
      <c r="DNO8" s="133"/>
      <c r="DNP8" s="133"/>
      <c r="DNQ8" s="133"/>
      <c r="DNR8" s="133"/>
      <c r="DNS8" s="133"/>
      <c r="DNT8" s="133"/>
      <c r="DNU8" s="133"/>
      <c r="DNV8" s="133"/>
      <c r="DNW8" s="133"/>
      <c r="DNX8" s="133"/>
      <c r="DNY8" s="133"/>
      <c r="DNZ8" s="133"/>
      <c r="DOA8" s="133"/>
      <c r="DOB8" s="133"/>
      <c r="DOC8" s="133"/>
      <c r="DOD8" s="133"/>
      <c r="DOE8" s="133"/>
      <c r="DOF8" s="133"/>
      <c r="DOG8" s="133"/>
      <c r="DOH8" s="133"/>
      <c r="DOI8" s="133"/>
      <c r="DOJ8" s="133"/>
      <c r="DOK8" s="133"/>
      <c r="DOL8" s="133"/>
      <c r="DOM8" s="133"/>
      <c r="DON8" s="133"/>
      <c r="DOO8" s="133"/>
      <c r="DOP8" s="133"/>
      <c r="DOQ8" s="133"/>
      <c r="DOR8" s="133"/>
      <c r="DOS8" s="133"/>
      <c r="DOT8" s="133"/>
      <c r="DOU8" s="133"/>
      <c r="DOV8" s="133"/>
      <c r="DOW8" s="133"/>
      <c r="DOX8" s="133"/>
      <c r="DOY8" s="133"/>
      <c r="DOZ8" s="133"/>
      <c r="DPA8" s="133"/>
      <c r="DPB8" s="133"/>
      <c r="DPC8" s="133"/>
      <c r="DPD8" s="133"/>
      <c r="DPE8" s="133"/>
      <c r="DPF8" s="133"/>
      <c r="DPG8" s="133"/>
      <c r="DPH8" s="133"/>
      <c r="DPI8" s="133"/>
      <c r="DPJ8" s="133"/>
      <c r="DPK8" s="133"/>
      <c r="DPL8" s="133"/>
      <c r="DPM8" s="133"/>
      <c r="DPN8" s="133"/>
      <c r="DPO8" s="133"/>
      <c r="DPP8" s="133"/>
      <c r="DPQ8" s="133"/>
      <c r="DPR8" s="133"/>
      <c r="DPS8" s="133"/>
      <c r="DPT8" s="133"/>
      <c r="DPU8" s="133"/>
      <c r="DPV8" s="133"/>
      <c r="DPW8" s="133"/>
      <c r="DPX8" s="133"/>
      <c r="DPY8" s="133"/>
      <c r="DPZ8" s="133"/>
      <c r="DQA8" s="133"/>
      <c r="DQB8" s="133"/>
      <c r="DQC8" s="133"/>
      <c r="DQD8" s="133"/>
      <c r="DQE8" s="133"/>
      <c r="DQF8" s="133"/>
      <c r="DQG8" s="133"/>
      <c r="DQH8" s="133"/>
      <c r="DQI8" s="133"/>
      <c r="DQJ8" s="133"/>
      <c r="DQK8" s="133"/>
      <c r="DQL8" s="133"/>
      <c r="DQM8" s="133"/>
      <c r="DQN8" s="133"/>
      <c r="DQO8" s="133"/>
      <c r="DQP8" s="133"/>
      <c r="DQQ8" s="133"/>
      <c r="DQR8" s="133"/>
      <c r="DQS8" s="133"/>
      <c r="DQT8" s="133"/>
      <c r="DQU8" s="133"/>
      <c r="DQV8" s="133"/>
      <c r="DQW8" s="133"/>
      <c r="DQX8" s="133"/>
      <c r="DQY8" s="133"/>
      <c r="DQZ8" s="133"/>
      <c r="DRA8" s="133"/>
      <c r="DRB8" s="133"/>
      <c r="DRC8" s="133"/>
      <c r="DRD8" s="133"/>
      <c r="DRE8" s="133"/>
      <c r="DRF8" s="133"/>
      <c r="DRG8" s="133"/>
      <c r="DRH8" s="133"/>
      <c r="DRI8" s="133"/>
      <c r="DRJ8" s="133"/>
      <c r="DRK8" s="133"/>
      <c r="DRL8" s="133"/>
      <c r="DRM8" s="133"/>
      <c r="DRN8" s="133"/>
      <c r="DRO8" s="133"/>
      <c r="DRP8" s="133"/>
      <c r="DRQ8" s="133"/>
      <c r="DRR8" s="133"/>
      <c r="DRS8" s="133"/>
      <c r="DRT8" s="133"/>
      <c r="DRU8" s="133"/>
      <c r="DRV8" s="133"/>
      <c r="DRW8" s="133"/>
      <c r="DRX8" s="133"/>
      <c r="DRY8" s="133"/>
      <c r="DRZ8" s="133"/>
      <c r="DSA8" s="133"/>
      <c r="DSB8" s="133"/>
      <c r="DSC8" s="133"/>
      <c r="DSD8" s="133"/>
      <c r="DSE8" s="133"/>
      <c r="DSF8" s="133"/>
      <c r="DSG8" s="133"/>
      <c r="DSH8" s="133"/>
      <c r="DSI8" s="133"/>
      <c r="DSJ8" s="133"/>
      <c r="DSK8" s="133"/>
      <c r="DSL8" s="133"/>
      <c r="DSM8" s="133"/>
      <c r="DSN8" s="133"/>
      <c r="DSO8" s="133"/>
      <c r="DSP8" s="133"/>
      <c r="DSQ8" s="133"/>
      <c r="DSR8" s="133"/>
      <c r="DSS8" s="133"/>
      <c r="DST8" s="133"/>
      <c r="DSU8" s="133"/>
      <c r="DSV8" s="133"/>
      <c r="DSW8" s="133"/>
      <c r="DSX8" s="133"/>
      <c r="DSY8" s="133"/>
      <c r="DSZ8" s="133"/>
      <c r="DTA8" s="133"/>
      <c r="DTB8" s="133"/>
      <c r="DTC8" s="133"/>
      <c r="DTD8" s="133"/>
      <c r="DTE8" s="133"/>
      <c r="DTF8" s="133"/>
      <c r="DTG8" s="133"/>
      <c r="DTH8" s="133"/>
      <c r="DTI8" s="133"/>
      <c r="DTJ8" s="133"/>
      <c r="DTK8" s="133"/>
      <c r="DTL8" s="133"/>
      <c r="DTM8" s="133"/>
      <c r="DTN8" s="133"/>
      <c r="DTO8" s="133"/>
      <c r="DTP8" s="133"/>
      <c r="DTQ8" s="133"/>
      <c r="DTR8" s="133"/>
      <c r="DTS8" s="133"/>
      <c r="DTT8" s="133"/>
      <c r="DTU8" s="133"/>
      <c r="DTV8" s="133"/>
      <c r="DTW8" s="133"/>
      <c r="DTX8" s="133"/>
      <c r="DTY8" s="133"/>
      <c r="DTZ8" s="133"/>
      <c r="DUA8" s="133"/>
      <c r="DUB8" s="133"/>
      <c r="DUC8" s="133"/>
      <c r="DUD8" s="133"/>
      <c r="DUE8" s="133"/>
      <c r="DUF8" s="133"/>
      <c r="DUG8" s="133"/>
      <c r="DUH8" s="133"/>
      <c r="DUI8" s="133"/>
      <c r="DUJ8" s="133"/>
      <c r="DUK8" s="133"/>
      <c r="DUL8" s="133"/>
      <c r="DUM8" s="133"/>
      <c r="DUN8" s="133"/>
      <c r="DUO8" s="133"/>
      <c r="DUP8" s="133"/>
      <c r="DUQ8" s="133"/>
      <c r="DUR8" s="133"/>
      <c r="DUS8" s="133"/>
      <c r="DUT8" s="133"/>
      <c r="DUU8" s="133"/>
      <c r="DUV8" s="133"/>
      <c r="DUW8" s="133"/>
      <c r="DUX8" s="133"/>
      <c r="DUY8" s="133"/>
      <c r="DUZ8" s="133"/>
      <c r="DVA8" s="133"/>
      <c r="DVB8" s="133"/>
      <c r="DVC8" s="133"/>
      <c r="DVD8" s="133"/>
      <c r="DVE8" s="133"/>
      <c r="DVF8" s="133"/>
      <c r="DVG8" s="133"/>
      <c r="DVH8" s="133"/>
      <c r="DVI8" s="133"/>
      <c r="DVJ8" s="133"/>
      <c r="DVK8" s="133"/>
      <c r="DVL8" s="133"/>
      <c r="DVM8" s="133"/>
      <c r="DVN8" s="133"/>
      <c r="DVO8" s="133"/>
      <c r="DVP8" s="133"/>
      <c r="DVQ8" s="133"/>
      <c r="DVR8" s="133"/>
      <c r="DVS8" s="133"/>
      <c r="DVT8" s="133"/>
      <c r="DVU8" s="133"/>
      <c r="DVV8" s="133"/>
      <c r="DVW8" s="133"/>
      <c r="DVX8" s="133"/>
      <c r="DVY8" s="133"/>
      <c r="DVZ8" s="133"/>
      <c r="DWA8" s="133"/>
      <c r="DWB8" s="133"/>
      <c r="DWC8" s="133"/>
      <c r="DWD8" s="133"/>
      <c r="DWE8" s="133"/>
      <c r="DWF8" s="133"/>
      <c r="DWG8" s="133"/>
      <c r="DWH8" s="133"/>
      <c r="DWI8" s="133"/>
      <c r="DWJ8" s="133"/>
      <c r="DWK8" s="133"/>
      <c r="DWL8" s="133"/>
      <c r="DWM8" s="133"/>
      <c r="DWN8" s="133"/>
      <c r="DWO8" s="133"/>
      <c r="DWP8" s="133"/>
      <c r="DWQ8" s="133"/>
      <c r="DWR8" s="133"/>
      <c r="DWS8" s="133"/>
      <c r="DWT8" s="133"/>
      <c r="DWU8" s="133"/>
      <c r="DWV8" s="133"/>
      <c r="DWW8" s="133"/>
      <c r="DWX8" s="133"/>
      <c r="DWY8" s="133"/>
      <c r="DWZ8" s="133"/>
      <c r="DXA8" s="133"/>
      <c r="DXB8" s="133"/>
      <c r="DXC8" s="133"/>
      <c r="DXD8" s="133"/>
      <c r="DXE8" s="133"/>
      <c r="DXF8" s="133"/>
      <c r="DXG8" s="133"/>
      <c r="DXH8" s="133"/>
      <c r="DXI8" s="133"/>
      <c r="DXJ8" s="133"/>
      <c r="DXK8" s="133"/>
      <c r="DXL8" s="133"/>
      <c r="DXM8" s="133"/>
      <c r="DXN8" s="133"/>
      <c r="DXO8" s="133"/>
      <c r="DXP8" s="133"/>
      <c r="DXQ8" s="133"/>
      <c r="DXR8" s="133"/>
      <c r="DXS8" s="133"/>
      <c r="DXT8" s="133"/>
      <c r="DXU8" s="133"/>
      <c r="DXV8" s="133"/>
      <c r="DXW8" s="133"/>
      <c r="DXX8" s="133"/>
      <c r="DXY8" s="133"/>
      <c r="DXZ8" s="133"/>
      <c r="DYA8" s="133"/>
      <c r="DYB8" s="133"/>
      <c r="DYC8" s="133"/>
      <c r="DYD8" s="133"/>
      <c r="DYE8" s="133"/>
      <c r="DYF8" s="133"/>
      <c r="DYG8" s="133"/>
      <c r="DYH8" s="133"/>
      <c r="DYI8" s="133"/>
      <c r="DYJ8" s="133"/>
      <c r="DYK8" s="133"/>
      <c r="DYL8" s="133"/>
      <c r="DYM8" s="133"/>
      <c r="DYN8" s="133"/>
      <c r="DYO8" s="133"/>
      <c r="DYP8" s="133"/>
      <c r="DYQ8" s="133"/>
      <c r="DYR8" s="133"/>
      <c r="DYS8" s="133"/>
      <c r="DYT8" s="133"/>
      <c r="DYU8" s="133"/>
      <c r="DYV8" s="133"/>
      <c r="DYW8" s="133"/>
      <c r="DYX8" s="133"/>
      <c r="DYY8" s="133"/>
      <c r="DYZ8" s="133"/>
      <c r="DZA8" s="133"/>
      <c r="DZB8" s="133"/>
      <c r="DZC8" s="133"/>
      <c r="DZD8" s="133"/>
      <c r="DZE8" s="133"/>
      <c r="DZF8" s="133"/>
      <c r="DZG8" s="133"/>
      <c r="DZH8" s="133"/>
      <c r="DZI8" s="133"/>
      <c r="DZJ8" s="133"/>
      <c r="DZK8" s="133"/>
      <c r="DZL8" s="133"/>
      <c r="DZM8" s="133"/>
      <c r="DZN8" s="133"/>
      <c r="DZO8" s="133"/>
      <c r="DZP8" s="133"/>
      <c r="DZQ8" s="133"/>
      <c r="DZR8" s="133"/>
      <c r="DZS8" s="133"/>
      <c r="DZT8" s="133"/>
      <c r="DZU8" s="133"/>
      <c r="DZV8" s="133"/>
      <c r="DZW8" s="133"/>
      <c r="DZX8" s="133"/>
      <c r="DZY8" s="133"/>
      <c r="DZZ8" s="133"/>
      <c r="EAA8" s="133"/>
      <c r="EAB8" s="133"/>
      <c r="EAC8" s="133"/>
      <c r="EAD8" s="133"/>
      <c r="EAE8" s="133"/>
      <c r="EAF8" s="133"/>
      <c r="EAG8" s="133"/>
      <c r="EAH8" s="133"/>
      <c r="EAI8" s="133"/>
      <c r="EAJ8" s="133"/>
      <c r="EAK8" s="133"/>
      <c r="EAL8" s="133"/>
      <c r="EAM8" s="133"/>
      <c r="EAN8" s="133"/>
      <c r="EAO8" s="133"/>
      <c r="EAP8" s="133"/>
      <c r="EAQ8" s="133"/>
      <c r="EAR8" s="133"/>
      <c r="EAS8" s="133"/>
      <c r="EAT8" s="133"/>
      <c r="EAU8" s="133"/>
      <c r="EAV8" s="133"/>
      <c r="EAW8" s="133"/>
      <c r="EAX8" s="133"/>
      <c r="EAY8" s="133"/>
      <c r="EAZ8" s="133"/>
      <c r="EBA8" s="133"/>
      <c r="EBB8" s="133"/>
      <c r="EBC8" s="133"/>
      <c r="EBD8" s="133"/>
      <c r="EBE8" s="133"/>
      <c r="EBF8" s="133"/>
      <c r="EBG8" s="133"/>
      <c r="EBH8" s="133"/>
      <c r="EBI8" s="133"/>
      <c r="EBJ8" s="133"/>
      <c r="EBK8" s="133"/>
      <c r="EBL8" s="133"/>
      <c r="EBM8" s="133"/>
      <c r="EBN8" s="133"/>
      <c r="EBO8" s="133"/>
      <c r="EBP8" s="133"/>
      <c r="EBQ8" s="133"/>
      <c r="EBR8" s="133"/>
      <c r="EBS8" s="133"/>
      <c r="EBT8" s="133"/>
      <c r="EBU8" s="133"/>
      <c r="EBV8" s="133"/>
      <c r="EBW8" s="133"/>
      <c r="EBX8" s="133"/>
      <c r="EBY8" s="133"/>
      <c r="EBZ8" s="133"/>
      <c r="ECA8" s="133"/>
      <c r="ECB8" s="133"/>
      <c r="ECC8" s="133"/>
      <c r="ECD8" s="133"/>
      <c r="ECE8" s="133"/>
      <c r="ECF8" s="133"/>
      <c r="ECG8" s="133"/>
      <c r="ECH8" s="133"/>
      <c r="ECI8" s="133"/>
      <c r="ECJ8" s="133"/>
      <c r="ECK8" s="133"/>
      <c r="ECL8" s="133"/>
      <c r="ECM8" s="133"/>
      <c r="ECN8" s="133"/>
      <c r="ECO8" s="133"/>
      <c r="ECP8" s="133"/>
      <c r="ECQ8" s="133"/>
      <c r="ECR8" s="133"/>
      <c r="ECS8" s="133"/>
      <c r="ECT8" s="133"/>
      <c r="ECU8" s="133"/>
      <c r="ECV8" s="133"/>
      <c r="ECW8" s="133"/>
      <c r="ECX8" s="133"/>
      <c r="ECY8" s="133"/>
      <c r="ECZ8" s="133"/>
      <c r="EDA8" s="133"/>
      <c r="EDB8" s="133"/>
      <c r="EDC8" s="133"/>
      <c r="EDD8" s="133"/>
      <c r="EDE8" s="133"/>
      <c r="EDF8" s="133"/>
      <c r="EDG8" s="133"/>
      <c r="EDH8" s="133"/>
      <c r="EDI8" s="133"/>
      <c r="EDJ8" s="133"/>
      <c r="EDK8" s="133"/>
      <c r="EDL8" s="133"/>
      <c r="EDM8" s="133"/>
      <c r="EDN8" s="133"/>
      <c r="EDO8" s="133"/>
      <c r="EDP8" s="133"/>
      <c r="EDQ8" s="133"/>
      <c r="EDR8" s="133"/>
      <c r="EDS8" s="133"/>
      <c r="EDT8" s="133"/>
      <c r="EDU8" s="133"/>
      <c r="EDV8" s="133"/>
      <c r="EDW8" s="133"/>
      <c r="EDX8" s="133"/>
      <c r="EDY8" s="133"/>
      <c r="EDZ8" s="133"/>
      <c r="EEA8" s="133"/>
      <c r="EEB8" s="133"/>
      <c r="EEC8" s="133"/>
      <c r="EED8" s="133"/>
      <c r="EEE8" s="133"/>
      <c r="EEF8" s="133"/>
      <c r="EEG8" s="133"/>
      <c r="EEH8" s="133"/>
      <c r="EEI8" s="133"/>
      <c r="EEJ8" s="133"/>
      <c r="EEK8" s="133"/>
      <c r="EEL8" s="133"/>
      <c r="EEM8" s="133"/>
      <c r="EEN8" s="133"/>
      <c r="EEO8" s="133"/>
      <c r="EEP8" s="133"/>
      <c r="EEQ8" s="133"/>
      <c r="EER8" s="133"/>
      <c r="EES8" s="133"/>
      <c r="EET8" s="133"/>
      <c r="EEU8" s="133"/>
      <c r="EEV8" s="133"/>
      <c r="EEW8" s="133"/>
      <c r="EEX8" s="133"/>
      <c r="EEY8" s="133"/>
      <c r="EEZ8" s="133"/>
      <c r="EFA8" s="133"/>
      <c r="EFB8" s="133"/>
      <c r="EFC8" s="133"/>
      <c r="EFD8" s="133"/>
      <c r="EFE8" s="133"/>
      <c r="EFF8" s="133"/>
      <c r="EFG8" s="133"/>
      <c r="EFH8" s="133"/>
      <c r="EFI8" s="133"/>
      <c r="EFJ8" s="133"/>
      <c r="EFK8" s="133"/>
      <c r="EFL8" s="133"/>
      <c r="EFM8" s="133"/>
      <c r="EFN8" s="133"/>
      <c r="EFO8" s="133"/>
      <c r="EFP8" s="133"/>
      <c r="EFQ8" s="133"/>
      <c r="EFR8" s="133"/>
      <c r="EFS8" s="133"/>
      <c r="EFT8" s="133"/>
      <c r="EFU8" s="133"/>
      <c r="EFV8" s="133"/>
      <c r="EFW8" s="133"/>
      <c r="EFX8" s="133"/>
      <c r="EFY8" s="133"/>
      <c r="EFZ8" s="133"/>
      <c r="EGA8" s="133"/>
      <c r="EGB8" s="133"/>
      <c r="EGC8" s="133"/>
      <c r="EGD8" s="133"/>
      <c r="EGE8" s="133"/>
      <c r="EGF8" s="133"/>
      <c r="EGG8" s="133"/>
      <c r="EGH8" s="133"/>
      <c r="EGI8" s="133"/>
      <c r="EGJ8" s="133"/>
      <c r="EGK8" s="133"/>
      <c r="EGL8" s="133"/>
      <c r="EGM8" s="133"/>
      <c r="EGN8" s="133"/>
      <c r="EGO8" s="133"/>
      <c r="EGP8" s="133"/>
      <c r="EGQ8" s="133"/>
      <c r="EGR8" s="133"/>
      <c r="EGS8" s="133"/>
      <c r="EGT8" s="133"/>
      <c r="EGU8" s="133"/>
      <c r="EGV8" s="133"/>
      <c r="EGW8" s="133"/>
      <c r="EGX8" s="133"/>
      <c r="EGY8" s="133"/>
      <c r="EGZ8" s="133"/>
      <c r="EHA8" s="133"/>
      <c r="EHB8" s="133"/>
      <c r="EHC8" s="133"/>
      <c r="EHD8" s="133"/>
      <c r="EHE8" s="133"/>
      <c r="EHF8" s="133"/>
      <c r="EHG8" s="133"/>
      <c r="EHH8" s="133"/>
      <c r="EHI8" s="133"/>
      <c r="EHJ8" s="133"/>
      <c r="EHK8" s="133"/>
      <c r="EHL8" s="133"/>
      <c r="EHM8" s="133"/>
      <c r="EHN8" s="133"/>
      <c r="EHO8" s="133"/>
      <c r="EHP8" s="133"/>
      <c r="EHQ8" s="133"/>
      <c r="EHR8" s="133"/>
      <c r="EHS8" s="133"/>
      <c r="EHT8" s="133"/>
      <c r="EHU8" s="133"/>
      <c r="EHV8" s="133"/>
      <c r="EHW8" s="133"/>
      <c r="EHX8" s="133"/>
      <c r="EHY8" s="133"/>
      <c r="EHZ8" s="133"/>
      <c r="EIA8" s="133"/>
      <c r="EIB8" s="133"/>
      <c r="EIC8" s="133"/>
      <c r="EID8" s="133"/>
      <c r="EIE8" s="133"/>
      <c r="EIF8" s="133"/>
      <c r="EIG8" s="133"/>
      <c r="EIH8" s="133"/>
      <c r="EII8" s="133"/>
      <c r="EIJ8" s="133"/>
      <c r="EIK8" s="133"/>
      <c r="EIL8" s="133"/>
      <c r="EIM8" s="133"/>
      <c r="EIN8" s="133"/>
      <c r="EIO8" s="133"/>
      <c r="EIP8" s="133"/>
      <c r="EIQ8" s="133"/>
      <c r="EIR8" s="133"/>
      <c r="EIS8" s="133"/>
      <c r="EIT8" s="133"/>
      <c r="EIU8" s="133"/>
      <c r="EIV8" s="133"/>
      <c r="EIW8" s="133"/>
      <c r="EIX8" s="133"/>
      <c r="EIY8" s="133"/>
      <c r="EIZ8" s="133"/>
      <c r="EJA8" s="133"/>
      <c r="EJB8" s="133"/>
      <c r="EJC8" s="133"/>
      <c r="EJD8" s="133"/>
      <c r="EJE8" s="133"/>
      <c r="EJF8" s="133"/>
      <c r="EJG8" s="133"/>
      <c r="EJH8" s="133"/>
      <c r="EJI8" s="133"/>
      <c r="EJJ8" s="133"/>
      <c r="EJK8" s="133"/>
      <c r="EJL8" s="133"/>
      <c r="EJM8" s="133"/>
      <c r="EJN8" s="133"/>
      <c r="EJO8" s="133"/>
      <c r="EJP8" s="133"/>
      <c r="EJQ8" s="133"/>
      <c r="EJR8" s="133"/>
      <c r="EJS8" s="133"/>
      <c r="EJT8" s="133"/>
      <c r="EJU8" s="133"/>
      <c r="EJV8" s="133"/>
      <c r="EJW8" s="133"/>
      <c r="EJX8" s="133"/>
      <c r="EJY8" s="133"/>
      <c r="EJZ8" s="133"/>
      <c r="EKA8" s="133"/>
      <c r="EKB8" s="133"/>
      <c r="EKC8" s="133"/>
      <c r="EKD8" s="133"/>
      <c r="EKE8" s="133"/>
      <c r="EKF8" s="133"/>
      <c r="EKG8" s="133"/>
      <c r="EKH8" s="133"/>
      <c r="EKI8" s="133"/>
      <c r="EKJ8" s="133"/>
      <c r="EKK8" s="133"/>
      <c r="EKL8" s="133"/>
      <c r="EKM8" s="133"/>
      <c r="EKN8" s="133"/>
      <c r="EKO8" s="133"/>
      <c r="EKP8" s="133"/>
      <c r="EKQ8" s="133"/>
      <c r="EKR8" s="133"/>
      <c r="EKS8" s="133"/>
      <c r="EKT8" s="133"/>
      <c r="EKU8" s="133"/>
      <c r="EKV8" s="133"/>
      <c r="EKW8" s="133"/>
      <c r="EKX8" s="133"/>
      <c r="EKY8" s="133"/>
      <c r="EKZ8" s="133"/>
      <c r="ELA8" s="133"/>
      <c r="ELB8" s="133"/>
      <c r="ELC8" s="133"/>
      <c r="ELD8" s="133"/>
      <c r="ELE8" s="133"/>
      <c r="ELF8" s="133"/>
      <c r="ELG8" s="133"/>
      <c r="ELH8" s="133"/>
      <c r="ELI8" s="133"/>
      <c r="ELJ8" s="133"/>
      <c r="ELK8" s="133"/>
      <c r="ELL8" s="133"/>
      <c r="ELM8" s="133"/>
      <c r="ELN8" s="133"/>
      <c r="ELO8" s="133"/>
      <c r="ELP8" s="133"/>
      <c r="ELQ8" s="133"/>
      <c r="ELR8" s="133"/>
      <c r="ELS8" s="133"/>
      <c r="ELT8" s="133"/>
      <c r="ELU8" s="133"/>
      <c r="ELV8" s="133"/>
      <c r="ELW8" s="133"/>
      <c r="ELX8" s="133"/>
      <c r="ELY8" s="133"/>
      <c r="ELZ8" s="133"/>
      <c r="EMA8" s="133"/>
      <c r="EMB8" s="133"/>
      <c r="EMC8" s="133"/>
      <c r="EMD8" s="133"/>
      <c r="EME8" s="133"/>
      <c r="EMF8" s="133"/>
      <c r="EMG8" s="133"/>
      <c r="EMH8" s="133"/>
      <c r="EMI8" s="133"/>
      <c r="EMJ8" s="133"/>
      <c r="EMK8" s="133"/>
      <c r="EML8" s="133"/>
      <c r="EMM8" s="133"/>
      <c r="EMN8" s="133"/>
      <c r="EMO8" s="133"/>
      <c r="EMP8" s="133"/>
      <c r="EMQ8" s="133"/>
      <c r="EMR8" s="133"/>
      <c r="EMS8" s="133"/>
      <c r="EMT8" s="133"/>
      <c r="EMU8" s="133"/>
      <c r="EMV8" s="133"/>
      <c r="EMW8" s="133"/>
      <c r="EMX8" s="133"/>
      <c r="EMY8" s="133"/>
      <c r="EMZ8" s="133"/>
      <c r="ENA8" s="133"/>
      <c r="ENB8" s="133"/>
      <c r="ENC8" s="133"/>
      <c r="END8" s="133"/>
      <c r="ENE8" s="133"/>
      <c r="ENF8" s="133"/>
      <c r="ENG8" s="133"/>
      <c r="ENH8" s="133"/>
      <c r="ENI8" s="133"/>
      <c r="ENJ8" s="133"/>
      <c r="ENK8" s="133"/>
      <c r="ENL8" s="133"/>
      <c r="ENM8" s="133"/>
      <c r="ENN8" s="133"/>
      <c r="ENO8" s="133"/>
      <c r="ENP8" s="133"/>
      <c r="ENQ8" s="133"/>
      <c r="ENR8" s="133"/>
      <c r="ENS8" s="133"/>
      <c r="ENT8" s="133"/>
      <c r="ENU8" s="133"/>
      <c r="ENV8" s="133"/>
      <c r="ENW8" s="133"/>
      <c r="ENX8" s="133"/>
      <c r="ENY8" s="133"/>
      <c r="ENZ8" s="133"/>
      <c r="EOA8" s="133"/>
      <c r="EOB8" s="133"/>
      <c r="EOC8" s="133"/>
      <c r="EOD8" s="133"/>
      <c r="EOE8" s="133"/>
      <c r="EOF8" s="133"/>
      <c r="EOG8" s="133"/>
      <c r="EOH8" s="133"/>
      <c r="EOI8" s="133"/>
      <c r="EOJ8" s="133"/>
      <c r="EOK8" s="133"/>
      <c r="EOL8" s="133"/>
      <c r="EOM8" s="133"/>
      <c r="EON8" s="133"/>
      <c r="EOO8" s="133"/>
      <c r="EOP8" s="133"/>
      <c r="EOQ8" s="133"/>
      <c r="EOR8" s="133"/>
      <c r="EOS8" s="133"/>
      <c r="EOT8" s="133"/>
      <c r="EOU8" s="133"/>
      <c r="EOV8" s="133"/>
      <c r="EOW8" s="133"/>
      <c r="EOX8" s="133"/>
      <c r="EOY8" s="133"/>
      <c r="EOZ8" s="133"/>
      <c r="EPA8" s="133"/>
      <c r="EPB8" s="133"/>
      <c r="EPC8" s="133"/>
      <c r="EPD8" s="133"/>
      <c r="EPE8" s="133"/>
      <c r="EPF8" s="133"/>
      <c r="EPG8" s="133"/>
      <c r="EPH8" s="133"/>
      <c r="EPI8" s="133"/>
      <c r="EPJ8" s="133"/>
      <c r="EPK8" s="133"/>
      <c r="EPL8" s="133"/>
      <c r="EPM8" s="133"/>
      <c r="EPN8" s="133"/>
      <c r="EPO8" s="133"/>
      <c r="EPP8" s="133"/>
      <c r="EPQ8" s="133"/>
      <c r="EPR8" s="133"/>
      <c r="EPS8" s="133"/>
      <c r="EPT8" s="133"/>
      <c r="EPU8" s="133"/>
      <c r="EPV8" s="133"/>
      <c r="EPW8" s="133"/>
      <c r="EPX8" s="133"/>
      <c r="EPY8" s="133"/>
      <c r="EPZ8" s="133"/>
      <c r="EQA8" s="133"/>
      <c r="EQB8" s="133"/>
      <c r="EQC8" s="133"/>
      <c r="EQD8" s="133"/>
      <c r="EQE8" s="133"/>
      <c r="EQF8" s="133"/>
      <c r="EQG8" s="133"/>
      <c r="EQH8" s="133"/>
      <c r="EQI8" s="133"/>
      <c r="EQJ8" s="133"/>
      <c r="EQK8" s="133"/>
      <c r="EQL8" s="133"/>
      <c r="EQM8" s="133"/>
      <c r="EQN8" s="133"/>
      <c r="EQO8" s="133"/>
      <c r="EQP8" s="133"/>
      <c r="EQQ8" s="133"/>
      <c r="EQR8" s="133"/>
      <c r="EQS8" s="133"/>
      <c r="EQT8" s="133"/>
      <c r="EQU8" s="133"/>
      <c r="EQV8" s="133"/>
      <c r="EQW8" s="133"/>
      <c r="EQX8" s="133"/>
      <c r="EQY8" s="133"/>
      <c r="EQZ8" s="133"/>
      <c r="ERA8" s="133"/>
      <c r="ERB8" s="133"/>
      <c r="ERC8" s="133"/>
      <c r="ERD8" s="133"/>
      <c r="ERE8" s="133"/>
      <c r="ERF8" s="133"/>
      <c r="ERG8" s="133"/>
      <c r="ERH8" s="133"/>
      <c r="ERI8" s="133"/>
      <c r="ERJ8" s="133"/>
      <c r="ERK8" s="133"/>
      <c r="ERL8" s="133"/>
      <c r="ERM8" s="133"/>
      <c r="ERN8" s="133"/>
      <c r="ERO8" s="133"/>
      <c r="ERP8" s="133"/>
      <c r="ERQ8" s="133"/>
      <c r="ERR8" s="133"/>
      <c r="ERS8" s="133"/>
      <c r="ERT8" s="133"/>
      <c r="ERU8" s="133"/>
      <c r="ERV8" s="133"/>
      <c r="ERW8" s="133"/>
      <c r="ERX8" s="133"/>
      <c r="ERY8" s="133"/>
      <c r="ERZ8" s="133"/>
      <c r="ESA8" s="133"/>
      <c r="ESB8" s="133"/>
      <c r="ESC8" s="133"/>
      <c r="ESD8" s="133"/>
      <c r="ESE8" s="133"/>
      <c r="ESF8" s="133"/>
      <c r="ESG8" s="133"/>
      <c r="ESH8" s="133"/>
      <c r="ESI8" s="133"/>
      <c r="ESJ8" s="133"/>
      <c r="ESK8" s="133"/>
      <c r="ESL8" s="133"/>
      <c r="ESM8" s="133"/>
      <c r="ESN8" s="133"/>
      <c r="ESO8" s="133"/>
      <c r="ESP8" s="133"/>
      <c r="ESQ8" s="133"/>
      <c r="ESR8" s="133"/>
      <c r="ESS8" s="133"/>
      <c r="EST8" s="133"/>
      <c r="ESU8" s="133"/>
      <c r="ESV8" s="133"/>
      <c r="ESW8" s="133"/>
      <c r="ESX8" s="133"/>
      <c r="ESY8" s="133"/>
      <c r="ESZ8" s="133"/>
      <c r="ETA8" s="133"/>
      <c r="ETB8" s="133"/>
      <c r="ETC8" s="133"/>
      <c r="ETD8" s="133"/>
      <c r="ETE8" s="133"/>
      <c r="ETF8" s="133"/>
      <c r="ETG8" s="133"/>
      <c r="ETH8" s="133"/>
      <c r="ETI8" s="133"/>
      <c r="ETJ8" s="133"/>
      <c r="ETK8" s="133"/>
      <c r="ETL8" s="133"/>
      <c r="ETM8" s="133"/>
      <c r="ETN8" s="133"/>
      <c r="ETO8" s="133"/>
      <c r="ETP8" s="133"/>
      <c r="ETQ8" s="133"/>
      <c r="ETR8" s="133"/>
      <c r="ETS8" s="133"/>
      <c r="ETT8" s="133"/>
      <c r="ETU8" s="133"/>
      <c r="ETV8" s="133"/>
      <c r="ETW8" s="133"/>
      <c r="ETX8" s="133"/>
      <c r="ETY8" s="133"/>
      <c r="ETZ8" s="133"/>
      <c r="EUA8" s="133"/>
      <c r="EUB8" s="133"/>
      <c r="EUC8" s="133"/>
      <c r="EUD8" s="133"/>
      <c r="EUE8" s="133"/>
      <c r="EUF8" s="133"/>
      <c r="EUG8" s="133"/>
      <c r="EUH8" s="133"/>
      <c r="EUI8" s="133"/>
      <c r="EUJ8" s="133"/>
      <c r="EUK8" s="133"/>
      <c r="EUL8" s="133"/>
      <c r="EUM8" s="133"/>
      <c r="EUN8" s="133"/>
      <c r="EUO8" s="133"/>
      <c r="EUP8" s="133"/>
      <c r="EUQ8" s="133"/>
      <c r="EUR8" s="133"/>
      <c r="EUS8" s="133"/>
      <c r="EUT8" s="133"/>
      <c r="EUU8" s="133"/>
      <c r="EUV8" s="133"/>
      <c r="EUW8" s="133"/>
      <c r="EUX8" s="133"/>
      <c r="EUY8" s="133"/>
      <c r="EUZ8" s="133"/>
      <c r="EVA8" s="133"/>
      <c r="EVB8" s="133"/>
      <c r="EVC8" s="133"/>
      <c r="EVD8" s="133"/>
      <c r="EVE8" s="133"/>
      <c r="EVF8" s="133"/>
      <c r="EVG8" s="133"/>
      <c r="EVH8" s="133"/>
      <c r="EVI8" s="133"/>
      <c r="EVJ8" s="133"/>
      <c r="EVK8" s="133"/>
      <c r="EVL8" s="133"/>
      <c r="EVM8" s="133"/>
      <c r="EVN8" s="133"/>
      <c r="EVO8" s="133"/>
      <c r="EVP8" s="133"/>
      <c r="EVQ8" s="133"/>
      <c r="EVR8" s="133"/>
      <c r="EVS8" s="133"/>
      <c r="EVT8" s="133"/>
      <c r="EVU8" s="133"/>
      <c r="EVV8" s="133"/>
      <c r="EVW8" s="133"/>
      <c r="EVX8" s="133"/>
      <c r="EVY8" s="133"/>
      <c r="EVZ8" s="133"/>
      <c r="EWA8" s="133"/>
      <c r="EWB8" s="133"/>
      <c r="EWC8" s="133"/>
      <c r="EWD8" s="133"/>
      <c r="EWE8" s="133"/>
      <c r="EWF8" s="133"/>
      <c r="EWG8" s="133"/>
      <c r="EWH8" s="133"/>
      <c r="EWI8" s="133"/>
      <c r="EWJ8" s="133"/>
      <c r="EWK8" s="133"/>
      <c r="EWL8" s="133"/>
      <c r="EWM8" s="133"/>
      <c r="EWN8" s="133"/>
      <c r="EWO8" s="133"/>
      <c r="EWP8" s="133"/>
      <c r="EWQ8" s="133"/>
      <c r="EWR8" s="133"/>
      <c r="EWS8" s="133"/>
      <c r="EWT8" s="133"/>
      <c r="EWU8" s="133"/>
      <c r="EWV8" s="133"/>
      <c r="EWW8" s="133"/>
      <c r="EWX8" s="133"/>
      <c r="EWY8" s="133"/>
      <c r="EWZ8" s="133"/>
      <c r="EXA8" s="133"/>
      <c r="EXB8" s="133"/>
      <c r="EXC8" s="133"/>
      <c r="EXD8" s="133"/>
      <c r="EXE8" s="133"/>
      <c r="EXF8" s="133"/>
      <c r="EXG8" s="133"/>
      <c r="EXH8" s="133"/>
      <c r="EXI8" s="133"/>
      <c r="EXJ8" s="133"/>
      <c r="EXK8" s="133"/>
      <c r="EXL8" s="133"/>
      <c r="EXM8" s="133"/>
      <c r="EXN8" s="133"/>
      <c r="EXO8" s="133"/>
      <c r="EXP8" s="133"/>
      <c r="EXQ8" s="133"/>
      <c r="EXR8" s="133"/>
      <c r="EXS8" s="133"/>
      <c r="EXT8" s="133"/>
      <c r="EXU8" s="133"/>
      <c r="EXV8" s="133"/>
      <c r="EXW8" s="133"/>
      <c r="EXX8" s="133"/>
      <c r="EXY8" s="133"/>
      <c r="EXZ8" s="133"/>
      <c r="EYA8" s="133"/>
      <c r="EYB8" s="133"/>
      <c r="EYC8" s="133"/>
      <c r="EYD8" s="133"/>
      <c r="EYE8" s="133"/>
      <c r="EYF8" s="133"/>
      <c r="EYG8" s="133"/>
      <c r="EYH8" s="133"/>
      <c r="EYI8" s="133"/>
      <c r="EYJ8" s="133"/>
      <c r="EYK8" s="133"/>
      <c r="EYL8" s="133"/>
      <c r="EYM8" s="133"/>
      <c r="EYN8" s="133"/>
      <c r="EYO8" s="133"/>
      <c r="EYP8" s="133"/>
      <c r="EYQ8" s="133"/>
      <c r="EYR8" s="133"/>
      <c r="EYS8" s="133"/>
      <c r="EYT8" s="133"/>
      <c r="EYU8" s="133"/>
      <c r="EYV8" s="133"/>
      <c r="EYW8" s="133"/>
      <c r="EYX8" s="133"/>
      <c r="EYY8" s="133"/>
      <c r="EYZ8" s="133"/>
      <c r="EZA8" s="133"/>
      <c r="EZB8" s="133"/>
      <c r="EZC8" s="133"/>
      <c r="EZD8" s="133"/>
      <c r="EZE8" s="133"/>
      <c r="EZF8" s="133"/>
      <c r="EZG8" s="133"/>
      <c r="EZH8" s="133"/>
      <c r="EZI8" s="133"/>
      <c r="EZJ8" s="133"/>
      <c r="EZK8" s="133"/>
      <c r="EZL8" s="133"/>
      <c r="EZM8" s="133"/>
      <c r="EZN8" s="133"/>
      <c r="EZO8" s="133"/>
      <c r="EZP8" s="133"/>
      <c r="EZQ8" s="133"/>
      <c r="EZR8" s="133"/>
      <c r="EZS8" s="133"/>
      <c r="EZT8" s="133"/>
      <c r="EZU8" s="133"/>
      <c r="EZV8" s="133"/>
      <c r="EZW8" s="133"/>
      <c r="EZX8" s="133"/>
      <c r="EZY8" s="133"/>
      <c r="EZZ8" s="133"/>
      <c r="FAA8" s="133"/>
      <c r="FAB8" s="133"/>
      <c r="FAC8" s="133"/>
      <c r="FAP8" s="133"/>
      <c r="FAQ8" s="133"/>
      <c r="FAR8" s="133"/>
      <c r="FAS8" s="133"/>
      <c r="FAT8" s="133"/>
      <c r="FAU8" s="133"/>
      <c r="FAV8" s="133"/>
      <c r="FAW8" s="133"/>
      <c r="FAX8" s="133"/>
      <c r="FAY8" s="133"/>
      <c r="FAZ8" s="133"/>
      <c r="FBA8" s="133"/>
      <c r="FBB8" s="133"/>
      <c r="FBC8" s="133"/>
      <c r="FBD8" s="133"/>
      <c r="FBE8" s="133"/>
      <c r="FBF8" s="133"/>
      <c r="FBG8" s="133"/>
      <c r="FBH8" s="133"/>
      <c r="FBI8" s="133"/>
      <c r="FBJ8" s="133"/>
      <c r="FBK8" s="133"/>
      <c r="FBL8" s="133"/>
      <c r="FBM8" s="133"/>
      <c r="FBN8" s="133"/>
      <c r="FBO8" s="133"/>
      <c r="FBP8" s="133"/>
      <c r="FBQ8" s="133"/>
      <c r="FBR8" s="133"/>
      <c r="FBS8" s="133"/>
      <c r="FBT8" s="133"/>
      <c r="FBU8" s="133"/>
      <c r="FBV8" s="133"/>
      <c r="FBW8" s="133"/>
      <c r="FBX8" s="133"/>
      <c r="FBY8" s="133"/>
      <c r="FBZ8" s="133"/>
      <c r="FCA8" s="133"/>
      <c r="FCB8" s="133"/>
      <c r="FCC8" s="133"/>
      <c r="FCD8" s="133"/>
      <c r="FCE8" s="133"/>
      <c r="FCF8" s="133"/>
      <c r="FCG8" s="133"/>
      <c r="FCH8" s="133"/>
      <c r="FCI8" s="133"/>
      <c r="FCJ8" s="133"/>
      <c r="FCK8" s="133"/>
      <c r="FCL8" s="133"/>
      <c r="FCM8" s="133"/>
      <c r="FCN8" s="133"/>
      <c r="FCO8" s="133"/>
      <c r="FCP8" s="133"/>
      <c r="FCQ8" s="133"/>
      <c r="FCR8" s="133"/>
      <c r="FCS8" s="133"/>
      <c r="FCT8" s="133"/>
      <c r="FCU8" s="133"/>
      <c r="FCV8" s="133"/>
      <c r="FCW8" s="133"/>
      <c r="FCX8" s="133"/>
      <c r="FCY8" s="133"/>
      <c r="FCZ8" s="133"/>
      <c r="FDA8" s="133"/>
      <c r="FDB8" s="133"/>
      <c r="FDC8" s="133"/>
      <c r="FDD8" s="133"/>
      <c r="FDE8" s="133"/>
      <c r="FDF8" s="133"/>
      <c r="FDG8" s="133"/>
      <c r="FDH8" s="133"/>
      <c r="FDI8" s="133"/>
      <c r="FDJ8" s="133"/>
      <c r="FDK8" s="133"/>
      <c r="FDL8" s="133"/>
      <c r="FDM8" s="133"/>
      <c r="FDN8" s="133"/>
      <c r="FDO8" s="133"/>
      <c r="FDP8" s="133"/>
      <c r="FDQ8" s="133"/>
      <c r="FDR8" s="133"/>
      <c r="FDS8" s="133"/>
      <c r="FDT8" s="133"/>
      <c r="FDU8" s="133"/>
      <c r="FDV8" s="133"/>
      <c r="FDW8" s="133"/>
      <c r="FDX8" s="133"/>
      <c r="FDY8" s="133"/>
      <c r="FDZ8" s="133"/>
      <c r="FEA8" s="133"/>
      <c r="FEB8" s="133"/>
      <c r="FEC8" s="133"/>
      <c r="FED8" s="133"/>
      <c r="FEE8" s="133"/>
      <c r="FEF8" s="133"/>
      <c r="FEG8" s="133"/>
      <c r="FEH8" s="133"/>
      <c r="FEI8" s="133"/>
      <c r="FEJ8" s="133"/>
      <c r="FEK8" s="133"/>
      <c r="FEL8" s="133"/>
      <c r="FEM8" s="133"/>
      <c r="FEN8" s="133"/>
      <c r="FEO8" s="133"/>
      <c r="FEP8" s="133"/>
      <c r="FEQ8" s="133"/>
      <c r="FER8" s="133"/>
      <c r="FES8" s="133"/>
      <c r="FET8" s="133"/>
      <c r="FEU8" s="133"/>
      <c r="FEV8" s="133"/>
      <c r="FEW8" s="133"/>
      <c r="FEX8" s="133"/>
      <c r="FEY8" s="133"/>
      <c r="FEZ8" s="133"/>
      <c r="FFA8" s="133"/>
      <c r="FFB8" s="133"/>
      <c r="FFC8" s="133"/>
      <c r="FFD8" s="133"/>
      <c r="FFE8" s="133"/>
      <c r="FFF8" s="133"/>
      <c r="FFG8" s="133"/>
      <c r="FFH8" s="133"/>
      <c r="FFI8" s="133"/>
      <c r="FFJ8" s="133"/>
      <c r="FFK8" s="133"/>
      <c r="FFL8" s="133"/>
      <c r="FFM8" s="133"/>
      <c r="FFN8" s="133"/>
      <c r="FFO8" s="133"/>
      <c r="FFP8" s="133"/>
      <c r="FFQ8" s="133"/>
      <c r="FFR8" s="133"/>
      <c r="FFS8" s="133"/>
      <c r="FFT8" s="133"/>
      <c r="FFU8" s="133"/>
      <c r="FFV8" s="133"/>
      <c r="FFW8" s="133"/>
      <c r="FFX8" s="133"/>
      <c r="FFY8" s="133"/>
      <c r="FFZ8" s="133"/>
      <c r="FGA8" s="133"/>
      <c r="FGB8" s="133"/>
      <c r="FGC8" s="133"/>
      <c r="FGD8" s="133"/>
      <c r="FGE8" s="133"/>
      <c r="FGF8" s="133"/>
      <c r="FGG8" s="133"/>
      <c r="FGH8" s="133"/>
      <c r="FGI8" s="133"/>
      <c r="FGJ8" s="133"/>
      <c r="FGK8" s="133"/>
      <c r="FGL8" s="133"/>
      <c r="FGM8" s="133"/>
      <c r="FGN8" s="133"/>
      <c r="FGO8" s="133"/>
      <c r="FGP8" s="133"/>
      <c r="FGQ8" s="133"/>
      <c r="FGR8" s="133"/>
      <c r="FGS8" s="133"/>
      <c r="FGT8" s="133"/>
      <c r="FGU8" s="133"/>
      <c r="FGV8" s="133"/>
      <c r="FGW8" s="133"/>
      <c r="FGX8" s="133"/>
      <c r="FGY8" s="133"/>
      <c r="FGZ8" s="133"/>
      <c r="FHA8" s="133"/>
      <c r="FHB8" s="133"/>
      <c r="FHC8" s="133"/>
      <c r="FHD8" s="133"/>
      <c r="FHE8" s="133"/>
      <c r="FHF8" s="133"/>
      <c r="FHG8" s="133"/>
      <c r="FHH8" s="133"/>
      <c r="FHI8" s="133"/>
      <c r="FHJ8" s="133"/>
      <c r="FHK8" s="133"/>
      <c r="FHL8" s="133"/>
      <c r="FHM8" s="133"/>
      <c r="FHN8" s="133"/>
      <c r="FHO8" s="133"/>
      <c r="FHP8" s="133"/>
      <c r="FHQ8" s="133"/>
      <c r="FHR8" s="133"/>
      <c r="FHS8" s="133"/>
      <c r="FHT8" s="133"/>
      <c r="FHU8" s="133"/>
      <c r="FHV8" s="133"/>
      <c r="FHW8" s="133"/>
      <c r="FHX8" s="133"/>
      <c r="FHY8" s="133"/>
      <c r="FHZ8" s="133"/>
      <c r="FIA8" s="133"/>
      <c r="FIB8" s="133"/>
      <c r="FIC8" s="133"/>
      <c r="FID8" s="133"/>
      <c r="FIE8" s="133"/>
      <c r="FIF8" s="133"/>
      <c r="FIG8" s="133"/>
      <c r="FIH8" s="133"/>
      <c r="FII8" s="133"/>
      <c r="FIJ8" s="133"/>
      <c r="FIK8" s="133"/>
      <c r="FIL8" s="133"/>
      <c r="FIM8" s="133"/>
      <c r="FIN8" s="133"/>
      <c r="FIO8" s="133"/>
      <c r="FIP8" s="133"/>
      <c r="FIQ8" s="133"/>
      <c r="FIR8" s="133"/>
      <c r="FIS8" s="133"/>
      <c r="FIT8" s="133"/>
      <c r="FIU8" s="133"/>
      <c r="FIV8" s="133"/>
      <c r="FIW8" s="133"/>
      <c r="FIX8" s="133"/>
      <c r="FIY8" s="133"/>
      <c r="FIZ8" s="133"/>
      <c r="FJA8" s="133"/>
      <c r="FJB8" s="133"/>
      <c r="FJC8" s="133"/>
      <c r="FJD8" s="133"/>
      <c r="FJE8" s="133"/>
      <c r="FJF8" s="133"/>
      <c r="FJG8" s="133"/>
      <c r="FJH8" s="133"/>
      <c r="FJI8" s="133"/>
      <c r="FJJ8" s="133"/>
      <c r="FJK8" s="133"/>
      <c r="FJL8" s="133"/>
      <c r="FJM8" s="133"/>
      <c r="FJN8" s="133"/>
      <c r="FJO8" s="133"/>
      <c r="FJP8" s="133"/>
      <c r="FJQ8" s="133"/>
      <c r="FJR8" s="133"/>
      <c r="FJS8" s="133"/>
      <c r="FJT8" s="133"/>
      <c r="FJU8" s="133"/>
      <c r="FJV8" s="133"/>
      <c r="FJW8" s="133"/>
      <c r="FJX8" s="133"/>
      <c r="FJY8" s="133"/>
      <c r="FJZ8" s="133"/>
      <c r="FKA8" s="133"/>
      <c r="FKB8" s="133"/>
      <c r="FKC8" s="133"/>
      <c r="FKD8" s="133"/>
      <c r="FKE8" s="133"/>
      <c r="FKF8" s="133"/>
      <c r="FKG8" s="133"/>
      <c r="FKH8" s="133"/>
      <c r="FKI8" s="133"/>
      <c r="FKJ8" s="133"/>
      <c r="FKK8" s="133"/>
      <c r="FKL8" s="133"/>
      <c r="FKM8" s="133"/>
      <c r="FKN8" s="133"/>
      <c r="FKO8" s="133"/>
      <c r="FKP8" s="133"/>
      <c r="FKQ8" s="133"/>
      <c r="FKR8" s="133"/>
      <c r="FKS8" s="133"/>
      <c r="FKT8" s="133"/>
      <c r="FKU8" s="133"/>
      <c r="FKV8" s="133"/>
      <c r="FKW8" s="133"/>
      <c r="FKX8" s="133"/>
      <c r="FKY8" s="133"/>
      <c r="FKZ8" s="133"/>
      <c r="FLA8" s="133"/>
      <c r="FLB8" s="133"/>
      <c r="FLC8" s="133"/>
      <c r="FLD8" s="133"/>
      <c r="FLE8" s="133"/>
      <c r="FLF8" s="133"/>
      <c r="FLG8" s="133"/>
      <c r="FLH8" s="133"/>
      <c r="FLI8" s="133"/>
      <c r="FLJ8" s="133"/>
      <c r="FLK8" s="133"/>
      <c r="FLL8" s="133"/>
      <c r="FLM8" s="133"/>
      <c r="FLN8" s="133"/>
      <c r="FLO8" s="133"/>
      <c r="FLP8" s="133"/>
      <c r="FLQ8" s="133"/>
      <c r="FLR8" s="133"/>
      <c r="FLS8" s="133"/>
      <c r="FLT8" s="133"/>
      <c r="FLU8" s="133"/>
      <c r="FLV8" s="133"/>
      <c r="FLW8" s="133"/>
      <c r="FLX8" s="133"/>
      <c r="FLY8" s="133"/>
      <c r="FLZ8" s="133"/>
      <c r="FMA8" s="133"/>
      <c r="FMB8" s="133"/>
      <c r="FMC8" s="133"/>
      <c r="FMD8" s="133"/>
      <c r="FME8" s="133"/>
      <c r="FMF8" s="133"/>
      <c r="FMG8" s="133"/>
      <c r="FMH8" s="133"/>
      <c r="FMI8" s="133"/>
      <c r="FMJ8" s="133"/>
      <c r="FMK8" s="133"/>
      <c r="FML8" s="133"/>
      <c r="FMM8" s="133"/>
      <c r="FMN8" s="133"/>
      <c r="FMO8" s="133"/>
      <c r="FMP8" s="133"/>
      <c r="FMQ8" s="133"/>
      <c r="FMR8" s="133"/>
      <c r="FMS8" s="133"/>
      <c r="FMT8" s="133"/>
      <c r="FMU8" s="133"/>
      <c r="FMV8" s="133"/>
      <c r="FMW8" s="133"/>
      <c r="FMX8" s="133"/>
      <c r="FMY8" s="133"/>
      <c r="FMZ8" s="133"/>
      <c r="FNA8" s="133"/>
      <c r="FNB8" s="133"/>
      <c r="FNC8" s="133"/>
      <c r="FND8" s="133"/>
      <c r="FNE8" s="133"/>
      <c r="FNF8" s="133"/>
      <c r="FNG8" s="133"/>
      <c r="FNH8" s="133"/>
      <c r="FNI8" s="133"/>
      <c r="FNJ8" s="133"/>
      <c r="FNK8" s="133"/>
      <c r="FNL8" s="133"/>
      <c r="FNM8" s="133"/>
      <c r="FNN8" s="133"/>
      <c r="FNO8" s="133"/>
      <c r="FNP8" s="133"/>
      <c r="FNQ8" s="133"/>
      <c r="FNR8" s="133"/>
      <c r="FNS8" s="133"/>
      <c r="FNT8" s="133"/>
      <c r="FNU8" s="133"/>
      <c r="FNV8" s="133"/>
      <c r="FNW8" s="133"/>
      <c r="FNX8" s="133"/>
      <c r="FNY8" s="133"/>
      <c r="FNZ8" s="133"/>
      <c r="FOA8" s="133"/>
      <c r="FOB8" s="133"/>
      <c r="FOC8" s="133"/>
      <c r="FOD8" s="133"/>
      <c r="FOE8" s="133"/>
      <c r="FOF8" s="133"/>
      <c r="FOG8" s="133"/>
      <c r="FOH8" s="133"/>
      <c r="FOI8" s="133"/>
      <c r="FOJ8" s="133"/>
      <c r="FOK8" s="133"/>
      <c r="FOL8" s="133"/>
      <c r="FOM8" s="133"/>
      <c r="FON8" s="133"/>
      <c r="FOO8" s="133"/>
      <c r="FOP8" s="133"/>
      <c r="FOQ8" s="133"/>
      <c r="FOR8" s="133"/>
      <c r="FOS8" s="133"/>
      <c r="FOT8" s="133"/>
      <c r="FOU8" s="133"/>
      <c r="FOV8" s="133"/>
      <c r="FOW8" s="133"/>
      <c r="FOX8" s="133"/>
      <c r="FOY8" s="133"/>
      <c r="FOZ8" s="133"/>
      <c r="FPA8" s="133"/>
      <c r="FPB8" s="133"/>
      <c r="FPC8" s="133"/>
      <c r="FPD8" s="133"/>
      <c r="FPE8" s="133"/>
      <c r="FPF8" s="133"/>
      <c r="FPG8" s="133"/>
      <c r="FPH8" s="133"/>
      <c r="FPI8" s="133"/>
      <c r="FPJ8" s="133"/>
      <c r="FPK8" s="133"/>
      <c r="FPL8" s="133"/>
      <c r="FPM8" s="133"/>
      <c r="FPN8" s="133"/>
      <c r="FPO8" s="133"/>
      <c r="FPP8" s="133"/>
      <c r="FPQ8" s="133"/>
      <c r="FPR8" s="133"/>
      <c r="FPS8" s="133"/>
      <c r="FPT8" s="133"/>
      <c r="FPU8" s="133"/>
      <c r="FPV8" s="133"/>
      <c r="FPW8" s="133"/>
      <c r="FPX8" s="133"/>
      <c r="FPY8" s="133"/>
      <c r="FPZ8" s="133"/>
      <c r="FQA8" s="133"/>
      <c r="FQB8" s="133"/>
      <c r="FQC8" s="133"/>
      <c r="FQD8" s="133"/>
      <c r="FQE8" s="133"/>
      <c r="FQF8" s="133"/>
      <c r="FQG8" s="133"/>
      <c r="FQH8" s="133"/>
      <c r="FQI8" s="133"/>
      <c r="FQJ8" s="133"/>
      <c r="FQK8" s="133"/>
      <c r="FQL8" s="133"/>
      <c r="FQM8" s="133"/>
      <c r="FQN8" s="133"/>
      <c r="FQO8" s="133"/>
      <c r="FQP8" s="133"/>
      <c r="FQQ8" s="133"/>
      <c r="FQR8" s="133"/>
      <c r="FQS8" s="133"/>
      <c r="FQT8" s="133"/>
      <c r="FQU8" s="133"/>
      <c r="FQV8" s="133"/>
      <c r="FQW8" s="133"/>
      <c r="FQX8" s="133"/>
      <c r="FQY8" s="133"/>
      <c r="FQZ8" s="133"/>
      <c r="FRA8" s="133"/>
      <c r="FRB8" s="133"/>
      <c r="FRC8" s="133"/>
      <c r="FRD8" s="133"/>
      <c r="FRE8" s="133"/>
      <c r="FRF8" s="133"/>
      <c r="FRG8" s="133"/>
      <c r="FRH8" s="133"/>
      <c r="FRI8" s="133"/>
      <c r="FRJ8" s="133"/>
      <c r="FRK8" s="133"/>
      <c r="FRL8" s="133"/>
      <c r="FRM8" s="133"/>
      <c r="FRN8" s="133"/>
      <c r="FRO8" s="133"/>
      <c r="FRP8" s="133"/>
      <c r="FRQ8" s="133"/>
      <c r="FRR8" s="133"/>
      <c r="FRS8" s="133"/>
      <c r="FRT8" s="133"/>
      <c r="FRU8" s="133"/>
      <c r="FRV8" s="133"/>
      <c r="FRW8" s="133"/>
      <c r="FRX8" s="133"/>
      <c r="FRY8" s="133"/>
      <c r="FRZ8" s="133"/>
      <c r="FSA8" s="133"/>
      <c r="FSB8" s="133"/>
      <c r="FSC8" s="133"/>
      <c r="FSD8" s="133"/>
      <c r="FSE8" s="133"/>
      <c r="FSF8" s="133"/>
      <c r="FSG8" s="133"/>
      <c r="FSH8" s="133"/>
      <c r="FSI8" s="133"/>
      <c r="FSJ8" s="133"/>
      <c r="FSK8" s="133"/>
      <c r="FSL8" s="133"/>
      <c r="FSM8" s="133"/>
      <c r="FSN8" s="133"/>
      <c r="FSO8" s="133"/>
      <c r="FSP8" s="133"/>
      <c r="FSQ8" s="133"/>
      <c r="FSR8" s="133"/>
      <c r="FSS8" s="133"/>
      <c r="FST8" s="133"/>
      <c r="FSU8" s="133"/>
      <c r="FSV8" s="133"/>
      <c r="FSW8" s="133"/>
      <c r="FSX8" s="133"/>
      <c r="FSY8" s="133"/>
      <c r="FSZ8" s="133"/>
      <c r="FTA8" s="133"/>
      <c r="FTB8" s="133"/>
      <c r="FTC8" s="133"/>
      <c r="FTD8" s="133"/>
      <c r="FTE8" s="133"/>
      <c r="FTF8" s="133"/>
      <c r="FTG8" s="133"/>
      <c r="FTH8" s="133"/>
      <c r="FTI8" s="133"/>
      <c r="FTJ8" s="133"/>
      <c r="FTK8" s="133"/>
      <c r="FTL8" s="133"/>
      <c r="FTM8" s="133"/>
      <c r="FTN8" s="133"/>
      <c r="FTO8" s="133"/>
      <c r="FTP8" s="133"/>
      <c r="FTQ8" s="133"/>
      <c r="FTR8" s="133"/>
      <c r="FTS8" s="133"/>
      <c r="FTT8" s="133"/>
      <c r="FTU8" s="133"/>
      <c r="FTV8" s="133"/>
      <c r="FTW8" s="133"/>
      <c r="FTX8" s="133"/>
      <c r="FTY8" s="133"/>
      <c r="FTZ8" s="133"/>
      <c r="FUA8" s="133"/>
      <c r="FUB8" s="133"/>
      <c r="FUC8" s="133"/>
      <c r="FUD8" s="133"/>
      <c r="FUE8" s="133"/>
      <c r="FUF8" s="133"/>
      <c r="FUG8" s="133"/>
      <c r="FUH8" s="133"/>
      <c r="FUI8" s="133"/>
      <c r="FUJ8" s="133"/>
      <c r="FUK8" s="133"/>
      <c r="FUL8" s="133"/>
      <c r="FUM8" s="133"/>
      <c r="FUN8" s="133"/>
      <c r="FUO8" s="133"/>
      <c r="FUP8" s="133"/>
      <c r="FUQ8" s="133"/>
      <c r="FUR8" s="133"/>
      <c r="FUS8" s="133"/>
      <c r="FUT8" s="133"/>
      <c r="FUU8" s="133"/>
      <c r="FUV8" s="133"/>
      <c r="FUW8" s="133"/>
      <c r="FUX8" s="133"/>
      <c r="FUY8" s="133"/>
      <c r="FUZ8" s="133"/>
      <c r="FVA8" s="133"/>
      <c r="FVB8" s="133"/>
      <c r="FVC8" s="133"/>
      <c r="FVD8" s="133"/>
      <c r="FVE8" s="133"/>
      <c r="FVF8" s="133"/>
      <c r="FVG8" s="133"/>
      <c r="FVH8" s="133"/>
      <c r="FVI8" s="133"/>
      <c r="FVJ8" s="133"/>
      <c r="FVK8" s="133"/>
      <c r="FVL8" s="133"/>
      <c r="FVM8" s="133"/>
      <c r="FVN8" s="133"/>
      <c r="FVO8" s="133"/>
      <c r="FVP8" s="133"/>
      <c r="FVQ8" s="133"/>
      <c r="FVR8" s="133"/>
      <c r="FVS8" s="133"/>
      <c r="FVT8" s="133"/>
      <c r="FVU8" s="133"/>
      <c r="FVV8" s="133"/>
      <c r="FVW8" s="133"/>
      <c r="FVX8" s="133"/>
      <c r="FVY8" s="133"/>
      <c r="FVZ8" s="133"/>
      <c r="FWA8" s="133"/>
      <c r="FWB8" s="133"/>
      <c r="FWC8" s="133"/>
      <c r="FWD8" s="133"/>
      <c r="FWE8" s="133"/>
      <c r="FWF8" s="133"/>
      <c r="FWG8" s="133"/>
      <c r="FWH8" s="133"/>
      <c r="FWI8" s="133"/>
      <c r="FWJ8" s="133"/>
      <c r="FWK8" s="133"/>
      <c r="FWL8" s="133"/>
      <c r="FWM8" s="133"/>
      <c r="FWN8" s="133"/>
      <c r="FWO8" s="133"/>
      <c r="FWP8" s="133"/>
      <c r="FWQ8" s="133"/>
      <c r="FWR8" s="133"/>
      <c r="FWS8" s="133"/>
      <c r="FWT8" s="133"/>
      <c r="FWU8" s="133"/>
      <c r="FWV8" s="133"/>
      <c r="FWW8" s="133"/>
      <c r="FWX8" s="133"/>
      <c r="FWY8" s="133"/>
      <c r="FWZ8" s="133"/>
      <c r="FXA8" s="133"/>
      <c r="FXB8" s="133"/>
      <c r="FXC8" s="133"/>
      <c r="FXD8" s="133"/>
      <c r="FXE8" s="133"/>
      <c r="FXF8" s="133"/>
      <c r="FXG8" s="133"/>
      <c r="FXH8" s="133"/>
      <c r="FXI8" s="133"/>
      <c r="FXJ8" s="133"/>
      <c r="FXK8" s="133"/>
      <c r="FXL8" s="133"/>
      <c r="FXM8" s="133"/>
      <c r="FXN8" s="133"/>
      <c r="FXO8" s="133"/>
      <c r="FXP8" s="133"/>
      <c r="FXQ8" s="133"/>
      <c r="FXR8" s="133"/>
      <c r="FXS8" s="133"/>
      <c r="FXT8" s="133"/>
      <c r="FXU8" s="133"/>
      <c r="FXV8" s="133"/>
      <c r="FXW8" s="133"/>
      <c r="FXX8" s="133"/>
      <c r="FXY8" s="133"/>
      <c r="FXZ8" s="133"/>
      <c r="FYA8" s="133"/>
      <c r="FYB8" s="133"/>
      <c r="FYC8" s="133"/>
      <c r="FYD8" s="133"/>
      <c r="FYE8" s="133"/>
      <c r="FYF8" s="133"/>
      <c r="FYG8" s="133"/>
      <c r="FYH8" s="133"/>
      <c r="FYI8" s="133"/>
      <c r="FYJ8" s="133"/>
      <c r="FYK8" s="133"/>
      <c r="FYL8" s="133"/>
      <c r="FYM8" s="133"/>
      <c r="FYN8" s="133"/>
      <c r="FYO8" s="133"/>
      <c r="FYP8" s="133"/>
      <c r="FYQ8" s="133"/>
      <c r="FYR8" s="133"/>
      <c r="FYS8" s="133"/>
      <c r="FYT8" s="133"/>
      <c r="FYU8" s="133"/>
      <c r="FYV8" s="133"/>
      <c r="FYW8" s="133"/>
      <c r="FYX8" s="133"/>
      <c r="FYY8" s="133"/>
      <c r="FYZ8" s="133"/>
      <c r="FZA8" s="133"/>
      <c r="FZB8" s="133"/>
      <c r="FZC8" s="133"/>
      <c r="FZD8" s="133"/>
      <c r="FZE8" s="133"/>
      <c r="FZF8" s="133"/>
      <c r="FZG8" s="133"/>
      <c r="FZH8" s="133"/>
      <c r="FZI8" s="133"/>
      <c r="FZJ8" s="133"/>
      <c r="FZK8" s="133"/>
      <c r="FZL8" s="133"/>
      <c r="FZM8" s="133"/>
      <c r="FZN8" s="133"/>
      <c r="FZO8" s="133"/>
      <c r="FZP8" s="133"/>
      <c r="FZQ8" s="133"/>
      <c r="FZR8" s="133"/>
      <c r="FZS8" s="133"/>
      <c r="FZT8" s="133"/>
      <c r="FZU8" s="133"/>
      <c r="FZV8" s="133"/>
      <c r="FZW8" s="133"/>
      <c r="FZX8" s="133"/>
      <c r="FZY8" s="133"/>
      <c r="FZZ8" s="133"/>
      <c r="GAA8" s="133"/>
      <c r="GAB8" s="133"/>
      <c r="GAC8" s="133"/>
      <c r="GAD8" s="133"/>
      <c r="GAE8" s="133"/>
      <c r="GAF8" s="133"/>
      <c r="GAG8" s="133"/>
      <c r="GAH8" s="133"/>
      <c r="GAI8" s="133"/>
      <c r="GAJ8" s="133"/>
      <c r="GAK8" s="133"/>
      <c r="GAL8" s="133"/>
      <c r="GAM8" s="133"/>
      <c r="GAN8" s="133"/>
      <c r="GAO8" s="133"/>
      <c r="GAP8" s="133"/>
      <c r="GAQ8" s="133"/>
      <c r="GAR8" s="133"/>
      <c r="GAS8" s="133"/>
      <c r="GAT8" s="133"/>
      <c r="GAU8" s="133"/>
      <c r="GAV8" s="133"/>
      <c r="GAW8" s="133"/>
      <c r="GAX8" s="133"/>
      <c r="GAY8" s="133"/>
      <c r="GAZ8" s="133"/>
      <c r="GBA8" s="133"/>
      <c r="GBB8" s="133"/>
      <c r="GBC8" s="133"/>
      <c r="GBD8" s="133"/>
      <c r="GBE8" s="133"/>
      <c r="GBF8" s="133"/>
      <c r="GBG8" s="133"/>
      <c r="GBH8" s="133"/>
      <c r="GBI8" s="133"/>
      <c r="GBJ8" s="133"/>
      <c r="GBK8" s="133"/>
      <c r="GBL8" s="133"/>
      <c r="GBM8" s="133"/>
      <c r="GBN8" s="133"/>
      <c r="GBO8" s="133"/>
      <c r="GBP8" s="133"/>
      <c r="GBQ8" s="133"/>
      <c r="GBR8" s="133"/>
      <c r="GBS8" s="133"/>
      <c r="GBT8" s="133"/>
      <c r="GBU8" s="133"/>
      <c r="GBV8" s="133"/>
      <c r="GBW8" s="133"/>
      <c r="GBX8" s="133"/>
      <c r="GBY8" s="133"/>
      <c r="GBZ8" s="133"/>
      <c r="GCA8" s="133"/>
      <c r="GCB8" s="133"/>
      <c r="GCC8" s="133"/>
      <c r="GCD8" s="133"/>
      <c r="GCE8" s="133"/>
      <c r="GCF8" s="133"/>
      <c r="GCG8" s="133"/>
      <c r="GCH8" s="133"/>
      <c r="GCI8" s="133"/>
      <c r="GCJ8" s="133"/>
      <c r="GCK8" s="133"/>
      <c r="GCL8" s="133"/>
      <c r="GCM8" s="133"/>
      <c r="GCN8" s="133"/>
      <c r="GCO8" s="133"/>
      <c r="GCP8" s="133"/>
      <c r="GCQ8" s="133"/>
      <c r="GCR8" s="133"/>
      <c r="GCS8" s="133"/>
      <c r="GCT8" s="133"/>
      <c r="GCU8" s="133"/>
      <c r="GCV8" s="133"/>
      <c r="GCW8" s="133"/>
      <c r="GCX8" s="133"/>
      <c r="GCY8" s="133"/>
      <c r="GCZ8" s="133"/>
      <c r="GDA8" s="133"/>
      <c r="GDB8" s="133"/>
      <c r="GDC8" s="133"/>
      <c r="GDD8" s="133"/>
      <c r="GDE8" s="133"/>
      <c r="GDF8" s="133"/>
      <c r="GDG8" s="133"/>
      <c r="GDH8" s="133"/>
      <c r="GDI8" s="133"/>
      <c r="GDJ8" s="133"/>
      <c r="GDK8" s="133"/>
      <c r="GDL8" s="133"/>
      <c r="GDM8" s="133"/>
      <c r="GDN8" s="133"/>
      <c r="GDO8" s="133"/>
      <c r="GDP8" s="133"/>
      <c r="GDQ8" s="133"/>
      <c r="GDR8" s="133"/>
      <c r="GDS8" s="133"/>
      <c r="GDT8" s="133"/>
      <c r="GDU8" s="133"/>
      <c r="GDV8" s="133"/>
      <c r="GDW8" s="133"/>
      <c r="GDX8" s="133"/>
      <c r="GDY8" s="133"/>
      <c r="GDZ8" s="133"/>
      <c r="GEA8" s="133"/>
      <c r="GEB8" s="133"/>
      <c r="GEC8" s="133"/>
      <c r="GED8" s="133"/>
      <c r="GEE8" s="133"/>
      <c r="GEF8" s="133"/>
      <c r="GEG8" s="133"/>
      <c r="GEH8" s="133"/>
      <c r="GEI8" s="133"/>
      <c r="GEJ8" s="133"/>
      <c r="GEK8" s="133"/>
      <c r="GEL8" s="133"/>
      <c r="GEM8" s="133"/>
      <c r="GEN8" s="133"/>
      <c r="GEO8" s="133"/>
      <c r="GEP8" s="133"/>
      <c r="GEQ8" s="133"/>
      <c r="GER8" s="133"/>
      <c r="GES8" s="133"/>
      <c r="GET8" s="133"/>
      <c r="GEU8" s="133"/>
      <c r="GEV8" s="133"/>
      <c r="GEW8" s="133"/>
      <c r="GEX8" s="133"/>
      <c r="GEY8" s="133"/>
      <c r="GEZ8" s="133"/>
      <c r="GFA8" s="133"/>
      <c r="GFB8" s="133"/>
      <c r="GFC8" s="133"/>
      <c r="GFD8" s="133"/>
      <c r="GFE8" s="133"/>
      <c r="GFF8" s="133"/>
      <c r="GFG8" s="133"/>
      <c r="GFH8" s="133"/>
      <c r="GFI8" s="133"/>
      <c r="GFJ8" s="133"/>
      <c r="GFK8" s="133"/>
      <c r="GFL8" s="133"/>
      <c r="GFM8" s="133"/>
      <c r="GFN8" s="133"/>
      <c r="GFO8" s="133"/>
      <c r="GFP8" s="133"/>
      <c r="GFQ8" s="133"/>
      <c r="GFR8" s="133"/>
      <c r="GFS8" s="133"/>
      <c r="GFT8" s="133"/>
      <c r="GFU8" s="133"/>
      <c r="GFV8" s="133"/>
      <c r="GFW8" s="133"/>
      <c r="GFX8" s="133"/>
      <c r="GFY8" s="133"/>
      <c r="GFZ8" s="133"/>
      <c r="GGA8" s="133"/>
      <c r="GGB8" s="133"/>
      <c r="GGC8" s="133"/>
      <c r="GGD8" s="133"/>
      <c r="GGE8" s="133"/>
      <c r="GGF8" s="133"/>
      <c r="GGG8" s="133"/>
      <c r="GGH8" s="133"/>
      <c r="GGI8" s="133"/>
      <c r="GGJ8" s="133"/>
      <c r="GGK8" s="133"/>
      <c r="GGL8" s="133"/>
      <c r="GGM8" s="133"/>
      <c r="GGN8" s="133"/>
      <c r="GGO8" s="133"/>
      <c r="GGP8" s="133"/>
      <c r="GGQ8" s="133"/>
      <c r="GGR8" s="133"/>
      <c r="GGS8" s="133"/>
      <c r="GGT8" s="133"/>
      <c r="GGU8" s="133"/>
      <c r="GGV8" s="133"/>
      <c r="GGW8" s="133"/>
      <c r="GGX8" s="133"/>
      <c r="GGY8" s="133"/>
      <c r="GGZ8" s="133"/>
      <c r="GHA8" s="133"/>
      <c r="GHB8" s="133"/>
      <c r="GHC8" s="133"/>
      <c r="GHD8" s="133"/>
      <c r="GHE8" s="133"/>
      <c r="GHF8" s="133"/>
      <c r="GHG8" s="133"/>
      <c r="GHH8" s="133"/>
      <c r="GHI8" s="133"/>
      <c r="GHJ8" s="133"/>
      <c r="GHK8" s="133"/>
      <c r="GHL8" s="133"/>
      <c r="GHM8" s="133"/>
      <c r="GHN8" s="133"/>
      <c r="GHO8" s="133"/>
      <c r="GHP8" s="133"/>
      <c r="GHQ8" s="133"/>
      <c r="GHR8" s="133"/>
      <c r="GHS8" s="133"/>
      <c r="GHT8" s="133"/>
      <c r="GHU8" s="133"/>
      <c r="GHV8" s="133"/>
      <c r="GHW8" s="133"/>
      <c r="GHX8" s="133"/>
      <c r="GHY8" s="133"/>
      <c r="GHZ8" s="133"/>
      <c r="GIA8" s="133"/>
      <c r="GIB8" s="133"/>
      <c r="GIC8" s="133"/>
      <c r="GID8" s="133"/>
      <c r="GIE8" s="133"/>
      <c r="GIF8" s="133"/>
      <c r="GIG8" s="133"/>
      <c r="GIH8" s="133"/>
      <c r="GII8" s="133"/>
      <c r="GIJ8" s="133"/>
      <c r="GIK8" s="133"/>
      <c r="GIL8" s="133"/>
      <c r="GIM8" s="133"/>
      <c r="GIN8" s="133"/>
      <c r="GIO8" s="133"/>
      <c r="GIP8" s="133"/>
      <c r="GIQ8" s="133"/>
      <c r="GIR8" s="133"/>
      <c r="GIS8" s="133"/>
      <c r="GIT8" s="133"/>
      <c r="GIU8" s="133"/>
      <c r="GIV8" s="133"/>
      <c r="GIW8" s="133"/>
      <c r="GIX8" s="133"/>
      <c r="GIY8" s="133"/>
      <c r="GIZ8" s="133"/>
      <c r="GJA8" s="133"/>
      <c r="GJB8" s="133"/>
      <c r="GJC8" s="133"/>
      <c r="GJD8" s="133"/>
      <c r="GJE8" s="133"/>
      <c r="GJF8" s="133"/>
      <c r="GJG8" s="133"/>
      <c r="GJH8" s="133"/>
      <c r="GJI8" s="133"/>
      <c r="GJJ8" s="133"/>
      <c r="GJK8" s="133"/>
      <c r="GJL8" s="133"/>
      <c r="GJM8" s="133"/>
      <c r="GJN8" s="133"/>
      <c r="GJO8" s="133"/>
      <c r="GJP8" s="133"/>
      <c r="GJQ8" s="133"/>
      <c r="GJR8" s="133"/>
      <c r="GJS8" s="133"/>
      <c r="GJT8" s="133"/>
      <c r="GJU8" s="133"/>
      <c r="GJV8" s="133"/>
      <c r="GJW8" s="133"/>
      <c r="GJX8" s="133"/>
      <c r="GJY8" s="133"/>
      <c r="GJZ8" s="133"/>
      <c r="GKA8" s="133"/>
      <c r="GKB8" s="133"/>
      <c r="GKC8" s="133"/>
      <c r="GKD8" s="133"/>
      <c r="GKE8" s="133"/>
      <c r="GKF8" s="133"/>
      <c r="GKG8" s="133"/>
      <c r="GKH8" s="133"/>
      <c r="GKI8" s="133"/>
      <c r="GKJ8" s="133"/>
      <c r="GKK8" s="133"/>
      <c r="GKL8" s="133"/>
      <c r="GKM8" s="133"/>
      <c r="GKN8" s="133"/>
      <c r="GKO8" s="133"/>
      <c r="GKP8" s="133"/>
      <c r="GKQ8" s="133"/>
      <c r="GKR8" s="133"/>
      <c r="GKS8" s="133"/>
      <c r="GKT8" s="133"/>
      <c r="GKU8" s="133"/>
      <c r="GKV8" s="133"/>
      <c r="GKW8" s="133"/>
      <c r="GKX8" s="133"/>
      <c r="GKY8" s="133"/>
      <c r="GKZ8" s="133"/>
      <c r="GLA8" s="133"/>
      <c r="GLB8" s="133"/>
      <c r="GLC8" s="133"/>
      <c r="GLD8" s="133"/>
      <c r="GLE8" s="133"/>
      <c r="GLF8" s="133"/>
      <c r="GLG8" s="133"/>
      <c r="GLH8" s="133"/>
      <c r="GLI8" s="133"/>
      <c r="GLJ8" s="133"/>
      <c r="GLK8" s="133"/>
      <c r="GLL8" s="133"/>
      <c r="GLM8" s="133"/>
      <c r="GLN8" s="133"/>
      <c r="GLO8" s="133"/>
      <c r="GLP8" s="133"/>
      <c r="GLQ8" s="133"/>
      <c r="GLR8" s="133"/>
      <c r="GLS8" s="133"/>
      <c r="GLT8" s="133"/>
      <c r="GLU8" s="133"/>
      <c r="GLV8" s="133"/>
      <c r="GLW8" s="133"/>
      <c r="GLX8" s="133"/>
      <c r="GLY8" s="133"/>
      <c r="GLZ8" s="133"/>
      <c r="GMA8" s="133"/>
      <c r="GMB8" s="133"/>
      <c r="GMC8" s="133"/>
      <c r="GMD8" s="133"/>
      <c r="GME8" s="133"/>
      <c r="GMF8" s="133"/>
      <c r="GMG8" s="133"/>
      <c r="GMH8" s="133"/>
      <c r="GMI8" s="133"/>
      <c r="GMJ8" s="133"/>
      <c r="GMK8" s="133"/>
      <c r="GML8" s="133"/>
      <c r="GMM8" s="133"/>
      <c r="GMN8" s="133"/>
      <c r="GMO8" s="133"/>
      <c r="GMP8" s="133"/>
      <c r="GMQ8" s="133"/>
      <c r="GMR8" s="133"/>
      <c r="GMS8" s="133"/>
      <c r="GMT8" s="133"/>
      <c r="GMU8" s="133"/>
      <c r="GMV8" s="133"/>
      <c r="GMW8" s="133"/>
      <c r="GMX8" s="133"/>
      <c r="GMY8" s="133"/>
      <c r="GMZ8" s="133"/>
      <c r="GNA8" s="133"/>
      <c r="GNB8" s="133"/>
      <c r="GNC8" s="133"/>
      <c r="GND8" s="133"/>
      <c r="GNE8" s="133"/>
      <c r="GNF8" s="133"/>
      <c r="GNG8" s="133"/>
      <c r="GNH8" s="133"/>
      <c r="GNI8" s="133"/>
      <c r="GNJ8" s="133"/>
      <c r="GNK8" s="133"/>
      <c r="GNL8" s="133"/>
      <c r="GNM8" s="133"/>
      <c r="GNZ8" s="133"/>
      <c r="GOA8" s="133"/>
      <c r="GOB8" s="133"/>
      <c r="GOC8" s="133"/>
      <c r="GOD8" s="133"/>
      <c r="GOE8" s="133"/>
      <c r="GOF8" s="133"/>
      <c r="GOG8" s="133"/>
      <c r="GOH8" s="133"/>
      <c r="GOI8" s="133"/>
      <c r="GOJ8" s="133"/>
      <c r="GOK8" s="133"/>
      <c r="GOL8" s="133"/>
      <c r="GOM8" s="133"/>
      <c r="GON8" s="133"/>
      <c r="GOO8" s="133"/>
      <c r="GOP8" s="133"/>
      <c r="GOQ8" s="133"/>
      <c r="GOR8" s="133"/>
      <c r="GOS8" s="133"/>
      <c r="GOT8" s="133"/>
      <c r="GOU8" s="133"/>
      <c r="GOV8" s="133"/>
      <c r="GOW8" s="133"/>
      <c r="GOX8" s="133"/>
      <c r="GOY8" s="133"/>
      <c r="GOZ8" s="133"/>
      <c r="GPA8" s="133"/>
      <c r="GPB8" s="133"/>
      <c r="GPC8" s="133"/>
      <c r="GPD8" s="133"/>
      <c r="GPE8" s="133"/>
      <c r="GPF8" s="133"/>
      <c r="GPG8" s="133"/>
      <c r="GPH8" s="133"/>
      <c r="GPI8" s="133"/>
      <c r="GPJ8" s="133"/>
      <c r="GPK8" s="133"/>
      <c r="GPL8" s="133"/>
      <c r="GPM8" s="133"/>
      <c r="GPN8" s="133"/>
      <c r="GPO8" s="133"/>
      <c r="GPP8" s="133"/>
      <c r="GPQ8" s="133"/>
      <c r="GPR8" s="133"/>
      <c r="GPS8" s="133"/>
      <c r="GPT8" s="133"/>
      <c r="GPU8" s="133"/>
      <c r="GPV8" s="133"/>
      <c r="GPW8" s="133"/>
      <c r="GPX8" s="133"/>
      <c r="GPY8" s="133"/>
      <c r="GPZ8" s="133"/>
      <c r="GQA8" s="133"/>
      <c r="GQB8" s="133"/>
      <c r="GQC8" s="133"/>
      <c r="GQD8" s="133"/>
      <c r="GQE8" s="133"/>
      <c r="GQF8" s="133"/>
      <c r="GQG8" s="133"/>
      <c r="GQH8" s="133"/>
      <c r="GQI8" s="133"/>
      <c r="GQJ8" s="133"/>
      <c r="GQK8" s="133"/>
      <c r="GQL8" s="133"/>
      <c r="GQM8" s="133"/>
      <c r="GQN8" s="133"/>
      <c r="GQO8" s="133"/>
      <c r="GQP8" s="133"/>
      <c r="GQQ8" s="133"/>
      <c r="GQR8" s="133"/>
      <c r="GQS8" s="133"/>
      <c r="GQT8" s="133"/>
      <c r="GQU8" s="133"/>
      <c r="GQV8" s="133"/>
      <c r="GQW8" s="133"/>
      <c r="GQX8" s="133"/>
      <c r="GQY8" s="133"/>
      <c r="GQZ8" s="133"/>
      <c r="GRA8" s="133"/>
      <c r="GRB8" s="133"/>
      <c r="GRC8" s="133"/>
      <c r="GRD8" s="133"/>
      <c r="GRE8" s="133"/>
      <c r="GRF8" s="133"/>
      <c r="GRG8" s="133"/>
      <c r="GRH8" s="133"/>
      <c r="GRI8" s="133"/>
      <c r="GRJ8" s="133"/>
      <c r="GRK8" s="133"/>
      <c r="GRL8" s="133"/>
      <c r="GRM8" s="133"/>
      <c r="GRN8" s="133"/>
      <c r="GRO8" s="133"/>
      <c r="GRP8" s="133"/>
      <c r="GRQ8" s="133"/>
      <c r="GRR8" s="133"/>
      <c r="GRS8" s="133"/>
      <c r="GRT8" s="133"/>
      <c r="GRU8" s="133"/>
      <c r="GRV8" s="133"/>
      <c r="GRW8" s="133"/>
      <c r="GRX8" s="133"/>
      <c r="GRY8" s="133"/>
      <c r="GRZ8" s="133"/>
      <c r="GSA8" s="133"/>
      <c r="GSB8" s="133"/>
      <c r="GSC8" s="133"/>
      <c r="GSD8" s="133"/>
      <c r="GSE8" s="133"/>
      <c r="GSF8" s="133"/>
      <c r="GSG8" s="133"/>
      <c r="GSH8" s="133"/>
      <c r="GSI8" s="133"/>
      <c r="GSJ8" s="133"/>
      <c r="GSK8" s="133"/>
      <c r="GSL8" s="133"/>
      <c r="GSM8" s="133"/>
      <c r="GSN8" s="133"/>
      <c r="GSO8" s="133"/>
      <c r="GSP8" s="133"/>
      <c r="GSQ8" s="133"/>
      <c r="GSR8" s="133"/>
      <c r="GSS8" s="133"/>
      <c r="GST8" s="133"/>
      <c r="GSU8" s="133"/>
      <c r="GSV8" s="133"/>
      <c r="GSW8" s="133"/>
      <c r="GSX8" s="133"/>
      <c r="GSY8" s="133"/>
      <c r="GSZ8" s="133"/>
      <c r="GTA8" s="133"/>
      <c r="GTB8" s="133"/>
      <c r="GTC8" s="133"/>
      <c r="GTD8" s="133"/>
      <c r="GTE8" s="133"/>
      <c r="GTF8" s="133"/>
      <c r="GTG8" s="133"/>
      <c r="GTH8" s="133"/>
      <c r="GTI8" s="133"/>
      <c r="GTJ8" s="133"/>
      <c r="GTK8" s="133"/>
      <c r="GTL8" s="133"/>
      <c r="GTM8" s="133"/>
      <c r="GTN8" s="133"/>
      <c r="GTO8" s="133"/>
      <c r="GTP8" s="133"/>
      <c r="GTQ8" s="133"/>
      <c r="GTR8" s="133"/>
      <c r="GTS8" s="133"/>
      <c r="GTT8" s="133"/>
      <c r="GTU8" s="133"/>
      <c r="GTV8" s="133"/>
      <c r="GTW8" s="133"/>
      <c r="GTX8" s="133"/>
      <c r="GTY8" s="133"/>
      <c r="GTZ8" s="133"/>
      <c r="GUA8" s="133"/>
      <c r="GUB8" s="133"/>
      <c r="GUC8" s="133"/>
      <c r="GUD8" s="133"/>
      <c r="GUE8" s="133"/>
      <c r="GUF8" s="133"/>
      <c r="GUG8" s="133"/>
      <c r="GUH8" s="133"/>
      <c r="GUI8" s="133"/>
      <c r="GUJ8" s="133"/>
      <c r="GUK8" s="133"/>
      <c r="GUL8" s="133"/>
      <c r="GUM8" s="133"/>
      <c r="GUN8" s="133"/>
      <c r="GUO8" s="133"/>
      <c r="GUP8" s="133"/>
      <c r="GUQ8" s="133"/>
      <c r="GUR8" s="133"/>
      <c r="GUS8" s="133"/>
      <c r="GUT8" s="133"/>
      <c r="GUU8" s="133"/>
      <c r="GUV8" s="133"/>
      <c r="GUW8" s="133"/>
      <c r="GUX8" s="133"/>
      <c r="GUY8" s="133"/>
      <c r="GUZ8" s="133"/>
      <c r="GVA8" s="133"/>
      <c r="GVB8" s="133"/>
      <c r="GVC8" s="133"/>
      <c r="GVD8" s="133"/>
      <c r="GVE8" s="133"/>
      <c r="GVF8" s="133"/>
      <c r="GVG8" s="133"/>
      <c r="GVH8" s="133"/>
      <c r="GVI8" s="133"/>
      <c r="GVJ8" s="133"/>
      <c r="GVK8" s="133"/>
      <c r="GVL8" s="133"/>
      <c r="GVM8" s="133"/>
      <c r="GVN8" s="133"/>
      <c r="GVO8" s="133"/>
      <c r="GVP8" s="133"/>
      <c r="GVQ8" s="133"/>
      <c r="GVR8" s="133"/>
      <c r="GVS8" s="133"/>
      <c r="GVT8" s="133"/>
      <c r="GVU8" s="133"/>
      <c r="GVV8" s="133"/>
      <c r="GVW8" s="133"/>
      <c r="GVX8" s="133"/>
      <c r="GVY8" s="133"/>
      <c r="GVZ8" s="133"/>
      <c r="GWA8" s="133"/>
      <c r="GWB8" s="133"/>
      <c r="GWC8" s="133"/>
      <c r="GWD8" s="133"/>
      <c r="GWE8" s="133"/>
      <c r="GWF8" s="133"/>
      <c r="GWG8" s="133"/>
      <c r="GWH8" s="133"/>
      <c r="GWI8" s="133"/>
      <c r="GWJ8" s="133"/>
      <c r="GWK8" s="133"/>
      <c r="GWL8" s="133"/>
      <c r="GWM8" s="133"/>
      <c r="GWN8" s="133"/>
      <c r="GWO8" s="133"/>
      <c r="GWP8" s="133"/>
      <c r="GWQ8" s="133"/>
      <c r="GWR8" s="133"/>
      <c r="GWS8" s="133"/>
      <c r="GWT8" s="133"/>
      <c r="GWU8" s="133"/>
      <c r="GWV8" s="133"/>
      <c r="GWW8" s="133"/>
      <c r="GWX8" s="133"/>
      <c r="GWY8" s="133"/>
      <c r="GWZ8" s="133"/>
      <c r="GXA8" s="133"/>
      <c r="GXB8" s="133"/>
      <c r="GXC8" s="133"/>
      <c r="GXD8" s="133"/>
      <c r="GXE8" s="133"/>
      <c r="GXF8" s="133"/>
      <c r="GXG8" s="133"/>
      <c r="GXH8" s="133"/>
      <c r="GXI8" s="133"/>
      <c r="GXJ8" s="133"/>
      <c r="GXK8" s="133"/>
      <c r="GXL8" s="133"/>
      <c r="GXM8" s="133"/>
      <c r="GXN8" s="133"/>
      <c r="GXO8" s="133"/>
      <c r="GXP8" s="133"/>
      <c r="GXQ8" s="133"/>
      <c r="GXR8" s="133"/>
      <c r="GXS8" s="133"/>
      <c r="GXT8" s="133"/>
      <c r="GXU8" s="133"/>
      <c r="GXV8" s="133"/>
      <c r="GXW8" s="133"/>
      <c r="GXX8" s="133"/>
      <c r="GXY8" s="133"/>
      <c r="GXZ8" s="133"/>
      <c r="GYA8" s="133"/>
      <c r="GYB8" s="133"/>
      <c r="GYC8" s="133"/>
      <c r="GYD8" s="133"/>
      <c r="GYE8" s="133"/>
      <c r="GYF8" s="133"/>
      <c r="GYG8" s="133"/>
      <c r="GYH8" s="133"/>
      <c r="GYI8" s="133"/>
      <c r="GYJ8" s="133"/>
      <c r="GYK8" s="133"/>
      <c r="GYL8" s="133"/>
      <c r="GYM8" s="133"/>
      <c r="GYN8" s="133"/>
      <c r="GYO8" s="133"/>
      <c r="GYP8" s="133"/>
      <c r="GYQ8" s="133"/>
      <c r="GYR8" s="133"/>
      <c r="GYS8" s="133"/>
      <c r="GYT8" s="133"/>
      <c r="GYU8" s="133"/>
      <c r="GYV8" s="133"/>
      <c r="GYW8" s="133"/>
      <c r="GYX8" s="133"/>
      <c r="GYY8" s="133"/>
      <c r="GYZ8" s="133"/>
      <c r="GZA8" s="133"/>
      <c r="GZB8" s="133"/>
      <c r="GZC8" s="133"/>
      <c r="GZD8" s="133"/>
      <c r="GZE8" s="133"/>
      <c r="GZF8" s="133"/>
      <c r="GZG8" s="133"/>
      <c r="GZH8" s="133"/>
      <c r="GZI8" s="133"/>
      <c r="GZJ8" s="133"/>
      <c r="GZK8" s="133"/>
      <c r="GZL8" s="133"/>
      <c r="GZM8" s="133"/>
      <c r="GZN8" s="133"/>
      <c r="GZO8" s="133"/>
      <c r="GZP8" s="133"/>
      <c r="GZQ8" s="133"/>
      <c r="GZR8" s="133"/>
      <c r="GZS8" s="133"/>
      <c r="GZT8" s="133"/>
      <c r="GZU8" s="133"/>
      <c r="GZV8" s="133"/>
      <c r="GZW8" s="133"/>
      <c r="GZX8" s="133"/>
      <c r="GZY8" s="133"/>
      <c r="GZZ8" s="133"/>
      <c r="HAA8" s="133"/>
      <c r="HAB8" s="133"/>
      <c r="HAC8" s="133"/>
      <c r="HAD8" s="133"/>
      <c r="HAE8" s="133"/>
      <c r="HAF8" s="133"/>
      <c r="HAG8" s="133"/>
      <c r="HAH8" s="133"/>
      <c r="HAI8" s="133"/>
      <c r="HAJ8" s="133"/>
      <c r="HAK8" s="133"/>
      <c r="HAL8" s="133"/>
      <c r="HAM8" s="133"/>
      <c r="HAN8" s="133"/>
      <c r="HAO8" s="133"/>
      <c r="HAP8" s="133"/>
      <c r="HAQ8" s="133"/>
      <c r="HAR8" s="133"/>
      <c r="HAS8" s="133"/>
      <c r="HAT8" s="133"/>
      <c r="HAU8" s="133"/>
      <c r="HAV8" s="133"/>
      <c r="HAW8" s="133"/>
      <c r="HAX8" s="133"/>
      <c r="HAY8" s="133"/>
      <c r="HAZ8" s="133"/>
      <c r="HBA8" s="133"/>
      <c r="HBB8" s="133"/>
      <c r="HBC8" s="133"/>
      <c r="HBD8" s="133"/>
      <c r="HBE8" s="133"/>
      <c r="HBF8" s="133"/>
      <c r="HBG8" s="133"/>
      <c r="HBH8" s="133"/>
      <c r="HBI8" s="133"/>
      <c r="HBJ8" s="133"/>
      <c r="HBK8" s="133"/>
      <c r="HBL8" s="133"/>
      <c r="HBM8" s="133"/>
      <c r="HBN8" s="133"/>
      <c r="HBO8" s="133"/>
      <c r="HBP8" s="133"/>
      <c r="HBQ8" s="133"/>
      <c r="HBR8" s="133"/>
      <c r="HBS8" s="133"/>
      <c r="HBT8" s="133"/>
      <c r="HBU8" s="133"/>
      <c r="HBV8" s="133"/>
      <c r="HBW8" s="133"/>
      <c r="HBX8" s="133"/>
      <c r="HBY8" s="133"/>
      <c r="HBZ8" s="133"/>
      <c r="HCA8" s="133"/>
      <c r="HCB8" s="133"/>
      <c r="HCC8" s="133"/>
      <c r="HCD8" s="133"/>
      <c r="HCE8" s="133"/>
      <c r="HCF8" s="133"/>
      <c r="HCG8" s="133"/>
      <c r="HCH8" s="133"/>
      <c r="HCI8" s="133"/>
      <c r="HCJ8" s="133"/>
      <c r="HCK8" s="133"/>
      <c r="HCL8" s="133"/>
      <c r="HCM8" s="133"/>
      <c r="HCN8" s="133"/>
      <c r="HCO8" s="133"/>
      <c r="HCP8" s="133"/>
      <c r="HCQ8" s="133"/>
      <c r="HCR8" s="133"/>
      <c r="HCS8" s="133"/>
      <c r="HCT8" s="133"/>
      <c r="HCU8" s="133"/>
      <c r="HCV8" s="133"/>
      <c r="HCW8" s="133"/>
      <c r="HCX8" s="133"/>
      <c r="HCY8" s="133"/>
      <c r="HCZ8" s="133"/>
      <c r="HDA8" s="133"/>
      <c r="HDB8" s="133"/>
      <c r="HDC8" s="133"/>
      <c r="HDD8" s="133"/>
      <c r="HDE8" s="133"/>
      <c r="HDF8" s="133"/>
      <c r="HDG8" s="133"/>
      <c r="HDH8" s="133"/>
      <c r="HDI8" s="133"/>
      <c r="HDJ8" s="133"/>
      <c r="HDK8" s="133"/>
      <c r="HDL8" s="133"/>
      <c r="HDM8" s="133"/>
      <c r="HDN8" s="133"/>
      <c r="HDO8" s="133"/>
      <c r="HDP8" s="133"/>
      <c r="HDQ8" s="133"/>
      <c r="HDR8" s="133"/>
      <c r="HDS8" s="133"/>
      <c r="HDT8" s="133"/>
      <c r="HDU8" s="133"/>
      <c r="HDV8" s="133"/>
      <c r="HDW8" s="133"/>
      <c r="HDX8" s="133"/>
      <c r="HDY8" s="133"/>
      <c r="HDZ8" s="133"/>
      <c r="HEA8" s="133"/>
      <c r="HEB8" s="133"/>
      <c r="HEC8" s="133"/>
      <c r="HED8" s="133"/>
      <c r="HEE8" s="133"/>
      <c r="HEF8" s="133"/>
      <c r="HEG8" s="133"/>
      <c r="HEH8" s="133"/>
      <c r="HEI8" s="133"/>
      <c r="HEJ8" s="133"/>
      <c r="HEK8" s="133"/>
      <c r="HEL8" s="133"/>
      <c r="HEM8" s="133"/>
      <c r="HEN8" s="133"/>
      <c r="HEO8" s="133"/>
      <c r="HEP8" s="133"/>
      <c r="HEQ8" s="133"/>
      <c r="HER8" s="133"/>
      <c r="HES8" s="133"/>
      <c r="HET8" s="133"/>
      <c r="HEU8" s="133"/>
      <c r="HEV8" s="133"/>
      <c r="HEW8" s="133"/>
      <c r="HEX8" s="133"/>
      <c r="HEY8" s="133"/>
      <c r="HEZ8" s="133"/>
      <c r="HFA8" s="133"/>
      <c r="HFB8" s="133"/>
      <c r="HFC8" s="133"/>
      <c r="HFD8" s="133"/>
      <c r="HFE8" s="133"/>
      <c r="HFF8" s="133"/>
      <c r="HFG8" s="133"/>
      <c r="HFH8" s="133"/>
      <c r="HFI8" s="133"/>
      <c r="HFJ8" s="133"/>
      <c r="HFK8" s="133"/>
      <c r="HFL8" s="133"/>
      <c r="HFM8" s="133"/>
      <c r="HFN8" s="133"/>
      <c r="HFO8" s="133"/>
      <c r="HFP8" s="133"/>
      <c r="HFQ8" s="133"/>
      <c r="HFR8" s="133"/>
      <c r="HFS8" s="133"/>
      <c r="HFT8" s="133"/>
      <c r="HFU8" s="133"/>
      <c r="HFV8" s="133"/>
      <c r="HFW8" s="133"/>
      <c r="HFX8" s="133"/>
      <c r="HFY8" s="133"/>
      <c r="HFZ8" s="133"/>
      <c r="HGA8" s="133"/>
      <c r="HGB8" s="133"/>
      <c r="HGC8" s="133"/>
      <c r="HGD8" s="133"/>
      <c r="HGE8" s="133"/>
      <c r="HGF8" s="133"/>
      <c r="HGG8" s="133"/>
      <c r="HGH8" s="133"/>
      <c r="HGI8" s="133"/>
      <c r="HGJ8" s="133"/>
      <c r="HGK8" s="133"/>
      <c r="HGL8" s="133"/>
      <c r="HGM8" s="133"/>
      <c r="HGN8" s="133"/>
      <c r="HGO8" s="133"/>
      <c r="HGP8" s="133"/>
      <c r="HGQ8" s="133"/>
      <c r="HGR8" s="133"/>
      <c r="HGS8" s="133"/>
      <c r="HGT8" s="133"/>
      <c r="HGU8" s="133"/>
      <c r="HGV8" s="133"/>
      <c r="HGW8" s="133"/>
      <c r="HGX8" s="133"/>
      <c r="HGY8" s="133"/>
      <c r="HGZ8" s="133"/>
      <c r="HHA8" s="133"/>
      <c r="HHB8" s="133"/>
      <c r="HHC8" s="133"/>
      <c r="HHD8" s="133"/>
      <c r="HHE8" s="133"/>
      <c r="HHF8" s="133"/>
      <c r="HHG8" s="133"/>
      <c r="HHH8" s="133"/>
      <c r="HHI8" s="133"/>
      <c r="HHJ8" s="133"/>
      <c r="HHK8" s="133"/>
      <c r="HHL8" s="133"/>
      <c r="HHM8" s="133"/>
      <c r="HHN8" s="133"/>
      <c r="HHO8" s="133"/>
      <c r="HHP8" s="133"/>
      <c r="HHQ8" s="133"/>
      <c r="HHR8" s="133"/>
      <c r="HHS8" s="133"/>
      <c r="HHT8" s="133"/>
      <c r="HHU8" s="133"/>
      <c r="HHV8" s="133"/>
      <c r="HHW8" s="133"/>
      <c r="HHX8" s="133"/>
      <c r="HHY8" s="133"/>
      <c r="HHZ8" s="133"/>
      <c r="HIA8" s="133"/>
      <c r="HIB8" s="133"/>
      <c r="HIC8" s="133"/>
      <c r="HID8" s="133"/>
      <c r="HIE8" s="133"/>
      <c r="HIF8" s="133"/>
      <c r="HIG8" s="133"/>
      <c r="HIH8" s="133"/>
      <c r="HII8" s="133"/>
      <c r="HIJ8" s="133"/>
      <c r="HIK8" s="133"/>
      <c r="HIL8" s="133"/>
      <c r="HIM8" s="133"/>
      <c r="HIN8" s="133"/>
      <c r="HIO8" s="133"/>
      <c r="HIP8" s="133"/>
      <c r="HIQ8" s="133"/>
      <c r="HIR8" s="133"/>
      <c r="HIS8" s="133"/>
      <c r="HIT8" s="133"/>
      <c r="HIU8" s="133"/>
      <c r="HIV8" s="133"/>
      <c r="HIW8" s="133"/>
      <c r="HIX8" s="133"/>
      <c r="HIY8" s="133"/>
      <c r="HIZ8" s="133"/>
      <c r="HJA8" s="133"/>
      <c r="HJB8" s="133"/>
      <c r="HJC8" s="133"/>
      <c r="HJD8" s="133"/>
      <c r="HJE8" s="133"/>
      <c r="HJF8" s="133"/>
      <c r="HJG8" s="133"/>
      <c r="HJH8" s="133"/>
      <c r="HJI8" s="133"/>
      <c r="HJJ8" s="133"/>
      <c r="HJK8" s="133"/>
      <c r="HJL8" s="133"/>
      <c r="HJM8" s="133"/>
      <c r="HJN8" s="133"/>
      <c r="HJO8" s="133"/>
      <c r="HJP8" s="133"/>
      <c r="HJQ8" s="133"/>
      <c r="HJR8" s="133"/>
      <c r="HJS8" s="133"/>
      <c r="HJT8" s="133"/>
      <c r="HJU8" s="133"/>
      <c r="HJV8" s="133"/>
      <c r="HJW8" s="133"/>
      <c r="HJX8" s="133"/>
      <c r="HJY8" s="133"/>
      <c r="HJZ8" s="133"/>
      <c r="HKA8" s="133"/>
      <c r="HKB8" s="133"/>
      <c r="HKC8" s="133"/>
      <c r="HKD8" s="133"/>
      <c r="HKE8" s="133"/>
      <c r="HKF8" s="133"/>
      <c r="HKG8" s="133"/>
      <c r="HKH8" s="133"/>
      <c r="HKI8" s="133"/>
      <c r="HKJ8" s="133"/>
      <c r="HKK8" s="133"/>
      <c r="HKL8" s="133"/>
      <c r="HKM8" s="133"/>
      <c r="HKN8" s="133"/>
      <c r="HKO8" s="133"/>
      <c r="HKP8" s="133"/>
      <c r="HKQ8" s="133"/>
      <c r="HKR8" s="133"/>
      <c r="HKS8" s="133"/>
      <c r="HKT8" s="133"/>
      <c r="HKU8" s="133"/>
      <c r="HKV8" s="133"/>
      <c r="HKW8" s="133"/>
      <c r="HKX8" s="133"/>
      <c r="HKY8" s="133"/>
      <c r="HKZ8" s="133"/>
      <c r="HLA8" s="133"/>
      <c r="HLB8" s="133"/>
      <c r="HLC8" s="133"/>
      <c r="HLD8" s="133"/>
      <c r="HLE8" s="133"/>
      <c r="HLF8" s="133"/>
      <c r="HLG8" s="133"/>
      <c r="HLH8" s="133"/>
      <c r="HLI8" s="133"/>
      <c r="HLJ8" s="133"/>
      <c r="HLK8" s="133"/>
      <c r="HLL8" s="133"/>
      <c r="HLM8" s="133"/>
      <c r="HLN8" s="133"/>
      <c r="HLO8" s="133"/>
      <c r="HLP8" s="133"/>
      <c r="HLQ8" s="133"/>
      <c r="HLR8" s="133"/>
      <c r="HLS8" s="133"/>
      <c r="HLT8" s="133"/>
      <c r="HLU8" s="133"/>
      <c r="HLV8" s="133"/>
      <c r="HLW8" s="133"/>
      <c r="HLX8" s="133"/>
      <c r="HLY8" s="133"/>
      <c r="HLZ8" s="133"/>
      <c r="HMA8" s="133"/>
      <c r="HMB8" s="133"/>
      <c r="HMC8" s="133"/>
      <c r="HMD8" s="133"/>
      <c r="HME8" s="133"/>
      <c r="HMF8" s="133"/>
      <c r="HMG8" s="133"/>
      <c r="HMH8" s="133"/>
      <c r="HMI8" s="133"/>
      <c r="HMJ8" s="133"/>
      <c r="HMK8" s="133"/>
      <c r="HML8" s="133"/>
      <c r="HMM8" s="133"/>
      <c r="HMN8" s="133"/>
      <c r="HMO8" s="133"/>
      <c r="HMP8" s="133"/>
      <c r="HMQ8" s="133"/>
      <c r="HMR8" s="133"/>
      <c r="HMS8" s="133"/>
      <c r="HMT8" s="133"/>
      <c r="HMU8" s="133"/>
      <c r="HMV8" s="133"/>
      <c r="HMW8" s="133"/>
      <c r="HMX8" s="133"/>
      <c r="HMY8" s="133"/>
      <c r="HMZ8" s="133"/>
      <c r="HNA8" s="133"/>
      <c r="HNB8" s="133"/>
      <c r="HNC8" s="133"/>
      <c r="HND8" s="133"/>
      <c r="HNE8" s="133"/>
      <c r="HNF8" s="133"/>
      <c r="HNG8" s="133"/>
      <c r="HNH8" s="133"/>
      <c r="HNI8" s="133"/>
      <c r="HNJ8" s="133"/>
      <c r="HNK8" s="133"/>
      <c r="HNL8" s="133"/>
      <c r="HNM8" s="133"/>
      <c r="HNN8" s="133"/>
      <c r="HNO8" s="133"/>
      <c r="HNP8" s="133"/>
      <c r="HNQ8" s="133"/>
      <c r="HNR8" s="133"/>
      <c r="HNS8" s="133"/>
      <c r="HNT8" s="133"/>
      <c r="HNU8" s="133"/>
      <c r="HNV8" s="133"/>
      <c r="HNW8" s="133"/>
      <c r="HNX8" s="133"/>
      <c r="HNY8" s="133"/>
      <c r="HNZ8" s="133"/>
      <c r="HOA8" s="133"/>
      <c r="HOB8" s="133"/>
      <c r="HOC8" s="133"/>
      <c r="HOD8" s="133"/>
      <c r="HOE8" s="133"/>
      <c r="HOF8" s="133"/>
      <c r="HOG8" s="133"/>
      <c r="HOH8" s="133"/>
      <c r="HOI8" s="133"/>
      <c r="HOJ8" s="133"/>
      <c r="HOK8" s="133"/>
      <c r="HOL8" s="133"/>
      <c r="HOM8" s="133"/>
      <c r="HON8" s="133"/>
      <c r="HOO8" s="133"/>
      <c r="HOP8" s="133"/>
      <c r="HOQ8" s="133"/>
      <c r="HOR8" s="133"/>
      <c r="HOS8" s="133"/>
      <c r="HOT8" s="133"/>
      <c r="HOU8" s="133"/>
      <c r="HOV8" s="133"/>
      <c r="HOW8" s="133"/>
      <c r="HOX8" s="133"/>
      <c r="HOY8" s="133"/>
      <c r="HOZ8" s="133"/>
      <c r="HPA8" s="133"/>
      <c r="HPB8" s="133"/>
      <c r="HPC8" s="133"/>
      <c r="HPD8" s="133"/>
      <c r="HPE8" s="133"/>
      <c r="HPF8" s="133"/>
      <c r="HPG8" s="133"/>
      <c r="HPH8" s="133"/>
      <c r="HPI8" s="133"/>
      <c r="HPJ8" s="133"/>
      <c r="HPK8" s="133"/>
      <c r="HPL8" s="133"/>
      <c r="HPM8" s="133"/>
      <c r="HPN8" s="133"/>
      <c r="HPO8" s="133"/>
      <c r="HPP8" s="133"/>
      <c r="HPQ8" s="133"/>
      <c r="HPR8" s="133"/>
      <c r="HPS8" s="133"/>
      <c r="HPT8" s="133"/>
      <c r="HPU8" s="133"/>
      <c r="HPV8" s="133"/>
      <c r="HPW8" s="133"/>
      <c r="HPX8" s="133"/>
      <c r="HPY8" s="133"/>
      <c r="HPZ8" s="133"/>
      <c r="HQA8" s="133"/>
      <c r="HQB8" s="133"/>
      <c r="HQC8" s="133"/>
      <c r="HQD8" s="133"/>
      <c r="HQE8" s="133"/>
      <c r="HQF8" s="133"/>
      <c r="HQG8" s="133"/>
      <c r="HQH8" s="133"/>
      <c r="HQI8" s="133"/>
      <c r="HQJ8" s="133"/>
      <c r="HQK8" s="133"/>
      <c r="HQL8" s="133"/>
      <c r="HQM8" s="133"/>
      <c r="HQN8" s="133"/>
      <c r="HQO8" s="133"/>
      <c r="HQP8" s="133"/>
      <c r="HQQ8" s="133"/>
      <c r="HQR8" s="133"/>
      <c r="HQS8" s="133"/>
      <c r="HQT8" s="133"/>
      <c r="HQU8" s="133"/>
      <c r="HQV8" s="133"/>
      <c r="HQW8" s="133"/>
      <c r="HQX8" s="133"/>
      <c r="HQY8" s="133"/>
      <c r="HQZ8" s="133"/>
      <c r="HRA8" s="133"/>
      <c r="HRB8" s="133"/>
      <c r="HRC8" s="133"/>
      <c r="HRD8" s="133"/>
      <c r="HRE8" s="133"/>
      <c r="HRF8" s="133"/>
      <c r="HRG8" s="133"/>
      <c r="HRH8" s="133"/>
      <c r="HRI8" s="133"/>
      <c r="HRJ8" s="133"/>
      <c r="HRK8" s="133"/>
      <c r="HRL8" s="133"/>
      <c r="HRM8" s="133"/>
      <c r="HRN8" s="133"/>
      <c r="HRO8" s="133"/>
      <c r="HRP8" s="133"/>
      <c r="HRQ8" s="133"/>
      <c r="HRR8" s="133"/>
      <c r="HRS8" s="133"/>
      <c r="HRT8" s="133"/>
      <c r="HRU8" s="133"/>
      <c r="HRV8" s="133"/>
      <c r="HRW8" s="133"/>
      <c r="HRX8" s="133"/>
      <c r="HRY8" s="133"/>
      <c r="HRZ8" s="133"/>
      <c r="HSA8" s="133"/>
      <c r="HSB8" s="133"/>
      <c r="HSC8" s="133"/>
      <c r="HSD8" s="133"/>
      <c r="HSE8" s="133"/>
      <c r="HSF8" s="133"/>
      <c r="HSG8" s="133"/>
      <c r="HSH8" s="133"/>
      <c r="HSI8" s="133"/>
      <c r="HSJ8" s="133"/>
      <c r="HSK8" s="133"/>
      <c r="HSL8" s="133"/>
      <c r="HSM8" s="133"/>
      <c r="HSN8" s="133"/>
      <c r="HSO8" s="133"/>
      <c r="HSP8" s="133"/>
      <c r="HSQ8" s="133"/>
      <c r="HSR8" s="133"/>
      <c r="HSS8" s="133"/>
      <c r="HST8" s="133"/>
      <c r="HSU8" s="133"/>
      <c r="HSV8" s="133"/>
      <c r="HSW8" s="133"/>
      <c r="HSX8" s="133"/>
      <c r="HSY8" s="133"/>
      <c r="HSZ8" s="133"/>
      <c r="HTA8" s="133"/>
      <c r="HTB8" s="133"/>
      <c r="HTC8" s="133"/>
      <c r="HTD8" s="133"/>
      <c r="HTE8" s="133"/>
      <c r="HTF8" s="133"/>
      <c r="HTG8" s="133"/>
      <c r="HTH8" s="133"/>
      <c r="HTI8" s="133"/>
      <c r="HTJ8" s="133"/>
      <c r="HTK8" s="133"/>
      <c r="HTL8" s="133"/>
      <c r="HTM8" s="133"/>
      <c r="HTN8" s="133"/>
      <c r="HTO8" s="133"/>
      <c r="HTP8" s="133"/>
      <c r="HTQ8" s="133"/>
      <c r="HTR8" s="133"/>
      <c r="HTS8" s="133"/>
      <c r="HTT8" s="133"/>
      <c r="HTU8" s="133"/>
      <c r="HTV8" s="133"/>
      <c r="HTW8" s="133"/>
      <c r="HTX8" s="133"/>
      <c r="HTY8" s="133"/>
      <c r="HTZ8" s="133"/>
      <c r="HUA8" s="133"/>
      <c r="HUB8" s="133"/>
      <c r="HUC8" s="133"/>
      <c r="HUD8" s="133"/>
      <c r="HUE8" s="133"/>
      <c r="HUF8" s="133"/>
      <c r="HUG8" s="133"/>
      <c r="HUH8" s="133"/>
      <c r="HUI8" s="133"/>
      <c r="HUJ8" s="133"/>
      <c r="HUK8" s="133"/>
      <c r="HUL8" s="133"/>
      <c r="HUM8" s="133"/>
      <c r="HUN8" s="133"/>
      <c r="HUO8" s="133"/>
      <c r="HUP8" s="133"/>
      <c r="HUQ8" s="133"/>
      <c r="HUR8" s="133"/>
      <c r="HUS8" s="133"/>
      <c r="HUT8" s="133"/>
      <c r="HUU8" s="133"/>
      <c r="HUV8" s="133"/>
      <c r="HUW8" s="133"/>
      <c r="HUX8" s="133"/>
      <c r="HUY8" s="133"/>
      <c r="HUZ8" s="133"/>
      <c r="HVA8" s="133"/>
      <c r="HVB8" s="133"/>
      <c r="HVC8" s="133"/>
      <c r="HVD8" s="133"/>
      <c r="HVE8" s="133"/>
      <c r="HVF8" s="133"/>
      <c r="HVG8" s="133"/>
      <c r="HVH8" s="133"/>
      <c r="HVI8" s="133"/>
      <c r="HVJ8" s="133"/>
      <c r="HVK8" s="133"/>
      <c r="HVL8" s="133"/>
      <c r="HVM8" s="133"/>
      <c r="HVN8" s="133"/>
      <c r="HVO8" s="133"/>
      <c r="HVP8" s="133"/>
      <c r="HVQ8" s="133"/>
      <c r="HVR8" s="133"/>
      <c r="HVS8" s="133"/>
      <c r="HVT8" s="133"/>
      <c r="HVU8" s="133"/>
      <c r="HVV8" s="133"/>
      <c r="HVW8" s="133"/>
      <c r="HVX8" s="133"/>
      <c r="HVY8" s="133"/>
      <c r="HVZ8" s="133"/>
      <c r="HWA8" s="133"/>
      <c r="HWB8" s="133"/>
      <c r="HWC8" s="133"/>
      <c r="HWD8" s="133"/>
      <c r="HWE8" s="133"/>
      <c r="HWF8" s="133"/>
      <c r="HWG8" s="133"/>
      <c r="HWH8" s="133"/>
      <c r="HWI8" s="133"/>
      <c r="HWJ8" s="133"/>
      <c r="HWK8" s="133"/>
      <c r="HWL8" s="133"/>
      <c r="HWM8" s="133"/>
      <c r="HWN8" s="133"/>
      <c r="HWO8" s="133"/>
      <c r="HWP8" s="133"/>
      <c r="HWQ8" s="133"/>
      <c r="HWR8" s="133"/>
      <c r="HWS8" s="133"/>
      <c r="HWT8" s="133"/>
      <c r="HWU8" s="133"/>
      <c r="HWV8" s="133"/>
      <c r="HWW8" s="133"/>
      <c r="HWX8" s="133"/>
      <c r="HWY8" s="133"/>
      <c r="HWZ8" s="133"/>
      <c r="HXA8" s="133"/>
      <c r="HXB8" s="133"/>
      <c r="HXC8" s="133"/>
      <c r="HXD8" s="133"/>
      <c r="HXE8" s="133"/>
      <c r="HXF8" s="133"/>
      <c r="HXG8" s="133"/>
      <c r="HXH8" s="133"/>
      <c r="HXI8" s="133"/>
      <c r="HXJ8" s="133"/>
      <c r="HXK8" s="133"/>
      <c r="HXL8" s="133"/>
      <c r="HXM8" s="133"/>
      <c r="HXN8" s="133"/>
      <c r="HXO8" s="133"/>
      <c r="HXP8" s="133"/>
      <c r="HXQ8" s="133"/>
      <c r="HXR8" s="133"/>
      <c r="HXS8" s="133"/>
      <c r="HXT8" s="133"/>
      <c r="HXU8" s="133"/>
      <c r="HXV8" s="133"/>
      <c r="HXW8" s="133"/>
      <c r="HXX8" s="133"/>
      <c r="HXY8" s="133"/>
      <c r="HXZ8" s="133"/>
      <c r="HYA8" s="133"/>
      <c r="HYB8" s="133"/>
      <c r="HYC8" s="133"/>
      <c r="HYD8" s="133"/>
      <c r="HYE8" s="133"/>
      <c r="HYF8" s="133"/>
      <c r="HYG8" s="133"/>
      <c r="HYH8" s="133"/>
      <c r="HYI8" s="133"/>
      <c r="HYJ8" s="133"/>
      <c r="HYK8" s="133"/>
      <c r="HYL8" s="133"/>
      <c r="HYM8" s="133"/>
      <c r="HYN8" s="133"/>
      <c r="HYO8" s="133"/>
      <c r="HYP8" s="133"/>
      <c r="HYQ8" s="133"/>
      <c r="HYR8" s="133"/>
      <c r="HYS8" s="133"/>
      <c r="HYT8" s="133"/>
      <c r="HYU8" s="133"/>
      <c r="HYV8" s="133"/>
      <c r="HYW8" s="133"/>
      <c r="HYX8" s="133"/>
      <c r="HYY8" s="133"/>
      <c r="HYZ8" s="133"/>
      <c r="HZA8" s="133"/>
      <c r="HZB8" s="133"/>
      <c r="HZC8" s="133"/>
      <c r="HZD8" s="133"/>
      <c r="HZE8" s="133"/>
      <c r="HZF8" s="133"/>
      <c r="HZG8" s="133"/>
      <c r="HZH8" s="133"/>
      <c r="HZI8" s="133"/>
      <c r="HZJ8" s="133"/>
      <c r="HZK8" s="133"/>
      <c r="HZL8" s="133"/>
      <c r="HZM8" s="133"/>
      <c r="HZN8" s="133"/>
      <c r="HZO8" s="133"/>
      <c r="HZP8" s="133"/>
      <c r="HZQ8" s="133"/>
      <c r="HZR8" s="133"/>
      <c r="HZS8" s="133"/>
      <c r="HZT8" s="133"/>
      <c r="HZU8" s="133"/>
      <c r="HZV8" s="133"/>
      <c r="HZW8" s="133"/>
      <c r="HZX8" s="133"/>
      <c r="HZY8" s="133"/>
      <c r="HZZ8" s="133"/>
      <c r="IAA8" s="133"/>
      <c r="IAB8" s="133"/>
      <c r="IAC8" s="133"/>
      <c r="IAD8" s="133"/>
      <c r="IAE8" s="133"/>
      <c r="IAF8" s="133"/>
      <c r="IAG8" s="133"/>
      <c r="IAH8" s="133"/>
      <c r="IAI8" s="133"/>
      <c r="IAJ8" s="133"/>
      <c r="IAK8" s="133"/>
      <c r="IAL8" s="133"/>
      <c r="IAM8" s="133"/>
      <c r="IAN8" s="133"/>
      <c r="IAO8" s="133"/>
      <c r="IAP8" s="133"/>
      <c r="IAQ8" s="133"/>
      <c r="IAR8" s="133"/>
      <c r="IAS8" s="133"/>
      <c r="IAT8" s="133"/>
      <c r="IAU8" s="133"/>
      <c r="IAV8" s="133"/>
      <c r="IAW8" s="133"/>
      <c r="IBJ8" s="133"/>
      <c r="IBK8" s="133"/>
      <c r="IBL8" s="133"/>
      <c r="IBM8" s="133"/>
      <c r="IBN8" s="133"/>
      <c r="IBO8" s="133"/>
      <c r="IBP8" s="133"/>
      <c r="IBQ8" s="133"/>
      <c r="IBR8" s="133"/>
      <c r="IBS8" s="133"/>
      <c r="IBT8" s="133"/>
      <c r="IBU8" s="133"/>
      <c r="IBV8" s="133"/>
      <c r="IBW8" s="133"/>
      <c r="IBX8" s="133"/>
      <c r="IBY8" s="133"/>
      <c r="IBZ8" s="133"/>
      <c r="ICA8" s="133"/>
      <c r="ICB8" s="133"/>
      <c r="ICC8" s="133"/>
      <c r="ICD8" s="133"/>
      <c r="ICE8" s="133"/>
      <c r="ICF8" s="133"/>
      <c r="ICG8" s="133"/>
      <c r="ICH8" s="133"/>
      <c r="ICI8" s="133"/>
      <c r="ICJ8" s="133"/>
      <c r="ICK8" s="133"/>
      <c r="ICL8" s="133"/>
      <c r="ICM8" s="133"/>
      <c r="ICN8" s="133"/>
      <c r="ICO8" s="133"/>
      <c r="ICP8" s="133"/>
      <c r="ICQ8" s="133"/>
      <c r="ICR8" s="133"/>
      <c r="ICS8" s="133"/>
      <c r="ICT8" s="133"/>
      <c r="ICU8" s="133"/>
      <c r="ICV8" s="133"/>
      <c r="ICW8" s="133"/>
      <c r="ICX8" s="133"/>
      <c r="ICY8" s="133"/>
      <c r="ICZ8" s="133"/>
      <c r="IDA8" s="133"/>
      <c r="IDB8" s="133"/>
      <c r="IDC8" s="133"/>
      <c r="IDD8" s="133"/>
      <c r="IDE8" s="133"/>
      <c r="IDF8" s="133"/>
      <c r="IDG8" s="133"/>
      <c r="IDH8" s="133"/>
      <c r="IDI8" s="133"/>
      <c r="IDJ8" s="133"/>
      <c r="IDK8" s="133"/>
      <c r="IDL8" s="133"/>
      <c r="IDM8" s="133"/>
      <c r="IDN8" s="133"/>
      <c r="IDO8" s="133"/>
      <c r="IDP8" s="133"/>
      <c r="IDQ8" s="133"/>
      <c r="IDR8" s="133"/>
      <c r="IDS8" s="133"/>
      <c r="IDT8" s="133"/>
      <c r="IDU8" s="133"/>
      <c r="IDV8" s="133"/>
      <c r="IDW8" s="133"/>
      <c r="IDX8" s="133"/>
      <c r="IDY8" s="133"/>
      <c r="IDZ8" s="133"/>
      <c r="IEA8" s="133"/>
      <c r="IEB8" s="133"/>
      <c r="IEC8" s="133"/>
      <c r="IED8" s="133"/>
      <c r="IEE8" s="133"/>
      <c r="IEF8" s="133"/>
      <c r="IEG8" s="133"/>
      <c r="IEH8" s="133"/>
      <c r="IEI8" s="133"/>
      <c r="IEJ8" s="133"/>
      <c r="IEK8" s="133"/>
      <c r="IEL8" s="133"/>
      <c r="IEM8" s="133"/>
      <c r="IEN8" s="133"/>
      <c r="IEO8" s="133"/>
      <c r="IEP8" s="133"/>
      <c r="IEQ8" s="133"/>
      <c r="IER8" s="133"/>
      <c r="IES8" s="133"/>
      <c r="IET8" s="133"/>
      <c r="IEU8" s="133"/>
      <c r="IEV8" s="133"/>
      <c r="IEW8" s="133"/>
      <c r="IEX8" s="133"/>
      <c r="IEY8" s="133"/>
      <c r="IEZ8" s="133"/>
      <c r="IFA8" s="133"/>
      <c r="IFB8" s="133"/>
      <c r="IFC8" s="133"/>
      <c r="IFD8" s="133"/>
      <c r="IFE8" s="133"/>
      <c r="IFF8" s="133"/>
      <c r="IFG8" s="133"/>
      <c r="IFH8" s="133"/>
      <c r="IFI8" s="133"/>
      <c r="IFJ8" s="133"/>
      <c r="IFK8" s="133"/>
      <c r="IFL8" s="133"/>
      <c r="IFM8" s="133"/>
      <c r="IFN8" s="133"/>
      <c r="IFO8" s="133"/>
      <c r="IFP8" s="133"/>
      <c r="IFQ8" s="133"/>
      <c r="IFR8" s="133"/>
      <c r="IFS8" s="133"/>
      <c r="IFT8" s="133"/>
      <c r="IFU8" s="133"/>
      <c r="IFV8" s="133"/>
      <c r="IFW8" s="133"/>
      <c r="IFX8" s="133"/>
      <c r="IFY8" s="133"/>
      <c r="IFZ8" s="133"/>
      <c r="IGA8" s="133"/>
      <c r="IGB8" s="133"/>
      <c r="IGC8" s="133"/>
      <c r="IGD8" s="133"/>
      <c r="IGE8" s="133"/>
      <c r="IGF8" s="133"/>
      <c r="IGG8" s="133"/>
      <c r="IGH8" s="133"/>
      <c r="IGI8" s="133"/>
      <c r="IGJ8" s="133"/>
      <c r="IGK8" s="133"/>
      <c r="IGL8" s="133"/>
      <c r="IGM8" s="133"/>
      <c r="IGN8" s="133"/>
      <c r="IGO8" s="133"/>
      <c r="IGP8" s="133"/>
      <c r="IGQ8" s="133"/>
      <c r="IGR8" s="133"/>
      <c r="IGS8" s="133"/>
      <c r="IGT8" s="133"/>
      <c r="IGU8" s="133"/>
      <c r="IGV8" s="133"/>
      <c r="IGW8" s="133"/>
      <c r="IGX8" s="133"/>
      <c r="IGY8" s="133"/>
      <c r="IGZ8" s="133"/>
      <c r="IHA8" s="133"/>
      <c r="IHB8" s="133"/>
      <c r="IHC8" s="133"/>
      <c r="IHD8" s="133"/>
      <c r="IHE8" s="133"/>
      <c r="IHF8" s="133"/>
      <c r="IHG8" s="133"/>
      <c r="IHH8" s="133"/>
      <c r="IHI8" s="133"/>
      <c r="IHJ8" s="133"/>
      <c r="IHK8" s="133"/>
      <c r="IHL8" s="133"/>
      <c r="IHM8" s="133"/>
      <c r="IHN8" s="133"/>
      <c r="IHO8" s="133"/>
      <c r="IHP8" s="133"/>
      <c r="IHQ8" s="133"/>
      <c r="IHR8" s="133"/>
      <c r="IHS8" s="133"/>
      <c r="IHT8" s="133"/>
      <c r="IHU8" s="133"/>
      <c r="IHV8" s="133"/>
      <c r="IHW8" s="133"/>
      <c r="IHX8" s="133"/>
      <c r="IHY8" s="133"/>
      <c r="IHZ8" s="133"/>
      <c r="IIA8" s="133"/>
      <c r="IIB8" s="133"/>
      <c r="IIC8" s="133"/>
      <c r="IID8" s="133"/>
      <c r="IIE8" s="133"/>
      <c r="IIF8" s="133"/>
      <c r="IIG8" s="133"/>
      <c r="IIH8" s="133"/>
      <c r="III8" s="133"/>
      <c r="IIJ8" s="133"/>
      <c r="IIK8" s="133"/>
      <c r="IIL8" s="133"/>
      <c r="IIM8" s="133"/>
      <c r="IIN8" s="133"/>
      <c r="IIO8" s="133"/>
      <c r="IIP8" s="133"/>
      <c r="IIQ8" s="133"/>
      <c r="IIR8" s="133"/>
      <c r="IIS8" s="133"/>
      <c r="IIT8" s="133"/>
      <c r="IIU8" s="133"/>
      <c r="IIV8" s="133"/>
      <c r="IIW8" s="133"/>
      <c r="IIX8" s="133"/>
      <c r="IIY8" s="133"/>
      <c r="IIZ8" s="133"/>
      <c r="IJA8" s="133"/>
      <c r="IJB8" s="133"/>
      <c r="IJC8" s="133"/>
      <c r="IJD8" s="133"/>
      <c r="IJE8" s="133"/>
      <c r="IJF8" s="133"/>
      <c r="IJG8" s="133"/>
      <c r="IJH8" s="133"/>
      <c r="IJI8" s="133"/>
      <c r="IJJ8" s="133"/>
      <c r="IJK8" s="133"/>
      <c r="IJL8" s="133"/>
      <c r="IJM8" s="133"/>
      <c r="IJN8" s="133"/>
      <c r="IJO8" s="133"/>
      <c r="IJP8" s="133"/>
      <c r="IJQ8" s="133"/>
      <c r="IJR8" s="133"/>
      <c r="IJS8" s="133"/>
      <c r="IJT8" s="133"/>
      <c r="IJU8" s="133"/>
      <c r="IJV8" s="133"/>
      <c r="IJW8" s="133"/>
      <c r="IJX8" s="133"/>
      <c r="IJY8" s="133"/>
      <c r="IJZ8" s="133"/>
      <c r="IKA8" s="133"/>
      <c r="IKB8" s="133"/>
      <c r="IKC8" s="133"/>
      <c r="IKD8" s="133"/>
      <c r="IKE8" s="133"/>
      <c r="IKF8" s="133"/>
      <c r="IKG8" s="133"/>
      <c r="IKH8" s="133"/>
      <c r="IKI8" s="133"/>
      <c r="IKJ8" s="133"/>
      <c r="IKK8" s="133"/>
      <c r="IKL8" s="133"/>
      <c r="IKM8" s="133"/>
      <c r="IKN8" s="133"/>
      <c r="IKO8" s="133"/>
      <c r="IKP8" s="133"/>
      <c r="IKQ8" s="133"/>
      <c r="IKR8" s="133"/>
      <c r="IKS8" s="133"/>
      <c r="IKT8" s="133"/>
      <c r="IKU8" s="133"/>
      <c r="IKV8" s="133"/>
      <c r="IKW8" s="133"/>
      <c r="IKX8" s="133"/>
      <c r="IKY8" s="133"/>
      <c r="IKZ8" s="133"/>
      <c r="ILA8" s="133"/>
      <c r="ILB8" s="133"/>
      <c r="ILC8" s="133"/>
      <c r="ILD8" s="133"/>
      <c r="ILE8" s="133"/>
      <c r="ILF8" s="133"/>
      <c r="ILG8" s="133"/>
      <c r="ILH8" s="133"/>
      <c r="ILI8" s="133"/>
      <c r="ILJ8" s="133"/>
      <c r="ILK8" s="133"/>
      <c r="ILL8" s="133"/>
      <c r="ILM8" s="133"/>
      <c r="ILN8" s="133"/>
      <c r="ILO8" s="133"/>
      <c r="ILP8" s="133"/>
      <c r="ILQ8" s="133"/>
      <c r="ILR8" s="133"/>
      <c r="ILS8" s="133"/>
      <c r="ILT8" s="133"/>
      <c r="ILU8" s="133"/>
      <c r="ILV8" s="133"/>
      <c r="ILW8" s="133"/>
      <c r="ILX8" s="133"/>
      <c r="ILY8" s="133"/>
      <c r="ILZ8" s="133"/>
      <c r="IMA8" s="133"/>
      <c r="IMB8" s="133"/>
      <c r="IMC8" s="133"/>
      <c r="IMD8" s="133"/>
      <c r="IME8" s="133"/>
      <c r="IMF8" s="133"/>
      <c r="IMG8" s="133"/>
      <c r="IMH8" s="133"/>
      <c r="IMI8" s="133"/>
      <c r="IMJ8" s="133"/>
      <c r="IMK8" s="133"/>
      <c r="IML8" s="133"/>
      <c r="IMM8" s="133"/>
      <c r="IMN8" s="133"/>
      <c r="IMO8" s="133"/>
      <c r="IMP8" s="133"/>
      <c r="IMQ8" s="133"/>
      <c r="IMR8" s="133"/>
      <c r="IMS8" s="133"/>
      <c r="IMT8" s="133"/>
      <c r="IMU8" s="133"/>
      <c r="IMV8" s="133"/>
      <c r="IMW8" s="133"/>
      <c r="IMX8" s="133"/>
      <c r="IMY8" s="133"/>
      <c r="IMZ8" s="133"/>
      <c r="INA8" s="133"/>
      <c r="INB8" s="133"/>
      <c r="INC8" s="133"/>
      <c r="IND8" s="133"/>
      <c r="INE8" s="133"/>
      <c r="INF8" s="133"/>
      <c r="ING8" s="133"/>
      <c r="INH8" s="133"/>
      <c r="INI8" s="133"/>
      <c r="INJ8" s="133"/>
      <c r="INK8" s="133"/>
      <c r="INL8" s="133"/>
      <c r="INM8" s="133"/>
      <c r="INN8" s="133"/>
      <c r="INO8" s="133"/>
      <c r="INP8" s="133"/>
      <c r="INQ8" s="133"/>
      <c r="INR8" s="133"/>
      <c r="INS8" s="133"/>
      <c r="INT8" s="133"/>
      <c r="INU8" s="133"/>
      <c r="INV8" s="133"/>
      <c r="INW8" s="133"/>
      <c r="INX8" s="133"/>
      <c r="INY8" s="133"/>
      <c r="INZ8" s="133"/>
      <c r="IOA8" s="133"/>
      <c r="IOB8" s="133"/>
      <c r="IOC8" s="133"/>
      <c r="IOD8" s="133"/>
      <c r="IOE8" s="133"/>
      <c r="IOF8" s="133"/>
      <c r="IOG8" s="133"/>
      <c r="IOH8" s="133"/>
      <c r="IOI8" s="133"/>
      <c r="IOJ8" s="133"/>
      <c r="IOK8" s="133"/>
      <c r="IOL8" s="133"/>
      <c r="IOM8" s="133"/>
      <c r="ION8" s="133"/>
      <c r="IOO8" s="133"/>
      <c r="IOP8" s="133"/>
      <c r="IOQ8" s="133"/>
      <c r="IOR8" s="133"/>
      <c r="IOS8" s="133"/>
      <c r="IOT8" s="133"/>
      <c r="IOU8" s="133"/>
      <c r="IOV8" s="133"/>
      <c r="IOW8" s="133"/>
      <c r="IOX8" s="133"/>
      <c r="IOY8" s="133"/>
      <c r="IOZ8" s="133"/>
      <c r="IPA8" s="133"/>
      <c r="IPB8" s="133"/>
      <c r="IPC8" s="133"/>
      <c r="IPD8" s="133"/>
      <c r="IPE8" s="133"/>
      <c r="IPF8" s="133"/>
      <c r="IPG8" s="133"/>
      <c r="IPH8" s="133"/>
      <c r="IPI8" s="133"/>
      <c r="IPJ8" s="133"/>
      <c r="IPK8" s="133"/>
      <c r="IPL8" s="133"/>
      <c r="IPM8" s="133"/>
      <c r="IPN8" s="133"/>
      <c r="IPO8" s="133"/>
      <c r="IPP8" s="133"/>
      <c r="IPQ8" s="133"/>
      <c r="IPR8" s="133"/>
      <c r="IPS8" s="133"/>
      <c r="IPT8" s="133"/>
      <c r="IPU8" s="133"/>
      <c r="IPV8" s="133"/>
      <c r="IPW8" s="133"/>
      <c r="IPX8" s="133"/>
      <c r="IPY8" s="133"/>
      <c r="IPZ8" s="133"/>
      <c r="IQA8" s="133"/>
      <c r="IQB8" s="133"/>
      <c r="IQC8" s="133"/>
      <c r="IQD8" s="133"/>
      <c r="IQE8" s="133"/>
      <c r="IQF8" s="133"/>
      <c r="IQG8" s="133"/>
      <c r="IQH8" s="133"/>
      <c r="IQI8" s="133"/>
      <c r="IQJ8" s="133"/>
      <c r="IQK8" s="133"/>
      <c r="IQL8" s="133"/>
      <c r="IQM8" s="133"/>
      <c r="IQN8" s="133"/>
      <c r="IQO8" s="133"/>
      <c r="IQP8" s="133"/>
      <c r="IQQ8" s="133"/>
      <c r="IQR8" s="133"/>
      <c r="IQS8" s="133"/>
      <c r="IQT8" s="133"/>
      <c r="IQU8" s="133"/>
      <c r="IQV8" s="133"/>
      <c r="IQW8" s="133"/>
      <c r="IQX8" s="133"/>
      <c r="IQY8" s="133"/>
      <c r="IQZ8" s="133"/>
      <c r="IRA8" s="133"/>
      <c r="IRB8" s="133"/>
      <c r="IRC8" s="133"/>
      <c r="IRD8" s="133"/>
      <c r="IRE8" s="133"/>
      <c r="IRF8" s="133"/>
      <c r="IRG8" s="133"/>
      <c r="IRH8" s="133"/>
      <c r="IRI8" s="133"/>
      <c r="IRJ8" s="133"/>
      <c r="IRK8" s="133"/>
      <c r="IRL8" s="133"/>
      <c r="IRM8" s="133"/>
      <c r="IRN8" s="133"/>
      <c r="IRO8" s="133"/>
      <c r="IRP8" s="133"/>
      <c r="IRQ8" s="133"/>
      <c r="IRR8" s="133"/>
      <c r="IRS8" s="133"/>
      <c r="IRT8" s="133"/>
      <c r="IRU8" s="133"/>
      <c r="IRV8" s="133"/>
      <c r="IRW8" s="133"/>
      <c r="IRX8" s="133"/>
      <c r="IRY8" s="133"/>
      <c r="IRZ8" s="133"/>
      <c r="ISA8" s="133"/>
      <c r="ISB8" s="133"/>
      <c r="ISC8" s="133"/>
      <c r="ISD8" s="133"/>
      <c r="ISE8" s="133"/>
      <c r="ISF8" s="133"/>
      <c r="ISG8" s="133"/>
      <c r="ISH8" s="133"/>
      <c r="ISI8" s="133"/>
      <c r="ISJ8" s="133"/>
      <c r="ISK8" s="133"/>
      <c r="ISL8" s="133"/>
      <c r="ISM8" s="133"/>
      <c r="ISN8" s="133"/>
      <c r="ISO8" s="133"/>
      <c r="ISP8" s="133"/>
      <c r="ISQ8" s="133"/>
      <c r="ISR8" s="133"/>
      <c r="ISS8" s="133"/>
      <c r="IST8" s="133"/>
      <c r="ISU8" s="133"/>
      <c r="ISV8" s="133"/>
      <c r="ISW8" s="133"/>
      <c r="ISX8" s="133"/>
      <c r="ISY8" s="133"/>
      <c r="ISZ8" s="133"/>
      <c r="ITA8" s="133"/>
      <c r="ITB8" s="133"/>
      <c r="ITC8" s="133"/>
      <c r="ITD8" s="133"/>
      <c r="ITE8" s="133"/>
      <c r="ITF8" s="133"/>
      <c r="ITG8" s="133"/>
      <c r="ITH8" s="133"/>
      <c r="ITI8" s="133"/>
      <c r="ITJ8" s="133"/>
      <c r="ITK8" s="133"/>
      <c r="ITL8" s="133"/>
      <c r="ITM8" s="133"/>
      <c r="ITN8" s="133"/>
      <c r="ITO8" s="133"/>
      <c r="ITP8" s="133"/>
      <c r="ITQ8" s="133"/>
      <c r="ITR8" s="133"/>
      <c r="ITS8" s="133"/>
      <c r="ITT8" s="133"/>
      <c r="ITU8" s="133"/>
      <c r="ITV8" s="133"/>
      <c r="ITW8" s="133"/>
      <c r="ITX8" s="133"/>
      <c r="ITY8" s="133"/>
      <c r="ITZ8" s="133"/>
      <c r="IUA8" s="133"/>
      <c r="IUB8" s="133"/>
      <c r="IUC8" s="133"/>
      <c r="IUD8" s="133"/>
      <c r="IUE8" s="133"/>
      <c r="IUF8" s="133"/>
      <c r="IUG8" s="133"/>
      <c r="IUH8" s="133"/>
      <c r="IUI8" s="133"/>
      <c r="IUJ8" s="133"/>
      <c r="IUK8" s="133"/>
      <c r="IUL8" s="133"/>
      <c r="IUM8" s="133"/>
      <c r="IUN8" s="133"/>
      <c r="IUO8" s="133"/>
      <c r="IUP8" s="133"/>
      <c r="IUQ8" s="133"/>
      <c r="IUR8" s="133"/>
      <c r="IUS8" s="133"/>
      <c r="IUT8" s="133"/>
      <c r="IUU8" s="133"/>
      <c r="IUV8" s="133"/>
      <c r="IUW8" s="133"/>
      <c r="IUX8" s="133"/>
      <c r="IUY8" s="133"/>
      <c r="IUZ8" s="133"/>
      <c r="IVA8" s="133"/>
      <c r="IVB8" s="133"/>
      <c r="IVC8" s="133"/>
      <c r="IVD8" s="133"/>
      <c r="IVE8" s="133"/>
      <c r="IVF8" s="133"/>
      <c r="IVG8" s="133"/>
      <c r="IVH8" s="133"/>
      <c r="IVI8" s="133"/>
      <c r="IVJ8" s="133"/>
      <c r="IVK8" s="133"/>
      <c r="IVL8" s="133"/>
      <c r="IVM8" s="133"/>
      <c r="IVN8" s="133"/>
      <c r="IVO8" s="133"/>
      <c r="IVP8" s="133"/>
      <c r="IVQ8" s="133"/>
      <c r="IVR8" s="133"/>
      <c r="IVS8" s="133"/>
      <c r="IVT8" s="133"/>
      <c r="IVU8" s="133"/>
      <c r="IVV8" s="133"/>
      <c r="IVW8" s="133"/>
      <c r="IVX8" s="133"/>
      <c r="IVY8" s="133"/>
      <c r="IVZ8" s="133"/>
      <c r="IWA8" s="133"/>
      <c r="IWB8" s="133"/>
      <c r="IWC8" s="133"/>
      <c r="IWD8" s="133"/>
      <c r="IWE8" s="133"/>
      <c r="IWF8" s="133"/>
      <c r="IWG8" s="133"/>
      <c r="IWH8" s="133"/>
      <c r="IWI8" s="133"/>
      <c r="IWJ8" s="133"/>
      <c r="IWK8" s="133"/>
      <c r="IWL8" s="133"/>
      <c r="IWM8" s="133"/>
      <c r="IWN8" s="133"/>
      <c r="IWO8" s="133"/>
      <c r="IWP8" s="133"/>
      <c r="IWQ8" s="133"/>
      <c r="IWR8" s="133"/>
      <c r="IWS8" s="133"/>
      <c r="IWT8" s="133"/>
      <c r="IWU8" s="133"/>
      <c r="IWV8" s="133"/>
      <c r="IWW8" s="133"/>
      <c r="IWX8" s="133"/>
      <c r="IWY8" s="133"/>
      <c r="IWZ8" s="133"/>
      <c r="IXA8" s="133"/>
      <c r="IXB8" s="133"/>
      <c r="IXC8" s="133"/>
      <c r="IXD8" s="133"/>
      <c r="IXE8" s="133"/>
      <c r="IXF8" s="133"/>
      <c r="IXG8" s="133"/>
      <c r="IXH8" s="133"/>
      <c r="IXI8" s="133"/>
      <c r="IXJ8" s="133"/>
      <c r="IXK8" s="133"/>
      <c r="IXL8" s="133"/>
      <c r="IXM8" s="133"/>
      <c r="IXN8" s="133"/>
      <c r="IXO8" s="133"/>
      <c r="IXP8" s="133"/>
      <c r="IXQ8" s="133"/>
      <c r="IXR8" s="133"/>
      <c r="IXS8" s="133"/>
      <c r="IXT8" s="133"/>
      <c r="IXU8" s="133"/>
      <c r="IXV8" s="133"/>
      <c r="IXW8" s="133"/>
      <c r="IXX8" s="133"/>
      <c r="IXY8" s="133"/>
      <c r="IXZ8" s="133"/>
      <c r="IYA8" s="133"/>
      <c r="IYB8" s="133"/>
      <c r="IYC8" s="133"/>
      <c r="IYD8" s="133"/>
      <c r="IYE8" s="133"/>
      <c r="IYF8" s="133"/>
      <c r="IYG8" s="133"/>
      <c r="IYH8" s="133"/>
      <c r="IYI8" s="133"/>
      <c r="IYJ8" s="133"/>
      <c r="IYK8" s="133"/>
      <c r="IYL8" s="133"/>
      <c r="IYM8" s="133"/>
      <c r="IYN8" s="133"/>
      <c r="IYO8" s="133"/>
      <c r="IYP8" s="133"/>
      <c r="IYQ8" s="133"/>
      <c r="IYR8" s="133"/>
      <c r="IYS8" s="133"/>
      <c r="IYT8" s="133"/>
      <c r="IYU8" s="133"/>
      <c r="IYV8" s="133"/>
      <c r="IYW8" s="133"/>
      <c r="IYX8" s="133"/>
      <c r="IYY8" s="133"/>
      <c r="IYZ8" s="133"/>
      <c r="IZA8" s="133"/>
      <c r="IZB8" s="133"/>
      <c r="IZC8" s="133"/>
      <c r="IZD8" s="133"/>
      <c r="IZE8" s="133"/>
      <c r="IZF8" s="133"/>
      <c r="IZG8" s="133"/>
      <c r="IZH8" s="133"/>
      <c r="IZI8" s="133"/>
      <c r="IZJ8" s="133"/>
      <c r="IZK8" s="133"/>
      <c r="IZL8" s="133"/>
      <c r="IZM8" s="133"/>
      <c r="IZN8" s="133"/>
      <c r="IZO8" s="133"/>
      <c r="IZP8" s="133"/>
      <c r="IZQ8" s="133"/>
      <c r="IZR8" s="133"/>
      <c r="IZS8" s="133"/>
      <c r="IZT8" s="133"/>
      <c r="IZU8" s="133"/>
      <c r="IZV8" s="133"/>
      <c r="IZW8" s="133"/>
      <c r="IZX8" s="133"/>
      <c r="IZY8" s="133"/>
      <c r="IZZ8" s="133"/>
      <c r="JAA8" s="133"/>
      <c r="JAB8" s="133"/>
      <c r="JAC8" s="133"/>
      <c r="JAD8" s="133"/>
      <c r="JAE8" s="133"/>
      <c r="JAF8" s="133"/>
      <c r="JAG8" s="133"/>
      <c r="JAH8" s="133"/>
      <c r="JAI8" s="133"/>
      <c r="JAJ8" s="133"/>
      <c r="JAK8" s="133"/>
      <c r="JAL8" s="133"/>
      <c r="JAM8" s="133"/>
      <c r="JAN8" s="133"/>
      <c r="JAO8" s="133"/>
      <c r="JAP8" s="133"/>
      <c r="JAQ8" s="133"/>
      <c r="JAR8" s="133"/>
      <c r="JAS8" s="133"/>
      <c r="JAT8" s="133"/>
      <c r="JAU8" s="133"/>
      <c r="JAV8" s="133"/>
      <c r="JAW8" s="133"/>
      <c r="JAX8" s="133"/>
      <c r="JAY8" s="133"/>
      <c r="JAZ8" s="133"/>
      <c r="JBA8" s="133"/>
      <c r="JBB8" s="133"/>
      <c r="JBC8" s="133"/>
      <c r="JBD8" s="133"/>
      <c r="JBE8" s="133"/>
      <c r="JBF8" s="133"/>
      <c r="JBG8" s="133"/>
      <c r="JBH8" s="133"/>
      <c r="JBI8" s="133"/>
      <c r="JBJ8" s="133"/>
      <c r="JBK8" s="133"/>
      <c r="JBL8" s="133"/>
      <c r="JBM8" s="133"/>
      <c r="JBN8" s="133"/>
      <c r="JBO8" s="133"/>
      <c r="JBP8" s="133"/>
      <c r="JBQ8" s="133"/>
      <c r="JBR8" s="133"/>
      <c r="JBS8" s="133"/>
      <c r="JBT8" s="133"/>
      <c r="JBU8" s="133"/>
      <c r="JBV8" s="133"/>
      <c r="JBW8" s="133"/>
      <c r="JBX8" s="133"/>
      <c r="JBY8" s="133"/>
      <c r="JBZ8" s="133"/>
      <c r="JCA8" s="133"/>
      <c r="JCB8" s="133"/>
      <c r="JCC8" s="133"/>
      <c r="JCD8" s="133"/>
      <c r="JCE8" s="133"/>
      <c r="JCF8" s="133"/>
      <c r="JCG8" s="133"/>
      <c r="JCH8" s="133"/>
      <c r="JCI8" s="133"/>
      <c r="JCJ8" s="133"/>
      <c r="JCK8" s="133"/>
      <c r="JCL8" s="133"/>
      <c r="JCM8" s="133"/>
      <c r="JCN8" s="133"/>
      <c r="JCO8" s="133"/>
      <c r="JCP8" s="133"/>
      <c r="JCQ8" s="133"/>
      <c r="JCR8" s="133"/>
      <c r="JCS8" s="133"/>
      <c r="JCT8" s="133"/>
      <c r="JCU8" s="133"/>
      <c r="JCV8" s="133"/>
      <c r="JCW8" s="133"/>
      <c r="JCX8" s="133"/>
      <c r="JCY8" s="133"/>
      <c r="JCZ8" s="133"/>
      <c r="JDA8" s="133"/>
      <c r="JDB8" s="133"/>
      <c r="JDC8" s="133"/>
      <c r="JDD8" s="133"/>
      <c r="JDE8" s="133"/>
      <c r="JDF8" s="133"/>
      <c r="JDG8" s="133"/>
      <c r="JDH8" s="133"/>
      <c r="JDI8" s="133"/>
      <c r="JDJ8" s="133"/>
      <c r="JDK8" s="133"/>
      <c r="JDL8" s="133"/>
      <c r="JDM8" s="133"/>
      <c r="JDN8" s="133"/>
      <c r="JDO8" s="133"/>
      <c r="JDP8" s="133"/>
      <c r="JDQ8" s="133"/>
      <c r="JDR8" s="133"/>
      <c r="JDS8" s="133"/>
      <c r="JDT8" s="133"/>
      <c r="JDU8" s="133"/>
      <c r="JDV8" s="133"/>
      <c r="JDW8" s="133"/>
      <c r="JDX8" s="133"/>
      <c r="JDY8" s="133"/>
      <c r="JDZ8" s="133"/>
      <c r="JEA8" s="133"/>
      <c r="JEB8" s="133"/>
      <c r="JEC8" s="133"/>
      <c r="JED8" s="133"/>
      <c r="JEE8" s="133"/>
      <c r="JEF8" s="133"/>
      <c r="JEG8" s="133"/>
      <c r="JEH8" s="133"/>
      <c r="JEI8" s="133"/>
      <c r="JEJ8" s="133"/>
      <c r="JEK8" s="133"/>
      <c r="JEL8" s="133"/>
      <c r="JEM8" s="133"/>
      <c r="JEN8" s="133"/>
      <c r="JEO8" s="133"/>
      <c r="JEP8" s="133"/>
      <c r="JEQ8" s="133"/>
      <c r="JER8" s="133"/>
      <c r="JES8" s="133"/>
      <c r="JET8" s="133"/>
      <c r="JEU8" s="133"/>
      <c r="JEV8" s="133"/>
      <c r="JEW8" s="133"/>
      <c r="JEX8" s="133"/>
      <c r="JEY8" s="133"/>
      <c r="JEZ8" s="133"/>
      <c r="JFA8" s="133"/>
      <c r="JFB8" s="133"/>
      <c r="JFC8" s="133"/>
      <c r="JFD8" s="133"/>
      <c r="JFE8" s="133"/>
      <c r="JFF8" s="133"/>
      <c r="JFG8" s="133"/>
      <c r="JFH8" s="133"/>
      <c r="JFI8" s="133"/>
      <c r="JFJ8" s="133"/>
      <c r="JFK8" s="133"/>
      <c r="JFL8" s="133"/>
      <c r="JFM8" s="133"/>
      <c r="JFN8" s="133"/>
      <c r="JFO8" s="133"/>
      <c r="JFP8" s="133"/>
      <c r="JFQ8" s="133"/>
      <c r="JFR8" s="133"/>
      <c r="JFS8" s="133"/>
      <c r="JFT8" s="133"/>
      <c r="JFU8" s="133"/>
      <c r="JFV8" s="133"/>
      <c r="JFW8" s="133"/>
      <c r="JFX8" s="133"/>
      <c r="JFY8" s="133"/>
      <c r="JFZ8" s="133"/>
      <c r="JGA8" s="133"/>
      <c r="JGB8" s="133"/>
      <c r="JGC8" s="133"/>
      <c r="JGD8" s="133"/>
      <c r="JGE8" s="133"/>
      <c r="JGF8" s="133"/>
      <c r="JGG8" s="133"/>
      <c r="JGH8" s="133"/>
      <c r="JGI8" s="133"/>
      <c r="JGJ8" s="133"/>
      <c r="JGK8" s="133"/>
      <c r="JGL8" s="133"/>
      <c r="JGM8" s="133"/>
      <c r="JGN8" s="133"/>
      <c r="JGO8" s="133"/>
      <c r="JGP8" s="133"/>
      <c r="JGQ8" s="133"/>
      <c r="JGR8" s="133"/>
      <c r="JGS8" s="133"/>
      <c r="JGT8" s="133"/>
      <c r="JGU8" s="133"/>
      <c r="JGV8" s="133"/>
      <c r="JGW8" s="133"/>
      <c r="JGX8" s="133"/>
      <c r="JGY8" s="133"/>
      <c r="JGZ8" s="133"/>
      <c r="JHA8" s="133"/>
      <c r="JHB8" s="133"/>
      <c r="JHC8" s="133"/>
      <c r="JHD8" s="133"/>
      <c r="JHE8" s="133"/>
      <c r="JHF8" s="133"/>
      <c r="JHG8" s="133"/>
      <c r="JHH8" s="133"/>
      <c r="JHI8" s="133"/>
      <c r="JHJ8" s="133"/>
      <c r="JHK8" s="133"/>
      <c r="JHL8" s="133"/>
      <c r="JHM8" s="133"/>
      <c r="JHN8" s="133"/>
      <c r="JHO8" s="133"/>
      <c r="JHP8" s="133"/>
      <c r="JHQ8" s="133"/>
      <c r="JHR8" s="133"/>
      <c r="JHS8" s="133"/>
      <c r="JHT8" s="133"/>
      <c r="JHU8" s="133"/>
      <c r="JHV8" s="133"/>
      <c r="JHW8" s="133"/>
      <c r="JHX8" s="133"/>
      <c r="JHY8" s="133"/>
      <c r="JHZ8" s="133"/>
      <c r="JIA8" s="133"/>
      <c r="JIB8" s="133"/>
      <c r="JIC8" s="133"/>
      <c r="JID8" s="133"/>
      <c r="JIE8" s="133"/>
      <c r="JIF8" s="133"/>
      <c r="JIG8" s="133"/>
      <c r="JIH8" s="133"/>
      <c r="JII8" s="133"/>
      <c r="JIJ8" s="133"/>
      <c r="JIK8" s="133"/>
      <c r="JIL8" s="133"/>
      <c r="JIM8" s="133"/>
      <c r="JIN8" s="133"/>
      <c r="JIO8" s="133"/>
      <c r="JIP8" s="133"/>
      <c r="JIQ8" s="133"/>
      <c r="JIR8" s="133"/>
      <c r="JIS8" s="133"/>
      <c r="JIT8" s="133"/>
      <c r="JIU8" s="133"/>
      <c r="JIV8" s="133"/>
      <c r="JIW8" s="133"/>
      <c r="JIX8" s="133"/>
      <c r="JIY8" s="133"/>
      <c r="JIZ8" s="133"/>
      <c r="JJA8" s="133"/>
      <c r="JJB8" s="133"/>
      <c r="JJC8" s="133"/>
      <c r="JJD8" s="133"/>
      <c r="JJE8" s="133"/>
      <c r="JJF8" s="133"/>
      <c r="JJG8" s="133"/>
      <c r="JJH8" s="133"/>
      <c r="JJI8" s="133"/>
      <c r="JJJ8" s="133"/>
      <c r="JJK8" s="133"/>
      <c r="JJL8" s="133"/>
      <c r="JJM8" s="133"/>
      <c r="JJN8" s="133"/>
      <c r="JJO8" s="133"/>
      <c r="JJP8" s="133"/>
      <c r="JJQ8" s="133"/>
      <c r="JJR8" s="133"/>
      <c r="JJS8" s="133"/>
      <c r="JJT8" s="133"/>
      <c r="JJU8" s="133"/>
      <c r="JJV8" s="133"/>
      <c r="JJW8" s="133"/>
      <c r="JJX8" s="133"/>
      <c r="JJY8" s="133"/>
      <c r="JJZ8" s="133"/>
      <c r="JKA8" s="133"/>
      <c r="JKB8" s="133"/>
      <c r="JKC8" s="133"/>
      <c r="JKD8" s="133"/>
      <c r="JKE8" s="133"/>
      <c r="JKF8" s="133"/>
      <c r="JKG8" s="133"/>
      <c r="JKH8" s="133"/>
      <c r="JKI8" s="133"/>
      <c r="JKJ8" s="133"/>
      <c r="JKK8" s="133"/>
      <c r="JKL8" s="133"/>
      <c r="JKM8" s="133"/>
      <c r="JKN8" s="133"/>
      <c r="JKO8" s="133"/>
      <c r="JKP8" s="133"/>
      <c r="JKQ8" s="133"/>
      <c r="JKR8" s="133"/>
      <c r="JKS8" s="133"/>
      <c r="JKT8" s="133"/>
      <c r="JKU8" s="133"/>
      <c r="JKV8" s="133"/>
      <c r="JKW8" s="133"/>
      <c r="JKX8" s="133"/>
      <c r="JKY8" s="133"/>
      <c r="JKZ8" s="133"/>
      <c r="JLA8" s="133"/>
      <c r="JLB8" s="133"/>
      <c r="JLC8" s="133"/>
      <c r="JLD8" s="133"/>
      <c r="JLE8" s="133"/>
      <c r="JLF8" s="133"/>
      <c r="JLG8" s="133"/>
      <c r="JLH8" s="133"/>
      <c r="JLI8" s="133"/>
      <c r="JLJ8" s="133"/>
      <c r="JLK8" s="133"/>
      <c r="JLL8" s="133"/>
      <c r="JLM8" s="133"/>
      <c r="JLN8" s="133"/>
      <c r="JLO8" s="133"/>
      <c r="JLP8" s="133"/>
      <c r="JLQ8" s="133"/>
      <c r="JLR8" s="133"/>
      <c r="JLS8" s="133"/>
      <c r="JLT8" s="133"/>
      <c r="JLU8" s="133"/>
      <c r="JLV8" s="133"/>
      <c r="JLW8" s="133"/>
      <c r="JLX8" s="133"/>
      <c r="JLY8" s="133"/>
      <c r="JLZ8" s="133"/>
      <c r="JMA8" s="133"/>
      <c r="JMB8" s="133"/>
      <c r="JMC8" s="133"/>
      <c r="JMD8" s="133"/>
      <c r="JME8" s="133"/>
      <c r="JMF8" s="133"/>
      <c r="JMG8" s="133"/>
      <c r="JMH8" s="133"/>
      <c r="JMI8" s="133"/>
      <c r="JMJ8" s="133"/>
      <c r="JMK8" s="133"/>
      <c r="JML8" s="133"/>
      <c r="JMM8" s="133"/>
      <c r="JMN8" s="133"/>
      <c r="JMO8" s="133"/>
      <c r="JMP8" s="133"/>
      <c r="JMQ8" s="133"/>
      <c r="JMR8" s="133"/>
      <c r="JMS8" s="133"/>
      <c r="JMT8" s="133"/>
      <c r="JMU8" s="133"/>
      <c r="JMV8" s="133"/>
      <c r="JMW8" s="133"/>
      <c r="JMX8" s="133"/>
      <c r="JMY8" s="133"/>
      <c r="JMZ8" s="133"/>
      <c r="JNA8" s="133"/>
      <c r="JNB8" s="133"/>
      <c r="JNC8" s="133"/>
      <c r="JND8" s="133"/>
      <c r="JNE8" s="133"/>
      <c r="JNF8" s="133"/>
      <c r="JNG8" s="133"/>
      <c r="JNH8" s="133"/>
      <c r="JNI8" s="133"/>
      <c r="JNJ8" s="133"/>
      <c r="JNK8" s="133"/>
      <c r="JNL8" s="133"/>
      <c r="JNM8" s="133"/>
      <c r="JNN8" s="133"/>
      <c r="JNO8" s="133"/>
      <c r="JNP8" s="133"/>
      <c r="JNQ8" s="133"/>
      <c r="JNR8" s="133"/>
      <c r="JNS8" s="133"/>
      <c r="JNT8" s="133"/>
      <c r="JNU8" s="133"/>
      <c r="JNV8" s="133"/>
      <c r="JNW8" s="133"/>
      <c r="JNX8" s="133"/>
      <c r="JNY8" s="133"/>
      <c r="JNZ8" s="133"/>
      <c r="JOA8" s="133"/>
      <c r="JOB8" s="133"/>
      <c r="JOC8" s="133"/>
      <c r="JOD8" s="133"/>
      <c r="JOE8" s="133"/>
      <c r="JOF8" s="133"/>
      <c r="JOG8" s="133"/>
      <c r="JOT8" s="133"/>
      <c r="JOU8" s="133"/>
      <c r="JOV8" s="133"/>
      <c r="JOW8" s="133"/>
      <c r="JOX8" s="133"/>
      <c r="JOY8" s="133"/>
      <c r="JOZ8" s="133"/>
      <c r="JPA8" s="133"/>
      <c r="JPB8" s="133"/>
      <c r="JPC8" s="133"/>
      <c r="JPD8" s="133"/>
      <c r="JPE8" s="133"/>
      <c r="JPF8" s="133"/>
      <c r="JPG8" s="133"/>
      <c r="JPH8" s="133"/>
      <c r="JPI8" s="133"/>
      <c r="JPJ8" s="133"/>
      <c r="JPK8" s="133"/>
      <c r="JPL8" s="133"/>
      <c r="JPM8" s="133"/>
      <c r="JPN8" s="133"/>
      <c r="JPO8" s="133"/>
      <c r="JPP8" s="133"/>
      <c r="JPQ8" s="133"/>
      <c r="JPR8" s="133"/>
      <c r="JPS8" s="133"/>
      <c r="JPT8" s="133"/>
      <c r="JPU8" s="133"/>
      <c r="JPV8" s="133"/>
      <c r="JPW8" s="133"/>
      <c r="JPX8" s="133"/>
      <c r="JPY8" s="133"/>
      <c r="JPZ8" s="133"/>
      <c r="JQA8" s="133"/>
      <c r="JQB8" s="133"/>
      <c r="JQC8" s="133"/>
      <c r="JQD8" s="133"/>
      <c r="JQE8" s="133"/>
      <c r="JQF8" s="133"/>
      <c r="JQG8" s="133"/>
      <c r="JQH8" s="133"/>
      <c r="JQI8" s="133"/>
      <c r="JQJ8" s="133"/>
      <c r="JQK8" s="133"/>
      <c r="JQL8" s="133"/>
      <c r="JQM8" s="133"/>
      <c r="JQN8" s="133"/>
      <c r="JQO8" s="133"/>
      <c r="JQP8" s="133"/>
      <c r="JQQ8" s="133"/>
      <c r="JQR8" s="133"/>
      <c r="JQS8" s="133"/>
      <c r="JQT8" s="133"/>
      <c r="JQU8" s="133"/>
      <c r="JQV8" s="133"/>
      <c r="JQW8" s="133"/>
      <c r="JQX8" s="133"/>
      <c r="JQY8" s="133"/>
      <c r="JQZ8" s="133"/>
      <c r="JRA8" s="133"/>
      <c r="JRB8" s="133"/>
      <c r="JRC8" s="133"/>
      <c r="JRD8" s="133"/>
      <c r="JRE8" s="133"/>
      <c r="JRF8" s="133"/>
      <c r="JRG8" s="133"/>
      <c r="JRH8" s="133"/>
      <c r="JRI8" s="133"/>
      <c r="JRJ8" s="133"/>
      <c r="JRK8" s="133"/>
      <c r="JRL8" s="133"/>
      <c r="JRM8" s="133"/>
      <c r="JRN8" s="133"/>
      <c r="JRO8" s="133"/>
      <c r="JRP8" s="133"/>
      <c r="JRQ8" s="133"/>
      <c r="JRR8" s="133"/>
      <c r="JRS8" s="133"/>
      <c r="JRT8" s="133"/>
      <c r="JRU8" s="133"/>
      <c r="JRV8" s="133"/>
      <c r="JRW8" s="133"/>
      <c r="JRX8" s="133"/>
      <c r="JRY8" s="133"/>
      <c r="JRZ8" s="133"/>
      <c r="JSA8" s="133"/>
      <c r="JSB8" s="133"/>
      <c r="JSC8" s="133"/>
      <c r="JSD8" s="133"/>
      <c r="JSE8" s="133"/>
      <c r="JSF8" s="133"/>
      <c r="JSG8" s="133"/>
      <c r="JSH8" s="133"/>
      <c r="JSI8" s="133"/>
      <c r="JSJ8" s="133"/>
      <c r="JSK8" s="133"/>
      <c r="JSL8" s="133"/>
      <c r="JSM8" s="133"/>
      <c r="JSN8" s="133"/>
      <c r="JSO8" s="133"/>
      <c r="JSP8" s="133"/>
      <c r="JSQ8" s="133"/>
      <c r="JSR8" s="133"/>
      <c r="JSS8" s="133"/>
      <c r="JST8" s="133"/>
      <c r="JSU8" s="133"/>
      <c r="JSV8" s="133"/>
      <c r="JSW8" s="133"/>
      <c r="JSX8" s="133"/>
      <c r="JSY8" s="133"/>
      <c r="JSZ8" s="133"/>
      <c r="JTA8" s="133"/>
      <c r="JTB8" s="133"/>
      <c r="JTC8" s="133"/>
      <c r="JTD8" s="133"/>
      <c r="JTE8" s="133"/>
      <c r="JTF8" s="133"/>
      <c r="JTG8" s="133"/>
      <c r="JTH8" s="133"/>
      <c r="JTI8" s="133"/>
      <c r="JTJ8" s="133"/>
      <c r="JTK8" s="133"/>
      <c r="JTL8" s="133"/>
      <c r="JTM8" s="133"/>
      <c r="JTN8" s="133"/>
      <c r="JTO8" s="133"/>
      <c r="JTP8" s="133"/>
      <c r="JTQ8" s="133"/>
      <c r="JTR8" s="133"/>
      <c r="JTS8" s="133"/>
      <c r="JTT8" s="133"/>
      <c r="JTU8" s="133"/>
      <c r="JTV8" s="133"/>
      <c r="JTW8" s="133"/>
      <c r="JTX8" s="133"/>
      <c r="JTY8" s="133"/>
      <c r="JTZ8" s="133"/>
      <c r="JUA8" s="133"/>
      <c r="JUB8" s="133"/>
      <c r="JUC8" s="133"/>
      <c r="JUD8" s="133"/>
      <c r="JUE8" s="133"/>
      <c r="JUF8" s="133"/>
      <c r="JUG8" s="133"/>
      <c r="JUH8" s="133"/>
      <c r="JUI8" s="133"/>
      <c r="JUJ8" s="133"/>
      <c r="JUK8" s="133"/>
      <c r="JUL8" s="133"/>
      <c r="JUM8" s="133"/>
      <c r="JUN8" s="133"/>
      <c r="JUO8" s="133"/>
      <c r="JUP8" s="133"/>
      <c r="JUQ8" s="133"/>
      <c r="JUR8" s="133"/>
      <c r="JUS8" s="133"/>
      <c r="JUT8" s="133"/>
      <c r="JUU8" s="133"/>
      <c r="JUV8" s="133"/>
      <c r="JUW8" s="133"/>
      <c r="JUX8" s="133"/>
      <c r="JUY8" s="133"/>
      <c r="JUZ8" s="133"/>
      <c r="JVA8" s="133"/>
      <c r="JVB8" s="133"/>
      <c r="JVC8" s="133"/>
      <c r="JVD8" s="133"/>
      <c r="JVE8" s="133"/>
      <c r="JVF8" s="133"/>
      <c r="JVG8" s="133"/>
      <c r="JVH8" s="133"/>
      <c r="JVI8" s="133"/>
      <c r="JVJ8" s="133"/>
      <c r="JVK8" s="133"/>
      <c r="JVL8" s="133"/>
      <c r="JVM8" s="133"/>
      <c r="JVN8" s="133"/>
      <c r="JVO8" s="133"/>
      <c r="JVP8" s="133"/>
      <c r="JVQ8" s="133"/>
      <c r="JVR8" s="133"/>
      <c r="JVS8" s="133"/>
      <c r="JVT8" s="133"/>
      <c r="JVU8" s="133"/>
      <c r="JVV8" s="133"/>
      <c r="JVW8" s="133"/>
      <c r="JVX8" s="133"/>
      <c r="JVY8" s="133"/>
      <c r="JVZ8" s="133"/>
      <c r="JWA8" s="133"/>
      <c r="JWB8" s="133"/>
      <c r="JWC8" s="133"/>
      <c r="JWD8" s="133"/>
      <c r="JWE8" s="133"/>
      <c r="JWF8" s="133"/>
      <c r="JWG8" s="133"/>
      <c r="JWH8" s="133"/>
      <c r="JWI8" s="133"/>
      <c r="JWJ8" s="133"/>
      <c r="JWK8" s="133"/>
      <c r="JWL8" s="133"/>
      <c r="JWM8" s="133"/>
      <c r="JWN8" s="133"/>
      <c r="JWO8" s="133"/>
      <c r="JWP8" s="133"/>
      <c r="JWQ8" s="133"/>
      <c r="JWR8" s="133"/>
      <c r="JWS8" s="133"/>
      <c r="JWT8" s="133"/>
      <c r="JWU8" s="133"/>
      <c r="JWV8" s="133"/>
      <c r="JWW8" s="133"/>
      <c r="JWX8" s="133"/>
      <c r="JWY8" s="133"/>
      <c r="JWZ8" s="133"/>
      <c r="JXA8" s="133"/>
      <c r="JXB8" s="133"/>
      <c r="JXC8" s="133"/>
      <c r="JXD8" s="133"/>
      <c r="JXE8" s="133"/>
      <c r="JXF8" s="133"/>
      <c r="JXG8" s="133"/>
      <c r="JXH8" s="133"/>
      <c r="JXI8" s="133"/>
      <c r="JXJ8" s="133"/>
      <c r="JXK8" s="133"/>
      <c r="JXL8" s="133"/>
      <c r="JXM8" s="133"/>
      <c r="JXN8" s="133"/>
      <c r="JXO8" s="133"/>
      <c r="JXP8" s="133"/>
      <c r="JXQ8" s="133"/>
      <c r="JXR8" s="133"/>
      <c r="JXS8" s="133"/>
      <c r="JXT8" s="133"/>
      <c r="JXU8" s="133"/>
      <c r="JXV8" s="133"/>
      <c r="JXW8" s="133"/>
      <c r="JXX8" s="133"/>
      <c r="JXY8" s="133"/>
      <c r="JXZ8" s="133"/>
      <c r="JYA8" s="133"/>
      <c r="JYB8" s="133"/>
      <c r="JYC8" s="133"/>
      <c r="JYD8" s="133"/>
      <c r="JYE8" s="133"/>
      <c r="JYF8" s="133"/>
      <c r="JYG8" s="133"/>
      <c r="JYH8" s="133"/>
      <c r="JYI8" s="133"/>
      <c r="JYJ8" s="133"/>
      <c r="JYK8" s="133"/>
      <c r="JYL8" s="133"/>
      <c r="JYM8" s="133"/>
      <c r="JYN8" s="133"/>
      <c r="JYO8" s="133"/>
      <c r="JYP8" s="133"/>
      <c r="JYQ8" s="133"/>
      <c r="JYR8" s="133"/>
      <c r="JYS8" s="133"/>
      <c r="JYT8" s="133"/>
      <c r="JYU8" s="133"/>
      <c r="JYV8" s="133"/>
      <c r="JYW8" s="133"/>
      <c r="JYX8" s="133"/>
      <c r="JYY8" s="133"/>
      <c r="JYZ8" s="133"/>
      <c r="JZA8" s="133"/>
      <c r="JZB8" s="133"/>
      <c r="JZC8" s="133"/>
      <c r="JZD8" s="133"/>
      <c r="JZE8" s="133"/>
      <c r="JZF8" s="133"/>
      <c r="JZG8" s="133"/>
      <c r="JZH8" s="133"/>
      <c r="JZI8" s="133"/>
      <c r="JZJ8" s="133"/>
      <c r="JZK8" s="133"/>
      <c r="JZL8" s="133"/>
      <c r="JZM8" s="133"/>
      <c r="JZN8" s="133"/>
      <c r="JZO8" s="133"/>
      <c r="JZP8" s="133"/>
      <c r="JZQ8" s="133"/>
      <c r="JZR8" s="133"/>
      <c r="JZS8" s="133"/>
      <c r="JZT8" s="133"/>
      <c r="JZU8" s="133"/>
      <c r="JZV8" s="133"/>
      <c r="JZW8" s="133"/>
      <c r="JZX8" s="133"/>
      <c r="JZY8" s="133"/>
      <c r="JZZ8" s="133"/>
      <c r="KAA8" s="133"/>
      <c r="KAB8" s="133"/>
      <c r="KAC8" s="133"/>
      <c r="KAD8" s="133"/>
      <c r="KAE8" s="133"/>
      <c r="KAF8" s="133"/>
      <c r="KAG8" s="133"/>
      <c r="KAH8" s="133"/>
      <c r="KAI8" s="133"/>
      <c r="KAJ8" s="133"/>
      <c r="KAK8" s="133"/>
      <c r="KAL8" s="133"/>
      <c r="KAM8" s="133"/>
      <c r="KAN8" s="133"/>
      <c r="KAO8" s="133"/>
      <c r="KAP8" s="133"/>
      <c r="KAQ8" s="133"/>
      <c r="KAR8" s="133"/>
      <c r="KAS8" s="133"/>
      <c r="KAT8" s="133"/>
      <c r="KAU8" s="133"/>
      <c r="KAV8" s="133"/>
      <c r="KAW8" s="133"/>
      <c r="KAX8" s="133"/>
      <c r="KAY8" s="133"/>
      <c r="KAZ8" s="133"/>
      <c r="KBA8" s="133"/>
      <c r="KBB8" s="133"/>
      <c r="KBC8" s="133"/>
      <c r="KBD8" s="133"/>
      <c r="KBE8" s="133"/>
      <c r="KBF8" s="133"/>
      <c r="KBG8" s="133"/>
      <c r="KBH8" s="133"/>
      <c r="KBI8" s="133"/>
      <c r="KBJ8" s="133"/>
      <c r="KBK8" s="133"/>
      <c r="KBL8" s="133"/>
      <c r="KBM8" s="133"/>
      <c r="KBN8" s="133"/>
      <c r="KBO8" s="133"/>
      <c r="KBP8" s="133"/>
      <c r="KBQ8" s="133"/>
      <c r="KBR8" s="133"/>
      <c r="KBS8" s="133"/>
      <c r="KBT8" s="133"/>
      <c r="KBU8" s="133"/>
      <c r="KBV8" s="133"/>
      <c r="KBW8" s="133"/>
      <c r="KBX8" s="133"/>
      <c r="KBY8" s="133"/>
      <c r="KBZ8" s="133"/>
      <c r="KCA8" s="133"/>
      <c r="KCB8" s="133"/>
      <c r="KCC8" s="133"/>
      <c r="KCD8" s="133"/>
      <c r="KCE8" s="133"/>
      <c r="KCF8" s="133"/>
      <c r="KCG8" s="133"/>
      <c r="KCH8" s="133"/>
      <c r="KCI8" s="133"/>
      <c r="KCJ8" s="133"/>
      <c r="KCK8" s="133"/>
      <c r="KCL8" s="133"/>
      <c r="KCM8" s="133"/>
      <c r="KCN8" s="133"/>
      <c r="KCO8" s="133"/>
      <c r="KCP8" s="133"/>
      <c r="KCQ8" s="133"/>
      <c r="KCR8" s="133"/>
      <c r="KCS8" s="133"/>
      <c r="KCT8" s="133"/>
      <c r="KCU8" s="133"/>
      <c r="KCV8" s="133"/>
      <c r="KCW8" s="133"/>
      <c r="KCX8" s="133"/>
      <c r="KCY8" s="133"/>
      <c r="KCZ8" s="133"/>
      <c r="KDA8" s="133"/>
      <c r="KDB8" s="133"/>
      <c r="KDC8" s="133"/>
      <c r="KDD8" s="133"/>
      <c r="KDE8" s="133"/>
      <c r="KDF8" s="133"/>
      <c r="KDG8" s="133"/>
      <c r="KDH8" s="133"/>
      <c r="KDI8" s="133"/>
      <c r="KDJ8" s="133"/>
      <c r="KDK8" s="133"/>
      <c r="KDL8" s="133"/>
      <c r="KDM8" s="133"/>
      <c r="KDN8" s="133"/>
      <c r="KDO8" s="133"/>
      <c r="KDP8" s="133"/>
      <c r="KDQ8" s="133"/>
      <c r="KDR8" s="133"/>
      <c r="KDS8" s="133"/>
      <c r="KDT8" s="133"/>
      <c r="KDU8" s="133"/>
      <c r="KDV8" s="133"/>
      <c r="KDW8" s="133"/>
      <c r="KDX8" s="133"/>
      <c r="KDY8" s="133"/>
      <c r="KDZ8" s="133"/>
      <c r="KEA8" s="133"/>
      <c r="KEB8" s="133"/>
      <c r="KEC8" s="133"/>
      <c r="KED8" s="133"/>
      <c r="KEE8" s="133"/>
      <c r="KEF8" s="133"/>
      <c r="KEG8" s="133"/>
      <c r="KEH8" s="133"/>
      <c r="KEI8" s="133"/>
      <c r="KEJ8" s="133"/>
      <c r="KEK8" s="133"/>
      <c r="KEL8" s="133"/>
      <c r="KEM8" s="133"/>
      <c r="KEN8" s="133"/>
      <c r="KEO8" s="133"/>
      <c r="KEP8" s="133"/>
      <c r="KEQ8" s="133"/>
      <c r="KER8" s="133"/>
      <c r="KES8" s="133"/>
      <c r="KET8" s="133"/>
      <c r="KEU8" s="133"/>
      <c r="KEV8" s="133"/>
      <c r="KEW8" s="133"/>
      <c r="KEX8" s="133"/>
      <c r="KEY8" s="133"/>
      <c r="KEZ8" s="133"/>
      <c r="KFA8" s="133"/>
      <c r="KFB8" s="133"/>
      <c r="KFC8" s="133"/>
      <c r="KFD8" s="133"/>
      <c r="KFE8" s="133"/>
      <c r="KFF8" s="133"/>
      <c r="KFG8" s="133"/>
      <c r="KFH8" s="133"/>
      <c r="KFI8" s="133"/>
      <c r="KFJ8" s="133"/>
      <c r="KFK8" s="133"/>
      <c r="KFL8" s="133"/>
      <c r="KFM8" s="133"/>
      <c r="KFN8" s="133"/>
      <c r="KFO8" s="133"/>
      <c r="KFP8" s="133"/>
      <c r="KFQ8" s="133"/>
      <c r="KFR8" s="133"/>
      <c r="KFS8" s="133"/>
      <c r="KFT8" s="133"/>
      <c r="KFU8" s="133"/>
      <c r="KFV8" s="133"/>
      <c r="KFW8" s="133"/>
      <c r="KFX8" s="133"/>
      <c r="KFY8" s="133"/>
      <c r="KFZ8" s="133"/>
      <c r="KGA8" s="133"/>
      <c r="KGB8" s="133"/>
      <c r="KGC8" s="133"/>
      <c r="KGD8" s="133"/>
      <c r="KGE8" s="133"/>
      <c r="KGF8" s="133"/>
      <c r="KGG8" s="133"/>
      <c r="KGH8" s="133"/>
      <c r="KGI8" s="133"/>
      <c r="KGJ8" s="133"/>
      <c r="KGK8" s="133"/>
      <c r="KGL8" s="133"/>
      <c r="KGM8" s="133"/>
      <c r="KGN8" s="133"/>
      <c r="KGO8" s="133"/>
      <c r="KGP8" s="133"/>
      <c r="KGQ8" s="133"/>
      <c r="KGR8" s="133"/>
      <c r="KGS8" s="133"/>
      <c r="KGT8" s="133"/>
      <c r="KGU8" s="133"/>
      <c r="KGV8" s="133"/>
      <c r="KGW8" s="133"/>
      <c r="KGX8" s="133"/>
      <c r="KGY8" s="133"/>
      <c r="KGZ8" s="133"/>
      <c r="KHA8" s="133"/>
      <c r="KHB8" s="133"/>
      <c r="KHC8" s="133"/>
      <c r="KHD8" s="133"/>
      <c r="KHE8" s="133"/>
      <c r="KHF8" s="133"/>
      <c r="KHG8" s="133"/>
      <c r="KHH8" s="133"/>
      <c r="KHI8" s="133"/>
      <c r="KHJ8" s="133"/>
      <c r="KHK8" s="133"/>
      <c r="KHL8" s="133"/>
      <c r="KHM8" s="133"/>
      <c r="KHN8" s="133"/>
      <c r="KHO8" s="133"/>
      <c r="KHP8" s="133"/>
      <c r="KHQ8" s="133"/>
      <c r="KHR8" s="133"/>
      <c r="KHS8" s="133"/>
      <c r="KHT8" s="133"/>
      <c r="KHU8" s="133"/>
      <c r="KHV8" s="133"/>
      <c r="KHW8" s="133"/>
      <c r="KHX8" s="133"/>
      <c r="KHY8" s="133"/>
      <c r="KHZ8" s="133"/>
      <c r="KIA8" s="133"/>
      <c r="KIB8" s="133"/>
      <c r="KIC8" s="133"/>
      <c r="KID8" s="133"/>
      <c r="KIE8" s="133"/>
      <c r="KIF8" s="133"/>
      <c r="KIG8" s="133"/>
      <c r="KIH8" s="133"/>
      <c r="KII8" s="133"/>
      <c r="KIJ8" s="133"/>
      <c r="KIK8" s="133"/>
      <c r="KIL8" s="133"/>
      <c r="KIM8" s="133"/>
      <c r="KIN8" s="133"/>
      <c r="KIO8" s="133"/>
      <c r="KIP8" s="133"/>
      <c r="KIQ8" s="133"/>
      <c r="KIR8" s="133"/>
      <c r="KIS8" s="133"/>
      <c r="KIT8" s="133"/>
      <c r="KIU8" s="133"/>
      <c r="KIV8" s="133"/>
      <c r="KIW8" s="133"/>
      <c r="KIX8" s="133"/>
      <c r="KIY8" s="133"/>
      <c r="KIZ8" s="133"/>
      <c r="KJA8" s="133"/>
      <c r="KJB8" s="133"/>
      <c r="KJC8" s="133"/>
      <c r="KJD8" s="133"/>
      <c r="KJE8" s="133"/>
      <c r="KJF8" s="133"/>
      <c r="KJG8" s="133"/>
      <c r="KJH8" s="133"/>
      <c r="KJI8" s="133"/>
      <c r="KJJ8" s="133"/>
      <c r="KJK8" s="133"/>
      <c r="KJL8" s="133"/>
      <c r="KJM8" s="133"/>
      <c r="KJN8" s="133"/>
      <c r="KJO8" s="133"/>
      <c r="KJP8" s="133"/>
      <c r="KJQ8" s="133"/>
      <c r="KJR8" s="133"/>
      <c r="KJS8" s="133"/>
      <c r="KJT8" s="133"/>
      <c r="KJU8" s="133"/>
      <c r="KJV8" s="133"/>
      <c r="KJW8" s="133"/>
      <c r="KJX8" s="133"/>
      <c r="KJY8" s="133"/>
      <c r="KJZ8" s="133"/>
      <c r="KKA8" s="133"/>
      <c r="KKB8" s="133"/>
      <c r="KKC8" s="133"/>
      <c r="KKD8" s="133"/>
      <c r="KKE8" s="133"/>
      <c r="KKF8" s="133"/>
      <c r="KKG8" s="133"/>
      <c r="KKH8" s="133"/>
      <c r="KKI8" s="133"/>
      <c r="KKJ8" s="133"/>
      <c r="KKK8" s="133"/>
      <c r="KKL8" s="133"/>
      <c r="KKM8" s="133"/>
      <c r="KKN8" s="133"/>
      <c r="KKO8" s="133"/>
      <c r="KKP8" s="133"/>
      <c r="KKQ8" s="133"/>
      <c r="KKR8" s="133"/>
      <c r="KKS8" s="133"/>
      <c r="KKT8" s="133"/>
      <c r="KKU8" s="133"/>
      <c r="KKV8" s="133"/>
      <c r="KKW8" s="133"/>
      <c r="KKX8" s="133"/>
      <c r="KKY8" s="133"/>
      <c r="KKZ8" s="133"/>
      <c r="KLA8" s="133"/>
      <c r="KLB8" s="133"/>
      <c r="KLC8" s="133"/>
      <c r="KLD8" s="133"/>
      <c r="KLE8" s="133"/>
      <c r="KLF8" s="133"/>
      <c r="KLG8" s="133"/>
      <c r="KLH8" s="133"/>
      <c r="KLI8" s="133"/>
      <c r="KLJ8" s="133"/>
      <c r="KLK8" s="133"/>
      <c r="KLL8" s="133"/>
      <c r="KLM8" s="133"/>
      <c r="KLN8" s="133"/>
      <c r="KLO8" s="133"/>
      <c r="KLP8" s="133"/>
      <c r="KLQ8" s="133"/>
      <c r="KLR8" s="133"/>
      <c r="KLS8" s="133"/>
      <c r="KLT8" s="133"/>
      <c r="KLU8" s="133"/>
      <c r="KLV8" s="133"/>
      <c r="KLW8" s="133"/>
      <c r="KLX8" s="133"/>
      <c r="KLY8" s="133"/>
      <c r="KLZ8" s="133"/>
      <c r="KMA8" s="133"/>
      <c r="KMB8" s="133"/>
      <c r="KMC8" s="133"/>
      <c r="KMD8" s="133"/>
      <c r="KME8" s="133"/>
      <c r="KMF8" s="133"/>
      <c r="KMG8" s="133"/>
      <c r="KMH8" s="133"/>
      <c r="KMI8" s="133"/>
      <c r="KMJ8" s="133"/>
      <c r="KMK8" s="133"/>
      <c r="KML8" s="133"/>
      <c r="KMM8" s="133"/>
      <c r="KMN8" s="133"/>
      <c r="KMO8" s="133"/>
      <c r="KMP8" s="133"/>
      <c r="KMQ8" s="133"/>
      <c r="KMR8" s="133"/>
      <c r="KMS8" s="133"/>
      <c r="KMT8" s="133"/>
      <c r="KMU8" s="133"/>
      <c r="KMV8" s="133"/>
      <c r="KMW8" s="133"/>
      <c r="KMX8" s="133"/>
      <c r="KMY8" s="133"/>
      <c r="KMZ8" s="133"/>
      <c r="KNA8" s="133"/>
      <c r="KNB8" s="133"/>
      <c r="KNC8" s="133"/>
      <c r="KND8" s="133"/>
      <c r="KNE8" s="133"/>
      <c r="KNF8" s="133"/>
      <c r="KNG8" s="133"/>
      <c r="KNH8" s="133"/>
      <c r="KNI8" s="133"/>
      <c r="KNJ8" s="133"/>
      <c r="KNK8" s="133"/>
      <c r="KNL8" s="133"/>
      <c r="KNM8" s="133"/>
      <c r="KNN8" s="133"/>
      <c r="KNO8" s="133"/>
      <c r="KNP8" s="133"/>
      <c r="KNQ8" s="133"/>
      <c r="KNR8" s="133"/>
      <c r="KNS8" s="133"/>
      <c r="KNT8" s="133"/>
      <c r="KNU8" s="133"/>
      <c r="KNV8" s="133"/>
      <c r="KNW8" s="133"/>
      <c r="KNX8" s="133"/>
      <c r="KNY8" s="133"/>
      <c r="KNZ8" s="133"/>
      <c r="KOA8" s="133"/>
      <c r="KOB8" s="133"/>
      <c r="KOC8" s="133"/>
      <c r="KOD8" s="133"/>
      <c r="KOE8" s="133"/>
      <c r="KOF8" s="133"/>
      <c r="KOG8" s="133"/>
      <c r="KOH8" s="133"/>
      <c r="KOI8" s="133"/>
      <c r="KOJ8" s="133"/>
      <c r="KOK8" s="133"/>
      <c r="KOL8" s="133"/>
      <c r="KOM8" s="133"/>
      <c r="KON8" s="133"/>
      <c r="KOO8" s="133"/>
      <c r="KOP8" s="133"/>
      <c r="KOQ8" s="133"/>
      <c r="KOR8" s="133"/>
      <c r="KOS8" s="133"/>
      <c r="KOT8" s="133"/>
      <c r="KOU8" s="133"/>
      <c r="KOV8" s="133"/>
      <c r="KOW8" s="133"/>
      <c r="KOX8" s="133"/>
      <c r="KOY8" s="133"/>
      <c r="KOZ8" s="133"/>
      <c r="KPA8" s="133"/>
      <c r="KPB8" s="133"/>
      <c r="KPC8" s="133"/>
      <c r="KPD8" s="133"/>
      <c r="KPE8" s="133"/>
      <c r="KPF8" s="133"/>
      <c r="KPG8" s="133"/>
      <c r="KPH8" s="133"/>
      <c r="KPI8" s="133"/>
      <c r="KPJ8" s="133"/>
      <c r="KPK8" s="133"/>
      <c r="KPL8" s="133"/>
      <c r="KPM8" s="133"/>
      <c r="KPN8" s="133"/>
      <c r="KPO8" s="133"/>
      <c r="KPP8" s="133"/>
      <c r="KPQ8" s="133"/>
      <c r="KPR8" s="133"/>
      <c r="KPS8" s="133"/>
      <c r="KPT8" s="133"/>
      <c r="KPU8" s="133"/>
      <c r="KPV8" s="133"/>
      <c r="KPW8" s="133"/>
      <c r="KPX8" s="133"/>
      <c r="KPY8" s="133"/>
      <c r="KPZ8" s="133"/>
      <c r="KQA8" s="133"/>
      <c r="KQB8" s="133"/>
      <c r="KQC8" s="133"/>
      <c r="KQD8" s="133"/>
      <c r="KQE8" s="133"/>
      <c r="KQF8" s="133"/>
      <c r="KQG8" s="133"/>
      <c r="KQH8" s="133"/>
      <c r="KQI8" s="133"/>
      <c r="KQJ8" s="133"/>
      <c r="KQK8" s="133"/>
      <c r="KQL8" s="133"/>
      <c r="KQM8" s="133"/>
      <c r="KQN8" s="133"/>
      <c r="KQO8" s="133"/>
      <c r="KQP8" s="133"/>
      <c r="KQQ8" s="133"/>
      <c r="KQR8" s="133"/>
      <c r="KQS8" s="133"/>
      <c r="KQT8" s="133"/>
      <c r="KQU8" s="133"/>
      <c r="KQV8" s="133"/>
      <c r="KQW8" s="133"/>
      <c r="KQX8" s="133"/>
      <c r="KQY8" s="133"/>
      <c r="KQZ8" s="133"/>
      <c r="KRA8" s="133"/>
      <c r="KRB8" s="133"/>
      <c r="KRC8" s="133"/>
      <c r="KRD8" s="133"/>
      <c r="KRE8" s="133"/>
      <c r="KRF8" s="133"/>
      <c r="KRG8" s="133"/>
      <c r="KRH8" s="133"/>
      <c r="KRI8" s="133"/>
      <c r="KRJ8" s="133"/>
      <c r="KRK8" s="133"/>
      <c r="KRL8" s="133"/>
      <c r="KRM8" s="133"/>
      <c r="KRN8" s="133"/>
      <c r="KRO8" s="133"/>
      <c r="KRP8" s="133"/>
      <c r="KRQ8" s="133"/>
      <c r="KRR8" s="133"/>
      <c r="KRS8" s="133"/>
      <c r="KRT8" s="133"/>
      <c r="KRU8" s="133"/>
      <c r="KRV8" s="133"/>
      <c r="KRW8" s="133"/>
      <c r="KRX8" s="133"/>
      <c r="KRY8" s="133"/>
      <c r="KRZ8" s="133"/>
      <c r="KSA8" s="133"/>
      <c r="KSB8" s="133"/>
      <c r="KSC8" s="133"/>
      <c r="KSD8" s="133"/>
      <c r="KSE8" s="133"/>
      <c r="KSF8" s="133"/>
      <c r="KSG8" s="133"/>
      <c r="KSH8" s="133"/>
      <c r="KSI8" s="133"/>
      <c r="KSJ8" s="133"/>
      <c r="KSK8" s="133"/>
      <c r="KSL8" s="133"/>
      <c r="KSM8" s="133"/>
      <c r="KSN8" s="133"/>
      <c r="KSO8" s="133"/>
      <c r="KSP8" s="133"/>
      <c r="KSQ8" s="133"/>
      <c r="KSR8" s="133"/>
      <c r="KSS8" s="133"/>
      <c r="KST8" s="133"/>
      <c r="KSU8" s="133"/>
      <c r="KSV8" s="133"/>
      <c r="KSW8" s="133"/>
      <c r="KSX8" s="133"/>
      <c r="KSY8" s="133"/>
      <c r="KSZ8" s="133"/>
      <c r="KTA8" s="133"/>
      <c r="KTB8" s="133"/>
      <c r="KTC8" s="133"/>
      <c r="KTD8" s="133"/>
      <c r="KTE8" s="133"/>
      <c r="KTF8" s="133"/>
      <c r="KTG8" s="133"/>
      <c r="KTH8" s="133"/>
      <c r="KTI8" s="133"/>
      <c r="KTJ8" s="133"/>
      <c r="KTK8" s="133"/>
      <c r="KTL8" s="133"/>
      <c r="KTM8" s="133"/>
      <c r="KTN8" s="133"/>
      <c r="KTO8" s="133"/>
      <c r="KTP8" s="133"/>
      <c r="KTQ8" s="133"/>
      <c r="KTR8" s="133"/>
      <c r="KTS8" s="133"/>
      <c r="KTT8" s="133"/>
      <c r="KTU8" s="133"/>
      <c r="KTV8" s="133"/>
      <c r="KTW8" s="133"/>
      <c r="KTX8" s="133"/>
      <c r="KTY8" s="133"/>
      <c r="KTZ8" s="133"/>
      <c r="KUA8" s="133"/>
      <c r="KUB8" s="133"/>
      <c r="KUC8" s="133"/>
      <c r="KUD8" s="133"/>
      <c r="KUE8" s="133"/>
      <c r="KUF8" s="133"/>
      <c r="KUG8" s="133"/>
      <c r="KUH8" s="133"/>
      <c r="KUI8" s="133"/>
      <c r="KUJ8" s="133"/>
      <c r="KUK8" s="133"/>
      <c r="KUL8" s="133"/>
      <c r="KUM8" s="133"/>
      <c r="KUN8" s="133"/>
      <c r="KUO8" s="133"/>
      <c r="KUP8" s="133"/>
      <c r="KUQ8" s="133"/>
      <c r="KUR8" s="133"/>
      <c r="KUS8" s="133"/>
      <c r="KUT8" s="133"/>
      <c r="KUU8" s="133"/>
      <c r="KUV8" s="133"/>
      <c r="KUW8" s="133"/>
      <c r="KUX8" s="133"/>
      <c r="KUY8" s="133"/>
      <c r="KUZ8" s="133"/>
      <c r="KVA8" s="133"/>
      <c r="KVB8" s="133"/>
      <c r="KVC8" s="133"/>
      <c r="KVD8" s="133"/>
      <c r="KVE8" s="133"/>
      <c r="KVF8" s="133"/>
      <c r="KVG8" s="133"/>
      <c r="KVH8" s="133"/>
      <c r="KVI8" s="133"/>
      <c r="KVJ8" s="133"/>
      <c r="KVK8" s="133"/>
      <c r="KVL8" s="133"/>
      <c r="KVM8" s="133"/>
      <c r="KVN8" s="133"/>
      <c r="KVO8" s="133"/>
      <c r="KVP8" s="133"/>
      <c r="KVQ8" s="133"/>
      <c r="KVR8" s="133"/>
      <c r="KVS8" s="133"/>
      <c r="KVT8" s="133"/>
      <c r="KVU8" s="133"/>
      <c r="KVV8" s="133"/>
      <c r="KVW8" s="133"/>
      <c r="KVX8" s="133"/>
      <c r="KVY8" s="133"/>
      <c r="KVZ8" s="133"/>
      <c r="KWA8" s="133"/>
      <c r="KWB8" s="133"/>
      <c r="KWC8" s="133"/>
      <c r="KWD8" s="133"/>
      <c r="KWE8" s="133"/>
      <c r="KWF8" s="133"/>
      <c r="KWG8" s="133"/>
      <c r="KWH8" s="133"/>
      <c r="KWI8" s="133"/>
      <c r="KWJ8" s="133"/>
      <c r="KWK8" s="133"/>
      <c r="KWL8" s="133"/>
      <c r="KWM8" s="133"/>
      <c r="KWN8" s="133"/>
      <c r="KWO8" s="133"/>
      <c r="KWP8" s="133"/>
      <c r="KWQ8" s="133"/>
      <c r="KWR8" s="133"/>
      <c r="KWS8" s="133"/>
      <c r="KWT8" s="133"/>
      <c r="KWU8" s="133"/>
      <c r="KWV8" s="133"/>
      <c r="KWW8" s="133"/>
      <c r="KWX8" s="133"/>
      <c r="KWY8" s="133"/>
      <c r="KWZ8" s="133"/>
      <c r="KXA8" s="133"/>
      <c r="KXB8" s="133"/>
      <c r="KXC8" s="133"/>
      <c r="KXD8" s="133"/>
      <c r="KXE8" s="133"/>
      <c r="KXF8" s="133"/>
      <c r="KXG8" s="133"/>
      <c r="KXH8" s="133"/>
      <c r="KXI8" s="133"/>
      <c r="KXJ8" s="133"/>
      <c r="KXK8" s="133"/>
      <c r="KXL8" s="133"/>
      <c r="KXM8" s="133"/>
      <c r="KXN8" s="133"/>
      <c r="KXO8" s="133"/>
      <c r="KXP8" s="133"/>
      <c r="KXQ8" s="133"/>
      <c r="KXR8" s="133"/>
      <c r="KXS8" s="133"/>
      <c r="KXT8" s="133"/>
      <c r="KXU8" s="133"/>
      <c r="KXV8" s="133"/>
      <c r="KXW8" s="133"/>
      <c r="KXX8" s="133"/>
      <c r="KXY8" s="133"/>
      <c r="KXZ8" s="133"/>
      <c r="KYA8" s="133"/>
      <c r="KYB8" s="133"/>
      <c r="KYC8" s="133"/>
      <c r="KYD8" s="133"/>
      <c r="KYE8" s="133"/>
      <c r="KYF8" s="133"/>
      <c r="KYG8" s="133"/>
      <c r="KYH8" s="133"/>
      <c r="KYI8" s="133"/>
      <c r="KYJ8" s="133"/>
      <c r="KYK8" s="133"/>
      <c r="KYL8" s="133"/>
      <c r="KYM8" s="133"/>
      <c r="KYN8" s="133"/>
      <c r="KYO8" s="133"/>
      <c r="KYP8" s="133"/>
      <c r="KYQ8" s="133"/>
      <c r="KYR8" s="133"/>
      <c r="KYS8" s="133"/>
      <c r="KYT8" s="133"/>
      <c r="KYU8" s="133"/>
      <c r="KYV8" s="133"/>
      <c r="KYW8" s="133"/>
      <c r="KYX8" s="133"/>
      <c r="KYY8" s="133"/>
      <c r="KYZ8" s="133"/>
      <c r="KZA8" s="133"/>
      <c r="KZB8" s="133"/>
      <c r="KZC8" s="133"/>
      <c r="KZD8" s="133"/>
      <c r="KZE8" s="133"/>
      <c r="KZF8" s="133"/>
      <c r="KZG8" s="133"/>
      <c r="KZH8" s="133"/>
      <c r="KZI8" s="133"/>
      <c r="KZJ8" s="133"/>
      <c r="KZK8" s="133"/>
      <c r="KZL8" s="133"/>
      <c r="KZM8" s="133"/>
      <c r="KZN8" s="133"/>
      <c r="KZO8" s="133"/>
      <c r="KZP8" s="133"/>
      <c r="KZQ8" s="133"/>
      <c r="KZR8" s="133"/>
      <c r="KZS8" s="133"/>
      <c r="KZT8" s="133"/>
      <c r="KZU8" s="133"/>
      <c r="KZV8" s="133"/>
      <c r="KZW8" s="133"/>
      <c r="KZX8" s="133"/>
      <c r="KZY8" s="133"/>
      <c r="KZZ8" s="133"/>
      <c r="LAA8" s="133"/>
      <c r="LAB8" s="133"/>
      <c r="LAC8" s="133"/>
      <c r="LAD8" s="133"/>
      <c r="LAE8" s="133"/>
      <c r="LAF8" s="133"/>
      <c r="LAG8" s="133"/>
      <c r="LAH8" s="133"/>
      <c r="LAI8" s="133"/>
      <c r="LAJ8" s="133"/>
      <c r="LAK8" s="133"/>
      <c r="LAL8" s="133"/>
      <c r="LAM8" s="133"/>
      <c r="LAN8" s="133"/>
      <c r="LAO8" s="133"/>
      <c r="LAP8" s="133"/>
      <c r="LAQ8" s="133"/>
      <c r="LAR8" s="133"/>
      <c r="LAS8" s="133"/>
      <c r="LAT8" s="133"/>
      <c r="LAU8" s="133"/>
      <c r="LAV8" s="133"/>
      <c r="LAW8" s="133"/>
      <c r="LAX8" s="133"/>
      <c r="LAY8" s="133"/>
      <c r="LAZ8" s="133"/>
      <c r="LBA8" s="133"/>
      <c r="LBB8" s="133"/>
      <c r="LBC8" s="133"/>
      <c r="LBD8" s="133"/>
      <c r="LBE8" s="133"/>
      <c r="LBF8" s="133"/>
      <c r="LBG8" s="133"/>
      <c r="LBH8" s="133"/>
      <c r="LBI8" s="133"/>
      <c r="LBJ8" s="133"/>
      <c r="LBK8" s="133"/>
      <c r="LBL8" s="133"/>
      <c r="LBM8" s="133"/>
      <c r="LBN8" s="133"/>
      <c r="LBO8" s="133"/>
      <c r="LBP8" s="133"/>
      <c r="LBQ8" s="133"/>
      <c r="LCD8" s="133"/>
      <c r="LCE8" s="133"/>
      <c r="LCF8" s="133"/>
      <c r="LCG8" s="133"/>
      <c r="LCH8" s="133"/>
      <c r="LCI8" s="133"/>
      <c r="LCJ8" s="133"/>
      <c r="LCK8" s="133"/>
      <c r="LCL8" s="133"/>
      <c r="LCM8" s="133"/>
      <c r="LCN8" s="133"/>
      <c r="LCO8" s="133"/>
      <c r="LCP8" s="133"/>
      <c r="LCQ8" s="133"/>
      <c r="LCR8" s="133"/>
      <c r="LCS8" s="133"/>
      <c r="LCT8" s="133"/>
      <c r="LCU8" s="133"/>
      <c r="LCV8" s="133"/>
      <c r="LCW8" s="133"/>
      <c r="LCX8" s="133"/>
      <c r="LCY8" s="133"/>
      <c r="LCZ8" s="133"/>
      <c r="LDA8" s="133"/>
      <c r="LDB8" s="133"/>
      <c r="LDC8" s="133"/>
      <c r="LDD8" s="133"/>
      <c r="LDE8" s="133"/>
      <c r="LDF8" s="133"/>
      <c r="LDG8" s="133"/>
      <c r="LDH8" s="133"/>
      <c r="LDI8" s="133"/>
      <c r="LDJ8" s="133"/>
      <c r="LDK8" s="133"/>
      <c r="LDL8" s="133"/>
      <c r="LDM8" s="133"/>
      <c r="LDN8" s="133"/>
      <c r="LDO8" s="133"/>
      <c r="LDP8" s="133"/>
      <c r="LDQ8" s="133"/>
      <c r="LDR8" s="133"/>
      <c r="LDS8" s="133"/>
      <c r="LDT8" s="133"/>
      <c r="LDU8" s="133"/>
      <c r="LDV8" s="133"/>
      <c r="LDW8" s="133"/>
      <c r="LDX8" s="133"/>
      <c r="LDY8" s="133"/>
      <c r="LDZ8" s="133"/>
      <c r="LEA8" s="133"/>
      <c r="LEB8" s="133"/>
      <c r="LEC8" s="133"/>
      <c r="LED8" s="133"/>
      <c r="LEE8" s="133"/>
      <c r="LEF8" s="133"/>
      <c r="LEG8" s="133"/>
      <c r="LEH8" s="133"/>
      <c r="LEI8" s="133"/>
      <c r="LEJ8" s="133"/>
      <c r="LEK8" s="133"/>
      <c r="LEL8" s="133"/>
      <c r="LEM8" s="133"/>
      <c r="LEN8" s="133"/>
      <c r="LEO8" s="133"/>
      <c r="LEP8" s="133"/>
      <c r="LEQ8" s="133"/>
      <c r="LER8" s="133"/>
      <c r="LES8" s="133"/>
      <c r="LET8" s="133"/>
      <c r="LEU8" s="133"/>
      <c r="LEV8" s="133"/>
      <c r="LEW8" s="133"/>
      <c r="LEX8" s="133"/>
      <c r="LEY8" s="133"/>
      <c r="LEZ8" s="133"/>
      <c r="LFA8" s="133"/>
      <c r="LFB8" s="133"/>
      <c r="LFC8" s="133"/>
      <c r="LFD8" s="133"/>
      <c r="LFE8" s="133"/>
      <c r="LFF8" s="133"/>
      <c r="LFG8" s="133"/>
      <c r="LFH8" s="133"/>
      <c r="LFI8" s="133"/>
      <c r="LFJ8" s="133"/>
      <c r="LFK8" s="133"/>
      <c r="LFL8" s="133"/>
      <c r="LFM8" s="133"/>
      <c r="LFN8" s="133"/>
      <c r="LFO8" s="133"/>
      <c r="LFP8" s="133"/>
      <c r="LFQ8" s="133"/>
      <c r="LFR8" s="133"/>
      <c r="LFS8" s="133"/>
      <c r="LFT8" s="133"/>
      <c r="LFU8" s="133"/>
      <c r="LFV8" s="133"/>
      <c r="LFW8" s="133"/>
      <c r="LFX8" s="133"/>
      <c r="LFY8" s="133"/>
      <c r="LFZ8" s="133"/>
      <c r="LGA8" s="133"/>
      <c r="LGB8" s="133"/>
      <c r="LGC8" s="133"/>
      <c r="LGD8" s="133"/>
      <c r="LGE8" s="133"/>
      <c r="LGF8" s="133"/>
      <c r="LGG8" s="133"/>
      <c r="LGH8" s="133"/>
      <c r="LGI8" s="133"/>
      <c r="LGJ8" s="133"/>
      <c r="LGK8" s="133"/>
      <c r="LGL8" s="133"/>
      <c r="LGM8" s="133"/>
      <c r="LGN8" s="133"/>
      <c r="LGO8" s="133"/>
      <c r="LGP8" s="133"/>
      <c r="LGQ8" s="133"/>
      <c r="LGR8" s="133"/>
      <c r="LGS8" s="133"/>
      <c r="LGT8" s="133"/>
      <c r="LGU8" s="133"/>
      <c r="LGV8" s="133"/>
      <c r="LGW8" s="133"/>
      <c r="LGX8" s="133"/>
      <c r="LGY8" s="133"/>
      <c r="LGZ8" s="133"/>
      <c r="LHA8" s="133"/>
      <c r="LHB8" s="133"/>
      <c r="LHC8" s="133"/>
      <c r="LHD8" s="133"/>
      <c r="LHE8" s="133"/>
      <c r="LHF8" s="133"/>
      <c r="LHG8" s="133"/>
      <c r="LHH8" s="133"/>
      <c r="LHI8" s="133"/>
      <c r="LHJ8" s="133"/>
      <c r="LHK8" s="133"/>
      <c r="LHL8" s="133"/>
      <c r="LHM8" s="133"/>
      <c r="LHN8" s="133"/>
      <c r="LHO8" s="133"/>
      <c r="LHP8" s="133"/>
      <c r="LHQ8" s="133"/>
      <c r="LHR8" s="133"/>
      <c r="LHS8" s="133"/>
      <c r="LHT8" s="133"/>
      <c r="LHU8" s="133"/>
      <c r="LHV8" s="133"/>
      <c r="LHW8" s="133"/>
      <c r="LHX8" s="133"/>
      <c r="LHY8" s="133"/>
      <c r="LHZ8" s="133"/>
      <c r="LIA8" s="133"/>
      <c r="LIB8" s="133"/>
      <c r="LIC8" s="133"/>
      <c r="LID8" s="133"/>
      <c r="LIE8" s="133"/>
      <c r="LIF8" s="133"/>
      <c r="LIG8" s="133"/>
      <c r="LIH8" s="133"/>
      <c r="LII8" s="133"/>
      <c r="LIJ8" s="133"/>
      <c r="LIK8" s="133"/>
      <c r="LIL8" s="133"/>
      <c r="LIM8" s="133"/>
      <c r="LIN8" s="133"/>
      <c r="LIO8" s="133"/>
      <c r="LIP8" s="133"/>
      <c r="LIQ8" s="133"/>
      <c r="LIR8" s="133"/>
      <c r="LIS8" s="133"/>
      <c r="LIT8" s="133"/>
      <c r="LIU8" s="133"/>
      <c r="LIV8" s="133"/>
      <c r="LIW8" s="133"/>
      <c r="LIX8" s="133"/>
      <c r="LIY8" s="133"/>
      <c r="LIZ8" s="133"/>
      <c r="LJA8" s="133"/>
      <c r="LJB8" s="133"/>
      <c r="LJC8" s="133"/>
      <c r="LJD8" s="133"/>
      <c r="LJE8" s="133"/>
      <c r="LJF8" s="133"/>
      <c r="LJG8" s="133"/>
      <c r="LJH8" s="133"/>
      <c r="LJI8" s="133"/>
      <c r="LJJ8" s="133"/>
      <c r="LJK8" s="133"/>
      <c r="LJL8" s="133"/>
      <c r="LJM8" s="133"/>
      <c r="LJN8" s="133"/>
      <c r="LJO8" s="133"/>
      <c r="LJP8" s="133"/>
      <c r="LJQ8" s="133"/>
      <c r="LJR8" s="133"/>
      <c r="LJS8" s="133"/>
      <c r="LJT8" s="133"/>
      <c r="LJU8" s="133"/>
      <c r="LJV8" s="133"/>
      <c r="LJW8" s="133"/>
      <c r="LJX8" s="133"/>
      <c r="LJY8" s="133"/>
      <c r="LJZ8" s="133"/>
      <c r="LKA8" s="133"/>
      <c r="LKB8" s="133"/>
      <c r="LKC8" s="133"/>
      <c r="LKD8" s="133"/>
      <c r="LKE8" s="133"/>
      <c r="LKF8" s="133"/>
      <c r="LKG8" s="133"/>
      <c r="LKH8" s="133"/>
      <c r="LKI8" s="133"/>
      <c r="LKJ8" s="133"/>
      <c r="LKK8" s="133"/>
      <c r="LKL8" s="133"/>
      <c r="LKM8" s="133"/>
      <c r="LKN8" s="133"/>
      <c r="LKO8" s="133"/>
      <c r="LKP8" s="133"/>
      <c r="LKQ8" s="133"/>
      <c r="LKR8" s="133"/>
      <c r="LKS8" s="133"/>
      <c r="LKT8" s="133"/>
      <c r="LKU8" s="133"/>
      <c r="LKV8" s="133"/>
      <c r="LKW8" s="133"/>
      <c r="LKX8" s="133"/>
      <c r="LKY8" s="133"/>
      <c r="LKZ8" s="133"/>
      <c r="LLA8" s="133"/>
      <c r="LLB8" s="133"/>
      <c r="LLC8" s="133"/>
      <c r="LLD8" s="133"/>
      <c r="LLE8" s="133"/>
      <c r="LLF8" s="133"/>
      <c r="LLG8" s="133"/>
      <c r="LLH8" s="133"/>
      <c r="LLI8" s="133"/>
      <c r="LLJ8" s="133"/>
      <c r="LLK8" s="133"/>
      <c r="LLL8" s="133"/>
      <c r="LLM8" s="133"/>
      <c r="LLN8" s="133"/>
      <c r="LLO8" s="133"/>
      <c r="LLP8" s="133"/>
      <c r="LLQ8" s="133"/>
      <c r="LLR8" s="133"/>
      <c r="LLS8" s="133"/>
      <c r="LLT8" s="133"/>
      <c r="LLU8" s="133"/>
      <c r="LLV8" s="133"/>
      <c r="LLW8" s="133"/>
      <c r="LLX8" s="133"/>
      <c r="LLY8" s="133"/>
      <c r="LLZ8" s="133"/>
      <c r="LMA8" s="133"/>
      <c r="LMB8" s="133"/>
      <c r="LMC8" s="133"/>
      <c r="LMD8" s="133"/>
      <c r="LME8" s="133"/>
      <c r="LMF8" s="133"/>
      <c r="LMG8" s="133"/>
      <c r="LMH8" s="133"/>
      <c r="LMI8" s="133"/>
      <c r="LMJ8" s="133"/>
      <c r="LMK8" s="133"/>
      <c r="LML8" s="133"/>
      <c r="LMM8" s="133"/>
      <c r="LMN8" s="133"/>
      <c r="LMO8" s="133"/>
      <c r="LMP8" s="133"/>
      <c r="LMQ8" s="133"/>
      <c r="LMR8" s="133"/>
      <c r="LMS8" s="133"/>
      <c r="LMT8" s="133"/>
      <c r="LMU8" s="133"/>
      <c r="LMV8" s="133"/>
      <c r="LMW8" s="133"/>
      <c r="LMX8" s="133"/>
      <c r="LMY8" s="133"/>
      <c r="LMZ8" s="133"/>
      <c r="LNA8" s="133"/>
      <c r="LNB8" s="133"/>
      <c r="LNC8" s="133"/>
      <c r="LND8" s="133"/>
      <c r="LNE8" s="133"/>
      <c r="LNF8" s="133"/>
      <c r="LNG8" s="133"/>
      <c r="LNH8" s="133"/>
      <c r="LNI8" s="133"/>
      <c r="LNJ8" s="133"/>
      <c r="LNK8" s="133"/>
      <c r="LNL8" s="133"/>
      <c r="LNM8" s="133"/>
      <c r="LNN8" s="133"/>
      <c r="LNO8" s="133"/>
      <c r="LNP8" s="133"/>
      <c r="LNQ8" s="133"/>
      <c r="LNR8" s="133"/>
      <c r="LNS8" s="133"/>
      <c r="LNT8" s="133"/>
      <c r="LNU8" s="133"/>
      <c r="LNV8" s="133"/>
      <c r="LNW8" s="133"/>
      <c r="LNX8" s="133"/>
      <c r="LNY8" s="133"/>
      <c r="LNZ8" s="133"/>
      <c r="LOA8" s="133"/>
      <c r="LOB8" s="133"/>
      <c r="LOC8" s="133"/>
      <c r="LOD8" s="133"/>
      <c r="LOE8" s="133"/>
      <c r="LOF8" s="133"/>
      <c r="LOG8" s="133"/>
      <c r="LOH8" s="133"/>
      <c r="LOI8" s="133"/>
      <c r="LOJ8" s="133"/>
      <c r="LOK8" s="133"/>
      <c r="LOL8" s="133"/>
      <c r="LOM8" s="133"/>
      <c r="LON8" s="133"/>
      <c r="LOO8" s="133"/>
      <c r="LOP8" s="133"/>
      <c r="LOQ8" s="133"/>
      <c r="LOR8" s="133"/>
      <c r="LOS8" s="133"/>
      <c r="LOT8" s="133"/>
      <c r="LOU8" s="133"/>
      <c r="LOV8" s="133"/>
      <c r="LOW8" s="133"/>
      <c r="LOX8" s="133"/>
      <c r="LOY8" s="133"/>
      <c r="LOZ8" s="133"/>
      <c r="LPA8" s="133"/>
      <c r="LPB8" s="133"/>
      <c r="LPC8" s="133"/>
      <c r="LPD8" s="133"/>
      <c r="LPE8" s="133"/>
      <c r="LPF8" s="133"/>
      <c r="LPG8" s="133"/>
      <c r="LPH8" s="133"/>
      <c r="LPI8" s="133"/>
      <c r="LPJ8" s="133"/>
      <c r="LPK8" s="133"/>
      <c r="LPL8" s="133"/>
      <c r="LPM8" s="133"/>
      <c r="LPN8" s="133"/>
      <c r="LPO8" s="133"/>
      <c r="LPP8" s="133"/>
      <c r="LPQ8" s="133"/>
      <c r="LPR8" s="133"/>
      <c r="LPS8" s="133"/>
      <c r="LPT8" s="133"/>
      <c r="LPU8" s="133"/>
      <c r="LPV8" s="133"/>
      <c r="LPW8" s="133"/>
      <c r="LPX8" s="133"/>
      <c r="LPY8" s="133"/>
      <c r="LPZ8" s="133"/>
      <c r="LQA8" s="133"/>
      <c r="LQB8" s="133"/>
      <c r="LQC8" s="133"/>
      <c r="LQD8" s="133"/>
      <c r="LQE8" s="133"/>
      <c r="LQF8" s="133"/>
      <c r="LQG8" s="133"/>
      <c r="LQH8" s="133"/>
      <c r="LQI8" s="133"/>
      <c r="LQJ8" s="133"/>
      <c r="LQK8" s="133"/>
      <c r="LQL8" s="133"/>
      <c r="LQM8" s="133"/>
      <c r="LQN8" s="133"/>
      <c r="LQO8" s="133"/>
      <c r="LQP8" s="133"/>
      <c r="LQQ8" s="133"/>
      <c r="LQR8" s="133"/>
      <c r="LQS8" s="133"/>
      <c r="LQT8" s="133"/>
      <c r="LQU8" s="133"/>
      <c r="LQV8" s="133"/>
      <c r="LQW8" s="133"/>
      <c r="LQX8" s="133"/>
      <c r="LQY8" s="133"/>
      <c r="LQZ8" s="133"/>
      <c r="LRA8" s="133"/>
      <c r="LRB8" s="133"/>
      <c r="LRC8" s="133"/>
      <c r="LRD8" s="133"/>
      <c r="LRE8" s="133"/>
      <c r="LRF8" s="133"/>
      <c r="LRG8" s="133"/>
      <c r="LRH8" s="133"/>
      <c r="LRI8" s="133"/>
      <c r="LRJ8" s="133"/>
      <c r="LRK8" s="133"/>
      <c r="LRL8" s="133"/>
      <c r="LRM8" s="133"/>
      <c r="LRN8" s="133"/>
      <c r="LRO8" s="133"/>
      <c r="LRP8" s="133"/>
      <c r="LRQ8" s="133"/>
      <c r="LRR8" s="133"/>
      <c r="LRS8" s="133"/>
      <c r="LRT8" s="133"/>
      <c r="LRU8" s="133"/>
      <c r="LRV8" s="133"/>
      <c r="LRW8" s="133"/>
      <c r="LRX8" s="133"/>
      <c r="LRY8" s="133"/>
      <c r="LRZ8" s="133"/>
      <c r="LSA8" s="133"/>
      <c r="LSB8" s="133"/>
      <c r="LSC8" s="133"/>
      <c r="LSD8" s="133"/>
      <c r="LSE8" s="133"/>
      <c r="LSF8" s="133"/>
      <c r="LSG8" s="133"/>
      <c r="LSH8" s="133"/>
      <c r="LSI8" s="133"/>
      <c r="LSJ8" s="133"/>
      <c r="LSK8" s="133"/>
      <c r="LSL8" s="133"/>
      <c r="LSM8" s="133"/>
      <c r="LSN8" s="133"/>
      <c r="LSO8" s="133"/>
      <c r="LSP8" s="133"/>
      <c r="LSQ8" s="133"/>
      <c r="LSR8" s="133"/>
      <c r="LSS8" s="133"/>
      <c r="LST8" s="133"/>
      <c r="LSU8" s="133"/>
      <c r="LSV8" s="133"/>
      <c r="LSW8" s="133"/>
      <c r="LSX8" s="133"/>
      <c r="LSY8" s="133"/>
      <c r="LSZ8" s="133"/>
      <c r="LTA8" s="133"/>
      <c r="LTB8" s="133"/>
      <c r="LTC8" s="133"/>
      <c r="LTD8" s="133"/>
      <c r="LTE8" s="133"/>
      <c r="LTF8" s="133"/>
      <c r="LTG8" s="133"/>
      <c r="LTH8" s="133"/>
      <c r="LTI8" s="133"/>
      <c r="LTJ8" s="133"/>
      <c r="LTK8" s="133"/>
      <c r="LTL8" s="133"/>
      <c r="LTM8" s="133"/>
      <c r="LTN8" s="133"/>
      <c r="LTO8" s="133"/>
      <c r="LTP8" s="133"/>
      <c r="LTQ8" s="133"/>
      <c r="LTR8" s="133"/>
      <c r="LTS8" s="133"/>
      <c r="LTT8" s="133"/>
      <c r="LTU8" s="133"/>
      <c r="LTV8" s="133"/>
      <c r="LTW8" s="133"/>
      <c r="LTX8" s="133"/>
      <c r="LTY8" s="133"/>
      <c r="LTZ8" s="133"/>
      <c r="LUA8" s="133"/>
      <c r="LUB8" s="133"/>
      <c r="LUC8" s="133"/>
      <c r="LUD8" s="133"/>
      <c r="LUE8" s="133"/>
      <c r="LUF8" s="133"/>
      <c r="LUG8" s="133"/>
      <c r="LUH8" s="133"/>
      <c r="LUI8" s="133"/>
      <c r="LUJ8" s="133"/>
      <c r="LUK8" s="133"/>
      <c r="LUL8" s="133"/>
      <c r="LUM8" s="133"/>
      <c r="LUN8" s="133"/>
      <c r="LUO8" s="133"/>
      <c r="LUP8" s="133"/>
      <c r="LUQ8" s="133"/>
      <c r="LUR8" s="133"/>
      <c r="LUS8" s="133"/>
      <c r="LUT8" s="133"/>
      <c r="LUU8" s="133"/>
      <c r="LUV8" s="133"/>
      <c r="LUW8" s="133"/>
      <c r="LUX8" s="133"/>
      <c r="LUY8" s="133"/>
      <c r="LUZ8" s="133"/>
      <c r="LVA8" s="133"/>
      <c r="LVB8" s="133"/>
      <c r="LVC8" s="133"/>
      <c r="LVD8" s="133"/>
      <c r="LVE8" s="133"/>
      <c r="LVF8" s="133"/>
      <c r="LVG8" s="133"/>
      <c r="LVH8" s="133"/>
      <c r="LVI8" s="133"/>
      <c r="LVJ8" s="133"/>
      <c r="LVK8" s="133"/>
      <c r="LVL8" s="133"/>
      <c r="LVM8" s="133"/>
      <c r="LVN8" s="133"/>
      <c r="LVO8" s="133"/>
      <c r="LVP8" s="133"/>
      <c r="LVQ8" s="133"/>
      <c r="LVR8" s="133"/>
      <c r="LVS8" s="133"/>
      <c r="LVT8" s="133"/>
      <c r="LVU8" s="133"/>
      <c r="LVV8" s="133"/>
      <c r="LVW8" s="133"/>
      <c r="LVX8" s="133"/>
      <c r="LVY8" s="133"/>
      <c r="LVZ8" s="133"/>
      <c r="LWA8" s="133"/>
      <c r="LWB8" s="133"/>
      <c r="LWC8" s="133"/>
      <c r="LWD8" s="133"/>
      <c r="LWE8" s="133"/>
      <c r="LWF8" s="133"/>
      <c r="LWG8" s="133"/>
      <c r="LWH8" s="133"/>
      <c r="LWI8" s="133"/>
      <c r="LWJ8" s="133"/>
      <c r="LWK8" s="133"/>
      <c r="LWL8" s="133"/>
      <c r="LWM8" s="133"/>
      <c r="LWN8" s="133"/>
      <c r="LWO8" s="133"/>
      <c r="LWP8" s="133"/>
      <c r="LWQ8" s="133"/>
      <c r="LWR8" s="133"/>
      <c r="LWS8" s="133"/>
      <c r="LWT8" s="133"/>
      <c r="LWU8" s="133"/>
      <c r="LWV8" s="133"/>
      <c r="LWW8" s="133"/>
      <c r="LWX8" s="133"/>
      <c r="LWY8" s="133"/>
      <c r="LWZ8" s="133"/>
      <c r="LXA8" s="133"/>
      <c r="LXB8" s="133"/>
      <c r="LXC8" s="133"/>
      <c r="LXD8" s="133"/>
      <c r="LXE8" s="133"/>
      <c r="LXF8" s="133"/>
      <c r="LXG8" s="133"/>
      <c r="LXH8" s="133"/>
      <c r="LXI8" s="133"/>
      <c r="LXJ8" s="133"/>
      <c r="LXK8" s="133"/>
      <c r="LXL8" s="133"/>
      <c r="LXM8" s="133"/>
      <c r="LXN8" s="133"/>
      <c r="LXO8" s="133"/>
      <c r="LXP8" s="133"/>
      <c r="LXQ8" s="133"/>
      <c r="LXR8" s="133"/>
      <c r="LXS8" s="133"/>
      <c r="LXT8" s="133"/>
      <c r="LXU8" s="133"/>
      <c r="LXV8" s="133"/>
      <c r="LXW8" s="133"/>
      <c r="LXX8" s="133"/>
      <c r="LXY8" s="133"/>
      <c r="LXZ8" s="133"/>
      <c r="LYA8" s="133"/>
      <c r="LYB8" s="133"/>
      <c r="LYC8" s="133"/>
      <c r="LYD8" s="133"/>
      <c r="LYE8" s="133"/>
      <c r="LYF8" s="133"/>
      <c r="LYG8" s="133"/>
      <c r="LYH8" s="133"/>
      <c r="LYI8" s="133"/>
      <c r="LYJ8" s="133"/>
      <c r="LYK8" s="133"/>
      <c r="LYL8" s="133"/>
      <c r="LYM8" s="133"/>
      <c r="LYN8" s="133"/>
      <c r="LYO8" s="133"/>
      <c r="LYP8" s="133"/>
      <c r="LYQ8" s="133"/>
      <c r="LYR8" s="133"/>
      <c r="LYS8" s="133"/>
      <c r="LYT8" s="133"/>
      <c r="LYU8" s="133"/>
      <c r="LYV8" s="133"/>
      <c r="LYW8" s="133"/>
      <c r="LYX8" s="133"/>
      <c r="LYY8" s="133"/>
      <c r="LYZ8" s="133"/>
      <c r="LZA8" s="133"/>
      <c r="LZB8" s="133"/>
      <c r="LZC8" s="133"/>
      <c r="LZD8" s="133"/>
      <c r="LZE8" s="133"/>
      <c r="LZF8" s="133"/>
      <c r="LZG8" s="133"/>
      <c r="LZH8" s="133"/>
      <c r="LZI8" s="133"/>
      <c r="LZJ8" s="133"/>
      <c r="LZK8" s="133"/>
      <c r="LZL8" s="133"/>
      <c r="LZM8" s="133"/>
      <c r="LZN8" s="133"/>
      <c r="LZO8" s="133"/>
      <c r="LZP8" s="133"/>
      <c r="LZQ8" s="133"/>
      <c r="LZR8" s="133"/>
      <c r="LZS8" s="133"/>
      <c r="LZT8" s="133"/>
      <c r="LZU8" s="133"/>
      <c r="LZV8" s="133"/>
      <c r="LZW8" s="133"/>
      <c r="LZX8" s="133"/>
      <c r="LZY8" s="133"/>
      <c r="LZZ8" s="133"/>
      <c r="MAA8" s="133"/>
      <c r="MAB8" s="133"/>
      <c r="MAC8" s="133"/>
      <c r="MAD8" s="133"/>
      <c r="MAE8" s="133"/>
      <c r="MAF8" s="133"/>
      <c r="MAG8" s="133"/>
      <c r="MAH8" s="133"/>
      <c r="MAI8" s="133"/>
      <c r="MAJ8" s="133"/>
      <c r="MAK8" s="133"/>
      <c r="MAL8" s="133"/>
      <c r="MAM8" s="133"/>
      <c r="MAN8" s="133"/>
      <c r="MAO8" s="133"/>
      <c r="MAP8" s="133"/>
      <c r="MAQ8" s="133"/>
      <c r="MAR8" s="133"/>
      <c r="MAS8" s="133"/>
      <c r="MAT8" s="133"/>
      <c r="MAU8" s="133"/>
      <c r="MAV8" s="133"/>
      <c r="MAW8" s="133"/>
      <c r="MAX8" s="133"/>
      <c r="MAY8" s="133"/>
      <c r="MAZ8" s="133"/>
      <c r="MBA8" s="133"/>
      <c r="MBB8" s="133"/>
      <c r="MBC8" s="133"/>
      <c r="MBD8" s="133"/>
      <c r="MBE8" s="133"/>
      <c r="MBF8" s="133"/>
      <c r="MBG8" s="133"/>
      <c r="MBH8" s="133"/>
      <c r="MBI8" s="133"/>
      <c r="MBJ8" s="133"/>
      <c r="MBK8" s="133"/>
      <c r="MBL8" s="133"/>
      <c r="MBM8" s="133"/>
      <c r="MBN8" s="133"/>
      <c r="MBO8" s="133"/>
      <c r="MBP8" s="133"/>
      <c r="MBQ8" s="133"/>
      <c r="MBR8" s="133"/>
      <c r="MBS8" s="133"/>
      <c r="MBT8" s="133"/>
      <c r="MBU8" s="133"/>
      <c r="MBV8" s="133"/>
      <c r="MBW8" s="133"/>
      <c r="MBX8" s="133"/>
      <c r="MBY8" s="133"/>
      <c r="MBZ8" s="133"/>
      <c r="MCA8" s="133"/>
      <c r="MCB8" s="133"/>
      <c r="MCC8" s="133"/>
      <c r="MCD8" s="133"/>
      <c r="MCE8" s="133"/>
      <c r="MCF8" s="133"/>
      <c r="MCG8" s="133"/>
      <c r="MCH8" s="133"/>
      <c r="MCI8" s="133"/>
      <c r="MCJ8" s="133"/>
      <c r="MCK8" s="133"/>
      <c r="MCL8" s="133"/>
      <c r="MCM8" s="133"/>
      <c r="MCN8" s="133"/>
      <c r="MCO8" s="133"/>
      <c r="MCP8" s="133"/>
      <c r="MCQ8" s="133"/>
      <c r="MCR8" s="133"/>
      <c r="MCS8" s="133"/>
      <c r="MCT8" s="133"/>
      <c r="MCU8" s="133"/>
      <c r="MCV8" s="133"/>
      <c r="MCW8" s="133"/>
      <c r="MCX8" s="133"/>
      <c r="MCY8" s="133"/>
      <c r="MCZ8" s="133"/>
      <c r="MDA8" s="133"/>
      <c r="MDB8" s="133"/>
      <c r="MDC8" s="133"/>
      <c r="MDD8" s="133"/>
      <c r="MDE8" s="133"/>
      <c r="MDF8" s="133"/>
      <c r="MDG8" s="133"/>
      <c r="MDH8" s="133"/>
      <c r="MDI8" s="133"/>
      <c r="MDJ8" s="133"/>
      <c r="MDK8" s="133"/>
      <c r="MDL8" s="133"/>
      <c r="MDM8" s="133"/>
      <c r="MDN8" s="133"/>
      <c r="MDO8" s="133"/>
      <c r="MDP8" s="133"/>
      <c r="MDQ8" s="133"/>
      <c r="MDR8" s="133"/>
      <c r="MDS8" s="133"/>
      <c r="MDT8" s="133"/>
      <c r="MDU8" s="133"/>
      <c r="MDV8" s="133"/>
      <c r="MDW8" s="133"/>
      <c r="MDX8" s="133"/>
      <c r="MDY8" s="133"/>
      <c r="MDZ8" s="133"/>
      <c r="MEA8" s="133"/>
      <c r="MEB8" s="133"/>
      <c r="MEC8" s="133"/>
      <c r="MED8" s="133"/>
      <c r="MEE8" s="133"/>
      <c r="MEF8" s="133"/>
      <c r="MEG8" s="133"/>
      <c r="MEH8" s="133"/>
      <c r="MEI8" s="133"/>
      <c r="MEJ8" s="133"/>
      <c r="MEK8" s="133"/>
      <c r="MEL8" s="133"/>
      <c r="MEM8" s="133"/>
      <c r="MEN8" s="133"/>
      <c r="MEO8" s="133"/>
      <c r="MEP8" s="133"/>
      <c r="MEQ8" s="133"/>
      <c r="MER8" s="133"/>
      <c r="MES8" s="133"/>
      <c r="MET8" s="133"/>
      <c r="MEU8" s="133"/>
      <c r="MEV8" s="133"/>
      <c r="MEW8" s="133"/>
      <c r="MEX8" s="133"/>
      <c r="MEY8" s="133"/>
      <c r="MEZ8" s="133"/>
      <c r="MFA8" s="133"/>
      <c r="MFB8" s="133"/>
      <c r="MFC8" s="133"/>
      <c r="MFD8" s="133"/>
      <c r="MFE8" s="133"/>
      <c r="MFF8" s="133"/>
      <c r="MFG8" s="133"/>
      <c r="MFH8" s="133"/>
      <c r="MFI8" s="133"/>
      <c r="MFJ8" s="133"/>
      <c r="MFK8" s="133"/>
      <c r="MFL8" s="133"/>
      <c r="MFM8" s="133"/>
      <c r="MFN8" s="133"/>
      <c r="MFO8" s="133"/>
      <c r="MFP8" s="133"/>
      <c r="MFQ8" s="133"/>
      <c r="MFR8" s="133"/>
      <c r="MFS8" s="133"/>
      <c r="MFT8" s="133"/>
      <c r="MFU8" s="133"/>
      <c r="MFV8" s="133"/>
      <c r="MFW8" s="133"/>
      <c r="MFX8" s="133"/>
      <c r="MFY8" s="133"/>
      <c r="MFZ8" s="133"/>
      <c r="MGA8" s="133"/>
      <c r="MGB8" s="133"/>
      <c r="MGC8" s="133"/>
      <c r="MGD8" s="133"/>
      <c r="MGE8" s="133"/>
      <c r="MGF8" s="133"/>
      <c r="MGG8" s="133"/>
      <c r="MGH8" s="133"/>
      <c r="MGI8" s="133"/>
      <c r="MGJ8" s="133"/>
      <c r="MGK8" s="133"/>
      <c r="MGL8" s="133"/>
      <c r="MGM8" s="133"/>
      <c r="MGN8" s="133"/>
      <c r="MGO8" s="133"/>
      <c r="MGP8" s="133"/>
      <c r="MGQ8" s="133"/>
      <c r="MGR8" s="133"/>
      <c r="MGS8" s="133"/>
      <c r="MGT8" s="133"/>
      <c r="MGU8" s="133"/>
      <c r="MGV8" s="133"/>
      <c r="MGW8" s="133"/>
      <c r="MGX8" s="133"/>
      <c r="MGY8" s="133"/>
      <c r="MGZ8" s="133"/>
      <c r="MHA8" s="133"/>
      <c r="MHB8" s="133"/>
      <c r="MHC8" s="133"/>
      <c r="MHD8" s="133"/>
      <c r="MHE8" s="133"/>
      <c r="MHF8" s="133"/>
      <c r="MHG8" s="133"/>
      <c r="MHH8" s="133"/>
      <c r="MHI8" s="133"/>
      <c r="MHJ8" s="133"/>
      <c r="MHK8" s="133"/>
      <c r="MHL8" s="133"/>
      <c r="MHM8" s="133"/>
      <c r="MHN8" s="133"/>
      <c r="MHO8" s="133"/>
      <c r="MHP8" s="133"/>
      <c r="MHQ8" s="133"/>
      <c r="MHR8" s="133"/>
      <c r="MHS8" s="133"/>
      <c r="MHT8" s="133"/>
      <c r="MHU8" s="133"/>
      <c r="MHV8" s="133"/>
      <c r="MHW8" s="133"/>
      <c r="MHX8" s="133"/>
      <c r="MHY8" s="133"/>
      <c r="MHZ8" s="133"/>
      <c r="MIA8" s="133"/>
      <c r="MIB8" s="133"/>
      <c r="MIC8" s="133"/>
      <c r="MID8" s="133"/>
      <c r="MIE8" s="133"/>
      <c r="MIF8" s="133"/>
      <c r="MIG8" s="133"/>
      <c r="MIH8" s="133"/>
      <c r="MII8" s="133"/>
      <c r="MIJ8" s="133"/>
      <c r="MIK8" s="133"/>
      <c r="MIL8" s="133"/>
      <c r="MIM8" s="133"/>
      <c r="MIN8" s="133"/>
      <c r="MIO8" s="133"/>
      <c r="MIP8" s="133"/>
      <c r="MIQ8" s="133"/>
      <c r="MIR8" s="133"/>
      <c r="MIS8" s="133"/>
      <c r="MIT8" s="133"/>
      <c r="MIU8" s="133"/>
      <c r="MIV8" s="133"/>
      <c r="MIW8" s="133"/>
      <c r="MIX8" s="133"/>
      <c r="MIY8" s="133"/>
      <c r="MIZ8" s="133"/>
      <c r="MJA8" s="133"/>
      <c r="MJB8" s="133"/>
      <c r="MJC8" s="133"/>
      <c r="MJD8" s="133"/>
      <c r="MJE8" s="133"/>
      <c r="MJF8" s="133"/>
      <c r="MJG8" s="133"/>
      <c r="MJH8" s="133"/>
      <c r="MJI8" s="133"/>
      <c r="MJJ8" s="133"/>
      <c r="MJK8" s="133"/>
      <c r="MJL8" s="133"/>
      <c r="MJM8" s="133"/>
      <c r="MJN8" s="133"/>
      <c r="MJO8" s="133"/>
      <c r="MJP8" s="133"/>
      <c r="MJQ8" s="133"/>
      <c r="MJR8" s="133"/>
      <c r="MJS8" s="133"/>
      <c r="MJT8" s="133"/>
      <c r="MJU8" s="133"/>
      <c r="MJV8" s="133"/>
      <c r="MJW8" s="133"/>
      <c r="MJX8" s="133"/>
      <c r="MJY8" s="133"/>
      <c r="MJZ8" s="133"/>
      <c r="MKA8" s="133"/>
      <c r="MKB8" s="133"/>
      <c r="MKC8" s="133"/>
      <c r="MKD8" s="133"/>
      <c r="MKE8" s="133"/>
      <c r="MKF8" s="133"/>
      <c r="MKG8" s="133"/>
      <c r="MKH8" s="133"/>
      <c r="MKI8" s="133"/>
      <c r="MKJ8" s="133"/>
      <c r="MKK8" s="133"/>
      <c r="MKL8" s="133"/>
      <c r="MKM8" s="133"/>
      <c r="MKN8" s="133"/>
      <c r="MKO8" s="133"/>
      <c r="MKP8" s="133"/>
      <c r="MKQ8" s="133"/>
      <c r="MKR8" s="133"/>
      <c r="MKS8" s="133"/>
      <c r="MKT8" s="133"/>
      <c r="MKU8" s="133"/>
      <c r="MKV8" s="133"/>
      <c r="MKW8" s="133"/>
      <c r="MKX8" s="133"/>
      <c r="MKY8" s="133"/>
      <c r="MKZ8" s="133"/>
      <c r="MLA8" s="133"/>
      <c r="MLB8" s="133"/>
      <c r="MLC8" s="133"/>
      <c r="MLD8" s="133"/>
      <c r="MLE8" s="133"/>
      <c r="MLF8" s="133"/>
      <c r="MLG8" s="133"/>
      <c r="MLH8" s="133"/>
      <c r="MLI8" s="133"/>
      <c r="MLJ8" s="133"/>
      <c r="MLK8" s="133"/>
      <c r="MLL8" s="133"/>
      <c r="MLM8" s="133"/>
      <c r="MLN8" s="133"/>
      <c r="MLO8" s="133"/>
      <c r="MLP8" s="133"/>
      <c r="MLQ8" s="133"/>
      <c r="MLR8" s="133"/>
      <c r="MLS8" s="133"/>
      <c r="MLT8" s="133"/>
      <c r="MLU8" s="133"/>
      <c r="MLV8" s="133"/>
      <c r="MLW8" s="133"/>
      <c r="MLX8" s="133"/>
      <c r="MLY8" s="133"/>
      <c r="MLZ8" s="133"/>
      <c r="MMA8" s="133"/>
      <c r="MMB8" s="133"/>
      <c r="MMC8" s="133"/>
      <c r="MMD8" s="133"/>
      <c r="MME8" s="133"/>
      <c r="MMF8" s="133"/>
      <c r="MMG8" s="133"/>
      <c r="MMH8" s="133"/>
      <c r="MMI8" s="133"/>
      <c r="MMJ8" s="133"/>
      <c r="MMK8" s="133"/>
      <c r="MML8" s="133"/>
      <c r="MMM8" s="133"/>
      <c r="MMN8" s="133"/>
      <c r="MMO8" s="133"/>
      <c r="MMP8" s="133"/>
      <c r="MMQ8" s="133"/>
      <c r="MMR8" s="133"/>
      <c r="MMS8" s="133"/>
      <c r="MMT8" s="133"/>
      <c r="MMU8" s="133"/>
      <c r="MMV8" s="133"/>
      <c r="MMW8" s="133"/>
      <c r="MMX8" s="133"/>
      <c r="MMY8" s="133"/>
      <c r="MMZ8" s="133"/>
      <c r="MNA8" s="133"/>
      <c r="MNB8" s="133"/>
      <c r="MNC8" s="133"/>
      <c r="MND8" s="133"/>
      <c r="MNE8" s="133"/>
      <c r="MNF8" s="133"/>
      <c r="MNG8" s="133"/>
      <c r="MNH8" s="133"/>
      <c r="MNI8" s="133"/>
      <c r="MNJ8" s="133"/>
      <c r="MNK8" s="133"/>
      <c r="MNL8" s="133"/>
      <c r="MNM8" s="133"/>
      <c r="MNN8" s="133"/>
      <c r="MNO8" s="133"/>
      <c r="MNP8" s="133"/>
      <c r="MNQ8" s="133"/>
      <c r="MNR8" s="133"/>
      <c r="MNS8" s="133"/>
      <c r="MNT8" s="133"/>
      <c r="MNU8" s="133"/>
      <c r="MNV8" s="133"/>
      <c r="MNW8" s="133"/>
      <c r="MNX8" s="133"/>
      <c r="MNY8" s="133"/>
      <c r="MNZ8" s="133"/>
      <c r="MOA8" s="133"/>
      <c r="MOB8" s="133"/>
      <c r="MOC8" s="133"/>
      <c r="MOD8" s="133"/>
      <c r="MOE8" s="133"/>
      <c r="MOF8" s="133"/>
      <c r="MOG8" s="133"/>
      <c r="MOH8" s="133"/>
      <c r="MOI8" s="133"/>
      <c r="MOJ8" s="133"/>
      <c r="MOK8" s="133"/>
      <c r="MOL8" s="133"/>
      <c r="MOM8" s="133"/>
      <c r="MON8" s="133"/>
      <c r="MOO8" s="133"/>
      <c r="MOP8" s="133"/>
      <c r="MOQ8" s="133"/>
      <c r="MOR8" s="133"/>
      <c r="MOS8" s="133"/>
      <c r="MOT8" s="133"/>
      <c r="MOU8" s="133"/>
      <c r="MOV8" s="133"/>
      <c r="MOW8" s="133"/>
      <c r="MOX8" s="133"/>
      <c r="MOY8" s="133"/>
      <c r="MOZ8" s="133"/>
      <c r="MPA8" s="133"/>
      <c r="MPN8" s="133"/>
      <c r="MPO8" s="133"/>
      <c r="MPP8" s="133"/>
      <c r="MPQ8" s="133"/>
      <c r="MPR8" s="133"/>
      <c r="MPS8" s="133"/>
      <c r="MPT8" s="133"/>
      <c r="MPU8" s="133"/>
      <c r="MPV8" s="133"/>
      <c r="MPW8" s="133"/>
      <c r="MPX8" s="133"/>
      <c r="MPY8" s="133"/>
      <c r="MPZ8" s="133"/>
      <c r="MQA8" s="133"/>
      <c r="MQB8" s="133"/>
      <c r="MQC8" s="133"/>
      <c r="MQD8" s="133"/>
      <c r="MQE8" s="133"/>
      <c r="MQF8" s="133"/>
      <c r="MQG8" s="133"/>
      <c r="MQH8" s="133"/>
      <c r="MQI8" s="133"/>
      <c r="MQJ8" s="133"/>
      <c r="MQK8" s="133"/>
      <c r="MQL8" s="133"/>
      <c r="MQM8" s="133"/>
      <c r="MQN8" s="133"/>
      <c r="MQO8" s="133"/>
      <c r="MQP8" s="133"/>
      <c r="MQQ8" s="133"/>
      <c r="MQR8" s="133"/>
      <c r="MQS8" s="133"/>
      <c r="MQT8" s="133"/>
      <c r="MQU8" s="133"/>
      <c r="MQV8" s="133"/>
      <c r="MQW8" s="133"/>
      <c r="MQX8" s="133"/>
      <c r="MQY8" s="133"/>
      <c r="MQZ8" s="133"/>
      <c r="MRA8" s="133"/>
      <c r="MRB8" s="133"/>
      <c r="MRC8" s="133"/>
      <c r="MRD8" s="133"/>
      <c r="MRE8" s="133"/>
      <c r="MRF8" s="133"/>
      <c r="MRG8" s="133"/>
      <c r="MRH8" s="133"/>
      <c r="MRI8" s="133"/>
      <c r="MRJ8" s="133"/>
      <c r="MRK8" s="133"/>
      <c r="MRL8" s="133"/>
      <c r="MRM8" s="133"/>
      <c r="MRN8" s="133"/>
      <c r="MRO8" s="133"/>
      <c r="MRP8" s="133"/>
      <c r="MRQ8" s="133"/>
      <c r="MRR8" s="133"/>
      <c r="MRS8" s="133"/>
      <c r="MRT8" s="133"/>
      <c r="MRU8" s="133"/>
      <c r="MRV8" s="133"/>
      <c r="MRW8" s="133"/>
      <c r="MRX8" s="133"/>
      <c r="MRY8" s="133"/>
      <c r="MRZ8" s="133"/>
      <c r="MSA8" s="133"/>
      <c r="MSB8" s="133"/>
      <c r="MSC8" s="133"/>
      <c r="MSD8" s="133"/>
      <c r="MSE8" s="133"/>
      <c r="MSF8" s="133"/>
      <c r="MSG8" s="133"/>
      <c r="MSH8" s="133"/>
      <c r="MSI8" s="133"/>
      <c r="MSJ8" s="133"/>
      <c r="MSK8" s="133"/>
      <c r="MSL8" s="133"/>
      <c r="MSM8" s="133"/>
      <c r="MSN8" s="133"/>
      <c r="MSO8" s="133"/>
      <c r="MSP8" s="133"/>
      <c r="MSQ8" s="133"/>
      <c r="MSR8" s="133"/>
      <c r="MSS8" s="133"/>
      <c r="MST8" s="133"/>
      <c r="MSU8" s="133"/>
      <c r="MSV8" s="133"/>
      <c r="MSW8" s="133"/>
      <c r="MSX8" s="133"/>
      <c r="MSY8" s="133"/>
      <c r="MSZ8" s="133"/>
      <c r="MTA8" s="133"/>
      <c r="MTB8" s="133"/>
      <c r="MTC8" s="133"/>
      <c r="MTD8" s="133"/>
      <c r="MTE8" s="133"/>
      <c r="MTF8" s="133"/>
      <c r="MTG8" s="133"/>
      <c r="MTH8" s="133"/>
      <c r="MTI8" s="133"/>
      <c r="MTJ8" s="133"/>
      <c r="MTK8" s="133"/>
      <c r="MTL8" s="133"/>
      <c r="MTM8" s="133"/>
      <c r="MTN8" s="133"/>
      <c r="MTO8" s="133"/>
      <c r="MTP8" s="133"/>
      <c r="MTQ8" s="133"/>
      <c r="MTR8" s="133"/>
      <c r="MTS8" s="133"/>
      <c r="MTT8" s="133"/>
      <c r="MTU8" s="133"/>
      <c r="MTV8" s="133"/>
      <c r="MTW8" s="133"/>
      <c r="MTX8" s="133"/>
      <c r="MTY8" s="133"/>
      <c r="MTZ8" s="133"/>
      <c r="MUA8" s="133"/>
      <c r="MUB8" s="133"/>
      <c r="MUC8" s="133"/>
      <c r="MUD8" s="133"/>
      <c r="MUE8" s="133"/>
      <c r="MUF8" s="133"/>
      <c r="MUG8" s="133"/>
      <c r="MUH8" s="133"/>
      <c r="MUI8" s="133"/>
      <c r="MUJ8" s="133"/>
      <c r="MUK8" s="133"/>
      <c r="MUL8" s="133"/>
      <c r="MUM8" s="133"/>
      <c r="MUN8" s="133"/>
      <c r="MUO8" s="133"/>
      <c r="MUP8" s="133"/>
      <c r="MUQ8" s="133"/>
      <c r="MUR8" s="133"/>
      <c r="MUS8" s="133"/>
      <c r="MUT8" s="133"/>
      <c r="MUU8" s="133"/>
      <c r="MUV8" s="133"/>
      <c r="MUW8" s="133"/>
      <c r="MUX8" s="133"/>
      <c r="MUY8" s="133"/>
      <c r="MUZ8" s="133"/>
      <c r="MVA8" s="133"/>
      <c r="MVB8" s="133"/>
      <c r="MVC8" s="133"/>
      <c r="MVD8" s="133"/>
      <c r="MVE8" s="133"/>
      <c r="MVF8" s="133"/>
      <c r="MVG8" s="133"/>
      <c r="MVH8" s="133"/>
      <c r="MVI8" s="133"/>
      <c r="MVJ8" s="133"/>
      <c r="MVK8" s="133"/>
      <c r="MVL8" s="133"/>
      <c r="MVM8" s="133"/>
      <c r="MVN8" s="133"/>
      <c r="MVO8" s="133"/>
      <c r="MVP8" s="133"/>
      <c r="MVQ8" s="133"/>
      <c r="MVR8" s="133"/>
      <c r="MVS8" s="133"/>
      <c r="MVT8" s="133"/>
      <c r="MVU8" s="133"/>
      <c r="MVV8" s="133"/>
      <c r="MVW8" s="133"/>
      <c r="MVX8" s="133"/>
      <c r="MVY8" s="133"/>
      <c r="MVZ8" s="133"/>
      <c r="MWA8" s="133"/>
      <c r="MWB8" s="133"/>
      <c r="MWC8" s="133"/>
      <c r="MWD8" s="133"/>
      <c r="MWE8" s="133"/>
      <c r="MWF8" s="133"/>
      <c r="MWG8" s="133"/>
      <c r="MWH8" s="133"/>
      <c r="MWI8" s="133"/>
      <c r="MWJ8" s="133"/>
      <c r="MWK8" s="133"/>
      <c r="MWL8" s="133"/>
      <c r="MWM8" s="133"/>
      <c r="MWN8" s="133"/>
      <c r="MWO8" s="133"/>
      <c r="MWP8" s="133"/>
      <c r="MWQ8" s="133"/>
      <c r="MWR8" s="133"/>
      <c r="MWS8" s="133"/>
      <c r="MWT8" s="133"/>
      <c r="MWU8" s="133"/>
      <c r="MWV8" s="133"/>
      <c r="MWW8" s="133"/>
      <c r="MWX8" s="133"/>
      <c r="MWY8" s="133"/>
      <c r="MWZ8" s="133"/>
      <c r="MXA8" s="133"/>
      <c r="MXB8" s="133"/>
      <c r="MXC8" s="133"/>
      <c r="MXD8" s="133"/>
      <c r="MXE8" s="133"/>
      <c r="MXF8" s="133"/>
      <c r="MXG8" s="133"/>
      <c r="MXH8" s="133"/>
      <c r="MXI8" s="133"/>
      <c r="MXJ8" s="133"/>
      <c r="MXK8" s="133"/>
      <c r="MXL8" s="133"/>
      <c r="MXM8" s="133"/>
      <c r="MXN8" s="133"/>
      <c r="MXO8" s="133"/>
      <c r="MXP8" s="133"/>
      <c r="MXQ8" s="133"/>
      <c r="MXR8" s="133"/>
      <c r="MXS8" s="133"/>
      <c r="MXT8" s="133"/>
      <c r="MXU8" s="133"/>
      <c r="MXV8" s="133"/>
      <c r="MXW8" s="133"/>
      <c r="MXX8" s="133"/>
      <c r="MXY8" s="133"/>
      <c r="MXZ8" s="133"/>
      <c r="MYA8" s="133"/>
      <c r="MYB8" s="133"/>
      <c r="MYC8" s="133"/>
      <c r="MYD8" s="133"/>
      <c r="MYE8" s="133"/>
      <c r="MYF8" s="133"/>
      <c r="MYG8" s="133"/>
      <c r="MYH8" s="133"/>
      <c r="MYI8" s="133"/>
      <c r="MYJ8" s="133"/>
      <c r="MYK8" s="133"/>
      <c r="MYL8" s="133"/>
      <c r="MYM8" s="133"/>
      <c r="MYN8" s="133"/>
      <c r="MYO8" s="133"/>
      <c r="MYP8" s="133"/>
      <c r="MYQ8" s="133"/>
      <c r="MYR8" s="133"/>
      <c r="MYS8" s="133"/>
      <c r="MYT8" s="133"/>
      <c r="MYU8" s="133"/>
      <c r="MYV8" s="133"/>
      <c r="MYW8" s="133"/>
      <c r="MYX8" s="133"/>
      <c r="MYY8" s="133"/>
      <c r="MYZ8" s="133"/>
      <c r="MZA8" s="133"/>
      <c r="MZB8" s="133"/>
      <c r="MZC8" s="133"/>
      <c r="MZD8" s="133"/>
      <c r="MZE8" s="133"/>
      <c r="MZF8" s="133"/>
      <c r="MZG8" s="133"/>
      <c r="MZH8" s="133"/>
      <c r="MZI8" s="133"/>
      <c r="MZJ8" s="133"/>
      <c r="MZK8" s="133"/>
      <c r="MZL8" s="133"/>
      <c r="MZM8" s="133"/>
      <c r="MZN8" s="133"/>
      <c r="MZO8" s="133"/>
      <c r="MZP8" s="133"/>
      <c r="MZQ8" s="133"/>
      <c r="MZR8" s="133"/>
      <c r="MZS8" s="133"/>
      <c r="MZT8" s="133"/>
      <c r="MZU8" s="133"/>
      <c r="MZV8" s="133"/>
      <c r="MZW8" s="133"/>
      <c r="MZX8" s="133"/>
      <c r="MZY8" s="133"/>
      <c r="MZZ8" s="133"/>
      <c r="NAA8" s="133"/>
      <c r="NAB8" s="133"/>
      <c r="NAC8" s="133"/>
      <c r="NAD8" s="133"/>
      <c r="NAE8" s="133"/>
      <c r="NAF8" s="133"/>
      <c r="NAG8" s="133"/>
      <c r="NAH8" s="133"/>
      <c r="NAI8" s="133"/>
      <c r="NAJ8" s="133"/>
      <c r="NAK8" s="133"/>
      <c r="NAL8" s="133"/>
      <c r="NAM8" s="133"/>
      <c r="NAN8" s="133"/>
      <c r="NAO8" s="133"/>
      <c r="NAP8" s="133"/>
      <c r="NAQ8" s="133"/>
      <c r="NAR8" s="133"/>
      <c r="NAS8" s="133"/>
      <c r="NAT8" s="133"/>
      <c r="NAU8" s="133"/>
      <c r="NAV8" s="133"/>
      <c r="NAW8" s="133"/>
      <c r="NAX8" s="133"/>
      <c r="NAY8" s="133"/>
      <c r="NAZ8" s="133"/>
      <c r="NBA8" s="133"/>
      <c r="NBB8" s="133"/>
      <c r="NBC8" s="133"/>
      <c r="NBD8" s="133"/>
      <c r="NBE8" s="133"/>
      <c r="NBF8" s="133"/>
      <c r="NBG8" s="133"/>
      <c r="NBH8" s="133"/>
      <c r="NBI8" s="133"/>
      <c r="NBJ8" s="133"/>
      <c r="NBK8" s="133"/>
      <c r="NBL8" s="133"/>
      <c r="NBM8" s="133"/>
      <c r="NBN8" s="133"/>
      <c r="NBO8" s="133"/>
      <c r="NBP8" s="133"/>
      <c r="NBQ8" s="133"/>
      <c r="NBR8" s="133"/>
      <c r="NBS8" s="133"/>
      <c r="NBT8" s="133"/>
      <c r="NBU8" s="133"/>
      <c r="NBV8" s="133"/>
      <c r="NBW8" s="133"/>
      <c r="NBX8" s="133"/>
      <c r="NBY8" s="133"/>
      <c r="NBZ8" s="133"/>
      <c r="NCA8" s="133"/>
      <c r="NCB8" s="133"/>
      <c r="NCC8" s="133"/>
      <c r="NCD8" s="133"/>
      <c r="NCE8" s="133"/>
      <c r="NCF8" s="133"/>
      <c r="NCG8" s="133"/>
      <c r="NCH8" s="133"/>
      <c r="NCI8" s="133"/>
      <c r="NCJ8" s="133"/>
      <c r="NCK8" s="133"/>
      <c r="NCL8" s="133"/>
      <c r="NCM8" s="133"/>
      <c r="NCN8" s="133"/>
      <c r="NCO8" s="133"/>
      <c r="NCP8" s="133"/>
      <c r="NCQ8" s="133"/>
      <c r="NCR8" s="133"/>
      <c r="NCS8" s="133"/>
      <c r="NCT8" s="133"/>
      <c r="NCU8" s="133"/>
      <c r="NCV8" s="133"/>
      <c r="NCW8" s="133"/>
      <c r="NCX8" s="133"/>
      <c r="NCY8" s="133"/>
      <c r="NCZ8" s="133"/>
      <c r="NDA8" s="133"/>
      <c r="NDB8" s="133"/>
      <c r="NDC8" s="133"/>
      <c r="NDD8" s="133"/>
      <c r="NDE8" s="133"/>
      <c r="NDF8" s="133"/>
      <c r="NDG8" s="133"/>
      <c r="NDH8" s="133"/>
      <c r="NDI8" s="133"/>
      <c r="NDJ8" s="133"/>
      <c r="NDK8" s="133"/>
      <c r="NDL8" s="133"/>
      <c r="NDM8" s="133"/>
      <c r="NDN8" s="133"/>
      <c r="NDO8" s="133"/>
      <c r="NDP8" s="133"/>
      <c r="NDQ8" s="133"/>
      <c r="NDR8" s="133"/>
      <c r="NDS8" s="133"/>
      <c r="NDT8" s="133"/>
      <c r="NDU8" s="133"/>
      <c r="NDV8" s="133"/>
      <c r="NDW8" s="133"/>
      <c r="NDX8" s="133"/>
      <c r="NDY8" s="133"/>
      <c r="NDZ8" s="133"/>
      <c r="NEA8" s="133"/>
      <c r="NEB8" s="133"/>
      <c r="NEC8" s="133"/>
      <c r="NED8" s="133"/>
      <c r="NEE8" s="133"/>
      <c r="NEF8" s="133"/>
      <c r="NEG8" s="133"/>
      <c r="NEH8" s="133"/>
      <c r="NEI8" s="133"/>
      <c r="NEJ8" s="133"/>
      <c r="NEK8" s="133"/>
      <c r="NEL8" s="133"/>
      <c r="NEM8" s="133"/>
      <c r="NEN8" s="133"/>
      <c r="NEO8" s="133"/>
      <c r="NEP8" s="133"/>
      <c r="NEQ8" s="133"/>
      <c r="NER8" s="133"/>
      <c r="NES8" s="133"/>
      <c r="NET8" s="133"/>
      <c r="NEU8" s="133"/>
      <c r="NEV8" s="133"/>
      <c r="NEW8" s="133"/>
      <c r="NEX8" s="133"/>
      <c r="NEY8" s="133"/>
      <c r="NEZ8" s="133"/>
      <c r="NFA8" s="133"/>
      <c r="NFB8" s="133"/>
      <c r="NFC8" s="133"/>
      <c r="NFD8" s="133"/>
      <c r="NFE8" s="133"/>
      <c r="NFF8" s="133"/>
      <c r="NFG8" s="133"/>
      <c r="NFH8" s="133"/>
      <c r="NFI8" s="133"/>
      <c r="NFJ8" s="133"/>
      <c r="NFK8" s="133"/>
      <c r="NFL8" s="133"/>
      <c r="NFM8" s="133"/>
      <c r="NFN8" s="133"/>
      <c r="NFO8" s="133"/>
      <c r="NFP8" s="133"/>
      <c r="NFQ8" s="133"/>
      <c r="NFR8" s="133"/>
      <c r="NFS8" s="133"/>
      <c r="NFT8" s="133"/>
      <c r="NFU8" s="133"/>
      <c r="NFV8" s="133"/>
      <c r="NFW8" s="133"/>
      <c r="NFX8" s="133"/>
      <c r="NFY8" s="133"/>
      <c r="NFZ8" s="133"/>
      <c r="NGA8" s="133"/>
      <c r="NGB8" s="133"/>
      <c r="NGC8" s="133"/>
      <c r="NGD8" s="133"/>
      <c r="NGE8" s="133"/>
      <c r="NGF8" s="133"/>
      <c r="NGG8" s="133"/>
      <c r="NGH8" s="133"/>
      <c r="NGI8" s="133"/>
      <c r="NGJ8" s="133"/>
      <c r="NGK8" s="133"/>
      <c r="NGL8" s="133"/>
      <c r="NGM8" s="133"/>
      <c r="NGN8" s="133"/>
      <c r="NGO8" s="133"/>
      <c r="NGP8" s="133"/>
      <c r="NGQ8" s="133"/>
      <c r="NGR8" s="133"/>
      <c r="NGS8" s="133"/>
      <c r="NGT8" s="133"/>
      <c r="NGU8" s="133"/>
      <c r="NGV8" s="133"/>
      <c r="NGW8" s="133"/>
      <c r="NGX8" s="133"/>
      <c r="NGY8" s="133"/>
      <c r="NGZ8" s="133"/>
      <c r="NHA8" s="133"/>
      <c r="NHB8" s="133"/>
      <c r="NHC8" s="133"/>
      <c r="NHD8" s="133"/>
      <c r="NHE8" s="133"/>
      <c r="NHF8" s="133"/>
      <c r="NHG8" s="133"/>
      <c r="NHH8" s="133"/>
      <c r="NHI8" s="133"/>
      <c r="NHJ8" s="133"/>
      <c r="NHK8" s="133"/>
      <c r="NHL8" s="133"/>
      <c r="NHM8" s="133"/>
      <c r="NHN8" s="133"/>
      <c r="NHO8" s="133"/>
      <c r="NHP8" s="133"/>
      <c r="NHQ8" s="133"/>
      <c r="NHR8" s="133"/>
      <c r="NHS8" s="133"/>
      <c r="NHT8" s="133"/>
      <c r="NHU8" s="133"/>
      <c r="NHV8" s="133"/>
      <c r="NHW8" s="133"/>
      <c r="NHX8" s="133"/>
      <c r="NHY8" s="133"/>
      <c r="NHZ8" s="133"/>
      <c r="NIA8" s="133"/>
      <c r="NIB8" s="133"/>
      <c r="NIC8" s="133"/>
      <c r="NID8" s="133"/>
      <c r="NIE8" s="133"/>
      <c r="NIF8" s="133"/>
      <c r="NIG8" s="133"/>
      <c r="NIH8" s="133"/>
      <c r="NII8" s="133"/>
      <c r="NIJ8" s="133"/>
      <c r="NIK8" s="133"/>
      <c r="NIL8" s="133"/>
      <c r="NIM8" s="133"/>
      <c r="NIN8" s="133"/>
      <c r="NIO8" s="133"/>
      <c r="NIP8" s="133"/>
      <c r="NIQ8" s="133"/>
      <c r="NIR8" s="133"/>
      <c r="NIS8" s="133"/>
      <c r="NIT8" s="133"/>
      <c r="NIU8" s="133"/>
      <c r="NIV8" s="133"/>
      <c r="NIW8" s="133"/>
      <c r="NIX8" s="133"/>
      <c r="NIY8" s="133"/>
      <c r="NIZ8" s="133"/>
      <c r="NJA8" s="133"/>
      <c r="NJB8" s="133"/>
      <c r="NJC8" s="133"/>
      <c r="NJD8" s="133"/>
      <c r="NJE8" s="133"/>
      <c r="NJF8" s="133"/>
      <c r="NJG8" s="133"/>
      <c r="NJH8" s="133"/>
      <c r="NJI8" s="133"/>
      <c r="NJJ8" s="133"/>
      <c r="NJK8" s="133"/>
      <c r="NJL8" s="133"/>
      <c r="NJM8" s="133"/>
      <c r="NJN8" s="133"/>
      <c r="NJO8" s="133"/>
      <c r="NJP8" s="133"/>
      <c r="NJQ8" s="133"/>
      <c r="NJR8" s="133"/>
      <c r="NJS8" s="133"/>
      <c r="NJT8" s="133"/>
      <c r="NJU8" s="133"/>
      <c r="NJV8" s="133"/>
      <c r="NJW8" s="133"/>
      <c r="NJX8" s="133"/>
      <c r="NJY8" s="133"/>
      <c r="NJZ8" s="133"/>
      <c r="NKA8" s="133"/>
      <c r="NKB8" s="133"/>
      <c r="NKC8" s="133"/>
      <c r="NKD8" s="133"/>
      <c r="NKE8" s="133"/>
      <c r="NKF8" s="133"/>
      <c r="NKG8" s="133"/>
      <c r="NKH8" s="133"/>
      <c r="NKI8" s="133"/>
      <c r="NKJ8" s="133"/>
      <c r="NKK8" s="133"/>
      <c r="NKL8" s="133"/>
      <c r="NKM8" s="133"/>
      <c r="NKN8" s="133"/>
      <c r="NKO8" s="133"/>
      <c r="NKP8" s="133"/>
      <c r="NKQ8" s="133"/>
      <c r="NKR8" s="133"/>
      <c r="NKS8" s="133"/>
      <c r="NKT8" s="133"/>
      <c r="NKU8" s="133"/>
      <c r="NKV8" s="133"/>
      <c r="NKW8" s="133"/>
      <c r="NKX8" s="133"/>
      <c r="NKY8" s="133"/>
      <c r="NKZ8" s="133"/>
      <c r="NLA8" s="133"/>
      <c r="NLB8" s="133"/>
      <c r="NLC8" s="133"/>
      <c r="NLD8" s="133"/>
      <c r="NLE8" s="133"/>
      <c r="NLF8" s="133"/>
      <c r="NLG8" s="133"/>
      <c r="NLH8" s="133"/>
      <c r="NLI8" s="133"/>
      <c r="NLJ8" s="133"/>
      <c r="NLK8" s="133"/>
      <c r="NLL8" s="133"/>
      <c r="NLM8" s="133"/>
      <c r="NLN8" s="133"/>
      <c r="NLO8" s="133"/>
      <c r="NLP8" s="133"/>
      <c r="NLQ8" s="133"/>
      <c r="NLR8" s="133"/>
      <c r="NLS8" s="133"/>
      <c r="NLT8" s="133"/>
      <c r="NLU8" s="133"/>
      <c r="NLV8" s="133"/>
      <c r="NLW8" s="133"/>
      <c r="NLX8" s="133"/>
      <c r="NLY8" s="133"/>
      <c r="NLZ8" s="133"/>
      <c r="NMA8" s="133"/>
      <c r="NMB8" s="133"/>
      <c r="NMC8" s="133"/>
      <c r="NMD8" s="133"/>
      <c r="NME8" s="133"/>
      <c r="NMF8" s="133"/>
      <c r="NMG8" s="133"/>
      <c r="NMH8" s="133"/>
      <c r="NMI8" s="133"/>
      <c r="NMJ8" s="133"/>
      <c r="NMK8" s="133"/>
      <c r="NML8" s="133"/>
      <c r="NMM8" s="133"/>
      <c r="NMN8" s="133"/>
      <c r="NMO8" s="133"/>
      <c r="NMP8" s="133"/>
      <c r="NMQ8" s="133"/>
      <c r="NMR8" s="133"/>
      <c r="NMS8" s="133"/>
      <c r="NMT8" s="133"/>
      <c r="NMU8" s="133"/>
      <c r="NMV8" s="133"/>
      <c r="NMW8" s="133"/>
      <c r="NMX8" s="133"/>
      <c r="NMY8" s="133"/>
      <c r="NMZ8" s="133"/>
      <c r="NNA8" s="133"/>
      <c r="NNB8" s="133"/>
      <c r="NNC8" s="133"/>
      <c r="NND8" s="133"/>
      <c r="NNE8" s="133"/>
      <c r="NNF8" s="133"/>
      <c r="NNG8" s="133"/>
      <c r="NNH8" s="133"/>
      <c r="NNI8" s="133"/>
      <c r="NNJ8" s="133"/>
      <c r="NNK8" s="133"/>
      <c r="NNL8" s="133"/>
      <c r="NNM8" s="133"/>
      <c r="NNN8" s="133"/>
      <c r="NNO8" s="133"/>
      <c r="NNP8" s="133"/>
      <c r="NNQ8" s="133"/>
      <c r="NNR8" s="133"/>
      <c r="NNS8" s="133"/>
      <c r="NNT8" s="133"/>
      <c r="NNU8" s="133"/>
      <c r="NNV8" s="133"/>
      <c r="NNW8" s="133"/>
      <c r="NNX8" s="133"/>
      <c r="NNY8" s="133"/>
      <c r="NNZ8" s="133"/>
      <c r="NOA8" s="133"/>
      <c r="NOB8" s="133"/>
      <c r="NOC8" s="133"/>
      <c r="NOD8" s="133"/>
      <c r="NOE8" s="133"/>
      <c r="NOF8" s="133"/>
      <c r="NOG8" s="133"/>
      <c r="NOH8" s="133"/>
      <c r="NOI8" s="133"/>
      <c r="NOJ8" s="133"/>
      <c r="NOK8" s="133"/>
      <c r="NOL8" s="133"/>
      <c r="NOM8" s="133"/>
      <c r="NON8" s="133"/>
      <c r="NOO8" s="133"/>
      <c r="NOP8" s="133"/>
      <c r="NOQ8" s="133"/>
      <c r="NOR8" s="133"/>
      <c r="NOS8" s="133"/>
      <c r="NOT8" s="133"/>
      <c r="NOU8" s="133"/>
      <c r="NOV8" s="133"/>
      <c r="NOW8" s="133"/>
      <c r="NOX8" s="133"/>
      <c r="NOY8" s="133"/>
      <c r="NOZ8" s="133"/>
      <c r="NPA8" s="133"/>
      <c r="NPB8" s="133"/>
      <c r="NPC8" s="133"/>
      <c r="NPD8" s="133"/>
      <c r="NPE8" s="133"/>
      <c r="NPF8" s="133"/>
      <c r="NPG8" s="133"/>
      <c r="NPH8" s="133"/>
      <c r="NPI8" s="133"/>
      <c r="NPJ8" s="133"/>
      <c r="NPK8" s="133"/>
      <c r="NPL8" s="133"/>
      <c r="NPM8" s="133"/>
      <c r="NPN8" s="133"/>
      <c r="NPO8" s="133"/>
      <c r="NPP8" s="133"/>
      <c r="NPQ8" s="133"/>
      <c r="NPR8" s="133"/>
      <c r="NPS8" s="133"/>
      <c r="NPT8" s="133"/>
      <c r="NPU8" s="133"/>
      <c r="NPV8" s="133"/>
      <c r="NPW8" s="133"/>
      <c r="NPX8" s="133"/>
      <c r="NPY8" s="133"/>
      <c r="NPZ8" s="133"/>
      <c r="NQA8" s="133"/>
      <c r="NQB8" s="133"/>
      <c r="NQC8" s="133"/>
      <c r="NQD8" s="133"/>
      <c r="NQE8" s="133"/>
      <c r="NQF8" s="133"/>
      <c r="NQG8" s="133"/>
      <c r="NQH8" s="133"/>
      <c r="NQI8" s="133"/>
      <c r="NQJ8" s="133"/>
      <c r="NQK8" s="133"/>
      <c r="NQL8" s="133"/>
      <c r="NQM8" s="133"/>
      <c r="NQN8" s="133"/>
      <c r="NQO8" s="133"/>
      <c r="NQP8" s="133"/>
      <c r="NQQ8" s="133"/>
      <c r="NQR8" s="133"/>
      <c r="NQS8" s="133"/>
      <c r="NQT8" s="133"/>
      <c r="NQU8" s="133"/>
      <c r="NQV8" s="133"/>
      <c r="NQW8" s="133"/>
      <c r="NQX8" s="133"/>
      <c r="NQY8" s="133"/>
      <c r="NQZ8" s="133"/>
      <c r="NRA8" s="133"/>
      <c r="NRB8" s="133"/>
      <c r="NRC8" s="133"/>
      <c r="NRD8" s="133"/>
      <c r="NRE8" s="133"/>
      <c r="NRF8" s="133"/>
      <c r="NRG8" s="133"/>
      <c r="NRH8" s="133"/>
      <c r="NRI8" s="133"/>
      <c r="NRJ8" s="133"/>
      <c r="NRK8" s="133"/>
      <c r="NRL8" s="133"/>
      <c r="NRM8" s="133"/>
      <c r="NRN8" s="133"/>
      <c r="NRO8" s="133"/>
      <c r="NRP8" s="133"/>
      <c r="NRQ8" s="133"/>
      <c r="NRR8" s="133"/>
      <c r="NRS8" s="133"/>
      <c r="NRT8" s="133"/>
      <c r="NRU8" s="133"/>
      <c r="NRV8" s="133"/>
      <c r="NRW8" s="133"/>
      <c r="NRX8" s="133"/>
      <c r="NRY8" s="133"/>
      <c r="NRZ8" s="133"/>
      <c r="NSA8" s="133"/>
      <c r="NSB8" s="133"/>
      <c r="NSC8" s="133"/>
      <c r="NSD8" s="133"/>
      <c r="NSE8" s="133"/>
      <c r="NSF8" s="133"/>
      <c r="NSG8" s="133"/>
      <c r="NSH8" s="133"/>
      <c r="NSI8" s="133"/>
      <c r="NSJ8" s="133"/>
      <c r="NSK8" s="133"/>
      <c r="NSL8" s="133"/>
      <c r="NSM8" s="133"/>
      <c r="NSN8" s="133"/>
      <c r="NSO8" s="133"/>
      <c r="NSP8" s="133"/>
      <c r="NSQ8" s="133"/>
      <c r="NSR8" s="133"/>
      <c r="NSS8" s="133"/>
      <c r="NST8" s="133"/>
      <c r="NSU8" s="133"/>
      <c r="NSV8" s="133"/>
      <c r="NSW8" s="133"/>
      <c r="NSX8" s="133"/>
      <c r="NSY8" s="133"/>
      <c r="NSZ8" s="133"/>
      <c r="NTA8" s="133"/>
      <c r="NTB8" s="133"/>
      <c r="NTC8" s="133"/>
      <c r="NTD8" s="133"/>
      <c r="NTE8" s="133"/>
      <c r="NTF8" s="133"/>
      <c r="NTG8" s="133"/>
      <c r="NTH8" s="133"/>
      <c r="NTI8" s="133"/>
      <c r="NTJ8" s="133"/>
      <c r="NTK8" s="133"/>
      <c r="NTL8" s="133"/>
      <c r="NTM8" s="133"/>
      <c r="NTN8" s="133"/>
      <c r="NTO8" s="133"/>
      <c r="NTP8" s="133"/>
      <c r="NTQ8" s="133"/>
      <c r="NTR8" s="133"/>
      <c r="NTS8" s="133"/>
      <c r="NTT8" s="133"/>
      <c r="NTU8" s="133"/>
      <c r="NTV8" s="133"/>
      <c r="NTW8" s="133"/>
      <c r="NTX8" s="133"/>
      <c r="NTY8" s="133"/>
      <c r="NTZ8" s="133"/>
      <c r="NUA8" s="133"/>
      <c r="NUB8" s="133"/>
      <c r="NUC8" s="133"/>
      <c r="NUD8" s="133"/>
      <c r="NUE8" s="133"/>
      <c r="NUF8" s="133"/>
      <c r="NUG8" s="133"/>
      <c r="NUH8" s="133"/>
      <c r="NUI8" s="133"/>
      <c r="NUJ8" s="133"/>
      <c r="NUK8" s="133"/>
      <c r="NUL8" s="133"/>
      <c r="NUM8" s="133"/>
      <c r="NUN8" s="133"/>
      <c r="NUO8" s="133"/>
      <c r="NUP8" s="133"/>
      <c r="NUQ8" s="133"/>
      <c r="NUR8" s="133"/>
      <c r="NUS8" s="133"/>
      <c r="NUT8" s="133"/>
      <c r="NUU8" s="133"/>
      <c r="NUV8" s="133"/>
      <c r="NUW8" s="133"/>
      <c r="NUX8" s="133"/>
      <c r="NUY8" s="133"/>
      <c r="NUZ8" s="133"/>
      <c r="NVA8" s="133"/>
      <c r="NVB8" s="133"/>
      <c r="NVC8" s="133"/>
      <c r="NVD8" s="133"/>
      <c r="NVE8" s="133"/>
      <c r="NVF8" s="133"/>
      <c r="NVG8" s="133"/>
      <c r="NVH8" s="133"/>
      <c r="NVI8" s="133"/>
      <c r="NVJ8" s="133"/>
      <c r="NVK8" s="133"/>
      <c r="NVL8" s="133"/>
      <c r="NVM8" s="133"/>
      <c r="NVN8" s="133"/>
      <c r="NVO8" s="133"/>
      <c r="NVP8" s="133"/>
      <c r="NVQ8" s="133"/>
      <c r="NVR8" s="133"/>
      <c r="NVS8" s="133"/>
      <c r="NVT8" s="133"/>
      <c r="NVU8" s="133"/>
      <c r="NVV8" s="133"/>
      <c r="NVW8" s="133"/>
      <c r="NVX8" s="133"/>
      <c r="NVY8" s="133"/>
      <c r="NVZ8" s="133"/>
      <c r="NWA8" s="133"/>
      <c r="NWB8" s="133"/>
      <c r="NWC8" s="133"/>
      <c r="NWD8" s="133"/>
      <c r="NWE8" s="133"/>
      <c r="NWF8" s="133"/>
      <c r="NWG8" s="133"/>
      <c r="NWH8" s="133"/>
      <c r="NWI8" s="133"/>
      <c r="NWJ8" s="133"/>
      <c r="NWK8" s="133"/>
      <c r="NWL8" s="133"/>
      <c r="NWM8" s="133"/>
      <c r="NWN8" s="133"/>
      <c r="NWO8" s="133"/>
      <c r="NWP8" s="133"/>
      <c r="NWQ8" s="133"/>
      <c r="NWR8" s="133"/>
      <c r="NWS8" s="133"/>
      <c r="NWT8" s="133"/>
      <c r="NWU8" s="133"/>
      <c r="NWV8" s="133"/>
      <c r="NWW8" s="133"/>
      <c r="NWX8" s="133"/>
      <c r="NWY8" s="133"/>
      <c r="NWZ8" s="133"/>
      <c r="NXA8" s="133"/>
      <c r="NXB8" s="133"/>
      <c r="NXC8" s="133"/>
      <c r="NXD8" s="133"/>
      <c r="NXE8" s="133"/>
      <c r="NXF8" s="133"/>
      <c r="NXG8" s="133"/>
      <c r="NXH8" s="133"/>
      <c r="NXI8" s="133"/>
      <c r="NXJ8" s="133"/>
      <c r="NXK8" s="133"/>
      <c r="NXL8" s="133"/>
      <c r="NXM8" s="133"/>
      <c r="NXN8" s="133"/>
      <c r="NXO8" s="133"/>
      <c r="NXP8" s="133"/>
      <c r="NXQ8" s="133"/>
      <c r="NXR8" s="133"/>
      <c r="NXS8" s="133"/>
      <c r="NXT8" s="133"/>
      <c r="NXU8" s="133"/>
      <c r="NXV8" s="133"/>
      <c r="NXW8" s="133"/>
      <c r="NXX8" s="133"/>
      <c r="NXY8" s="133"/>
      <c r="NXZ8" s="133"/>
      <c r="NYA8" s="133"/>
      <c r="NYB8" s="133"/>
      <c r="NYC8" s="133"/>
      <c r="NYD8" s="133"/>
      <c r="NYE8" s="133"/>
      <c r="NYF8" s="133"/>
      <c r="NYG8" s="133"/>
      <c r="NYH8" s="133"/>
      <c r="NYI8" s="133"/>
      <c r="NYJ8" s="133"/>
      <c r="NYK8" s="133"/>
      <c r="NYL8" s="133"/>
      <c r="NYM8" s="133"/>
      <c r="NYN8" s="133"/>
      <c r="NYO8" s="133"/>
      <c r="NYP8" s="133"/>
      <c r="NYQ8" s="133"/>
      <c r="NYR8" s="133"/>
      <c r="NYS8" s="133"/>
      <c r="NYT8" s="133"/>
      <c r="NYU8" s="133"/>
      <c r="NYV8" s="133"/>
      <c r="NYW8" s="133"/>
      <c r="NYX8" s="133"/>
      <c r="NYY8" s="133"/>
      <c r="NYZ8" s="133"/>
      <c r="NZA8" s="133"/>
      <c r="NZB8" s="133"/>
      <c r="NZC8" s="133"/>
      <c r="NZD8" s="133"/>
      <c r="NZE8" s="133"/>
      <c r="NZF8" s="133"/>
      <c r="NZG8" s="133"/>
      <c r="NZH8" s="133"/>
      <c r="NZI8" s="133"/>
      <c r="NZJ8" s="133"/>
      <c r="NZK8" s="133"/>
      <c r="NZL8" s="133"/>
      <c r="NZM8" s="133"/>
      <c r="NZN8" s="133"/>
      <c r="NZO8" s="133"/>
      <c r="NZP8" s="133"/>
      <c r="NZQ8" s="133"/>
      <c r="NZR8" s="133"/>
      <c r="NZS8" s="133"/>
      <c r="NZT8" s="133"/>
      <c r="NZU8" s="133"/>
      <c r="NZV8" s="133"/>
      <c r="NZW8" s="133"/>
      <c r="NZX8" s="133"/>
      <c r="NZY8" s="133"/>
      <c r="NZZ8" s="133"/>
      <c r="OAA8" s="133"/>
      <c r="OAB8" s="133"/>
      <c r="OAC8" s="133"/>
      <c r="OAD8" s="133"/>
      <c r="OAE8" s="133"/>
      <c r="OAF8" s="133"/>
      <c r="OAG8" s="133"/>
      <c r="OAH8" s="133"/>
      <c r="OAI8" s="133"/>
      <c r="OAJ8" s="133"/>
      <c r="OAK8" s="133"/>
      <c r="OAL8" s="133"/>
      <c r="OAM8" s="133"/>
      <c r="OAN8" s="133"/>
      <c r="OAO8" s="133"/>
      <c r="OAP8" s="133"/>
      <c r="OAQ8" s="133"/>
      <c r="OAR8" s="133"/>
      <c r="OAS8" s="133"/>
      <c r="OAT8" s="133"/>
      <c r="OAU8" s="133"/>
      <c r="OAV8" s="133"/>
      <c r="OAW8" s="133"/>
      <c r="OAX8" s="133"/>
      <c r="OAY8" s="133"/>
      <c r="OAZ8" s="133"/>
      <c r="OBA8" s="133"/>
      <c r="OBB8" s="133"/>
      <c r="OBC8" s="133"/>
      <c r="OBD8" s="133"/>
      <c r="OBE8" s="133"/>
      <c r="OBF8" s="133"/>
      <c r="OBG8" s="133"/>
      <c r="OBH8" s="133"/>
      <c r="OBI8" s="133"/>
      <c r="OBJ8" s="133"/>
      <c r="OBK8" s="133"/>
      <c r="OBL8" s="133"/>
      <c r="OBM8" s="133"/>
      <c r="OBN8" s="133"/>
      <c r="OBO8" s="133"/>
      <c r="OBP8" s="133"/>
      <c r="OBQ8" s="133"/>
      <c r="OBR8" s="133"/>
      <c r="OBS8" s="133"/>
      <c r="OBT8" s="133"/>
      <c r="OBU8" s="133"/>
      <c r="OBV8" s="133"/>
      <c r="OBW8" s="133"/>
      <c r="OBX8" s="133"/>
      <c r="OBY8" s="133"/>
      <c r="OBZ8" s="133"/>
      <c r="OCA8" s="133"/>
      <c r="OCB8" s="133"/>
      <c r="OCC8" s="133"/>
      <c r="OCD8" s="133"/>
      <c r="OCE8" s="133"/>
      <c r="OCF8" s="133"/>
      <c r="OCG8" s="133"/>
      <c r="OCH8" s="133"/>
      <c r="OCI8" s="133"/>
      <c r="OCJ8" s="133"/>
      <c r="OCK8" s="133"/>
      <c r="OCX8" s="133"/>
      <c r="OCY8" s="133"/>
      <c r="OCZ8" s="133"/>
      <c r="ODA8" s="133"/>
      <c r="ODB8" s="133"/>
      <c r="ODC8" s="133"/>
      <c r="ODD8" s="133"/>
      <c r="ODE8" s="133"/>
      <c r="ODF8" s="133"/>
      <c r="ODG8" s="133"/>
      <c r="ODH8" s="133"/>
      <c r="ODI8" s="133"/>
      <c r="ODJ8" s="133"/>
      <c r="ODK8" s="133"/>
      <c r="ODL8" s="133"/>
      <c r="ODM8" s="133"/>
      <c r="ODN8" s="133"/>
      <c r="ODO8" s="133"/>
      <c r="ODP8" s="133"/>
      <c r="ODQ8" s="133"/>
      <c r="ODR8" s="133"/>
      <c r="ODS8" s="133"/>
      <c r="ODT8" s="133"/>
      <c r="ODU8" s="133"/>
      <c r="ODV8" s="133"/>
      <c r="ODW8" s="133"/>
      <c r="ODX8" s="133"/>
      <c r="ODY8" s="133"/>
      <c r="ODZ8" s="133"/>
      <c r="OEA8" s="133"/>
      <c r="OEB8" s="133"/>
      <c r="OEC8" s="133"/>
      <c r="OED8" s="133"/>
      <c r="OEE8" s="133"/>
      <c r="OEF8" s="133"/>
      <c r="OEG8" s="133"/>
      <c r="OEH8" s="133"/>
      <c r="OEI8" s="133"/>
      <c r="OEJ8" s="133"/>
      <c r="OEK8" s="133"/>
      <c r="OEL8" s="133"/>
      <c r="OEM8" s="133"/>
      <c r="OEN8" s="133"/>
      <c r="OEO8" s="133"/>
      <c r="OEP8" s="133"/>
      <c r="OEQ8" s="133"/>
      <c r="OER8" s="133"/>
      <c r="OES8" s="133"/>
      <c r="OET8" s="133"/>
      <c r="OEU8" s="133"/>
      <c r="OEV8" s="133"/>
      <c r="OEW8" s="133"/>
      <c r="OEX8" s="133"/>
      <c r="OEY8" s="133"/>
      <c r="OEZ8" s="133"/>
      <c r="OFA8" s="133"/>
      <c r="OFB8" s="133"/>
      <c r="OFC8" s="133"/>
      <c r="OFD8" s="133"/>
      <c r="OFE8" s="133"/>
      <c r="OFF8" s="133"/>
      <c r="OFG8" s="133"/>
      <c r="OFH8" s="133"/>
      <c r="OFI8" s="133"/>
      <c r="OFJ8" s="133"/>
      <c r="OFK8" s="133"/>
      <c r="OFL8" s="133"/>
      <c r="OFM8" s="133"/>
      <c r="OFN8" s="133"/>
      <c r="OFO8" s="133"/>
      <c r="OFP8" s="133"/>
      <c r="OFQ8" s="133"/>
      <c r="OFR8" s="133"/>
      <c r="OFS8" s="133"/>
      <c r="OFT8" s="133"/>
      <c r="OFU8" s="133"/>
      <c r="OFV8" s="133"/>
      <c r="OFW8" s="133"/>
      <c r="OFX8" s="133"/>
      <c r="OFY8" s="133"/>
      <c r="OFZ8" s="133"/>
      <c r="OGA8" s="133"/>
      <c r="OGB8" s="133"/>
      <c r="OGC8" s="133"/>
      <c r="OGD8" s="133"/>
      <c r="OGE8" s="133"/>
      <c r="OGF8" s="133"/>
      <c r="OGG8" s="133"/>
      <c r="OGH8" s="133"/>
      <c r="OGI8" s="133"/>
      <c r="OGJ8" s="133"/>
      <c r="OGK8" s="133"/>
      <c r="OGL8" s="133"/>
      <c r="OGM8" s="133"/>
      <c r="OGN8" s="133"/>
      <c r="OGO8" s="133"/>
      <c r="OGP8" s="133"/>
      <c r="OGQ8" s="133"/>
      <c r="OGR8" s="133"/>
      <c r="OGS8" s="133"/>
      <c r="OGT8" s="133"/>
      <c r="OGU8" s="133"/>
      <c r="OGV8" s="133"/>
      <c r="OGW8" s="133"/>
      <c r="OGX8" s="133"/>
      <c r="OGY8" s="133"/>
      <c r="OGZ8" s="133"/>
      <c r="OHA8" s="133"/>
      <c r="OHB8" s="133"/>
      <c r="OHC8" s="133"/>
      <c r="OHD8" s="133"/>
      <c r="OHE8" s="133"/>
      <c r="OHF8" s="133"/>
      <c r="OHG8" s="133"/>
      <c r="OHH8" s="133"/>
      <c r="OHI8" s="133"/>
      <c r="OHJ8" s="133"/>
      <c r="OHK8" s="133"/>
      <c r="OHL8" s="133"/>
      <c r="OHM8" s="133"/>
      <c r="OHN8" s="133"/>
      <c r="OHO8" s="133"/>
      <c r="OHP8" s="133"/>
      <c r="OHQ8" s="133"/>
      <c r="OHR8" s="133"/>
      <c r="OHS8" s="133"/>
      <c r="OHT8" s="133"/>
      <c r="OHU8" s="133"/>
      <c r="OHV8" s="133"/>
      <c r="OHW8" s="133"/>
      <c r="OHX8" s="133"/>
      <c r="OHY8" s="133"/>
      <c r="OHZ8" s="133"/>
      <c r="OIA8" s="133"/>
      <c r="OIB8" s="133"/>
      <c r="OIC8" s="133"/>
      <c r="OID8" s="133"/>
      <c r="OIE8" s="133"/>
      <c r="OIF8" s="133"/>
      <c r="OIG8" s="133"/>
      <c r="OIH8" s="133"/>
      <c r="OII8" s="133"/>
      <c r="OIJ8" s="133"/>
      <c r="OIK8" s="133"/>
      <c r="OIL8" s="133"/>
      <c r="OIM8" s="133"/>
      <c r="OIN8" s="133"/>
      <c r="OIO8" s="133"/>
      <c r="OIP8" s="133"/>
      <c r="OIQ8" s="133"/>
      <c r="OIR8" s="133"/>
      <c r="OIS8" s="133"/>
      <c r="OIT8" s="133"/>
      <c r="OIU8" s="133"/>
      <c r="OIV8" s="133"/>
      <c r="OIW8" s="133"/>
      <c r="OIX8" s="133"/>
      <c r="OIY8" s="133"/>
      <c r="OIZ8" s="133"/>
      <c r="OJA8" s="133"/>
      <c r="OJB8" s="133"/>
      <c r="OJC8" s="133"/>
      <c r="OJD8" s="133"/>
      <c r="OJE8" s="133"/>
      <c r="OJF8" s="133"/>
      <c r="OJG8" s="133"/>
      <c r="OJH8" s="133"/>
      <c r="OJI8" s="133"/>
      <c r="OJJ8" s="133"/>
      <c r="OJK8" s="133"/>
      <c r="OJL8" s="133"/>
      <c r="OJM8" s="133"/>
      <c r="OJN8" s="133"/>
      <c r="OJO8" s="133"/>
      <c r="OJP8" s="133"/>
      <c r="OJQ8" s="133"/>
      <c r="OJR8" s="133"/>
      <c r="OJS8" s="133"/>
      <c r="OJT8" s="133"/>
      <c r="OJU8" s="133"/>
      <c r="OJV8" s="133"/>
      <c r="OJW8" s="133"/>
      <c r="OJX8" s="133"/>
      <c r="OJY8" s="133"/>
      <c r="OJZ8" s="133"/>
      <c r="OKA8" s="133"/>
      <c r="OKB8" s="133"/>
      <c r="OKC8" s="133"/>
      <c r="OKD8" s="133"/>
      <c r="OKE8" s="133"/>
      <c r="OKF8" s="133"/>
      <c r="OKG8" s="133"/>
      <c r="OKH8" s="133"/>
      <c r="OKI8" s="133"/>
      <c r="OKJ8" s="133"/>
      <c r="OKK8" s="133"/>
      <c r="OKL8" s="133"/>
      <c r="OKM8" s="133"/>
      <c r="OKN8" s="133"/>
      <c r="OKO8" s="133"/>
      <c r="OKP8" s="133"/>
      <c r="OKQ8" s="133"/>
      <c r="OKR8" s="133"/>
      <c r="OKS8" s="133"/>
      <c r="OKT8" s="133"/>
      <c r="OKU8" s="133"/>
      <c r="OKV8" s="133"/>
      <c r="OKW8" s="133"/>
      <c r="OKX8" s="133"/>
      <c r="OKY8" s="133"/>
      <c r="OKZ8" s="133"/>
      <c r="OLA8" s="133"/>
      <c r="OLB8" s="133"/>
      <c r="OLC8" s="133"/>
      <c r="OLD8" s="133"/>
      <c r="OLE8" s="133"/>
      <c r="OLF8" s="133"/>
      <c r="OLG8" s="133"/>
      <c r="OLH8" s="133"/>
      <c r="OLI8" s="133"/>
      <c r="OLJ8" s="133"/>
      <c r="OLK8" s="133"/>
      <c r="OLL8" s="133"/>
      <c r="OLM8" s="133"/>
      <c r="OLN8" s="133"/>
      <c r="OLO8" s="133"/>
      <c r="OLP8" s="133"/>
      <c r="OLQ8" s="133"/>
      <c r="OLR8" s="133"/>
      <c r="OLS8" s="133"/>
      <c r="OLT8" s="133"/>
      <c r="OLU8" s="133"/>
      <c r="OLV8" s="133"/>
      <c r="OLW8" s="133"/>
      <c r="OLX8" s="133"/>
      <c r="OLY8" s="133"/>
      <c r="OLZ8" s="133"/>
      <c r="OMA8" s="133"/>
      <c r="OMB8" s="133"/>
      <c r="OMC8" s="133"/>
      <c r="OMD8" s="133"/>
      <c r="OME8" s="133"/>
      <c r="OMF8" s="133"/>
      <c r="OMG8" s="133"/>
      <c r="OMH8" s="133"/>
      <c r="OMI8" s="133"/>
      <c r="OMJ8" s="133"/>
      <c r="OMK8" s="133"/>
      <c r="OML8" s="133"/>
      <c r="OMM8" s="133"/>
      <c r="OMN8" s="133"/>
      <c r="OMO8" s="133"/>
      <c r="OMP8" s="133"/>
      <c r="OMQ8" s="133"/>
      <c r="OMR8" s="133"/>
      <c r="OMS8" s="133"/>
      <c r="OMT8" s="133"/>
      <c r="OMU8" s="133"/>
      <c r="OMV8" s="133"/>
      <c r="OMW8" s="133"/>
      <c r="OMX8" s="133"/>
      <c r="OMY8" s="133"/>
      <c r="OMZ8" s="133"/>
      <c r="ONA8" s="133"/>
      <c r="ONB8" s="133"/>
      <c r="ONC8" s="133"/>
      <c r="OND8" s="133"/>
      <c r="ONE8" s="133"/>
      <c r="ONF8" s="133"/>
      <c r="ONG8" s="133"/>
      <c r="ONH8" s="133"/>
      <c r="ONI8" s="133"/>
      <c r="ONJ8" s="133"/>
      <c r="ONK8" s="133"/>
      <c r="ONL8" s="133"/>
      <c r="ONM8" s="133"/>
      <c r="ONN8" s="133"/>
      <c r="ONO8" s="133"/>
      <c r="ONP8" s="133"/>
      <c r="ONQ8" s="133"/>
      <c r="ONR8" s="133"/>
      <c r="ONS8" s="133"/>
      <c r="ONT8" s="133"/>
      <c r="ONU8" s="133"/>
      <c r="ONV8" s="133"/>
      <c r="ONW8" s="133"/>
      <c r="ONX8" s="133"/>
      <c r="ONY8" s="133"/>
      <c r="ONZ8" s="133"/>
      <c r="OOA8" s="133"/>
      <c r="OOB8" s="133"/>
      <c r="OOC8" s="133"/>
      <c r="OOD8" s="133"/>
      <c r="OOE8" s="133"/>
      <c r="OOF8" s="133"/>
      <c r="OOG8" s="133"/>
      <c r="OOH8" s="133"/>
      <c r="OOI8" s="133"/>
      <c r="OOJ8" s="133"/>
      <c r="OOK8" s="133"/>
      <c r="OOL8" s="133"/>
      <c r="OOM8" s="133"/>
      <c r="OON8" s="133"/>
      <c r="OOO8" s="133"/>
      <c r="OOP8" s="133"/>
      <c r="OOQ8" s="133"/>
      <c r="OOR8" s="133"/>
      <c r="OOS8" s="133"/>
      <c r="OOT8" s="133"/>
      <c r="OOU8" s="133"/>
      <c r="OOV8" s="133"/>
      <c r="OOW8" s="133"/>
      <c r="OOX8" s="133"/>
      <c r="OOY8" s="133"/>
      <c r="OOZ8" s="133"/>
      <c r="OPA8" s="133"/>
      <c r="OPB8" s="133"/>
      <c r="OPC8" s="133"/>
      <c r="OPD8" s="133"/>
      <c r="OPE8" s="133"/>
      <c r="OPF8" s="133"/>
      <c r="OPG8" s="133"/>
      <c r="OPH8" s="133"/>
      <c r="OPI8" s="133"/>
      <c r="OPJ8" s="133"/>
      <c r="OPK8" s="133"/>
      <c r="OPL8" s="133"/>
      <c r="OPM8" s="133"/>
      <c r="OPN8" s="133"/>
      <c r="OPO8" s="133"/>
      <c r="OPP8" s="133"/>
      <c r="OPQ8" s="133"/>
      <c r="OPR8" s="133"/>
      <c r="OPS8" s="133"/>
      <c r="OPT8" s="133"/>
      <c r="OPU8" s="133"/>
      <c r="OPV8" s="133"/>
      <c r="OPW8" s="133"/>
      <c r="OPX8" s="133"/>
      <c r="OPY8" s="133"/>
      <c r="OPZ8" s="133"/>
      <c r="OQA8" s="133"/>
      <c r="OQB8" s="133"/>
      <c r="OQC8" s="133"/>
      <c r="OQD8" s="133"/>
      <c r="OQE8" s="133"/>
      <c r="OQF8" s="133"/>
      <c r="OQG8" s="133"/>
      <c r="OQH8" s="133"/>
      <c r="OQI8" s="133"/>
      <c r="OQJ8" s="133"/>
      <c r="OQK8" s="133"/>
      <c r="OQL8" s="133"/>
      <c r="OQM8" s="133"/>
      <c r="OQN8" s="133"/>
      <c r="OQO8" s="133"/>
      <c r="OQP8" s="133"/>
      <c r="OQQ8" s="133"/>
      <c r="OQR8" s="133"/>
      <c r="OQS8" s="133"/>
      <c r="OQT8" s="133"/>
      <c r="OQU8" s="133"/>
      <c r="OQV8" s="133"/>
      <c r="OQW8" s="133"/>
      <c r="OQX8" s="133"/>
      <c r="OQY8" s="133"/>
      <c r="OQZ8" s="133"/>
      <c r="ORA8" s="133"/>
      <c r="ORB8" s="133"/>
      <c r="ORC8" s="133"/>
      <c r="ORD8" s="133"/>
      <c r="ORE8" s="133"/>
      <c r="ORF8" s="133"/>
      <c r="ORG8" s="133"/>
      <c r="ORH8" s="133"/>
      <c r="ORI8" s="133"/>
      <c r="ORJ8" s="133"/>
      <c r="ORK8" s="133"/>
      <c r="ORL8" s="133"/>
      <c r="ORM8" s="133"/>
      <c r="ORN8" s="133"/>
      <c r="ORO8" s="133"/>
      <c r="ORP8" s="133"/>
      <c r="ORQ8" s="133"/>
      <c r="ORR8" s="133"/>
      <c r="ORS8" s="133"/>
      <c r="ORT8" s="133"/>
      <c r="ORU8" s="133"/>
      <c r="ORV8" s="133"/>
      <c r="ORW8" s="133"/>
      <c r="ORX8" s="133"/>
      <c r="ORY8" s="133"/>
      <c r="ORZ8" s="133"/>
      <c r="OSA8" s="133"/>
      <c r="OSB8" s="133"/>
      <c r="OSC8" s="133"/>
      <c r="OSD8" s="133"/>
      <c r="OSE8" s="133"/>
      <c r="OSF8" s="133"/>
      <c r="OSG8" s="133"/>
      <c r="OSH8" s="133"/>
      <c r="OSI8" s="133"/>
      <c r="OSJ8" s="133"/>
      <c r="OSK8" s="133"/>
      <c r="OSL8" s="133"/>
      <c r="OSM8" s="133"/>
      <c r="OSN8" s="133"/>
      <c r="OSO8" s="133"/>
      <c r="OSP8" s="133"/>
      <c r="OSQ8" s="133"/>
      <c r="OSR8" s="133"/>
      <c r="OSS8" s="133"/>
      <c r="OST8" s="133"/>
      <c r="OSU8" s="133"/>
      <c r="OSV8" s="133"/>
      <c r="OSW8" s="133"/>
      <c r="OSX8" s="133"/>
      <c r="OSY8" s="133"/>
      <c r="OSZ8" s="133"/>
      <c r="OTA8" s="133"/>
      <c r="OTB8" s="133"/>
      <c r="OTC8" s="133"/>
      <c r="OTD8" s="133"/>
      <c r="OTE8" s="133"/>
      <c r="OTF8" s="133"/>
      <c r="OTG8" s="133"/>
      <c r="OTH8" s="133"/>
      <c r="OTI8" s="133"/>
      <c r="OTJ8" s="133"/>
      <c r="OTK8" s="133"/>
      <c r="OTL8" s="133"/>
      <c r="OTM8" s="133"/>
      <c r="OTN8" s="133"/>
      <c r="OTO8" s="133"/>
      <c r="OTP8" s="133"/>
      <c r="OTQ8" s="133"/>
      <c r="OTR8" s="133"/>
      <c r="OTS8" s="133"/>
      <c r="OTT8" s="133"/>
      <c r="OTU8" s="133"/>
      <c r="OTV8" s="133"/>
      <c r="OTW8" s="133"/>
      <c r="OTX8" s="133"/>
      <c r="OTY8" s="133"/>
      <c r="OTZ8" s="133"/>
      <c r="OUA8" s="133"/>
      <c r="OUB8" s="133"/>
      <c r="OUC8" s="133"/>
      <c r="OUD8" s="133"/>
      <c r="OUE8" s="133"/>
      <c r="OUF8" s="133"/>
      <c r="OUG8" s="133"/>
      <c r="OUH8" s="133"/>
      <c r="OUI8" s="133"/>
      <c r="OUJ8" s="133"/>
      <c r="OUK8" s="133"/>
      <c r="OUL8" s="133"/>
      <c r="OUM8" s="133"/>
      <c r="OUN8" s="133"/>
      <c r="OUO8" s="133"/>
      <c r="OUP8" s="133"/>
      <c r="OUQ8" s="133"/>
      <c r="OUR8" s="133"/>
      <c r="OUS8" s="133"/>
      <c r="OUT8" s="133"/>
      <c r="OUU8" s="133"/>
      <c r="OUV8" s="133"/>
      <c r="OUW8" s="133"/>
      <c r="OUX8" s="133"/>
      <c r="OUY8" s="133"/>
      <c r="OUZ8" s="133"/>
      <c r="OVA8" s="133"/>
      <c r="OVB8" s="133"/>
      <c r="OVC8" s="133"/>
      <c r="OVD8" s="133"/>
      <c r="OVE8" s="133"/>
      <c r="OVF8" s="133"/>
      <c r="OVG8" s="133"/>
      <c r="OVH8" s="133"/>
      <c r="OVI8" s="133"/>
      <c r="OVJ8" s="133"/>
      <c r="OVK8" s="133"/>
      <c r="OVL8" s="133"/>
      <c r="OVM8" s="133"/>
      <c r="OVN8" s="133"/>
      <c r="OVO8" s="133"/>
      <c r="OVP8" s="133"/>
      <c r="OVQ8" s="133"/>
      <c r="OVR8" s="133"/>
      <c r="OVS8" s="133"/>
      <c r="OVT8" s="133"/>
      <c r="OVU8" s="133"/>
      <c r="OVV8" s="133"/>
      <c r="OVW8" s="133"/>
      <c r="OVX8" s="133"/>
      <c r="OVY8" s="133"/>
      <c r="OVZ8" s="133"/>
      <c r="OWA8" s="133"/>
      <c r="OWB8" s="133"/>
      <c r="OWC8" s="133"/>
      <c r="OWD8" s="133"/>
      <c r="OWE8" s="133"/>
      <c r="OWF8" s="133"/>
      <c r="OWG8" s="133"/>
      <c r="OWH8" s="133"/>
      <c r="OWI8" s="133"/>
      <c r="OWJ8" s="133"/>
      <c r="OWK8" s="133"/>
      <c r="OWL8" s="133"/>
      <c r="OWM8" s="133"/>
      <c r="OWN8" s="133"/>
      <c r="OWO8" s="133"/>
      <c r="OWP8" s="133"/>
      <c r="OWQ8" s="133"/>
      <c r="OWR8" s="133"/>
      <c r="OWS8" s="133"/>
      <c r="OWT8" s="133"/>
      <c r="OWU8" s="133"/>
      <c r="OWV8" s="133"/>
      <c r="OWW8" s="133"/>
      <c r="OWX8" s="133"/>
      <c r="OWY8" s="133"/>
      <c r="OWZ8" s="133"/>
      <c r="OXA8" s="133"/>
      <c r="OXB8" s="133"/>
      <c r="OXC8" s="133"/>
      <c r="OXD8" s="133"/>
      <c r="OXE8" s="133"/>
      <c r="OXF8" s="133"/>
      <c r="OXG8" s="133"/>
      <c r="OXH8" s="133"/>
      <c r="OXI8" s="133"/>
      <c r="OXJ8" s="133"/>
      <c r="OXK8" s="133"/>
      <c r="OXL8" s="133"/>
      <c r="OXM8" s="133"/>
      <c r="OXN8" s="133"/>
      <c r="OXO8" s="133"/>
      <c r="OXP8" s="133"/>
      <c r="OXQ8" s="133"/>
      <c r="OXR8" s="133"/>
      <c r="OXS8" s="133"/>
      <c r="OXT8" s="133"/>
      <c r="OXU8" s="133"/>
      <c r="OXV8" s="133"/>
      <c r="OXW8" s="133"/>
      <c r="OXX8" s="133"/>
      <c r="OXY8" s="133"/>
      <c r="OXZ8" s="133"/>
      <c r="OYA8" s="133"/>
      <c r="OYB8" s="133"/>
      <c r="OYC8" s="133"/>
      <c r="OYD8" s="133"/>
      <c r="OYE8" s="133"/>
      <c r="OYF8" s="133"/>
      <c r="OYG8" s="133"/>
      <c r="OYH8" s="133"/>
      <c r="OYI8" s="133"/>
      <c r="OYJ8" s="133"/>
      <c r="OYK8" s="133"/>
      <c r="OYL8" s="133"/>
      <c r="OYM8" s="133"/>
      <c r="OYN8" s="133"/>
      <c r="OYO8" s="133"/>
      <c r="OYP8" s="133"/>
      <c r="OYQ8" s="133"/>
      <c r="OYR8" s="133"/>
      <c r="OYS8" s="133"/>
      <c r="OYT8" s="133"/>
      <c r="OYU8" s="133"/>
      <c r="OYV8" s="133"/>
      <c r="OYW8" s="133"/>
      <c r="OYX8" s="133"/>
      <c r="OYY8" s="133"/>
      <c r="OYZ8" s="133"/>
      <c r="OZA8" s="133"/>
      <c r="OZB8" s="133"/>
      <c r="OZC8" s="133"/>
      <c r="OZD8" s="133"/>
      <c r="OZE8" s="133"/>
      <c r="OZF8" s="133"/>
      <c r="OZG8" s="133"/>
      <c r="OZH8" s="133"/>
      <c r="OZI8" s="133"/>
      <c r="OZJ8" s="133"/>
      <c r="OZK8" s="133"/>
      <c r="OZL8" s="133"/>
      <c r="OZM8" s="133"/>
      <c r="OZN8" s="133"/>
      <c r="OZO8" s="133"/>
      <c r="OZP8" s="133"/>
      <c r="OZQ8" s="133"/>
      <c r="OZR8" s="133"/>
      <c r="OZS8" s="133"/>
      <c r="OZT8" s="133"/>
      <c r="OZU8" s="133"/>
      <c r="OZV8" s="133"/>
      <c r="OZW8" s="133"/>
      <c r="OZX8" s="133"/>
      <c r="OZY8" s="133"/>
      <c r="OZZ8" s="133"/>
      <c r="PAA8" s="133"/>
      <c r="PAB8" s="133"/>
      <c r="PAC8" s="133"/>
      <c r="PAD8" s="133"/>
      <c r="PAE8" s="133"/>
      <c r="PAF8" s="133"/>
      <c r="PAG8" s="133"/>
      <c r="PAH8" s="133"/>
      <c r="PAI8" s="133"/>
      <c r="PAJ8" s="133"/>
      <c r="PAK8" s="133"/>
      <c r="PAL8" s="133"/>
      <c r="PAM8" s="133"/>
      <c r="PAN8" s="133"/>
      <c r="PAO8" s="133"/>
      <c r="PAP8" s="133"/>
      <c r="PAQ8" s="133"/>
      <c r="PAR8" s="133"/>
      <c r="PAS8" s="133"/>
      <c r="PAT8" s="133"/>
      <c r="PAU8" s="133"/>
      <c r="PAV8" s="133"/>
      <c r="PAW8" s="133"/>
      <c r="PAX8" s="133"/>
      <c r="PAY8" s="133"/>
      <c r="PAZ8" s="133"/>
      <c r="PBA8" s="133"/>
      <c r="PBB8" s="133"/>
      <c r="PBC8" s="133"/>
      <c r="PBD8" s="133"/>
      <c r="PBE8" s="133"/>
      <c r="PBF8" s="133"/>
      <c r="PBG8" s="133"/>
      <c r="PBH8" s="133"/>
      <c r="PBI8" s="133"/>
      <c r="PBJ8" s="133"/>
      <c r="PBK8" s="133"/>
      <c r="PBL8" s="133"/>
      <c r="PBM8" s="133"/>
      <c r="PBN8" s="133"/>
      <c r="PBO8" s="133"/>
      <c r="PBP8" s="133"/>
      <c r="PBQ8" s="133"/>
      <c r="PBR8" s="133"/>
      <c r="PBS8" s="133"/>
      <c r="PBT8" s="133"/>
      <c r="PBU8" s="133"/>
      <c r="PBV8" s="133"/>
      <c r="PBW8" s="133"/>
      <c r="PBX8" s="133"/>
      <c r="PBY8" s="133"/>
      <c r="PBZ8" s="133"/>
      <c r="PCA8" s="133"/>
      <c r="PCB8" s="133"/>
      <c r="PCC8" s="133"/>
      <c r="PCD8" s="133"/>
      <c r="PCE8" s="133"/>
      <c r="PCF8" s="133"/>
      <c r="PCG8" s="133"/>
      <c r="PCH8" s="133"/>
      <c r="PCI8" s="133"/>
      <c r="PCJ8" s="133"/>
      <c r="PCK8" s="133"/>
      <c r="PCL8" s="133"/>
      <c r="PCM8" s="133"/>
      <c r="PCN8" s="133"/>
      <c r="PCO8" s="133"/>
      <c r="PCP8" s="133"/>
      <c r="PCQ8" s="133"/>
      <c r="PCR8" s="133"/>
      <c r="PCS8" s="133"/>
      <c r="PCT8" s="133"/>
      <c r="PCU8" s="133"/>
      <c r="PCV8" s="133"/>
      <c r="PCW8" s="133"/>
      <c r="PCX8" s="133"/>
      <c r="PCY8" s="133"/>
      <c r="PCZ8" s="133"/>
      <c r="PDA8" s="133"/>
      <c r="PDB8" s="133"/>
      <c r="PDC8" s="133"/>
      <c r="PDD8" s="133"/>
      <c r="PDE8" s="133"/>
      <c r="PDF8" s="133"/>
      <c r="PDG8" s="133"/>
      <c r="PDH8" s="133"/>
      <c r="PDI8" s="133"/>
      <c r="PDJ8" s="133"/>
      <c r="PDK8" s="133"/>
      <c r="PDL8" s="133"/>
      <c r="PDM8" s="133"/>
      <c r="PDN8" s="133"/>
      <c r="PDO8" s="133"/>
      <c r="PDP8" s="133"/>
      <c r="PDQ8" s="133"/>
      <c r="PDR8" s="133"/>
      <c r="PDS8" s="133"/>
      <c r="PDT8" s="133"/>
      <c r="PDU8" s="133"/>
      <c r="PDV8" s="133"/>
      <c r="PDW8" s="133"/>
      <c r="PDX8" s="133"/>
      <c r="PDY8" s="133"/>
      <c r="PDZ8" s="133"/>
      <c r="PEA8" s="133"/>
      <c r="PEB8" s="133"/>
      <c r="PEC8" s="133"/>
      <c r="PED8" s="133"/>
      <c r="PEE8" s="133"/>
      <c r="PEF8" s="133"/>
      <c r="PEG8" s="133"/>
      <c r="PEH8" s="133"/>
      <c r="PEI8" s="133"/>
      <c r="PEJ8" s="133"/>
      <c r="PEK8" s="133"/>
      <c r="PEL8" s="133"/>
      <c r="PEM8" s="133"/>
      <c r="PEN8" s="133"/>
      <c r="PEO8" s="133"/>
      <c r="PEP8" s="133"/>
      <c r="PEQ8" s="133"/>
      <c r="PER8" s="133"/>
      <c r="PES8" s="133"/>
      <c r="PET8" s="133"/>
      <c r="PEU8" s="133"/>
      <c r="PEV8" s="133"/>
      <c r="PEW8" s="133"/>
      <c r="PEX8" s="133"/>
      <c r="PEY8" s="133"/>
      <c r="PEZ8" s="133"/>
      <c r="PFA8" s="133"/>
      <c r="PFB8" s="133"/>
      <c r="PFC8" s="133"/>
      <c r="PFD8" s="133"/>
      <c r="PFE8" s="133"/>
      <c r="PFF8" s="133"/>
      <c r="PFG8" s="133"/>
      <c r="PFH8" s="133"/>
      <c r="PFI8" s="133"/>
      <c r="PFJ8" s="133"/>
      <c r="PFK8" s="133"/>
      <c r="PFL8" s="133"/>
      <c r="PFM8" s="133"/>
      <c r="PFN8" s="133"/>
      <c r="PFO8" s="133"/>
      <c r="PFP8" s="133"/>
      <c r="PFQ8" s="133"/>
      <c r="PFR8" s="133"/>
      <c r="PFS8" s="133"/>
      <c r="PFT8" s="133"/>
      <c r="PFU8" s="133"/>
      <c r="PFV8" s="133"/>
      <c r="PFW8" s="133"/>
      <c r="PFX8" s="133"/>
      <c r="PFY8" s="133"/>
      <c r="PFZ8" s="133"/>
      <c r="PGA8" s="133"/>
      <c r="PGB8" s="133"/>
      <c r="PGC8" s="133"/>
      <c r="PGD8" s="133"/>
      <c r="PGE8" s="133"/>
      <c r="PGF8" s="133"/>
      <c r="PGG8" s="133"/>
      <c r="PGH8" s="133"/>
      <c r="PGI8" s="133"/>
      <c r="PGJ8" s="133"/>
      <c r="PGK8" s="133"/>
      <c r="PGL8" s="133"/>
      <c r="PGM8" s="133"/>
      <c r="PGN8" s="133"/>
      <c r="PGO8" s="133"/>
      <c r="PGP8" s="133"/>
      <c r="PGQ8" s="133"/>
      <c r="PGR8" s="133"/>
      <c r="PGS8" s="133"/>
      <c r="PGT8" s="133"/>
      <c r="PGU8" s="133"/>
      <c r="PGV8" s="133"/>
      <c r="PGW8" s="133"/>
      <c r="PGX8" s="133"/>
      <c r="PGY8" s="133"/>
      <c r="PGZ8" s="133"/>
      <c r="PHA8" s="133"/>
      <c r="PHB8" s="133"/>
      <c r="PHC8" s="133"/>
      <c r="PHD8" s="133"/>
      <c r="PHE8" s="133"/>
      <c r="PHF8" s="133"/>
      <c r="PHG8" s="133"/>
      <c r="PHH8" s="133"/>
      <c r="PHI8" s="133"/>
      <c r="PHJ8" s="133"/>
      <c r="PHK8" s="133"/>
      <c r="PHL8" s="133"/>
      <c r="PHM8" s="133"/>
      <c r="PHN8" s="133"/>
      <c r="PHO8" s="133"/>
      <c r="PHP8" s="133"/>
      <c r="PHQ8" s="133"/>
      <c r="PHR8" s="133"/>
      <c r="PHS8" s="133"/>
      <c r="PHT8" s="133"/>
      <c r="PHU8" s="133"/>
      <c r="PHV8" s="133"/>
      <c r="PHW8" s="133"/>
      <c r="PHX8" s="133"/>
      <c r="PHY8" s="133"/>
      <c r="PHZ8" s="133"/>
      <c r="PIA8" s="133"/>
      <c r="PIB8" s="133"/>
      <c r="PIC8" s="133"/>
      <c r="PID8" s="133"/>
      <c r="PIE8" s="133"/>
      <c r="PIF8" s="133"/>
      <c r="PIG8" s="133"/>
      <c r="PIH8" s="133"/>
      <c r="PII8" s="133"/>
      <c r="PIJ8" s="133"/>
      <c r="PIK8" s="133"/>
      <c r="PIL8" s="133"/>
      <c r="PIM8" s="133"/>
      <c r="PIN8" s="133"/>
      <c r="PIO8" s="133"/>
      <c r="PIP8" s="133"/>
      <c r="PIQ8" s="133"/>
      <c r="PIR8" s="133"/>
      <c r="PIS8" s="133"/>
      <c r="PIT8" s="133"/>
      <c r="PIU8" s="133"/>
      <c r="PIV8" s="133"/>
      <c r="PIW8" s="133"/>
      <c r="PIX8" s="133"/>
      <c r="PIY8" s="133"/>
      <c r="PIZ8" s="133"/>
      <c r="PJA8" s="133"/>
      <c r="PJB8" s="133"/>
      <c r="PJC8" s="133"/>
      <c r="PJD8" s="133"/>
      <c r="PJE8" s="133"/>
      <c r="PJF8" s="133"/>
      <c r="PJG8" s="133"/>
      <c r="PJH8" s="133"/>
      <c r="PJI8" s="133"/>
      <c r="PJJ8" s="133"/>
      <c r="PJK8" s="133"/>
      <c r="PJL8" s="133"/>
      <c r="PJM8" s="133"/>
      <c r="PJN8" s="133"/>
      <c r="PJO8" s="133"/>
      <c r="PJP8" s="133"/>
      <c r="PJQ8" s="133"/>
      <c r="PJR8" s="133"/>
      <c r="PJS8" s="133"/>
      <c r="PJT8" s="133"/>
      <c r="PJU8" s="133"/>
      <c r="PJV8" s="133"/>
      <c r="PJW8" s="133"/>
      <c r="PJX8" s="133"/>
      <c r="PJY8" s="133"/>
      <c r="PJZ8" s="133"/>
      <c r="PKA8" s="133"/>
      <c r="PKB8" s="133"/>
      <c r="PKC8" s="133"/>
      <c r="PKD8" s="133"/>
      <c r="PKE8" s="133"/>
      <c r="PKF8" s="133"/>
      <c r="PKG8" s="133"/>
      <c r="PKH8" s="133"/>
      <c r="PKI8" s="133"/>
      <c r="PKJ8" s="133"/>
      <c r="PKK8" s="133"/>
      <c r="PKL8" s="133"/>
      <c r="PKM8" s="133"/>
      <c r="PKN8" s="133"/>
      <c r="PKO8" s="133"/>
      <c r="PKP8" s="133"/>
      <c r="PKQ8" s="133"/>
      <c r="PKR8" s="133"/>
      <c r="PKS8" s="133"/>
      <c r="PKT8" s="133"/>
      <c r="PKU8" s="133"/>
      <c r="PKV8" s="133"/>
      <c r="PKW8" s="133"/>
      <c r="PKX8" s="133"/>
      <c r="PKY8" s="133"/>
      <c r="PKZ8" s="133"/>
      <c r="PLA8" s="133"/>
      <c r="PLB8" s="133"/>
      <c r="PLC8" s="133"/>
      <c r="PLD8" s="133"/>
      <c r="PLE8" s="133"/>
      <c r="PLF8" s="133"/>
      <c r="PLG8" s="133"/>
      <c r="PLH8" s="133"/>
      <c r="PLI8" s="133"/>
      <c r="PLJ8" s="133"/>
      <c r="PLK8" s="133"/>
      <c r="PLL8" s="133"/>
      <c r="PLM8" s="133"/>
      <c r="PLN8" s="133"/>
      <c r="PLO8" s="133"/>
      <c r="PLP8" s="133"/>
      <c r="PLQ8" s="133"/>
      <c r="PLR8" s="133"/>
      <c r="PLS8" s="133"/>
      <c r="PLT8" s="133"/>
      <c r="PLU8" s="133"/>
      <c r="PLV8" s="133"/>
      <c r="PLW8" s="133"/>
      <c r="PLX8" s="133"/>
      <c r="PLY8" s="133"/>
      <c r="PLZ8" s="133"/>
      <c r="PMA8" s="133"/>
      <c r="PMB8" s="133"/>
      <c r="PMC8" s="133"/>
      <c r="PMD8" s="133"/>
      <c r="PME8" s="133"/>
      <c r="PMF8" s="133"/>
      <c r="PMG8" s="133"/>
      <c r="PMH8" s="133"/>
      <c r="PMI8" s="133"/>
      <c r="PMJ8" s="133"/>
      <c r="PMK8" s="133"/>
      <c r="PML8" s="133"/>
      <c r="PMM8" s="133"/>
      <c r="PMN8" s="133"/>
      <c r="PMO8" s="133"/>
      <c r="PMP8" s="133"/>
      <c r="PMQ8" s="133"/>
      <c r="PMR8" s="133"/>
      <c r="PMS8" s="133"/>
      <c r="PMT8" s="133"/>
      <c r="PMU8" s="133"/>
      <c r="PMV8" s="133"/>
      <c r="PMW8" s="133"/>
      <c r="PMX8" s="133"/>
      <c r="PMY8" s="133"/>
      <c r="PMZ8" s="133"/>
      <c r="PNA8" s="133"/>
      <c r="PNB8" s="133"/>
      <c r="PNC8" s="133"/>
      <c r="PND8" s="133"/>
      <c r="PNE8" s="133"/>
      <c r="PNF8" s="133"/>
      <c r="PNG8" s="133"/>
      <c r="PNH8" s="133"/>
      <c r="PNI8" s="133"/>
      <c r="PNJ8" s="133"/>
      <c r="PNK8" s="133"/>
      <c r="PNL8" s="133"/>
      <c r="PNM8" s="133"/>
      <c r="PNN8" s="133"/>
      <c r="PNO8" s="133"/>
      <c r="PNP8" s="133"/>
      <c r="PNQ8" s="133"/>
      <c r="PNR8" s="133"/>
      <c r="PNS8" s="133"/>
      <c r="PNT8" s="133"/>
      <c r="PNU8" s="133"/>
      <c r="PNV8" s="133"/>
      <c r="PNW8" s="133"/>
      <c r="PNX8" s="133"/>
      <c r="PNY8" s="133"/>
      <c r="PNZ8" s="133"/>
      <c r="POA8" s="133"/>
      <c r="POB8" s="133"/>
      <c r="POC8" s="133"/>
      <c r="POD8" s="133"/>
      <c r="POE8" s="133"/>
      <c r="POF8" s="133"/>
      <c r="POG8" s="133"/>
      <c r="POH8" s="133"/>
      <c r="POI8" s="133"/>
      <c r="POJ8" s="133"/>
      <c r="POK8" s="133"/>
      <c r="POL8" s="133"/>
      <c r="POM8" s="133"/>
      <c r="PON8" s="133"/>
      <c r="POO8" s="133"/>
    </row>
    <row r="9" spans="1:1013 1026:2037 2050:3061 3074:4085 4098:5109 5122:6133 6146:7157 7170:8181 8194:9205 9218:10229 10242:11221" s="132" customFormat="1" ht="14.95" customHeight="1" thickBot="1" x14ac:dyDescent="0.3">
      <c r="A9" s="479" t="s">
        <v>239</v>
      </c>
      <c r="B9" s="461" t="s">
        <v>199</v>
      </c>
      <c r="C9" s="462" t="s">
        <v>106</v>
      </c>
      <c r="D9" s="463" t="s">
        <v>36</v>
      </c>
      <c r="E9" s="463" t="s">
        <v>34</v>
      </c>
      <c r="F9" s="463">
        <v>22</v>
      </c>
      <c r="G9" s="463">
        <v>30</v>
      </c>
      <c r="H9" s="463">
        <v>0</v>
      </c>
      <c r="I9" s="463">
        <v>0</v>
      </c>
      <c r="J9" s="463">
        <v>1</v>
      </c>
      <c r="K9" s="463">
        <v>1</v>
      </c>
      <c r="L9" s="463">
        <v>0</v>
      </c>
      <c r="M9" s="463">
        <v>5</v>
      </c>
      <c r="N9" s="463">
        <v>0</v>
      </c>
      <c r="O9" s="463">
        <v>0</v>
      </c>
      <c r="P9" s="463">
        <v>0</v>
      </c>
      <c r="Q9" s="463">
        <v>0</v>
      </c>
      <c r="R9" s="463">
        <v>3</v>
      </c>
      <c r="S9" s="464">
        <v>10322</v>
      </c>
      <c r="T9" s="465" t="s">
        <v>533</v>
      </c>
      <c r="U9" s="466" t="s">
        <v>323</v>
      </c>
      <c r="V9" s="464" t="s">
        <v>468</v>
      </c>
      <c r="W9" s="464" t="s">
        <v>324</v>
      </c>
      <c r="X9" s="467" t="s">
        <v>316</v>
      </c>
      <c r="Y9" s="464">
        <v>1</v>
      </c>
      <c r="Z9" s="464">
        <v>0</v>
      </c>
      <c r="AA9" s="464">
        <v>0</v>
      </c>
      <c r="AB9" s="464">
        <v>1</v>
      </c>
      <c r="AC9" s="464">
        <v>0</v>
      </c>
      <c r="AD9" s="464">
        <v>0</v>
      </c>
      <c r="AE9" s="464">
        <v>0</v>
      </c>
      <c r="AF9" s="464">
        <v>0</v>
      </c>
      <c r="AG9" s="464">
        <v>1</v>
      </c>
      <c r="AH9" s="464">
        <v>0</v>
      </c>
      <c r="AI9" s="464">
        <v>0</v>
      </c>
      <c r="AJ9" s="466">
        <v>1</v>
      </c>
      <c r="AK9" s="464">
        <v>0</v>
      </c>
      <c r="AL9" s="464">
        <v>0</v>
      </c>
      <c r="AM9" s="464">
        <v>0</v>
      </c>
      <c r="AN9" s="466">
        <v>0</v>
      </c>
      <c r="AO9" s="131"/>
      <c r="AP9" s="175" t="s">
        <v>170</v>
      </c>
      <c r="AQ9" s="176">
        <f>Bthhistagainst</f>
        <v>10281</v>
      </c>
      <c r="AR9" s="131"/>
      <c r="AS9" s="177" t="s">
        <v>169</v>
      </c>
      <c r="AT9" s="189">
        <f>btheuropeancuphistscored</f>
        <v>2278</v>
      </c>
      <c r="AU9" s="179" t="s">
        <v>169</v>
      </c>
      <c r="AV9" s="180">
        <f>bthchampscuphistptsscored</f>
        <v>617</v>
      </c>
      <c r="AW9" s="181" t="s">
        <v>169</v>
      </c>
      <c r="AX9" s="178">
        <f>bthchallcuphistscored</f>
        <v>2017</v>
      </c>
      <c r="AY9" s="182" t="s">
        <v>169</v>
      </c>
      <c r="AZ9" s="183">
        <f t="shared" si="0"/>
        <v>4295</v>
      </c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1"/>
      <c r="IW9" s="131"/>
      <c r="IX9" s="131"/>
      <c r="IY9" s="131"/>
      <c r="IZ9" s="131"/>
      <c r="JA9" s="131"/>
      <c r="JB9" s="131"/>
      <c r="JC9" s="131"/>
      <c r="JD9" s="131"/>
      <c r="JE9" s="131"/>
      <c r="JF9" s="131"/>
      <c r="JG9" s="131"/>
      <c r="JH9" s="131"/>
      <c r="JI9" s="131"/>
      <c r="JJ9" s="131"/>
      <c r="JK9" s="131"/>
      <c r="JL9" s="131"/>
      <c r="JM9" s="131"/>
      <c r="JN9" s="131"/>
      <c r="JO9" s="131"/>
      <c r="JP9" s="131"/>
      <c r="JQ9" s="131"/>
      <c r="JR9" s="131"/>
      <c r="JS9" s="131"/>
      <c r="JT9" s="131"/>
      <c r="JU9" s="131"/>
      <c r="JV9" s="131"/>
      <c r="JW9" s="131"/>
      <c r="JX9" s="131"/>
      <c r="JY9" s="131"/>
      <c r="JZ9" s="131"/>
      <c r="KA9" s="131"/>
      <c r="KB9" s="131"/>
      <c r="KC9" s="131"/>
      <c r="KD9" s="131"/>
      <c r="KE9" s="131"/>
      <c r="KF9" s="131"/>
      <c r="KG9" s="131"/>
      <c r="KH9" s="131"/>
      <c r="KI9" s="131"/>
      <c r="KJ9" s="131"/>
      <c r="KK9" s="131"/>
      <c r="KL9" s="131"/>
      <c r="KM9" s="131"/>
      <c r="KN9" s="131"/>
      <c r="KO9" s="131"/>
      <c r="KP9" s="131"/>
      <c r="KQ9" s="131"/>
      <c r="KR9" s="131"/>
      <c r="KS9" s="131"/>
      <c r="KT9" s="131"/>
      <c r="KU9" s="131"/>
      <c r="KV9" s="131"/>
      <c r="KW9" s="131"/>
      <c r="KX9" s="131"/>
      <c r="KY9" s="131"/>
      <c r="KZ9" s="131"/>
      <c r="LA9" s="131"/>
      <c r="LB9" s="131"/>
      <c r="LC9" s="131"/>
      <c r="LD9" s="131"/>
      <c r="LE9" s="131"/>
      <c r="LF9" s="131"/>
      <c r="LG9" s="131"/>
      <c r="LH9" s="131"/>
      <c r="LI9" s="131"/>
      <c r="LJ9" s="131"/>
      <c r="LK9" s="131"/>
      <c r="LL9" s="131"/>
      <c r="LM9" s="131"/>
      <c r="LN9" s="131"/>
      <c r="LO9" s="131"/>
      <c r="LP9" s="131"/>
      <c r="LQ9" s="131"/>
      <c r="LR9" s="131"/>
      <c r="LS9" s="131"/>
      <c r="LT9" s="131"/>
      <c r="LU9" s="131"/>
      <c r="LV9" s="131"/>
      <c r="LW9" s="131"/>
      <c r="LX9" s="131"/>
      <c r="LY9" s="131"/>
      <c r="LZ9" s="131"/>
      <c r="MA9" s="131"/>
      <c r="MB9" s="131"/>
      <c r="MC9" s="131"/>
      <c r="MD9" s="131"/>
      <c r="ME9" s="131"/>
      <c r="MF9" s="131"/>
      <c r="MG9" s="131"/>
      <c r="MH9" s="131"/>
      <c r="MI9" s="131"/>
      <c r="MJ9" s="131"/>
      <c r="MK9" s="131"/>
      <c r="ML9" s="131"/>
      <c r="MM9" s="131"/>
      <c r="MN9" s="131"/>
      <c r="MO9" s="131"/>
      <c r="MP9" s="131"/>
      <c r="MQ9" s="131"/>
      <c r="MR9" s="131"/>
      <c r="MS9" s="131"/>
      <c r="MT9" s="131"/>
      <c r="MU9" s="131"/>
      <c r="MV9" s="131"/>
      <c r="MW9" s="131"/>
      <c r="MX9" s="131"/>
      <c r="MY9" s="131"/>
      <c r="MZ9" s="131"/>
      <c r="NA9" s="131"/>
      <c r="NB9" s="131"/>
      <c r="NC9" s="131"/>
      <c r="ND9" s="131"/>
      <c r="NE9" s="131"/>
      <c r="NF9" s="131"/>
      <c r="NG9" s="131"/>
      <c r="NH9" s="131"/>
      <c r="NI9" s="131"/>
      <c r="NJ9" s="131"/>
      <c r="NK9" s="131"/>
      <c r="NL9" s="131"/>
      <c r="NM9" s="131"/>
      <c r="NN9" s="131"/>
      <c r="NO9" s="131"/>
      <c r="NP9" s="131"/>
      <c r="NQ9" s="131"/>
      <c r="NR9" s="131"/>
      <c r="NS9" s="131"/>
      <c r="NT9" s="131"/>
      <c r="NU9" s="131"/>
      <c r="NV9" s="131"/>
      <c r="NW9" s="131"/>
      <c r="NX9" s="131"/>
      <c r="NY9" s="131"/>
      <c r="NZ9" s="131"/>
      <c r="OA9" s="131"/>
      <c r="OB9" s="131"/>
      <c r="OC9" s="131"/>
      <c r="OD9" s="131"/>
      <c r="OE9" s="131"/>
      <c r="OF9" s="131"/>
      <c r="OG9" s="131"/>
      <c r="OH9" s="131"/>
      <c r="OI9" s="131"/>
      <c r="OJ9" s="131"/>
      <c r="OK9" s="131"/>
      <c r="OL9" s="131"/>
      <c r="OM9" s="131"/>
      <c r="ON9" s="131"/>
      <c r="OO9" s="131"/>
      <c r="OP9" s="131"/>
      <c r="OQ9" s="131"/>
      <c r="OR9" s="131"/>
      <c r="OS9" s="131"/>
      <c r="OT9" s="131"/>
      <c r="OU9" s="131"/>
      <c r="OV9" s="131"/>
      <c r="OW9" s="131"/>
      <c r="OX9" s="131"/>
      <c r="OY9" s="131"/>
      <c r="OZ9" s="131"/>
      <c r="PA9" s="131"/>
      <c r="PB9" s="131"/>
      <c r="PC9" s="131"/>
      <c r="PD9" s="131"/>
      <c r="PE9" s="131"/>
      <c r="PF9" s="131"/>
      <c r="PG9" s="131"/>
      <c r="PH9" s="131"/>
      <c r="PI9" s="131"/>
      <c r="PJ9" s="131"/>
      <c r="PK9" s="131"/>
      <c r="PL9" s="131"/>
      <c r="PM9" s="131"/>
      <c r="PN9" s="131"/>
      <c r="PO9" s="131"/>
      <c r="PP9" s="131"/>
      <c r="PQ9" s="131"/>
      <c r="PR9" s="131"/>
      <c r="PS9" s="131"/>
      <c r="PT9" s="131"/>
      <c r="PU9" s="131"/>
      <c r="PV9" s="131"/>
      <c r="PW9" s="131"/>
      <c r="PX9" s="131"/>
      <c r="PY9" s="131"/>
      <c r="PZ9" s="131"/>
      <c r="QA9" s="131"/>
      <c r="QB9" s="131"/>
      <c r="QC9" s="131"/>
      <c r="QD9" s="131"/>
      <c r="QE9" s="131"/>
      <c r="QF9" s="131"/>
      <c r="QG9" s="131"/>
      <c r="QH9" s="131"/>
      <c r="QI9" s="131"/>
      <c r="QJ9" s="131"/>
      <c r="QK9" s="131"/>
      <c r="QL9" s="131"/>
      <c r="QM9" s="131"/>
      <c r="QN9" s="131"/>
      <c r="QO9" s="131"/>
      <c r="QP9" s="131"/>
      <c r="QQ9" s="131"/>
      <c r="QR9" s="131"/>
      <c r="QS9" s="131"/>
      <c r="QT9" s="131"/>
      <c r="QU9" s="131"/>
      <c r="QV9" s="131"/>
      <c r="QW9" s="131"/>
      <c r="QX9" s="131"/>
      <c r="QY9" s="131"/>
      <c r="QZ9" s="131"/>
      <c r="RA9" s="131"/>
      <c r="RB9" s="131"/>
      <c r="RC9" s="131"/>
      <c r="RD9" s="131"/>
      <c r="RE9" s="131"/>
      <c r="RF9" s="131"/>
      <c r="RG9" s="131"/>
      <c r="RH9" s="131"/>
      <c r="RI9" s="131"/>
      <c r="RJ9" s="131"/>
      <c r="RK9" s="131"/>
      <c r="RL9" s="131"/>
      <c r="RM9" s="131"/>
      <c r="RN9" s="131"/>
      <c r="RO9" s="131"/>
      <c r="RP9" s="131"/>
      <c r="RQ9" s="131"/>
      <c r="RR9" s="131"/>
      <c r="RS9" s="131"/>
      <c r="RT9" s="131"/>
      <c r="RU9" s="131"/>
      <c r="RV9" s="131"/>
      <c r="RW9" s="131"/>
      <c r="RX9" s="131"/>
      <c r="RY9" s="131"/>
      <c r="RZ9" s="131"/>
      <c r="SA9" s="131"/>
      <c r="SB9" s="131"/>
      <c r="SC9" s="131"/>
      <c r="SD9" s="131"/>
      <c r="SE9" s="131"/>
      <c r="SF9" s="131"/>
      <c r="SG9" s="131"/>
      <c r="SH9" s="131"/>
      <c r="SI9" s="131"/>
      <c r="SJ9" s="131"/>
      <c r="SK9" s="131"/>
      <c r="SL9" s="131"/>
      <c r="SM9" s="131"/>
      <c r="SN9" s="131"/>
      <c r="SO9" s="131"/>
      <c r="SP9" s="131"/>
      <c r="SQ9" s="131"/>
      <c r="SR9" s="131"/>
      <c r="SS9" s="131"/>
      <c r="ST9" s="131"/>
      <c r="SU9" s="131"/>
      <c r="SV9" s="131"/>
      <c r="SW9" s="131"/>
      <c r="SX9" s="131"/>
      <c r="SY9" s="131"/>
      <c r="SZ9" s="131"/>
      <c r="TA9" s="131"/>
      <c r="TB9" s="131"/>
      <c r="TC9" s="131"/>
      <c r="TD9" s="131"/>
      <c r="TE9" s="131"/>
      <c r="TF9" s="131"/>
      <c r="TG9" s="131"/>
      <c r="TH9" s="131"/>
      <c r="TI9" s="131"/>
      <c r="TJ9" s="131"/>
      <c r="TK9" s="131"/>
      <c r="TL9" s="131"/>
      <c r="TM9" s="131"/>
      <c r="TN9" s="131"/>
      <c r="TO9" s="131"/>
      <c r="TP9" s="131"/>
      <c r="TQ9" s="131"/>
      <c r="TR9" s="131"/>
      <c r="TS9" s="131"/>
      <c r="TT9" s="131"/>
      <c r="TU9" s="131"/>
      <c r="TV9" s="131"/>
      <c r="TW9" s="131"/>
      <c r="TX9" s="131"/>
      <c r="TY9" s="131"/>
      <c r="TZ9" s="131"/>
      <c r="UA9" s="131"/>
      <c r="UB9" s="131"/>
      <c r="UC9" s="131"/>
      <c r="UD9" s="131"/>
      <c r="UE9" s="131"/>
      <c r="UF9" s="131"/>
      <c r="UG9" s="131"/>
      <c r="UH9" s="131"/>
      <c r="UI9" s="131"/>
      <c r="UJ9" s="131"/>
      <c r="UK9" s="131"/>
      <c r="UL9" s="131"/>
      <c r="UM9" s="131"/>
      <c r="UN9" s="131"/>
      <c r="UO9" s="131"/>
      <c r="UP9" s="131"/>
      <c r="UQ9" s="131"/>
      <c r="UR9" s="131"/>
      <c r="US9" s="131"/>
      <c r="UT9" s="131"/>
      <c r="UU9" s="131"/>
      <c r="UV9" s="131"/>
      <c r="UW9" s="131"/>
      <c r="UX9" s="131"/>
      <c r="UY9" s="131"/>
      <c r="UZ9" s="131"/>
      <c r="VA9" s="131"/>
      <c r="VB9" s="131"/>
      <c r="VC9" s="131"/>
      <c r="VD9" s="131"/>
      <c r="VE9" s="131"/>
      <c r="VF9" s="131"/>
      <c r="VG9" s="131"/>
      <c r="VH9" s="131"/>
      <c r="VI9" s="131"/>
      <c r="VJ9" s="131"/>
      <c r="VK9" s="131"/>
      <c r="VL9" s="131"/>
      <c r="VM9" s="131"/>
      <c r="VN9" s="131"/>
      <c r="VO9" s="131"/>
      <c r="VP9" s="131"/>
      <c r="VQ9" s="131"/>
      <c r="VR9" s="131"/>
      <c r="VS9" s="131"/>
      <c r="VT9" s="131"/>
      <c r="VU9" s="131"/>
      <c r="VV9" s="131"/>
      <c r="VW9" s="131"/>
      <c r="VX9" s="131"/>
      <c r="VY9" s="131"/>
      <c r="VZ9" s="131"/>
      <c r="WA9" s="131"/>
      <c r="WB9" s="131"/>
      <c r="WC9" s="131"/>
      <c r="WD9" s="131"/>
      <c r="WE9" s="131"/>
      <c r="WF9" s="131"/>
      <c r="WG9" s="131"/>
      <c r="WH9" s="131"/>
      <c r="WI9" s="131"/>
      <c r="WJ9" s="131"/>
      <c r="WK9" s="131"/>
      <c r="WL9" s="131"/>
      <c r="WM9" s="131"/>
      <c r="WN9" s="131"/>
      <c r="WO9" s="131"/>
      <c r="WP9" s="131"/>
      <c r="WQ9" s="131"/>
      <c r="WR9" s="131"/>
      <c r="WS9" s="131"/>
      <c r="WT9" s="131"/>
      <c r="WU9" s="131"/>
      <c r="WV9" s="131"/>
      <c r="WW9" s="131"/>
      <c r="WX9" s="131"/>
      <c r="WY9" s="131"/>
      <c r="WZ9" s="131"/>
      <c r="XA9" s="131"/>
      <c r="XB9" s="131"/>
      <c r="XC9" s="131"/>
      <c r="XD9" s="131"/>
      <c r="XE9" s="131"/>
      <c r="XF9" s="131"/>
      <c r="XG9" s="131"/>
      <c r="XH9" s="131"/>
      <c r="XI9" s="131"/>
      <c r="XJ9" s="131"/>
      <c r="XK9" s="131"/>
      <c r="XL9" s="131"/>
      <c r="XM9" s="131"/>
      <c r="XN9" s="131"/>
      <c r="XO9" s="131"/>
      <c r="XP9" s="131"/>
      <c r="XQ9" s="131"/>
      <c r="XR9" s="131"/>
      <c r="XS9" s="131"/>
      <c r="XT9" s="131"/>
      <c r="XU9" s="131"/>
      <c r="XV9" s="131"/>
      <c r="XW9" s="131"/>
      <c r="XX9" s="131"/>
      <c r="XY9" s="131"/>
      <c r="XZ9" s="131"/>
      <c r="YA9" s="131"/>
      <c r="YB9" s="131"/>
      <c r="YC9" s="131"/>
      <c r="YD9" s="131"/>
      <c r="YE9" s="131"/>
      <c r="YF9" s="131"/>
      <c r="YG9" s="131"/>
      <c r="YH9" s="131"/>
      <c r="YI9" s="131"/>
      <c r="YJ9" s="131"/>
      <c r="YK9" s="131"/>
      <c r="YL9" s="131"/>
      <c r="YM9" s="131"/>
      <c r="YN9" s="131"/>
      <c r="YO9" s="131"/>
      <c r="YP9" s="131"/>
      <c r="YQ9" s="131"/>
      <c r="YR9" s="131"/>
      <c r="YS9" s="131"/>
      <c r="YT9" s="131"/>
      <c r="YU9" s="131"/>
      <c r="YV9" s="131"/>
      <c r="YW9" s="131"/>
      <c r="YX9" s="131"/>
      <c r="YY9" s="131"/>
      <c r="YZ9" s="131"/>
      <c r="ZA9" s="131"/>
      <c r="ZB9" s="131"/>
      <c r="ZC9" s="131"/>
      <c r="ZD9" s="131"/>
      <c r="ZE9" s="131"/>
      <c r="ZF9" s="131"/>
      <c r="ZG9" s="131"/>
      <c r="ZH9" s="131"/>
      <c r="ZI9" s="131"/>
      <c r="ZJ9" s="131"/>
      <c r="ZK9" s="131"/>
      <c r="ZL9" s="131"/>
      <c r="ZM9" s="131"/>
      <c r="ZN9" s="131"/>
      <c r="ZO9" s="131"/>
      <c r="ZP9" s="131"/>
      <c r="ZQ9" s="131"/>
      <c r="ZR9" s="131"/>
      <c r="ZS9" s="131"/>
      <c r="ZT9" s="131"/>
      <c r="ZU9" s="131"/>
      <c r="ZV9" s="131"/>
      <c r="ZW9" s="131"/>
      <c r="ZX9" s="131"/>
      <c r="ZY9" s="131"/>
      <c r="ZZ9" s="131"/>
      <c r="AAA9" s="131"/>
      <c r="AAB9" s="131"/>
      <c r="AAC9" s="131"/>
      <c r="AAD9" s="131"/>
      <c r="AAE9" s="131"/>
      <c r="AAF9" s="131"/>
      <c r="AAG9" s="131"/>
      <c r="AAH9" s="131"/>
      <c r="AAI9" s="131"/>
      <c r="AAJ9" s="131"/>
      <c r="AAK9" s="131"/>
      <c r="AAL9" s="131"/>
      <c r="AAM9" s="131"/>
      <c r="AAN9" s="131"/>
      <c r="AAO9" s="131"/>
      <c r="AAP9" s="131"/>
      <c r="AAQ9" s="131"/>
      <c r="AAR9" s="131"/>
      <c r="AAS9" s="131"/>
      <c r="AAT9" s="131"/>
      <c r="AAU9" s="131"/>
      <c r="AAV9" s="131"/>
      <c r="AAW9" s="131"/>
      <c r="AAX9" s="131"/>
      <c r="AAY9" s="131"/>
      <c r="AAZ9" s="131"/>
      <c r="ABA9" s="131"/>
      <c r="ABB9" s="131"/>
      <c r="ABC9" s="131"/>
      <c r="ABD9" s="131"/>
      <c r="ABE9" s="131"/>
      <c r="ABF9" s="131"/>
      <c r="ABG9" s="131"/>
      <c r="ABH9" s="131"/>
      <c r="ABI9" s="131"/>
      <c r="ABJ9" s="131"/>
      <c r="ABK9" s="131"/>
      <c r="ABL9" s="131"/>
      <c r="ABM9" s="131"/>
      <c r="ABN9" s="131"/>
      <c r="ABO9" s="131"/>
      <c r="ABP9" s="131"/>
      <c r="ABQ9" s="131"/>
      <c r="ABR9" s="131"/>
      <c r="ABS9" s="131"/>
      <c r="ABT9" s="131"/>
      <c r="ABU9" s="131"/>
      <c r="ABV9" s="131"/>
      <c r="ABW9" s="131"/>
      <c r="ABX9" s="131"/>
      <c r="ABY9" s="131"/>
      <c r="ABZ9" s="131"/>
      <c r="ACA9" s="131"/>
      <c r="ACB9" s="131"/>
      <c r="ACC9" s="131"/>
      <c r="ACD9" s="131"/>
      <c r="ACE9" s="131"/>
      <c r="ACF9" s="131"/>
      <c r="ACG9" s="131"/>
      <c r="ACH9" s="131"/>
      <c r="ACI9" s="131"/>
      <c r="ACJ9" s="131"/>
      <c r="ACK9" s="131"/>
      <c r="ACL9" s="131"/>
      <c r="ACM9" s="131"/>
      <c r="ACN9" s="131"/>
      <c r="ACO9" s="131"/>
      <c r="ACP9" s="131"/>
      <c r="ACQ9" s="131"/>
      <c r="ACR9" s="131"/>
      <c r="ACS9" s="131"/>
      <c r="ACT9" s="131"/>
      <c r="ACU9" s="131"/>
      <c r="ACV9" s="131"/>
      <c r="ACW9" s="131"/>
      <c r="ACX9" s="131"/>
      <c r="ACY9" s="131"/>
      <c r="ACZ9" s="131"/>
      <c r="ADA9" s="131"/>
      <c r="ADB9" s="131"/>
      <c r="ADC9" s="131"/>
      <c r="ADD9" s="131"/>
      <c r="ADE9" s="131"/>
      <c r="ADF9" s="131"/>
      <c r="ADG9" s="131"/>
      <c r="ADH9" s="131"/>
      <c r="ADI9" s="131"/>
      <c r="ADJ9" s="131"/>
      <c r="ADK9" s="131"/>
      <c r="ADL9" s="131"/>
      <c r="ADM9" s="131"/>
      <c r="ADN9" s="131"/>
      <c r="ADO9" s="131"/>
      <c r="ADP9" s="131"/>
      <c r="ADQ9" s="131"/>
      <c r="ADR9" s="131"/>
      <c r="ADS9" s="131"/>
      <c r="ADT9" s="131"/>
      <c r="ADU9" s="131"/>
      <c r="ADV9" s="131"/>
      <c r="ADW9" s="131"/>
      <c r="ADX9" s="131"/>
      <c r="ADY9" s="131"/>
      <c r="ADZ9" s="131"/>
      <c r="AEA9" s="131"/>
      <c r="AEB9" s="131"/>
      <c r="AEC9" s="131"/>
      <c r="AED9" s="131"/>
      <c r="AEE9" s="131"/>
      <c r="AEF9" s="131"/>
      <c r="AEG9" s="131"/>
      <c r="AEH9" s="131"/>
      <c r="AEI9" s="131"/>
      <c r="AEJ9" s="131"/>
      <c r="AEK9" s="131"/>
      <c r="AEL9" s="131"/>
      <c r="AEM9" s="131"/>
      <c r="AEN9" s="131"/>
      <c r="AEO9" s="131"/>
      <c r="AEP9" s="131"/>
      <c r="AEQ9" s="131"/>
      <c r="AER9" s="131"/>
      <c r="AES9" s="131"/>
      <c r="AET9" s="131"/>
      <c r="AEU9" s="131"/>
      <c r="AEV9" s="131"/>
      <c r="AEW9" s="131"/>
      <c r="AEX9" s="131"/>
      <c r="AEY9" s="131"/>
      <c r="AEZ9" s="131"/>
      <c r="AFA9" s="131"/>
      <c r="AFB9" s="131"/>
      <c r="AFC9" s="131"/>
      <c r="AFD9" s="131"/>
      <c r="AFE9" s="131"/>
      <c r="AFF9" s="131"/>
      <c r="AFG9" s="131"/>
      <c r="AFH9" s="131"/>
      <c r="AFI9" s="131"/>
      <c r="AFJ9" s="131"/>
      <c r="AFK9" s="131"/>
      <c r="AFL9" s="131"/>
      <c r="AFM9" s="131"/>
      <c r="AFN9" s="131"/>
      <c r="AFO9" s="131"/>
      <c r="AFP9" s="131"/>
      <c r="AFQ9" s="131"/>
      <c r="AFR9" s="131"/>
      <c r="AFS9" s="131"/>
      <c r="AFT9" s="131"/>
      <c r="AFU9" s="131"/>
      <c r="AFV9" s="131"/>
      <c r="AFW9" s="131"/>
      <c r="AFX9" s="131"/>
      <c r="AFY9" s="131"/>
      <c r="AFZ9" s="131"/>
      <c r="AGA9" s="131"/>
      <c r="AGB9" s="131"/>
      <c r="AGC9" s="131"/>
      <c r="AGD9" s="131"/>
      <c r="AGE9" s="131"/>
      <c r="AGF9" s="131"/>
      <c r="AGG9" s="131"/>
      <c r="AGH9" s="131"/>
      <c r="AGI9" s="131"/>
      <c r="AGJ9" s="131"/>
      <c r="AGK9" s="131"/>
      <c r="AGL9" s="131"/>
      <c r="AGM9" s="131"/>
      <c r="AGN9" s="131"/>
      <c r="AGO9" s="131"/>
      <c r="AGP9" s="131"/>
      <c r="AGQ9" s="131"/>
      <c r="AGR9" s="131"/>
      <c r="AGS9" s="131"/>
      <c r="AGT9" s="131"/>
      <c r="AGU9" s="131"/>
      <c r="AGV9" s="131"/>
      <c r="AGW9" s="131"/>
      <c r="AGX9" s="131"/>
      <c r="AGY9" s="131"/>
      <c r="AGZ9" s="131"/>
      <c r="AHA9" s="131"/>
      <c r="AHB9" s="131"/>
      <c r="AHC9" s="131"/>
      <c r="AHD9" s="131"/>
      <c r="AHE9" s="131"/>
      <c r="AHF9" s="131"/>
      <c r="AHG9" s="131"/>
      <c r="AHH9" s="131"/>
      <c r="AHI9" s="131"/>
      <c r="AHJ9" s="131"/>
      <c r="AHK9" s="131"/>
      <c r="AHL9" s="131"/>
      <c r="AHM9" s="131"/>
      <c r="AHN9" s="131"/>
      <c r="AHO9" s="131"/>
      <c r="AHP9" s="131"/>
      <c r="AHQ9" s="131"/>
      <c r="AHR9" s="131"/>
      <c r="AHS9" s="131"/>
      <c r="AHT9" s="131"/>
      <c r="AHU9" s="131"/>
      <c r="AHV9" s="131"/>
      <c r="AHW9" s="131"/>
      <c r="AHX9" s="131"/>
      <c r="AHY9" s="131"/>
      <c r="AHZ9" s="131"/>
      <c r="AIA9" s="131"/>
      <c r="AIB9" s="131"/>
      <c r="AIC9" s="131"/>
      <c r="AID9" s="131"/>
      <c r="AIE9" s="131"/>
      <c r="AIF9" s="131"/>
      <c r="AIG9" s="131"/>
      <c r="AIH9" s="131"/>
      <c r="AII9" s="131"/>
      <c r="AIJ9" s="131"/>
      <c r="AIK9" s="131"/>
      <c r="AIL9" s="131"/>
      <c r="AIM9" s="131"/>
      <c r="AIN9" s="131"/>
      <c r="AIO9" s="131"/>
      <c r="AIP9" s="131"/>
      <c r="AIQ9" s="131"/>
      <c r="AIR9" s="131"/>
      <c r="AIS9" s="131"/>
      <c r="AIT9" s="131"/>
      <c r="AIU9" s="131"/>
      <c r="AIV9" s="131"/>
      <c r="AIW9" s="131"/>
      <c r="AIX9" s="131"/>
      <c r="AIY9" s="131"/>
      <c r="AIZ9" s="131"/>
      <c r="AJA9" s="131"/>
      <c r="AJB9" s="131"/>
      <c r="AJC9" s="131"/>
      <c r="AJD9" s="131"/>
      <c r="AJE9" s="131"/>
      <c r="AJF9" s="131"/>
      <c r="AJG9" s="131"/>
      <c r="AJH9" s="131"/>
      <c r="AJI9" s="131"/>
      <c r="AJJ9" s="131"/>
      <c r="AJK9" s="131"/>
      <c r="AJL9" s="131"/>
      <c r="AJM9" s="131"/>
      <c r="AJN9" s="131"/>
      <c r="AJO9" s="131"/>
      <c r="AJP9" s="131"/>
      <c r="AJQ9" s="131"/>
      <c r="AJR9" s="131"/>
      <c r="AJS9" s="131"/>
      <c r="AJT9" s="131"/>
      <c r="AJU9" s="131"/>
      <c r="AJV9" s="131"/>
      <c r="AJW9" s="131"/>
      <c r="AJX9" s="131"/>
      <c r="AJY9" s="131"/>
      <c r="AJZ9" s="131"/>
      <c r="AKA9" s="131"/>
      <c r="AKB9" s="131"/>
      <c r="AKC9" s="131"/>
      <c r="AKD9" s="131"/>
      <c r="AKE9" s="131"/>
      <c r="AKF9" s="131"/>
      <c r="AKG9" s="131"/>
      <c r="AKH9" s="131"/>
      <c r="AKI9" s="131"/>
      <c r="AKJ9" s="131"/>
      <c r="AKK9" s="131"/>
      <c r="AKL9" s="131"/>
      <c r="AKM9" s="131"/>
      <c r="AKN9" s="131"/>
      <c r="AKO9" s="131"/>
      <c r="AKP9" s="131"/>
      <c r="AKQ9" s="131"/>
      <c r="AKR9" s="131"/>
      <c r="AKS9" s="131"/>
      <c r="AKT9" s="131"/>
      <c r="AKU9" s="131"/>
      <c r="AKV9" s="131"/>
      <c r="AKW9" s="131"/>
      <c r="AKX9" s="131"/>
      <c r="AKY9" s="131"/>
      <c r="AKZ9" s="131"/>
      <c r="ALA9" s="131"/>
      <c r="ALB9" s="131"/>
      <c r="ALC9" s="131"/>
      <c r="ALD9" s="131"/>
      <c r="ALE9" s="131"/>
      <c r="ALF9" s="131"/>
      <c r="ALG9" s="131"/>
      <c r="ALH9" s="131"/>
      <c r="ALI9" s="131"/>
      <c r="ALJ9" s="131"/>
      <c r="ALK9" s="131"/>
      <c r="ALL9" s="131"/>
      <c r="ALM9" s="131"/>
      <c r="ALN9" s="131"/>
      <c r="ALO9" s="131"/>
      <c r="ALP9" s="131"/>
      <c r="ALQ9" s="131"/>
      <c r="ALR9" s="131"/>
      <c r="ALS9" s="131"/>
      <c r="ALT9" s="131"/>
      <c r="ALU9" s="131"/>
      <c r="ALV9" s="131"/>
      <c r="ALW9" s="131"/>
      <c r="ALX9" s="131"/>
      <c r="ALY9" s="131"/>
      <c r="AML9" s="131"/>
      <c r="AMM9" s="131"/>
      <c r="AMN9" s="131"/>
      <c r="AMO9" s="131"/>
      <c r="AMP9" s="131"/>
      <c r="AMQ9" s="131"/>
      <c r="AMR9" s="131"/>
      <c r="AMS9" s="131"/>
      <c r="AMT9" s="131"/>
      <c r="AMU9" s="131"/>
      <c r="AMV9" s="131"/>
      <c r="AMW9" s="131"/>
      <c r="AMX9" s="131"/>
      <c r="AMY9" s="131"/>
      <c r="AMZ9" s="131"/>
      <c r="ANA9" s="131"/>
      <c r="ANB9" s="131"/>
      <c r="ANC9" s="131"/>
      <c r="AND9" s="131"/>
      <c r="ANE9" s="131"/>
      <c r="ANF9" s="131"/>
      <c r="ANG9" s="131"/>
      <c r="ANH9" s="131"/>
      <c r="ANI9" s="131"/>
      <c r="ANJ9" s="131"/>
      <c r="ANK9" s="131"/>
      <c r="ANL9" s="131"/>
      <c r="ANM9" s="131"/>
      <c r="ANN9" s="131"/>
      <c r="ANO9" s="131"/>
      <c r="ANP9" s="131"/>
      <c r="ANQ9" s="131"/>
      <c r="ANR9" s="131"/>
      <c r="ANS9" s="131"/>
      <c r="ANT9" s="131"/>
      <c r="ANU9" s="131"/>
      <c r="ANV9" s="131"/>
      <c r="ANW9" s="131"/>
      <c r="ANX9" s="131"/>
      <c r="ANY9" s="131"/>
      <c r="ANZ9" s="131"/>
      <c r="AOA9" s="131"/>
      <c r="AOB9" s="131"/>
      <c r="AOC9" s="131"/>
      <c r="AOD9" s="131"/>
      <c r="AOE9" s="131"/>
      <c r="AOF9" s="131"/>
      <c r="AOG9" s="131"/>
      <c r="AOH9" s="131"/>
      <c r="AOI9" s="131"/>
      <c r="AOJ9" s="131"/>
      <c r="AOK9" s="131"/>
      <c r="AOL9" s="131"/>
      <c r="AOM9" s="131"/>
      <c r="AON9" s="131"/>
      <c r="AOO9" s="131"/>
      <c r="AOP9" s="131"/>
      <c r="AOQ9" s="131"/>
      <c r="AOR9" s="131"/>
      <c r="AOS9" s="131"/>
      <c r="AOT9" s="131"/>
      <c r="AOU9" s="131"/>
      <c r="AOV9" s="131"/>
      <c r="AOW9" s="131"/>
      <c r="AOX9" s="131"/>
      <c r="AOY9" s="131"/>
      <c r="AOZ9" s="131"/>
      <c r="APA9" s="131"/>
      <c r="APB9" s="131"/>
      <c r="APC9" s="131"/>
      <c r="APD9" s="131"/>
      <c r="APE9" s="131"/>
      <c r="APF9" s="131"/>
      <c r="APG9" s="131"/>
      <c r="APH9" s="131"/>
      <c r="API9" s="131"/>
      <c r="APJ9" s="131"/>
      <c r="APK9" s="131"/>
      <c r="APL9" s="131"/>
      <c r="APM9" s="131"/>
      <c r="APN9" s="131"/>
      <c r="APO9" s="131"/>
      <c r="APP9" s="131"/>
      <c r="APQ9" s="131"/>
      <c r="APR9" s="131"/>
      <c r="APS9" s="131"/>
      <c r="APT9" s="131"/>
      <c r="APU9" s="131"/>
      <c r="APV9" s="131"/>
      <c r="APW9" s="131"/>
      <c r="APX9" s="131"/>
      <c r="APY9" s="131"/>
      <c r="APZ9" s="131"/>
      <c r="AQA9" s="131"/>
      <c r="AQB9" s="131"/>
      <c r="AQC9" s="131"/>
      <c r="AQD9" s="131"/>
      <c r="AQE9" s="131"/>
      <c r="AQF9" s="131"/>
      <c r="AQG9" s="131"/>
      <c r="AQH9" s="131"/>
      <c r="AQI9" s="131"/>
      <c r="AQJ9" s="131"/>
      <c r="AQK9" s="131"/>
      <c r="AQL9" s="131"/>
      <c r="AQM9" s="131"/>
      <c r="AQN9" s="131"/>
      <c r="AQO9" s="131"/>
      <c r="AQP9" s="131"/>
      <c r="AQQ9" s="131"/>
      <c r="AQR9" s="131"/>
      <c r="AQS9" s="131"/>
      <c r="AQT9" s="131"/>
      <c r="AQU9" s="131"/>
      <c r="AQV9" s="131"/>
      <c r="AQW9" s="131"/>
      <c r="AQX9" s="131"/>
      <c r="AQY9" s="131"/>
      <c r="AQZ9" s="131"/>
      <c r="ARA9" s="131"/>
      <c r="ARB9" s="131"/>
      <c r="ARC9" s="131"/>
      <c r="ARD9" s="131"/>
      <c r="ARE9" s="131"/>
      <c r="ARF9" s="131"/>
      <c r="ARG9" s="131"/>
      <c r="ARH9" s="131"/>
      <c r="ARI9" s="131"/>
      <c r="ARJ9" s="131"/>
      <c r="ARK9" s="131"/>
      <c r="ARL9" s="131"/>
      <c r="ARM9" s="131"/>
      <c r="ARN9" s="131"/>
      <c r="ARO9" s="131"/>
      <c r="ARP9" s="131"/>
      <c r="ARQ9" s="131"/>
      <c r="ARR9" s="131"/>
      <c r="ARS9" s="131"/>
      <c r="ART9" s="131"/>
      <c r="ARU9" s="131"/>
      <c r="ARV9" s="131"/>
      <c r="ARW9" s="131"/>
      <c r="ARX9" s="131"/>
      <c r="ARY9" s="131"/>
      <c r="ARZ9" s="131"/>
      <c r="ASA9" s="131"/>
      <c r="ASB9" s="131"/>
      <c r="ASC9" s="131"/>
      <c r="ASD9" s="131"/>
      <c r="ASE9" s="131"/>
      <c r="ASF9" s="131"/>
      <c r="ASG9" s="131"/>
      <c r="ASH9" s="131"/>
      <c r="ASI9" s="131"/>
      <c r="ASJ9" s="131"/>
      <c r="ASK9" s="131"/>
      <c r="ASL9" s="131"/>
      <c r="ASM9" s="131"/>
      <c r="ASN9" s="131"/>
      <c r="ASO9" s="131"/>
      <c r="ASP9" s="131"/>
      <c r="ASQ9" s="131"/>
      <c r="ASR9" s="131"/>
      <c r="ASS9" s="131"/>
      <c r="AST9" s="131"/>
      <c r="ASU9" s="131"/>
      <c r="ASV9" s="131"/>
      <c r="ASW9" s="131"/>
      <c r="ASX9" s="131"/>
      <c r="ASY9" s="131"/>
      <c r="ASZ9" s="131"/>
      <c r="ATA9" s="131"/>
      <c r="ATB9" s="131"/>
      <c r="ATC9" s="131"/>
      <c r="ATD9" s="131"/>
      <c r="ATE9" s="131"/>
      <c r="ATF9" s="131"/>
      <c r="ATG9" s="131"/>
      <c r="ATH9" s="131"/>
      <c r="ATI9" s="131"/>
      <c r="ATJ9" s="131"/>
      <c r="ATK9" s="131"/>
      <c r="ATL9" s="131"/>
      <c r="ATM9" s="131"/>
      <c r="ATN9" s="131"/>
      <c r="ATO9" s="131"/>
      <c r="ATP9" s="131"/>
      <c r="ATQ9" s="131"/>
      <c r="ATR9" s="131"/>
      <c r="ATS9" s="131"/>
      <c r="ATT9" s="131"/>
      <c r="ATU9" s="131"/>
      <c r="ATV9" s="131"/>
      <c r="ATW9" s="131"/>
      <c r="ATX9" s="131"/>
      <c r="ATY9" s="131"/>
      <c r="ATZ9" s="131"/>
      <c r="AUA9" s="131"/>
      <c r="AUB9" s="131"/>
      <c r="AUC9" s="131"/>
      <c r="AUD9" s="131"/>
      <c r="AUE9" s="131"/>
      <c r="AUF9" s="131"/>
      <c r="AUG9" s="131"/>
      <c r="AUH9" s="131"/>
      <c r="AUI9" s="131"/>
      <c r="AUJ9" s="131"/>
      <c r="AUK9" s="131"/>
      <c r="AUL9" s="131"/>
      <c r="AUM9" s="131"/>
      <c r="AUN9" s="131"/>
      <c r="AUO9" s="131"/>
      <c r="AUP9" s="131"/>
      <c r="AUQ9" s="131"/>
      <c r="AUR9" s="131"/>
      <c r="AUS9" s="131"/>
      <c r="AUT9" s="131"/>
      <c r="AUU9" s="131"/>
      <c r="AUV9" s="131"/>
      <c r="AUW9" s="131"/>
      <c r="AUX9" s="131"/>
      <c r="AUY9" s="131"/>
      <c r="AUZ9" s="131"/>
      <c r="AVA9" s="131"/>
      <c r="AVB9" s="131"/>
      <c r="AVC9" s="131"/>
      <c r="AVD9" s="131"/>
      <c r="AVE9" s="131"/>
      <c r="AVF9" s="131"/>
      <c r="AVG9" s="131"/>
      <c r="AVH9" s="131"/>
      <c r="AVI9" s="131"/>
      <c r="AVJ9" s="131"/>
      <c r="AVK9" s="131"/>
      <c r="AVL9" s="131"/>
      <c r="AVM9" s="131"/>
      <c r="AVN9" s="131"/>
      <c r="AVO9" s="131"/>
      <c r="AVP9" s="131"/>
      <c r="AVQ9" s="131"/>
      <c r="AVR9" s="131"/>
      <c r="AVS9" s="131"/>
      <c r="AVT9" s="131"/>
      <c r="AVU9" s="131"/>
      <c r="AVV9" s="131"/>
      <c r="AVW9" s="131"/>
      <c r="AVX9" s="131"/>
      <c r="AVY9" s="131"/>
      <c r="AVZ9" s="131"/>
      <c r="AWA9" s="131"/>
      <c r="AWB9" s="131"/>
      <c r="AWC9" s="131"/>
      <c r="AWD9" s="131"/>
      <c r="AWE9" s="131"/>
      <c r="AWF9" s="131"/>
      <c r="AWG9" s="131"/>
      <c r="AWH9" s="131"/>
      <c r="AWI9" s="131"/>
      <c r="AWJ9" s="131"/>
      <c r="AWK9" s="131"/>
      <c r="AWL9" s="131"/>
      <c r="AWM9" s="131"/>
      <c r="AWN9" s="131"/>
      <c r="AWO9" s="131"/>
      <c r="AWP9" s="131"/>
      <c r="AWQ9" s="131"/>
      <c r="AWR9" s="131"/>
      <c r="AWS9" s="131"/>
      <c r="AWT9" s="131"/>
      <c r="AWU9" s="131"/>
      <c r="AWV9" s="131"/>
      <c r="AWW9" s="131"/>
      <c r="AWX9" s="131"/>
      <c r="AWY9" s="131"/>
      <c r="AWZ9" s="131"/>
      <c r="AXA9" s="131"/>
      <c r="AXB9" s="131"/>
      <c r="AXC9" s="131"/>
      <c r="AXD9" s="131"/>
      <c r="AXE9" s="131"/>
      <c r="AXF9" s="131"/>
      <c r="AXG9" s="131"/>
      <c r="AXH9" s="131"/>
      <c r="AXI9" s="131"/>
      <c r="AXJ9" s="131"/>
      <c r="AXK9" s="131"/>
      <c r="AXL9" s="131"/>
      <c r="AXM9" s="131"/>
      <c r="AXN9" s="131"/>
      <c r="AXO9" s="131"/>
      <c r="AXP9" s="131"/>
      <c r="AXQ9" s="131"/>
      <c r="AXR9" s="131"/>
      <c r="AXS9" s="131"/>
      <c r="AXT9" s="131"/>
      <c r="AXU9" s="131"/>
      <c r="AXV9" s="131"/>
      <c r="AXW9" s="131"/>
      <c r="AXX9" s="131"/>
      <c r="AXY9" s="131"/>
      <c r="AXZ9" s="131"/>
      <c r="AYA9" s="131"/>
      <c r="AYB9" s="131"/>
      <c r="AYC9" s="131"/>
      <c r="AYD9" s="131"/>
      <c r="AYE9" s="131"/>
      <c r="AYF9" s="131"/>
      <c r="AYG9" s="131"/>
      <c r="AYH9" s="131"/>
      <c r="AYI9" s="131"/>
      <c r="AYJ9" s="131"/>
      <c r="AYK9" s="131"/>
      <c r="AYL9" s="131"/>
      <c r="AYM9" s="131"/>
      <c r="AYN9" s="131"/>
      <c r="AYO9" s="131"/>
      <c r="AYP9" s="131"/>
      <c r="AYQ9" s="131"/>
      <c r="AYR9" s="131"/>
      <c r="AYS9" s="131"/>
      <c r="AYT9" s="131"/>
      <c r="AYU9" s="131"/>
      <c r="AYV9" s="131"/>
      <c r="AYW9" s="131"/>
      <c r="AYX9" s="131"/>
      <c r="AYY9" s="131"/>
      <c r="AYZ9" s="131"/>
      <c r="AZA9" s="131"/>
      <c r="AZB9" s="131"/>
      <c r="AZC9" s="131"/>
      <c r="AZD9" s="131"/>
      <c r="AZE9" s="131"/>
      <c r="AZF9" s="131"/>
      <c r="AZG9" s="131"/>
      <c r="AZH9" s="131"/>
      <c r="AZI9" s="131"/>
      <c r="AZJ9" s="131"/>
      <c r="AZK9" s="131"/>
      <c r="AZL9" s="131"/>
      <c r="AZM9" s="131"/>
      <c r="AZN9" s="131"/>
      <c r="AZO9" s="131"/>
      <c r="AZP9" s="131"/>
      <c r="AZQ9" s="131"/>
      <c r="AZR9" s="131"/>
      <c r="AZS9" s="131"/>
      <c r="AZT9" s="131"/>
      <c r="AZU9" s="131"/>
      <c r="AZV9" s="131"/>
      <c r="AZW9" s="131"/>
      <c r="AZX9" s="131"/>
      <c r="AZY9" s="131"/>
      <c r="AZZ9" s="131"/>
      <c r="BAA9" s="131"/>
      <c r="BAB9" s="131"/>
      <c r="BAC9" s="131"/>
      <c r="BAD9" s="131"/>
      <c r="BAE9" s="131"/>
      <c r="BAF9" s="131"/>
      <c r="BAG9" s="131"/>
      <c r="BAH9" s="131"/>
      <c r="BAI9" s="131"/>
      <c r="BAJ9" s="131"/>
      <c r="BAK9" s="131"/>
      <c r="BAL9" s="131"/>
      <c r="BAM9" s="131"/>
      <c r="BAN9" s="131"/>
      <c r="BAO9" s="131"/>
      <c r="BAP9" s="131"/>
      <c r="BAQ9" s="131"/>
      <c r="BAR9" s="131"/>
      <c r="BAS9" s="131"/>
      <c r="BAT9" s="131"/>
      <c r="BAU9" s="131"/>
      <c r="BAV9" s="131"/>
      <c r="BAW9" s="131"/>
      <c r="BAX9" s="131"/>
      <c r="BAY9" s="131"/>
      <c r="BAZ9" s="131"/>
      <c r="BBA9" s="131"/>
      <c r="BBB9" s="131"/>
      <c r="BBC9" s="131"/>
      <c r="BBD9" s="131"/>
      <c r="BBE9" s="131"/>
      <c r="BBF9" s="131"/>
      <c r="BBG9" s="131"/>
      <c r="BBH9" s="131"/>
      <c r="BBI9" s="131"/>
      <c r="BBJ9" s="131"/>
      <c r="BBK9" s="131"/>
      <c r="BBL9" s="131"/>
      <c r="BBM9" s="131"/>
      <c r="BBN9" s="131"/>
      <c r="BBO9" s="131"/>
      <c r="BBP9" s="131"/>
      <c r="BBQ9" s="131"/>
      <c r="BBR9" s="131"/>
      <c r="BBS9" s="131"/>
      <c r="BBT9" s="131"/>
      <c r="BBU9" s="131"/>
      <c r="BBV9" s="131"/>
      <c r="BBW9" s="131"/>
      <c r="BBX9" s="131"/>
      <c r="BBY9" s="131"/>
      <c r="BBZ9" s="131"/>
      <c r="BCA9" s="131"/>
      <c r="BCB9" s="131"/>
      <c r="BCC9" s="131"/>
      <c r="BCD9" s="131"/>
      <c r="BCE9" s="131"/>
      <c r="BCF9" s="131"/>
      <c r="BCG9" s="131"/>
      <c r="BCH9" s="131"/>
      <c r="BCI9" s="131"/>
      <c r="BCJ9" s="131"/>
      <c r="BCK9" s="131"/>
      <c r="BCL9" s="131"/>
      <c r="BCM9" s="131"/>
      <c r="BCN9" s="131"/>
      <c r="BCO9" s="131"/>
      <c r="BCP9" s="131"/>
      <c r="BCQ9" s="131"/>
      <c r="BCR9" s="131"/>
      <c r="BCS9" s="131"/>
      <c r="BCT9" s="131"/>
      <c r="BCU9" s="131"/>
      <c r="BCV9" s="131"/>
      <c r="BCW9" s="131"/>
      <c r="BCX9" s="131"/>
      <c r="BCY9" s="131"/>
      <c r="BCZ9" s="131"/>
      <c r="BDA9" s="131"/>
      <c r="BDB9" s="131"/>
      <c r="BDC9" s="131"/>
      <c r="BDD9" s="131"/>
      <c r="BDE9" s="131"/>
      <c r="BDF9" s="131"/>
      <c r="BDG9" s="131"/>
      <c r="BDH9" s="131"/>
      <c r="BDI9" s="131"/>
      <c r="BDJ9" s="131"/>
      <c r="BDK9" s="131"/>
      <c r="BDL9" s="131"/>
      <c r="BDM9" s="131"/>
      <c r="BDN9" s="131"/>
      <c r="BDO9" s="131"/>
      <c r="BDP9" s="131"/>
      <c r="BDQ9" s="131"/>
      <c r="BDR9" s="131"/>
      <c r="BDS9" s="131"/>
      <c r="BDT9" s="131"/>
      <c r="BDU9" s="131"/>
      <c r="BDV9" s="131"/>
      <c r="BDW9" s="131"/>
      <c r="BDX9" s="131"/>
      <c r="BDY9" s="131"/>
      <c r="BDZ9" s="131"/>
      <c r="BEA9" s="131"/>
      <c r="BEB9" s="131"/>
      <c r="BEC9" s="131"/>
      <c r="BED9" s="131"/>
      <c r="BEE9" s="131"/>
      <c r="BEF9" s="131"/>
      <c r="BEG9" s="131"/>
      <c r="BEH9" s="131"/>
      <c r="BEI9" s="131"/>
      <c r="BEJ9" s="131"/>
      <c r="BEK9" s="131"/>
      <c r="BEL9" s="131"/>
      <c r="BEM9" s="131"/>
      <c r="BEN9" s="131"/>
      <c r="BEO9" s="131"/>
      <c r="BEP9" s="131"/>
      <c r="BEQ9" s="131"/>
      <c r="BER9" s="131"/>
      <c r="BES9" s="131"/>
      <c r="BET9" s="131"/>
      <c r="BEU9" s="131"/>
      <c r="BEV9" s="131"/>
      <c r="BEW9" s="131"/>
      <c r="BEX9" s="131"/>
      <c r="BEY9" s="131"/>
      <c r="BEZ9" s="131"/>
      <c r="BFA9" s="131"/>
      <c r="BFB9" s="131"/>
      <c r="BFC9" s="131"/>
      <c r="BFD9" s="131"/>
      <c r="BFE9" s="131"/>
      <c r="BFF9" s="131"/>
      <c r="BFG9" s="131"/>
      <c r="BFH9" s="131"/>
      <c r="BFI9" s="131"/>
      <c r="BFJ9" s="131"/>
      <c r="BFK9" s="131"/>
      <c r="BFL9" s="131"/>
      <c r="BFM9" s="131"/>
      <c r="BFN9" s="131"/>
      <c r="BFO9" s="131"/>
      <c r="BFP9" s="131"/>
      <c r="BFQ9" s="131"/>
      <c r="BFR9" s="131"/>
      <c r="BFS9" s="131"/>
      <c r="BFT9" s="131"/>
      <c r="BFU9" s="131"/>
      <c r="BFV9" s="131"/>
      <c r="BFW9" s="131"/>
      <c r="BFX9" s="131"/>
      <c r="BFY9" s="131"/>
      <c r="BFZ9" s="131"/>
      <c r="BGA9" s="131"/>
      <c r="BGB9" s="131"/>
      <c r="BGC9" s="131"/>
      <c r="BGD9" s="131"/>
      <c r="BGE9" s="131"/>
      <c r="BGF9" s="131"/>
      <c r="BGG9" s="131"/>
      <c r="BGH9" s="131"/>
      <c r="BGI9" s="131"/>
      <c r="BGJ9" s="131"/>
      <c r="BGK9" s="131"/>
      <c r="BGL9" s="131"/>
      <c r="BGM9" s="131"/>
      <c r="BGN9" s="131"/>
      <c r="BGO9" s="131"/>
      <c r="BGP9" s="131"/>
      <c r="BGQ9" s="131"/>
      <c r="BGR9" s="131"/>
      <c r="BGS9" s="131"/>
      <c r="BGT9" s="131"/>
      <c r="BGU9" s="131"/>
      <c r="BGV9" s="131"/>
      <c r="BGW9" s="131"/>
      <c r="BGX9" s="131"/>
      <c r="BGY9" s="131"/>
      <c r="BGZ9" s="131"/>
      <c r="BHA9" s="131"/>
      <c r="BHB9" s="131"/>
      <c r="BHC9" s="131"/>
      <c r="BHD9" s="131"/>
      <c r="BHE9" s="131"/>
      <c r="BHF9" s="131"/>
      <c r="BHG9" s="131"/>
      <c r="BHH9" s="131"/>
      <c r="BHI9" s="131"/>
      <c r="BHJ9" s="131"/>
      <c r="BHK9" s="131"/>
      <c r="BHL9" s="131"/>
      <c r="BHM9" s="131"/>
      <c r="BHN9" s="131"/>
      <c r="BHO9" s="131"/>
      <c r="BHP9" s="131"/>
      <c r="BHQ9" s="131"/>
      <c r="BHR9" s="131"/>
      <c r="BHS9" s="131"/>
      <c r="BHT9" s="131"/>
      <c r="BHU9" s="131"/>
      <c r="BHV9" s="131"/>
      <c r="BHW9" s="131"/>
      <c r="BHX9" s="131"/>
      <c r="BHY9" s="131"/>
      <c r="BHZ9" s="131"/>
      <c r="BIA9" s="131"/>
      <c r="BIB9" s="131"/>
      <c r="BIC9" s="131"/>
      <c r="BID9" s="131"/>
      <c r="BIE9" s="131"/>
      <c r="BIF9" s="131"/>
      <c r="BIG9" s="131"/>
      <c r="BIH9" s="131"/>
      <c r="BII9" s="131"/>
      <c r="BIJ9" s="131"/>
      <c r="BIK9" s="131"/>
      <c r="BIL9" s="131"/>
      <c r="BIM9" s="131"/>
      <c r="BIN9" s="131"/>
      <c r="BIO9" s="131"/>
      <c r="BIP9" s="131"/>
      <c r="BIQ9" s="131"/>
      <c r="BIR9" s="131"/>
      <c r="BIS9" s="131"/>
      <c r="BIT9" s="131"/>
      <c r="BIU9" s="131"/>
      <c r="BIV9" s="131"/>
      <c r="BIW9" s="131"/>
      <c r="BIX9" s="131"/>
      <c r="BIY9" s="131"/>
      <c r="BIZ9" s="131"/>
      <c r="BJA9" s="131"/>
      <c r="BJB9" s="131"/>
      <c r="BJC9" s="131"/>
      <c r="BJD9" s="131"/>
      <c r="BJE9" s="131"/>
      <c r="BJF9" s="131"/>
      <c r="BJG9" s="131"/>
      <c r="BJH9" s="131"/>
      <c r="BJI9" s="131"/>
      <c r="BJJ9" s="131"/>
      <c r="BJK9" s="131"/>
      <c r="BJL9" s="131"/>
      <c r="BJM9" s="131"/>
      <c r="BJN9" s="131"/>
      <c r="BJO9" s="131"/>
      <c r="BJP9" s="131"/>
      <c r="BJQ9" s="131"/>
      <c r="BJR9" s="131"/>
      <c r="BJS9" s="131"/>
      <c r="BJT9" s="131"/>
      <c r="BJU9" s="131"/>
      <c r="BJV9" s="131"/>
      <c r="BJW9" s="131"/>
      <c r="BJX9" s="131"/>
      <c r="BJY9" s="131"/>
      <c r="BJZ9" s="131"/>
      <c r="BKA9" s="131"/>
      <c r="BKB9" s="131"/>
      <c r="BKC9" s="131"/>
      <c r="BKD9" s="131"/>
      <c r="BKE9" s="131"/>
      <c r="BKF9" s="131"/>
      <c r="BKG9" s="131"/>
      <c r="BKH9" s="131"/>
      <c r="BKI9" s="131"/>
      <c r="BKJ9" s="131"/>
      <c r="BKK9" s="131"/>
      <c r="BKL9" s="131"/>
      <c r="BKM9" s="131"/>
      <c r="BKN9" s="131"/>
      <c r="BKO9" s="131"/>
      <c r="BKP9" s="131"/>
      <c r="BKQ9" s="131"/>
      <c r="BKR9" s="131"/>
      <c r="BKS9" s="131"/>
      <c r="BKT9" s="131"/>
      <c r="BKU9" s="131"/>
      <c r="BKV9" s="131"/>
      <c r="BKW9" s="131"/>
      <c r="BKX9" s="131"/>
      <c r="BKY9" s="131"/>
      <c r="BKZ9" s="131"/>
      <c r="BLA9" s="131"/>
      <c r="BLB9" s="131"/>
      <c r="BLC9" s="131"/>
      <c r="BLD9" s="131"/>
      <c r="BLE9" s="131"/>
      <c r="BLF9" s="131"/>
      <c r="BLG9" s="131"/>
      <c r="BLH9" s="131"/>
      <c r="BLI9" s="131"/>
      <c r="BLJ9" s="131"/>
      <c r="BLK9" s="131"/>
      <c r="BLL9" s="131"/>
      <c r="BLM9" s="131"/>
      <c r="BLN9" s="131"/>
      <c r="BLO9" s="131"/>
      <c r="BLP9" s="131"/>
      <c r="BLQ9" s="131"/>
      <c r="BLR9" s="131"/>
      <c r="BLS9" s="131"/>
      <c r="BLT9" s="131"/>
      <c r="BLU9" s="131"/>
      <c r="BLV9" s="131"/>
      <c r="BLW9" s="131"/>
      <c r="BLX9" s="131"/>
      <c r="BLY9" s="131"/>
      <c r="BLZ9" s="131"/>
      <c r="BMA9" s="131"/>
      <c r="BMB9" s="131"/>
      <c r="BMC9" s="131"/>
      <c r="BMD9" s="131"/>
      <c r="BME9" s="131"/>
      <c r="BMF9" s="131"/>
      <c r="BMG9" s="131"/>
      <c r="BMH9" s="131"/>
      <c r="BMI9" s="131"/>
      <c r="BMJ9" s="131"/>
      <c r="BMK9" s="131"/>
      <c r="BML9" s="131"/>
      <c r="BMM9" s="131"/>
      <c r="BMN9" s="131"/>
      <c r="BMO9" s="131"/>
      <c r="BMP9" s="131"/>
      <c r="BMQ9" s="131"/>
      <c r="BMR9" s="131"/>
      <c r="BMS9" s="131"/>
      <c r="BMT9" s="131"/>
      <c r="BMU9" s="131"/>
      <c r="BMV9" s="131"/>
      <c r="BMW9" s="131"/>
      <c r="BMX9" s="131"/>
      <c r="BMY9" s="131"/>
      <c r="BMZ9" s="131"/>
      <c r="BNA9" s="131"/>
      <c r="BNB9" s="131"/>
      <c r="BNC9" s="131"/>
      <c r="BND9" s="131"/>
      <c r="BNE9" s="131"/>
      <c r="BNF9" s="131"/>
      <c r="BNG9" s="131"/>
      <c r="BNH9" s="131"/>
      <c r="BNI9" s="131"/>
      <c r="BNJ9" s="131"/>
      <c r="BNK9" s="131"/>
      <c r="BNL9" s="131"/>
      <c r="BNM9" s="131"/>
      <c r="BNN9" s="131"/>
      <c r="BNO9" s="131"/>
      <c r="BNP9" s="131"/>
      <c r="BNQ9" s="131"/>
      <c r="BNR9" s="131"/>
      <c r="BNS9" s="131"/>
      <c r="BNT9" s="131"/>
      <c r="BNU9" s="131"/>
      <c r="BNV9" s="131"/>
      <c r="BNW9" s="131"/>
      <c r="BNX9" s="131"/>
      <c r="BNY9" s="131"/>
      <c r="BNZ9" s="131"/>
      <c r="BOA9" s="131"/>
      <c r="BOB9" s="131"/>
      <c r="BOC9" s="131"/>
      <c r="BOD9" s="131"/>
      <c r="BOE9" s="131"/>
      <c r="BOF9" s="131"/>
      <c r="BOG9" s="131"/>
      <c r="BOH9" s="131"/>
      <c r="BOI9" s="131"/>
      <c r="BOJ9" s="131"/>
      <c r="BOK9" s="131"/>
      <c r="BOL9" s="131"/>
      <c r="BOM9" s="131"/>
      <c r="BON9" s="131"/>
      <c r="BOO9" s="131"/>
      <c r="BOP9" s="131"/>
      <c r="BOQ9" s="131"/>
      <c r="BOR9" s="131"/>
      <c r="BOS9" s="131"/>
      <c r="BOT9" s="131"/>
      <c r="BOU9" s="131"/>
      <c r="BOV9" s="131"/>
      <c r="BOW9" s="131"/>
      <c r="BOX9" s="131"/>
      <c r="BOY9" s="131"/>
      <c r="BOZ9" s="131"/>
      <c r="BPA9" s="131"/>
      <c r="BPB9" s="131"/>
      <c r="BPC9" s="131"/>
      <c r="BPD9" s="131"/>
      <c r="BPE9" s="131"/>
      <c r="BPF9" s="131"/>
      <c r="BPG9" s="131"/>
      <c r="BPH9" s="131"/>
      <c r="BPI9" s="131"/>
      <c r="BPJ9" s="131"/>
      <c r="BPK9" s="131"/>
      <c r="BPL9" s="131"/>
      <c r="BPM9" s="131"/>
      <c r="BPN9" s="131"/>
      <c r="BPO9" s="131"/>
      <c r="BPP9" s="131"/>
      <c r="BPQ9" s="131"/>
      <c r="BPR9" s="131"/>
      <c r="BPS9" s="131"/>
      <c r="BPT9" s="131"/>
      <c r="BPU9" s="131"/>
      <c r="BPV9" s="131"/>
      <c r="BPW9" s="131"/>
      <c r="BPX9" s="131"/>
      <c r="BPY9" s="131"/>
      <c r="BPZ9" s="131"/>
      <c r="BQA9" s="131"/>
      <c r="BQB9" s="131"/>
      <c r="BQC9" s="131"/>
      <c r="BQD9" s="131"/>
      <c r="BQE9" s="131"/>
      <c r="BQF9" s="131"/>
      <c r="BQG9" s="131"/>
      <c r="BQH9" s="131"/>
      <c r="BQI9" s="131"/>
      <c r="BQJ9" s="131"/>
      <c r="BQK9" s="131"/>
      <c r="BQL9" s="131"/>
      <c r="BQM9" s="131"/>
      <c r="BQN9" s="131"/>
      <c r="BQO9" s="131"/>
      <c r="BQP9" s="131"/>
      <c r="BQQ9" s="131"/>
      <c r="BQR9" s="131"/>
      <c r="BQS9" s="131"/>
      <c r="BQT9" s="131"/>
      <c r="BQU9" s="131"/>
      <c r="BQV9" s="131"/>
      <c r="BQW9" s="131"/>
      <c r="BQX9" s="131"/>
      <c r="BQY9" s="131"/>
      <c r="BQZ9" s="131"/>
      <c r="BRA9" s="131"/>
      <c r="BRB9" s="131"/>
      <c r="BRC9" s="131"/>
      <c r="BRD9" s="131"/>
      <c r="BRE9" s="131"/>
      <c r="BRF9" s="131"/>
      <c r="BRG9" s="131"/>
      <c r="BRH9" s="131"/>
      <c r="BRI9" s="131"/>
      <c r="BRJ9" s="131"/>
      <c r="BRK9" s="131"/>
      <c r="BRL9" s="131"/>
      <c r="BRM9" s="131"/>
      <c r="BRN9" s="131"/>
      <c r="BRO9" s="131"/>
      <c r="BRP9" s="131"/>
      <c r="BRQ9" s="131"/>
      <c r="BRR9" s="131"/>
      <c r="BRS9" s="131"/>
      <c r="BRT9" s="131"/>
      <c r="BRU9" s="131"/>
      <c r="BRV9" s="131"/>
      <c r="BRW9" s="131"/>
      <c r="BRX9" s="131"/>
      <c r="BRY9" s="131"/>
      <c r="BRZ9" s="131"/>
      <c r="BSA9" s="131"/>
      <c r="BSB9" s="131"/>
      <c r="BSC9" s="131"/>
      <c r="BSD9" s="131"/>
      <c r="BSE9" s="131"/>
      <c r="BSF9" s="131"/>
      <c r="BSG9" s="131"/>
      <c r="BSH9" s="131"/>
      <c r="BSI9" s="131"/>
      <c r="BSJ9" s="131"/>
      <c r="BSK9" s="131"/>
      <c r="BSL9" s="131"/>
      <c r="BSM9" s="131"/>
      <c r="BSN9" s="131"/>
      <c r="BSO9" s="131"/>
      <c r="BSP9" s="131"/>
      <c r="BSQ9" s="131"/>
      <c r="BSR9" s="131"/>
      <c r="BSS9" s="131"/>
      <c r="BST9" s="131"/>
      <c r="BSU9" s="131"/>
      <c r="BSV9" s="131"/>
      <c r="BSW9" s="131"/>
      <c r="BSX9" s="131"/>
      <c r="BSY9" s="131"/>
      <c r="BSZ9" s="131"/>
      <c r="BTA9" s="131"/>
      <c r="BTB9" s="131"/>
      <c r="BTC9" s="131"/>
      <c r="BTD9" s="131"/>
      <c r="BTE9" s="131"/>
      <c r="BTF9" s="131"/>
      <c r="BTG9" s="131"/>
      <c r="BTH9" s="131"/>
      <c r="BTI9" s="131"/>
      <c r="BTJ9" s="131"/>
      <c r="BTK9" s="131"/>
      <c r="BTL9" s="131"/>
      <c r="BTM9" s="131"/>
      <c r="BTN9" s="131"/>
      <c r="BTO9" s="131"/>
      <c r="BTP9" s="131"/>
      <c r="BTQ9" s="131"/>
      <c r="BTR9" s="131"/>
      <c r="BTS9" s="131"/>
      <c r="BTT9" s="131"/>
      <c r="BTU9" s="131"/>
      <c r="BTV9" s="131"/>
      <c r="BTW9" s="131"/>
      <c r="BTX9" s="131"/>
      <c r="BTY9" s="131"/>
      <c r="BTZ9" s="131"/>
      <c r="BUA9" s="131"/>
      <c r="BUB9" s="131"/>
      <c r="BUC9" s="131"/>
      <c r="BUD9" s="131"/>
      <c r="BUE9" s="131"/>
      <c r="BUF9" s="131"/>
      <c r="BUG9" s="131"/>
      <c r="BUH9" s="131"/>
      <c r="BUI9" s="131"/>
      <c r="BUJ9" s="131"/>
      <c r="BUK9" s="131"/>
      <c r="BUL9" s="131"/>
      <c r="BUM9" s="131"/>
      <c r="BUN9" s="131"/>
      <c r="BUO9" s="131"/>
      <c r="BUP9" s="131"/>
      <c r="BUQ9" s="131"/>
      <c r="BUR9" s="131"/>
      <c r="BUS9" s="131"/>
      <c r="BUT9" s="131"/>
      <c r="BUU9" s="131"/>
      <c r="BUV9" s="131"/>
      <c r="BUW9" s="131"/>
      <c r="BUX9" s="131"/>
      <c r="BUY9" s="131"/>
      <c r="BUZ9" s="131"/>
      <c r="BVA9" s="131"/>
      <c r="BVB9" s="131"/>
      <c r="BVC9" s="131"/>
      <c r="BVD9" s="131"/>
      <c r="BVE9" s="131"/>
      <c r="BVF9" s="131"/>
      <c r="BVG9" s="131"/>
      <c r="BVH9" s="131"/>
      <c r="BVI9" s="131"/>
      <c r="BVJ9" s="131"/>
      <c r="BVK9" s="131"/>
      <c r="BVL9" s="131"/>
      <c r="BVM9" s="131"/>
      <c r="BVN9" s="131"/>
      <c r="BVO9" s="131"/>
      <c r="BVP9" s="131"/>
      <c r="BVQ9" s="131"/>
      <c r="BVR9" s="131"/>
      <c r="BVS9" s="131"/>
      <c r="BVT9" s="131"/>
      <c r="BVU9" s="131"/>
      <c r="BVV9" s="131"/>
      <c r="BVW9" s="131"/>
      <c r="BVX9" s="131"/>
      <c r="BVY9" s="131"/>
      <c r="BVZ9" s="131"/>
      <c r="BWA9" s="131"/>
      <c r="BWB9" s="131"/>
      <c r="BWC9" s="131"/>
      <c r="BWD9" s="131"/>
      <c r="BWE9" s="131"/>
      <c r="BWF9" s="131"/>
      <c r="BWG9" s="131"/>
      <c r="BWH9" s="131"/>
      <c r="BWI9" s="131"/>
      <c r="BWJ9" s="131"/>
      <c r="BWK9" s="131"/>
      <c r="BWL9" s="131"/>
      <c r="BWM9" s="131"/>
      <c r="BWN9" s="131"/>
      <c r="BWO9" s="131"/>
      <c r="BWP9" s="131"/>
      <c r="BWQ9" s="131"/>
      <c r="BWR9" s="131"/>
      <c r="BWS9" s="131"/>
      <c r="BWT9" s="131"/>
      <c r="BWU9" s="131"/>
      <c r="BWV9" s="131"/>
      <c r="BWW9" s="131"/>
      <c r="BWX9" s="131"/>
      <c r="BWY9" s="131"/>
      <c r="BWZ9" s="131"/>
      <c r="BXA9" s="131"/>
      <c r="BXB9" s="131"/>
      <c r="BXC9" s="131"/>
      <c r="BXD9" s="131"/>
      <c r="BXE9" s="131"/>
      <c r="BXF9" s="131"/>
      <c r="BXG9" s="131"/>
      <c r="BXH9" s="131"/>
      <c r="BXI9" s="131"/>
      <c r="BXJ9" s="131"/>
      <c r="BXK9" s="131"/>
      <c r="BXL9" s="131"/>
      <c r="BXM9" s="131"/>
      <c r="BXN9" s="131"/>
      <c r="BXO9" s="131"/>
      <c r="BXP9" s="131"/>
      <c r="BXQ9" s="131"/>
      <c r="BXR9" s="131"/>
      <c r="BXS9" s="131"/>
      <c r="BXT9" s="131"/>
      <c r="BXU9" s="131"/>
      <c r="BXV9" s="131"/>
      <c r="BXW9" s="131"/>
      <c r="BXX9" s="131"/>
      <c r="BXY9" s="131"/>
      <c r="BXZ9" s="131"/>
      <c r="BYA9" s="131"/>
      <c r="BYB9" s="131"/>
      <c r="BYC9" s="131"/>
      <c r="BYD9" s="131"/>
      <c r="BYE9" s="131"/>
      <c r="BYF9" s="131"/>
      <c r="BYG9" s="131"/>
      <c r="BYH9" s="131"/>
      <c r="BYI9" s="131"/>
      <c r="BYJ9" s="131"/>
      <c r="BYK9" s="131"/>
      <c r="BYL9" s="131"/>
      <c r="BYM9" s="131"/>
      <c r="BYN9" s="131"/>
      <c r="BYO9" s="131"/>
      <c r="BYP9" s="131"/>
      <c r="BYQ9" s="131"/>
      <c r="BYR9" s="131"/>
      <c r="BYS9" s="131"/>
      <c r="BYT9" s="131"/>
      <c r="BYU9" s="131"/>
      <c r="BYV9" s="131"/>
      <c r="BYW9" s="131"/>
      <c r="BYX9" s="131"/>
      <c r="BYY9" s="131"/>
      <c r="BYZ9" s="131"/>
      <c r="BZA9" s="131"/>
      <c r="BZB9" s="131"/>
      <c r="BZC9" s="131"/>
      <c r="BZD9" s="131"/>
      <c r="BZE9" s="131"/>
      <c r="BZF9" s="131"/>
      <c r="BZG9" s="131"/>
      <c r="BZH9" s="131"/>
      <c r="BZI9" s="131"/>
      <c r="BZV9" s="131"/>
      <c r="BZW9" s="131"/>
      <c r="BZX9" s="131"/>
      <c r="BZY9" s="131"/>
      <c r="BZZ9" s="131"/>
      <c r="CAA9" s="131"/>
      <c r="CAB9" s="131"/>
      <c r="CAC9" s="131"/>
      <c r="CAD9" s="131"/>
      <c r="CAE9" s="131"/>
      <c r="CAF9" s="131"/>
      <c r="CAG9" s="131"/>
      <c r="CAH9" s="131"/>
      <c r="CAI9" s="131"/>
      <c r="CAJ9" s="131"/>
      <c r="CAK9" s="131"/>
      <c r="CAL9" s="131"/>
      <c r="CAM9" s="131"/>
      <c r="CAN9" s="131"/>
      <c r="CAO9" s="131"/>
      <c r="CAP9" s="131"/>
      <c r="CAQ9" s="131"/>
      <c r="CAR9" s="131"/>
      <c r="CAS9" s="131"/>
      <c r="CAT9" s="131"/>
      <c r="CAU9" s="131"/>
      <c r="CAV9" s="131"/>
      <c r="CAW9" s="131"/>
      <c r="CAX9" s="131"/>
      <c r="CAY9" s="131"/>
      <c r="CAZ9" s="131"/>
      <c r="CBA9" s="131"/>
      <c r="CBB9" s="131"/>
      <c r="CBC9" s="131"/>
      <c r="CBD9" s="131"/>
      <c r="CBE9" s="131"/>
      <c r="CBF9" s="131"/>
      <c r="CBG9" s="131"/>
      <c r="CBH9" s="131"/>
      <c r="CBI9" s="131"/>
      <c r="CBJ9" s="131"/>
      <c r="CBK9" s="131"/>
      <c r="CBL9" s="131"/>
      <c r="CBM9" s="131"/>
      <c r="CBN9" s="131"/>
      <c r="CBO9" s="131"/>
      <c r="CBP9" s="131"/>
      <c r="CBQ9" s="131"/>
      <c r="CBR9" s="131"/>
      <c r="CBS9" s="131"/>
      <c r="CBT9" s="131"/>
      <c r="CBU9" s="131"/>
      <c r="CBV9" s="131"/>
      <c r="CBW9" s="131"/>
      <c r="CBX9" s="131"/>
      <c r="CBY9" s="131"/>
      <c r="CBZ9" s="131"/>
      <c r="CCA9" s="131"/>
      <c r="CCB9" s="131"/>
      <c r="CCC9" s="131"/>
      <c r="CCD9" s="131"/>
      <c r="CCE9" s="131"/>
      <c r="CCF9" s="131"/>
      <c r="CCG9" s="131"/>
      <c r="CCH9" s="131"/>
      <c r="CCI9" s="131"/>
      <c r="CCJ9" s="131"/>
      <c r="CCK9" s="131"/>
      <c r="CCL9" s="131"/>
      <c r="CCM9" s="131"/>
      <c r="CCN9" s="131"/>
      <c r="CCO9" s="131"/>
      <c r="CCP9" s="131"/>
      <c r="CCQ9" s="131"/>
      <c r="CCR9" s="131"/>
      <c r="CCS9" s="131"/>
      <c r="CCT9" s="131"/>
      <c r="CCU9" s="131"/>
      <c r="CCV9" s="131"/>
      <c r="CCW9" s="131"/>
      <c r="CCX9" s="131"/>
      <c r="CCY9" s="131"/>
      <c r="CCZ9" s="131"/>
      <c r="CDA9" s="131"/>
      <c r="CDB9" s="131"/>
      <c r="CDC9" s="131"/>
      <c r="CDD9" s="131"/>
      <c r="CDE9" s="131"/>
      <c r="CDF9" s="131"/>
      <c r="CDG9" s="131"/>
      <c r="CDH9" s="131"/>
      <c r="CDI9" s="131"/>
      <c r="CDJ9" s="131"/>
      <c r="CDK9" s="131"/>
      <c r="CDL9" s="131"/>
      <c r="CDM9" s="131"/>
      <c r="CDN9" s="131"/>
      <c r="CDO9" s="131"/>
      <c r="CDP9" s="131"/>
      <c r="CDQ9" s="131"/>
      <c r="CDR9" s="131"/>
      <c r="CDS9" s="131"/>
      <c r="CDT9" s="131"/>
      <c r="CDU9" s="131"/>
      <c r="CDV9" s="131"/>
      <c r="CDW9" s="131"/>
      <c r="CDX9" s="131"/>
      <c r="CDY9" s="131"/>
      <c r="CDZ9" s="131"/>
      <c r="CEA9" s="131"/>
      <c r="CEB9" s="131"/>
      <c r="CEC9" s="131"/>
      <c r="CED9" s="131"/>
      <c r="CEE9" s="131"/>
      <c r="CEF9" s="131"/>
      <c r="CEG9" s="131"/>
      <c r="CEH9" s="131"/>
      <c r="CEI9" s="131"/>
      <c r="CEJ9" s="131"/>
      <c r="CEK9" s="131"/>
      <c r="CEL9" s="131"/>
      <c r="CEM9" s="131"/>
      <c r="CEN9" s="131"/>
      <c r="CEO9" s="131"/>
      <c r="CEP9" s="131"/>
      <c r="CEQ9" s="131"/>
      <c r="CER9" s="131"/>
      <c r="CES9" s="131"/>
      <c r="CET9" s="131"/>
      <c r="CEU9" s="131"/>
      <c r="CEV9" s="131"/>
      <c r="CEW9" s="131"/>
      <c r="CEX9" s="131"/>
      <c r="CEY9" s="131"/>
      <c r="CEZ9" s="131"/>
      <c r="CFA9" s="131"/>
      <c r="CFB9" s="131"/>
      <c r="CFC9" s="131"/>
      <c r="CFD9" s="131"/>
      <c r="CFE9" s="131"/>
      <c r="CFF9" s="131"/>
      <c r="CFG9" s="131"/>
      <c r="CFH9" s="131"/>
      <c r="CFI9" s="131"/>
      <c r="CFJ9" s="131"/>
      <c r="CFK9" s="131"/>
      <c r="CFL9" s="131"/>
      <c r="CFM9" s="131"/>
      <c r="CFN9" s="131"/>
      <c r="CFO9" s="131"/>
      <c r="CFP9" s="131"/>
      <c r="CFQ9" s="131"/>
      <c r="CFR9" s="131"/>
      <c r="CFS9" s="131"/>
      <c r="CFT9" s="131"/>
      <c r="CFU9" s="131"/>
      <c r="CFV9" s="131"/>
      <c r="CFW9" s="131"/>
      <c r="CFX9" s="131"/>
      <c r="CFY9" s="131"/>
      <c r="CFZ9" s="131"/>
      <c r="CGA9" s="131"/>
      <c r="CGB9" s="131"/>
      <c r="CGC9" s="131"/>
      <c r="CGD9" s="131"/>
      <c r="CGE9" s="131"/>
      <c r="CGF9" s="131"/>
      <c r="CGG9" s="131"/>
      <c r="CGH9" s="131"/>
      <c r="CGI9" s="131"/>
      <c r="CGJ9" s="131"/>
      <c r="CGK9" s="131"/>
      <c r="CGL9" s="131"/>
      <c r="CGM9" s="131"/>
      <c r="CGN9" s="131"/>
      <c r="CGO9" s="131"/>
      <c r="CGP9" s="131"/>
      <c r="CGQ9" s="131"/>
      <c r="CGR9" s="131"/>
      <c r="CGS9" s="131"/>
      <c r="CGT9" s="131"/>
      <c r="CGU9" s="131"/>
      <c r="CGV9" s="131"/>
      <c r="CGW9" s="131"/>
      <c r="CGX9" s="131"/>
      <c r="CGY9" s="131"/>
      <c r="CGZ9" s="131"/>
      <c r="CHA9" s="131"/>
      <c r="CHB9" s="131"/>
      <c r="CHC9" s="131"/>
      <c r="CHD9" s="131"/>
      <c r="CHE9" s="131"/>
      <c r="CHF9" s="131"/>
      <c r="CHG9" s="131"/>
      <c r="CHH9" s="131"/>
      <c r="CHI9" s="131"/>
      <c r="CHJ9" s="131"/>
      <c r="CHK9" s="131"/>
      <c r="CHL9" s="131"/>
      <c r="CHM9" s="131"/>
      <c r="CHN9" s="131"/>
      <c r="CHO9" s="131"/>
      <c r="CHP9" s="131"/>
      <c r="CHQ9" s="131"/>
      <c r="CHR9" s="131"/>
      <c r="CHS9" s="131"/>
      <c r="CHT9" s="131"/>
      <c r="CHU9" s="131"/>
      <c r="CHV9" s="131"/>
      <c r="CHW9" s="131"/>
      <c r="CHX9" s="131"/>
      <c r="CHY9" s="131"/>
      <c r="CHZ9" s="131"/>
      <c r="CIA9" s="131"/>
      <c r="CIB9" s="131"/>
      <c r="CIC9" s="131"/>
      <c r="CID9" s="131"/>
      <c r="CIE9" s="131"/>
      <c r="CIF9" s="131"/>
      <c r="CIG9" s="131"/>
      <c r="CIH9" s="131"/>
      <c r="CII9" s="131"/>
      <c r="CIJ9" s="131"/>
      <c r="CIK9" s="131"/>
      <c r="CIL9" s="131"/>
      <c r="CIM9" s="131"/>
      <c r="CIN9" s="131"/>
      <c r="CIO9" s="131"/>
      <c r="CIP9" s="131"/>
      <c r="CIQ9" s="131"/>
      <c r="CIR9" s="131"/>
      <c r="CIS9" s="131"/>
      <c r="CIT9" s="131"/>
      <c r="CIU9" s="131"/>
      <c r="CIV9" s="131"/>
      <c r="CIW9" s="131"/>
      <c r="CIX9" s="131"/>
      <c r="CIY9" s="131"/>
      <c r="CIZ9" s="131"/>
      <c r="CJA9" s="131"/>
      <c r="CJB9" s="131"/>
      <c r="CJC9" s="131"/>
      <c r="CJD9" s="131"/>
      <c r="CJE9" s="131"/>
      <c r="CJF9" s="131"/>
      <c r="CJG9" s="131"/>
      <c r="CJH9" s="131"/>
      <c r="CJI9" s="131"/>
      <c r="CJJ9" s="131"/>
      <c r="CJK9" s="131"/>
      <c r="CJL9" s="131"/>
      <c r="CJM9" s="131"/>
      <c r="CJN9" s="131"/>
      <c r="CJO9" s="131"/>
      <c r="CJP9" s="131"/>
      <c r="CJQ9" s="131"/>
      <c r="CJR9" s="131"/>
      <c r="CJS9" s="131"/>
      <c r="CJT9" s="131"/>
      <c r="CJU9" s="131"/>
      <c r="CJV9" s="131"/>
      <c r="CJW9" s="131"/>
      <c r="CJX9" s="131"/>
      <c r="CJY9" s="131"/>
      <c r="CJZ9" s="131"/>
      <c r="CKA9" s="131"/>
      <c r="CKB9" s="131"/>
      <c r="CKC9" s="131"/>
      <c r="CKD9" s="131"/>
      <c r="CKE9" s="131"/>
      <c r="CKF9" s="131"/>
      <c r="CKG9" s="131"/>
      <c r="CKH9" s="131"/>
      <c r="CKI9" s="131"/>
      <c r="CKJ9" s="131"/>
      <c r="CKK9" s="131"/>
      <c r="CKL9" s="131"/>
      <c r="CKM9" s="131"/>
      <c r="CKN9" s="131"/>
      <c r="CKO9" s="131"/>
      <c r="CKP9" s="131"/>
      <c r="CKQ9" s="131"/>
      <c r="CKR9" s="131"/>
      <c r="CKS9" s="131"/>
      <c r="CKT9" s="131"/>
      <c r="CKU9" s="131"/>
      <c r="CKV9" s="131"/>
      <c r="CKW9" s="131"/>
      <c r="CKX9" s="131"/>
      <c r="CKY9" s="131"/>
      <c r="CKZ9" s="131"/>
      <c r="CLA9" s="131"/>
      <c r="CLB9" s="131"/>
      <c r="CLC9" s="131"/>
      <c r="CLD9" s="131"/>
      <c r="CLE9" s="131"/>
      <c r="CLF9" s="131"/>
      <c r="CLG9" s="131"/>
      <c r="CLH9" s="131"/>
      <c r="CLI9" s="131"/>
      <c r="CLJ9" s="131"/>
      <c r="CLK9" s="131"/>
      <c r="CLL9" s="131"/>
      <c r="CLM9" s="131"/>
      <c r="CLN9" s="131"/>
      <c r="CLO9" s="131"/>
      <c r="CLP9" s="131"/>
      <c r="CLQ9" s="131"/>
      <c r="CLR9" s="131"/>
      <c r="CLS9" s="131"/>
      <c r="CLT9" s="131"/>
      <c r="CLU9" s="131"/>
      <c r="CLV9" s="131"/>
      <c r="CLW9" s="131"/>
      <c r="CLX9" s="131"/>
      <c r="CLY9" s="131"/>
      <c r="CLZ9" s="131"/>
      <c r="CMA9" s="131"/>
      <c r="CMB9" s="131"/>
      <c r="CMC9" s="131"/>
      <c r="CMD9" s="131"/>
      <c r="CME9" s="131"/>
      <c r="CMF9" s="131"/>
      <c r="CMG9" s="131"/>
      <c r="CMH9" s="131"/>
      <c r="CMI9" s="131"/>
      <c r="CMJ9" s="131"/>
      <c r="CMK9" s="131"/>
      <c r="CML9" s="131"/>
      <c r="CMM9" s="131"/>
      <c r="CMN9" s="131"/>
      <c r="CMO9" s="131"/>
      <c r="CMP9" s="131"/>
      <c r="CMQ9" s="131"/>
      <c r="CMR9" s="131"/>
      <c r="CMS9" s="131"/>
      <c r="CMT9" s="131"/>
      <c r="CMU9" s="131"/>
      <c r="CMV9" s="131"/>
      <c r="CMW9" s="131"/>
      <c r="CMX9" s="131"/>
      <c r="CMY9" s="131"/>
      <c r="CMZ9" s="131"/>
      <c r="CNA9" s="131"/>
      <c r="CNB9" s="131"/>
      <c r="CNC9" s="131"/>
      <c r="CND9" s="131"/>
      <c r="CNE9" s="131"/>
      <c r="CNF9" s="131"/>
      <c r="CNG9" s="131"/>
      <c r="CNH9" s="131"/>
      <c r="CNI9" s="131"/>
      <c r="CNJ9" s="131"/>
      <c r="CNK9" s="131"/>
      <c r="CNL9" s="131"/>
      <c r="CNM9" s="131"/>
      <c r="CNN9" s="131"/>
      <c r="CNO9" s="131"/>
      <c r="CNP9" s="131"/>
      <c r="CNQ9" s="131"/>
      <c r="CNR9" s="131"/>
      <c r="CNS9" s="131"/>
      <c r="CNT9" s="131"/>
      <c r="CNU9" s="131"/>
      <c r="CNV9" s="131"/>
      <c r="CNW9" s="131"/>
      <c r="CNX9" s="131"/>
      <c r="CNY9" s="131"/>
      <c r="CNZ9" s="131"/>
      <c r="COA9" s="131"/>
      <c r="COB9" s="131"/>
      <c r="COC9" s="131"/>
      <c r="COD9" s="131"/>
      <c r="COE9" s="131"/>
      <c r="COF9" s="131"/>
      <c r="COG9" s="131"/>
      <c r="COH9" s="131"/>
      <c r="COI9" s="131"/>
      <c r="COJ9" s="131"/>
      <c r="COK9" s="131"/>
      <c r="COL9" s="131"/>
      <c r="COM9" s="131"/>
      <c r="CON9" s="131"/>
      <c r="COO9" s="131"/>
      <c r="COP9" s="131"/>
      <c r="COQ9" s="131"/>
      <c r="COR9" s="131"/>
      <c r="COS9" s="131"/>
      <c r="COT9" s="131"/>
      <c r="COU9" s="131"/>
      <c r="COV9" s="131"/>
      <c r="COW9" s="131"/>
      <c r="COX9" s="131"/>
      <c r="COY9" s="131"/>
      <c r="COZ9" s="131"/>
      <c r="CPA9" s="131"/>
      <c r="CPB9" s="131"/>
      <c r="CPC9" s="131"/>
      <c r="CPD9" s="131"/>
      <c r="CPE9" s="131"/>
      <c r="CPF9" s="131"/>
      <c r="CPG9" s="131"/>
      <c r="CPH9" s="131"/>
      <c r="CPI9" s="131"/>
      <c r="CPJ9" s="131"/>
      <c r="CPK9" s="131"/>
      <c r="CPL9" s="131"/>
      <c r="CPM9" s="131"/>
      <c r="CPN9" s="131"/>
      <c r="CPO9" s="131"/>
      <c r="CPP9" s="131"/>
      <c r="CPQ9" s="131"/>
      <c r="CPR9" s="131"/>
      <c r="CPS9" s="131"/>
      <c r="CPT9" s="131"/>
      <c r="CPU9" s="131"/>
      <c r="CPV9" s="131"/>
      <c r="CPW9" s="131"/>
      <c r="CPX9" s="131"/>
      <c r="CPY9" s="131"/>
      <c r="CPZ9" s="131"/>
      <c r="CQA9" s="131"/>
      <c r="CQB9" s="131"/>
      <c r="CQC9" s="131"/>
      <c r="CQD9" s="131"/>
      <c r="CQE9" s="131"/>
      <c r="CQF9" s="131"/>
      <c r="CQG9" s="131"/>
      <c r="CQH9" s="131"/>
      <c r="CQI9" s="131"/>
      <c r="CQJ9" s="131"/>
      <c r="CQK9" s="131"/>
      <c r="CQL9" s="131"/>
      <c r="CQM9" s="131"/>
      <c r="CQN9" s="131"/>
      <c r="CQO9" s="131"/>
      <c r="CQP9" s="131"/>
      <c r="CQQ9" s="131"/>
      <c r="CQR9" s="131"/>
      <c r="CQS9" s="131"/>
      <c r="CQT9" s="131"/>
      <c r="CQU9" s="131"/>
      <c r="CQV9" s="131"/>
      <c r="CQW9" s="131"/>
      <c r="CQX9" s="131"/>
      <c r="CQY9" s="131"/>
      <c r="CQZ9" s="131"/>
      <c r="CRA9" s="131"/>
      <c r="CRB9" s="131"/>
      <c r="CRC9" s="131"/>
      <c r="CRD9" s="131"/>
      <c r="CRE9" s="131"/>
      <c r="CRF9" s="131"/>
      <c r="CRG9" s="131"/>
      <c r="CRH9" s="131"/>
      <c r="CRI9" s="131"/>
      <c r="CRJ9" s="131"/>
      <c r="CRK9" s="131"/>
      <c r="CRL9" s="131"/>
      <c r="CRM9" s="131"/>
      <c r="CRN9" s="131"/>
      <c r="CRO9" s="131"/>
      <c r="CRP9" s="131"/>
      <c r="CRQ9" s="131"/>
      <c r="CRR9" s="131"/>
      <c r="CRS9" s="131"/>
      <c r="CRT9" s="131"/>
      <c r="CRU9" s="131"/>
      <c r="CRV9" s="131"/>
      <c r="CRW9" s="131"/>
      <c r="CRX9" s="131"/>
      <c r="CRY9" s="131"/>
      <c r="CRZ9" s="131"/>
      <c r="CSA9" s="131"/>
      <c r="CSB9" s="131"/>
      <c r="CSC9" s="131"/>
      <c r="CSD9" s="131"/>
      <c r="CSE9" s="131"/>
      <c r="CSF9" s="131"/>
      <c r="CSG9" s="131"/>
      <c r="CSH9" s="131"/>
      <c r="CSI9" s="131"/>
      <c r="CSJ9" s="131"/>
      <c r="CSK9" s="131"/>
      <c r="CSL9" s="131"/>
      <c r="CSM9" s="131"/>
      <c r="CSN9" s="131"/>
      <c r="CSO9" s="131"/>
      <c r="CSP9" s="131"/>
      <c r="CSQ9" s="131"/>
      <c r="CSR9" s="131"/>
      <c r="CSS9" s="131"/>
      <c r="CST9" s="131"/>
      <c r="CSU9" s="131"/>
      <c r="CSV9" s="131"/>
      <c r="CSW9" s="131"/>
      <c r="CSX9" s="131"/>
      <c r="CSY9" s="131"/>
      <c r="CSZ9" s="131"/>
      <c r="CTA9" s="131"/>
      <c r="CTB9" s="131"/>
      <c r="CTC9" s="131"/>
      <c r="CTD9" s="131"/>
      <c r="CTE9" s="131"/>
      <c r="CTF9" s="131"/>
      <c r="CTG9" s="131"/>
      <c r="CTH9" s="131"/>
      <c r="CTI9" s="131"/>
      <c r="CTJ9" s="131"/>
      <c r="CTK9" s="131"/>
      <c r="CTL9" s="131"/>
      <c r="CTM9" s="131"/>
      <c r="CTN9" s="131"/>
      <c r="CTO9" s="131"/>
      <c r="CTP9" s="131"/>
      <c r="CTQ9" s="131"/>
      <c r="CTR9" s="131"/>
      <c r="CTS9" s="131"/>
      <c r="CTT9" s="131"/>
      <c r="CTU9" s="131"/>
      <c r="CTV9" s="131"/>
      <c r="CTW9" s="131"/>
      <c r="CTX9" s="131"/>
      <c r="CTY9" s="131"/>
      <c r="CTZ9" s="131"/>
      <c r="CUA9" s="131"/>
      <c r="CUB9" s="131"/>
      <c r="CUC9" s="131"/>
      <c r="CUD9" s="131"/>
      <c r="CUE9" s="131"/>
      <c r="CUF9" s="131"/>
      <c r="CUG9" s="131"/>
      <c r="CUH9" s="131"/>
      <c r="CUI9" s="131"/>
      <c r="CUJ9" s="131"/>
      <c r="CUK9" s="131"/>
      <c r="CUL9" s="131"/>
      <c r="CUM9" s="131"/>
      <c r="CUN9" s="131"/>
      <c r="CUO9" s="131"/>
      <c r="CUP9" s="131"/>
      <c r="CUQ9" s="131"/>
      <c r="CUR9" s="131"/>
      <c r="CUS9" s="131"/>
      <c r="CUT9" s="131"/>
      <c r="CUU9" s="131"/>
      <c r="CUV9" s="131"/>
      <c r="CUW9" s="131"/>
      <c r="CUX9" s="131"/>
      <c r="CUY9" s="131"/>
      <c r="CUZ9" s="131"/>
      <c r="CVA9" s="131"/>
      <c r="CVB9" s="131"/>
      <c r="CVC9" s="131"/>
      <c r="CVD9" s="131"/>
      <c r="CVE9" s="131"/>
      <c r="CVF9" s="131"/>
      <c r="CVG9" s="131"/>
      <c r="CVH9" s="131"/>
      <c r="CVI9" s="131"/>
      <c r="CVJ9" s="131"/>
      <c r="CVK9" s="131"/>
      <c r="CVL9" s="131"/>
      <c r="CVM9" s="131"/>
      <c r="CVN9" s="131"/>
      <c r="CVO9" s="131"/>
      <c r="CVP9" s="131"/>
      <c r="CVQ9" s="131"/>
      <c r="CVR9" s="131"/>
      <c r="CVS9" s="131"/>
      <c r="CVT9" s="131"/>
      <c r="CVU9" s="131"/>
      <c r="CVV9" s="131"/>
      <c r="CVW9" s="131"/>
      <c r="CVX9" s="131"/>
      <c r="CVY9" s="131"/>
      <c r="CVZ9" s="131"/>
      <c r="CWA9" s="131"/>
      <c r="CWB9" s="131"/>
      <c r="CWC9" s="131"/>
      <c r="CWD9" s="131"/>
      <c r="CWE9" s="131"/>
      <c r="CWF9" s="131"/>
      <c r="CWG9" s="131"/>
      <c r="CWH9" s="131"/>
      <c r="CWI9" s="131"/>
      <c r="CWJ9" s="131"/>
      <c r="CWK9" s="131"/>
      <c r="CWL9" s="131"/>
      <c r="CWM9" s="131"/>
      <c r="CWN9" s="131"/>
      <c r="CWO9" s="131"/>
      <c r="CWP9" s="131"/>
      <c r="CWQ9" s="131"/>
      <c r="CWR9" s="131"/>
      <c r="CWS9" s="131"/>
      <c r="CWT9" s="131"/>
      <c r="CWU9" s="131"/>
      <c r="CWV9" s="131"/>
      <c r="CWW9" s="131"/>
      <c r="CWX9" s="131"/>
      <c r="CWY9" s="131"/>
      <c r="CWZ9" s="131"/>
      <c r="CXA9" s="131"/>
      <c r="CXB9" s="131"/>
      <c r="CXC9" s="131"/>
      <c r="CXD9" s="131"/>
      <c r="CXE9" s="131"/>
      <c r="CXF9" s="131"/>
      <c r="CXG9" s="131"/>
      <c r="CXH9" s="131"/>
      <c r="CXI9" s="131"/>
      <c r="CXJ9" s="131"/>
      <c r="CXK9" s="131"/>
      <c r="CXL9" s="131"/>
      <c r="CXM9" s="131"/>
      <c r="CXN9" s="131"/>
      <c r="CXO9" s="131"/>
      <c r="CXP9" s="131"/>
      <c r="CXQ9" s="131"/>
      <c r="CXR9" s="131"/>
      <c r="CXS9" s="131"/>
      <c r="CXT9" s="131"/>
      <c r="CXU9" s="131"/>
      <c r="CXV9" s="131"/>
      <c r="CXW9" s="131"/>
      <c r="CXX9" s="131"/>
      <c r="CXY9" s="131"/>
      <c r="CXZ9" s="131"/>
      <c r="CYA9" s="131"/>
      <c r="CYB9" s="131"/>
      <c r="CYC9" s="131"/>
      <c r="CYD9" s="131"/>
      <c r="CYE9" s="131"/>
      <c r="CYF9" s="131"/>
      <c r="CYG9" s="131"/>
      <c r="CYH9" s="131"/>
      <c r="CYI9" s="131"/>
      <c r="CYJ9" s="131"/>
      <c r="CYK9" s="131"/>
      <c r="CYL9" s="131"/>
      <c r="CYM9" s="131"/>
      <c r="CYN9" s="131"/>
      <c r="CYO9" s="131"/>
      <c r="CYP9" s="131"/>
      <c r="CYQ9" s="131"/>
      <c r="CYR9" s="131"/>
      <c r="CYS9" s="131"/>
      <c r="CYT9" s="131"/>
      <c r="CYU9" s="131"/>
      <c r="CYV9" s="131"/>
      <c r="CYW9" s="131"/>
      <c r="CYX9" s="131"/>
      <c r="CYY9" s="131"/>
      <c r="CYZ9" s="131"/>
      <c r="CZA9" s="131"/>
      <c r="CZB9" s="131"/>
      <c r="CZC9" s="131"/>
      <c r="CZD9" s="131"/>
      <c r="CZE9" s="131"/>
      <c r="CZF9" s="131"/>
      <c r="CZG9" s="131"/>
      <c r="CZH9" s="131"/>
      <c r="CZI9" s="131"/>
      <c r="CZJ9" s="131"/>
      <c r="CZK9" s="131"/>
      <c r="CZL9" s="131"/>
      <c r="CZM9" s="131"/>
      <c r="CZN9" s="131"/>
      <c r="CZO9" s="131"/>
      <c r="CZP9" s="131"/>
      <c r="CZQ9" s="131"/>
      <c r="CZR9" s="131"/>
      <c r="CZS9" s="131"/>
      <c r="CZT9" s="131"/>
      <c r="CZU9" s="131"/>
      <c r="CZV9" s="131"/>
      <c r="CZW9" s="131"/>
      <c r="CZX9" s="131"/>
      <c r="CZY9" s="131"/>
      <c r="CZZ9" s="131"/>
      <c r="DAA9" s="131"/>
      <c r="DAB9" s="131"/>
      <c r="DAC9" s="131"/>
      <c r="DAD9" s="131"/>
      <c r="DAE9" s="131"/>
      <c r="DAF9" s="131"/>
      <c r="DAG9" s="131"/>
      <c r="DAH9" s="131"/>
      <c r="DAI9" s="131"/>
      <c r="DAJ9" s="131"/>
      <c r="DAK9" s="131"/>
      <c r="DAL9" s="131"/>
      <c r="DAM9" s="131"/>
      <c r="DAN9" s="131"/>
      <c r="DAO9" s="131"/>
      <c r="DAP9" s="131"/>
      <c r="DAQ9" s="131"/>
      <c r="DAR9" s="131"/>
      <c r="DAS9" s="131"/>
      <c r="DAT9" s="131"/>
      <c r="DAU9" s="131"/>
      <c r="DAV9" s="131"/>
      <c r="DAW9" s="131"/>
      <c r="DAX9" s="131"/>
      <c r="DAY9" s="131"/>
      <c r="DAZ9" s="131"/>
      <c r="DBA9" s="131"/>
      <c r="DBB9" s="131"/>
      <c r="DBC9" s="131"/>
      <c r="DBD9" s="131"/>
      <c r="DBE9" s="131"/>
      <c r="DBF9" s="131"/>
      <c r="DBG9" s="131"/>
      <c r="DBH9" s="131"/>
      <c r="DBI9" s="131"/>
      <c r="DBJ9" s="131"/>
      <c r="DBK9" s="131"/>
      <c r="DBL9" s="131"/>
      <c r="DBM9" s="131"/>
      <c r="DBN9" s="131"/>
      <c r="DBO9" s="131"/>
      <c r="DBP9" s="131"/>
      <c r="DBQ9" s="131"/>
      <c r="DBR9" s="131"/>
      <c r="DBS9" s="131"/>
      <c r="DBT9" s="131"/>
      <c r="DBU9" s="131"/>
      <c r="DBV9" s="131"/>
      <c r="DBW9" s="131"/>
      <c r="DBX9" s="131"/>
      <c r="DBY9" s="131"/>
      <c r="DBZ9" s="131"/>
      <c r="DCA9" s="131"/>
      <c r="DCB9" s="131"/>
      <c r="DCC9" s="131"/>
      <c r="DCD9" s="131"/>
      <c r="DCE9" s="131"/>
      <c r="DCF9" s="131"/>
      <c r="DCG9" s="131"/>
      <c r="DCH9" s="131"/>
      <c r="DCI9" s="131"/>
      <c r="DCJ9" s="131"/>
      <c r="DCK9" s="131"/>
      <c r="DCL9" s="131"/>
      <c r="DCM9" s="131"/>
      <c r="DCN9" s="131"/>
      <c r="DCO9" s="131"/>
      <c r="DCP9" s="131"/>
      <c r="DCQ9" s="131"/>
      <c r="DCR9" s="131"/>
      <c r="DCS9" s="131"/>
      <c r="DCT9" s="131"/>
      <c r="DCU9" s="131"/>
      <c r="DCV9" s="131"/>
      <c r="DCW9" s="131"/>
      <c r="DCX9" s="131"/>
      <c r="DCY9" s="131"/>
      <c r="DCZ9" s="131"/>
      <c r="DDA9" s="131"/>
      <c r="DDB9" s="131"/>
      <c r="DDC9" s="131"/>
      <c r="DDD9" s="131"/>
      <c r="DDE9" s="131"/>
      <c r="DDF9" s="131"/>
      <c r="DDG9" s="131"/>
      <c r="DDH9" s="131"/>
      <c r="DDI9" s="131"/>
      <c r="DDJ9" s="131"/>
      <c r="DDK9" s="131"/>
      <c r="DDL9" s="131"/>
      <c r="DDM9" s="131"/>
      <c r="DDN9" s="131"/>
      <c r="DDO9" s="131"/>
      <c r="DDP9" s="131"/>
      <c r="DDQ9" s="131"/>
      <c r="DDR9" s="131"/>
      <c r="DDS9" s="131"/>
      <c r="DDT9" s="131"/>
      <c r="DDU9" s="131"/>
      <c r="DDV9" s="131"/>
      <c r="DDW9" s="131"/>
      <c r="DDX9" s="131"/>
      <c r="DDY9" s="131"/>
      <c r="DDZ9" s="131"/>
      <c r="DEA9" s="131"/>
      <c r="DEB9" s="131"/>
      <c r="DEC9" s="131"/>
      <c r="DED9" s="131"/>
      <c r="DEE9" s="131"/>
      <c r="DEF9" s="131"/>
      <c r="DEG9" s="131"/>
      <c r="DEH9" s="131"/>
      <c r="DEI9" s="131"/>
      <c r="DEJ9" s="131"/>
      <c r="DEK9" s="131"/>
      <c r="DEL9" s="131"/>
      <c r="DEM9" s="131"/>
      <c r="DEN9" s="131"/>
      <c r="DEO9" s="131"/>
      <c r="DEP9" s="131"/>
      <c r="DEQ9" s="131"/>
      <c r="DER9" s="131"/>
      <c r="DES9" s="131"/>
      <c r="DET9" s="131"/>
      <c r="DEU9" s="131"/>
      <c r="DEV9" s="131"/>
      <c r="DEW9" s="131"/>
      <c r="DEX9" s="131"/>
      <c r="DEY9" s="131"/>
      <c r="DEZ9" s="131"/>
      <c r="DFA9" s="131"/>
      <c r="DFB9" s="131"/>
      <c r="DFC9" s="131"/>
      <c r="DFD9" s="131"/>
      <c r="DFE9" s="131"/>
      <c r="DFF9" s="131"/>
      <c r="DFG9" s="131"/>
      <c r="DFH9" s="131"/>
      <c r="DFI9" s="131"/>
      <c r="DFJ9" s="131"/>
      <c r="DFK9" s="131"/>
      <c r="DFL9" s="131"/>
      <c r="DFM9" s="131"/>
      <c r="DFN9" s="131"/>
      <c r="DFO9" s="131"/>
      <c r="DFP9" s="131"/>
      <c r="DFQ9" s="131"/>
      <c r="DFR9" s="131"/>
      <c r="DFS9" s="131"/>
      <c r="DFT9" s="131"/>
      <c r="DFU9" s="131"/>
      <c r="DFV9" s="131"/>
      <c r="DFW9" s="131"/>
      <c r="DFX9" s="131"/>
      <c r="DFY9" s="131"/>
      <c r="DFZ9" s="131"/>
      <c r="DGA9" s="131"/>
      <c r="DGB9" s="131"/>
      <c r="DGC9" s="131"/>
      <c r="DGD9" s="131"/>
      <c r="DGE9" s="131"/>
      <c r="DGF9" s="131"/>
      <c r="DGG9" s="131"/>
      <c r="DGH9" s="131"/>
      <c r="DGI9" s="131"/>
      <c r="DGJ9" s="131"/>
      <c r="DGK9" s="131"/>
      <c r="DGL9" s="131"/>
      <c r="DGM9" s="131"/>
      <c r="DGN9" s="131"/>
      <c r="DGO9" s="131"/>
      <c r="DGP9" s="131"/>
      <c r="DGQ9" s="131"/>
      <c r="DGR9" s="131"/>
      <c r="DGS9" s="131"/>
      <c r="DGT9" s="131"/>
      <c r="DGU9" s="131"/>
      <c r="DGV9" s="131"/>
      <c r="DGW9" s="131"/>
      <c r="DGX9" s="131"/>
      <c r="DGY9" s="131"/>
      <c r="DGZ9" s="131"/>
      <c r="DHA9" s="131"/>
      <c r="DHB9" s="131"/>
      <c r="DHC9" s="131"/>
      <c r="DHD9" s="131"/>
      <c r="DHE9" s="131"/>
      <c r="DHF9" s="131"/>
      <c r="DHG9" s="131"/>
      <c r="DHH9" s="131"/>
      <c r="DHI9" s="131"/>
      <c r="DHJ9" s="131"/>
      <c r="DHK9" s="131"/>
      <c r="DHL9" s="131"/>
      <c r="DHM9" s="131"/>
      <c r="DHN9" s="131"/>
      <c r="DHO9" s="131"/>
      <c r="DHP9" s="131"/>
      <c r="DHQ9" s="131"/>
      <c r="DHR9" s="131"/>
      <c r="DHS9" s="131"/>
      <c r="DHT9" s="131"/>
      <c r="DHU9" s="131"/>
      <c r="DHV9" s="131"/>
      <c r="DHW9" s="131"/>
      <c r="DHX9" s="131"/>
      <c r="DHY9" s="131"/>
      <c r="DHZ9" s="131"/>
      <c r="DIA9" s="131"/>
      <c r="DIB9" s="131"/>
      <c r="DIC9" s="131"/>
      <c r="DID9" s="131"/>
      <c r="DIE9" s="131"/>
      <c r="DIF9" s="131"/>
      <c r="DIG9" s="131"/>
      <c r="DIH9" s="131"/>
      <c r="DII9" s="131"/>
      <c r="DIJ9" s="131"/>
      <c r="DIK9" s="131"/>
      <c r="DIL9" s="131"/>
      <c r="DIM9" s="131"/>
      <c r="DIN9" s="131"/>
      <c r="DIO9" s="131"/>
      <c r="DIP9" s="131"/>
      <c r="DIQ9" s="131"/>
      <c r="DIR9" s="131"/>
      <c r="DIS9" s="131"/>
      <c r="DIT9" s="131"/>
      <c r="DIU9" s="131"/>
      <c r="DIV9" s="131"/>
      <c r="DIW9" s="131"/>
      <c r="DIX9" s="131"/>
      <c r="DIY9" s="131"/>
      <c r="DIZ9" s="131"/>
      <c r="DJA9" s="131"/>
      <c r="DJB9" s="131"/>
      <c r="DJC9" s="131"/>
      <c r="DJD9" s="131"/>
      <c r="DJE9" s="131"/>
      <c r="DJF9" s="131"/>
      <c r="DJG9" s="131"/>
      <c r="DJH9" s="131"/>
      <c r="DJI9" s="131"/>
      <c r="DJJ9" s="131"/>
      <c r="DJK9" s="131"/>
      <c r="DJL9" s="131"/>
      <c r="DJM9" s="131"/>
      <c r="DJN9" s="131"/>
      <c r="DJO9" s="131"/>
      <c r="DJP9" s="131"/>
      <c r="DJQ9" s="131"/>
      <c r="DJR9" s="131"/>
      <c r="DJS9" s="131"/>
      <c r="DJT9" s="131"/>
      <c r="DJU9" s="131"/>
      <c r="DJV9" s="131"/>
      <c r="DJW9" s="131"/>
      <c r="DJX9" s="131"/>
      <c r="DJY9" s="131"/>
      <c r="DJZ9" s="131"/>
      <c r="DKA9" s="131"/>
      <c r="DKB9" s="131"/>
      <c r="DKC9" s="131"/>
      <c r="DKD9" s="131"/>
      <c r="DKE9" s="131"/>
      <c r="DKF9" s="131"/>
      <c r="DKG9" s="131"/>
      <c r="DKH9" s="131"/>
      <c r="DKI9" s="131"/>
      <c r="DKJ9" s="131"/>
      <c r="DKK9" s="131"/>
      <c r="DKL9" s="131"/>
      <c r="DKM9" s="131"/>
      <c r="DKN9" s="131"/>
      <c r="DKO9" s="131"/>
      <c r="DKP9" s="131"/>
      <c r="DKQ9" s="131"/>
      <c r="DKR9" s="131"/>
      <c r="DKS9" s="131"/>
      <c r="DKT9" s="131"/>
      <c r="DKU9" s="131"/>
      <c r="DKV9" s="131"/>
      <c r="DKW9" s="131"/>
      <c r="DKX9" s="131"/>
      <c r="DKY9" s="131"/>
      <c r="DKZ9" s="131"/>
      <c r="DLA9" s="131"/>
      <c r="DLB9" s="131"/>
      <c r="DLC9" s="131"/>
      <c r="DLD9" s="131"/>
      <c r="DLE9" s="131"/>
      <c r="DLF9" s="131"/>
      <c r="DLG9" s="131"/>
      <c r="DLH9" s="131"/>
      <c r="DLI9" s="131"/>
      <c r="DLJ9" s="131"/>
      <c r="DLK9" s="131"/>
      <c r="DLL9" s="131"/>
      <c r="DLM9" s="131"/>
      <c r="DLN9" s="131"/>
      <c r="DLO9" s="131"/>
      <c r="DLP9" s="131"/>
      <c r="DLQ9" s="131"/>
      <c r="DLR9" s="131"/>
      <c r="DLS9" s="131"/>
      <c r="DLT9" s="131"/>
      <c r="DLU9" s="131"/>
      <c r="DLV9" s="131"/>
      <c r="DLW9" s="131"/>
      <c r="DLX9" s="131"/>
      <c r="DLY9" s="131"/>
      <c r="DLZ9" s="131"/>
      <c r="DMA9" s="131"/>
      <c r="DMB9" s="131"/>
      <c r="DMC9" s="131"/>
      <c r="DMD9" s="131"/>
      <c r="DME9" s="131"/>
      <c r="DMF9" s="131"/>
      <c r="DMG9" s="131"/>
      <c r="DMH9" s="131"/>
      <c r="DMI9" s="131"/>
      <c r="DMJ9" s="131"/>
      <c r="DMK9" s="131"/>
      <c r="DML9" s="131"/>
      <c r="DMM9" s="131"/>
      <c r="DMN9" s="131"/>
      <c r="DMO9" s="131"/>
      <c r="DMP9" s="131"/>
      <c r="DMQ9" s="131"/>
      <c r="DMR9" s="131"/>
      <c r="DMS9" s="131"/>
      <c r="DNF9" s="131"/>
      <c r="DNG9" s="131"/>
      <c r="DNH9" s="131"/>
      <c r="DNI9" s="131"/>
      <c r="DNJ9" s="131"/>
      <c r="DNK9" s="131"/>
      <c r="DNL9" s="131"/>
      <c r="DNM9" s="131"/>
      <c r="DNN9" s="131"/>
      <c r="DNO9" s="131"/>
      <c r="DNP9" s="131"/>
      <c r="DNQ9" s="131"/>
      <c r="DNR9" s="131"/>
      <c r="DNS9" s="131"/>
      <c r="DNT9" s="131"/>
      <c r="DNU9" s="131"/>
      <c r="DNV9" s="131"/>
      <c r="DNW9" s="131"/>
      <c r="DNX9" s="131"/>
      <c r="DNY9" s="131"/>
      <c r="DNZ9" s="131"/>
      <c r="DOA9" s="131"/>
      <c r="DOB9" s="131"/>
      <c r="DOC9" s="131"/>
      <c r="DOD9" s="131"/>
      <c r="DOE9" s="131"/>
      <c r="DOF9" s="131"/>
      <c r="DOG9" s="131"/>
      <c r="DOH9" s="131"/>
      <c r="DOI9" s="131"/>
      <c r="DOJ9" s="131"/>
      <c r="DOK9" s="131"/>
      <c r="DOL9" s="131"/>
      <c r="DOM9" s="131"/>
      <c r="DON9" s="131"/>
      <c r="DOO9" s="131"/>
      <c r="DOP9" s="131"/>
      <c r="DOQ9" s="131"/>
      <c r="DOR9" s="131"/>
      <c r="DOS9" s="131"/>
      <c r="DOT9" s="131"/>
      <c r="DOU9" s="131"/>
      <c r="DOV9" s="131"/>
      <c r="DOW9" s="131"/>
      <c r="DOX9" s="131"/>
      <c r="DOY9" s="131"/>
      <c r="DOZ9" s="131"/>
      <c r="DPA9" s="131"/>
      <c r="DPB9" s="131"/>
      <c r="DPC9" s="131"/>
      <c r="DPD9" s="131"/>
      <c r="DPE9" s="131"/>
      <c r="DPF9" s="131"/>
      <c r="DPG9" s="131"/>
      <c r="DPH9" s="131"/>
      <c r="DPI9" s="131"/>
      <c r="DPJ9" s="131"/>
      <c r="DPK9" s="131"/>
      <c r="DPL9" s="131"/>
      <c r="DPM9" s="131"/>
      <c r="DPN9" s="131"/>
      <c r="DPO9" s="131"/>
      <c r="DPP9" s="131"/>
      <c r="DPQ9" s="131"/>
      <c r="DPR9" s="131"/>
      <c r="DPS9" s="131"/>
      <c r="DPT9" s="131"/>
      <c r="DPU9" s="131"/>
      <c r="DPV9" s="131"/>
      <c r="DPW9" s="131"/>
      <c r="DPX9" s="131"/>
      <c r="DPY9" s="131"/>
      <c r="DPZ9" s="131"/>
      <c r="DQA9" s="131"/>
      <c r="DQB9" s="131"/>
      <c r="DQC9" s="131"/>
      <c r="DQD9" s="131"/>
      <c r="DQE9" s="131"/>
      <c r="DQF9" s="131"/>
      <c r="DQG9" s="131"/>
      <c r="DQH9" s="131"/>
      <c r="DQI9" s="131"/>
      <c r="DQJ9" s="131"/>
      <c r="DQK9" s="131"/>
      <c r="DQL9" s="131"/>
      <c r="DQM9" s="131"/>
      <c r="DQN9" s="131"/>
      <c r="DQO9" s="131"/>
      <c r="DQP9" s="131"/>
      <c r="DQQ9" s="131"/>
      <c r="DQR9" s="131"/>
      <c r="DQS9" s="131"/>
      <c r="DQT9" s="131"/>
      <c r="DQU9" s="131"/>
      <c r="DQV9" s="131"/>
      <c r="DQW9" s="131"/>
      <c r="DQX9" s="131"/>
      <c r="DQY9" s="131"/>
      <c r="DQZ9" s="131"/>
      <c r="DRA9" s="131"/>
      <c r="DRB9" s="131"/>
      <c r="DRC9" s="131"/>
      <c r="DRD9" s="131"/>
      <c r="DRE9" s="131"/>
      <c r="DRF9" s="131"/>
      <c r="DRG9" s="131"/>
      <c r="DRH9" s="131"/>
      <c r="DRI9" s="131"/>
      <c r="DRJ9" s="131"/>
      <c r="DRK9" s="131"/>
      <c r="DRL9" s="131"/>
      <c r="DRM9" s="131"/>
      <c r="DRN9" s="131"/>
      <c r="DRO9" s="131"/>
      <c r="DRP9" s="131"/>
      <c r="DRQ9" s="131"/>
      <c r="DRR9" s="131"/>
      <c r="DRS9" s="131"/>
      <c r="DRT9" s="131"/>
      <c r="DRU9" s="131"/>
      <c r="DRV9" s="131"/>
      <c r="DRW9" s="131"/>
      <c r="DRX9" s="131"/>
      <c r="DRY9" s="131"/>
      <c r="DRZ9" s="131"/>
      <c r="DSA9" s="131"/>
      <c r="DSB9" s="131"/>
      <c r="DSC9" s="131"/>
      <c r="DSD9" s="131"/>
      <c r="DSE9" s="131"/>
      <c r="DSF9" s="131"/>
      <c r="DSG9" s="131"/>
      <c r="DSH9" s="131"/>
      <c r="DSI9" s="131"/>
      <c r="DSJ9" s="131"/>
      <c r="DSK9" s="131"/>
      <c r="DSL9" s="131"/>
      <c r="DSM9" s="131"/>
      <c r="DSN9" s="131"/>
      <c r="DSO9" s="131"/>
      <c r="DSP9" s="131"/>
      <c r="DSQ9" s="131"/>
      <c r="DSR9" s="131"/>
      <c r="DSS9" s="131"/>
      <c r="DST9" s="131"/>
      <c r="DSU9" s="131"/>
      <c r="DSV9" s="131"/>
      <c r="DSW9" s="131"/>
      <c r="DSX9" s="131"/>
      <c r="DSY9" s="131"/>
      <c r="DSZ9" s="131"/>
      <c r="DTA9" s="131"/>
      <c r="DTB9" s="131"/>
      <c r="DTC9" s="131"/>
      <c r="DTD9" s="131"/>
      <c r="DTE9" s="131"/>
      <c r="DTF9" s="131"/>
      <c r="DTG9" s="131"/>
      <c r="DTH9" s="131"/>
      <c r="DTI9" s="131"/>
      <c r="DTJ9" s="131"/>
      <c r="DTK9" s="131"/>
      <c r="DTL9" s="131"/>
      <c r="DTM9" s="131"/>
      <c r="DTN9" s="131"/>
      <c r="DTO9" s="131"/>
      <c r="DTP9" s="131"/>
      <c r="DTQ9" s="131"/>
      <c r="DTR9" s="131"/>
      <c r="DTS9" s="131"/>
      <c r="DTT9" s="131"/>
      <c r="DTU9" s="131"/>
      <c r="DTV9" s="131"/>
      <c r="DTW9" s="131"/>
      <c r="DTX9" s="131"/>
      <c r="DTY9" s="131"/>
      <c r="DTZ9" s="131"/>
      <c r="DUA9" s="131"/>
      <c r="DUB9" s="131"/>
      <c r="DUC9" s="131"/>
      <c r="DUD9" s="131"/>
      <c r="DUE9" s="131"/>
      <c r="DUF9" s="131"/>
      <c r="DUG9" s="131"/>
      <c r="DUH9" s="131"/>
      <c r="DUI9" s="131"/>
      <c r="DUJ9" s="131"/>
      <c r="DUK9" s="131"/>
      <c r="DUL9" s="131"/>
      <c r="DUM9" s="131"/>
      <c r="DUN9" s="131"/>
      <c r="DUO9" s="131"/>
      <c r="DUP9" s="131"/>
      <c r="DUQ9" s="131"/>
      <c r="DUR9" s="131"/>
      <c r="DUS9" s="131"/>
      <c r="DUT9" s="131"/>
      <c r="DUU9" s="131"/>
      <c r="DUV9" s="131"/>
      <c r="DUW9" s="131"/>
      <c r="DUX9" s="131"/>
      <c r="DUY9" s="131"/>
      <c r="DUZ9" s="131"/>
      <c r="DVA9" s="131"/>
      <c r="DVB9" s="131"/>
      <c r="DVC9" s="131"/>
      <c r="DVD9" s="131"/>
      <c r="DVE9" s="131"/>
      <c r="DVF9" s="131"/>
      <c r="DVG9" s="131"/>
      <c r="DVH9" s="131"/>
      <c r="DVI9" s="131"/>
      <c r="DVJ9" s="131"/>
      <c r="DVK9" s="131"/>
      <c r="DVL9" s="131"/>
      <c r="DVM9" s="131"/>
      <c r="DVN9" s="131"/>
      <c r="DVO9" s="131"/>
      <c r="DVP9" s="131"/>
      <c r="DVQ9" s="131"/>
      <c r="DVR9" s="131"/>
      <c r="DVS9" s="131"/>
      <c r="DVT9" s="131"/>
      <c r="DVU9" s="131"/>
      <c r="DVV9" s="131"/>
      <c r="DVW9" s="131"/>
      <c r="DVX9" s="131"/>
      <c r="DVY9" s="131"/>
      <c r="DVZ9" s="131"/>
      <c r="DWA9" s="131"/>
      <c r="DWB9" s="131"/>
      <c r="DWC9" s="131"/>
      <c r="DWD9" s="131"/>
      <c r="DWE9" s="131"/>
      <c r="DWF9" s="131"/>
      <c r="DWG9" s="131"/>
      <c r="DWH9" s="131"/>
      <c r="DWI9" s="131"/>
      <c r="DWJ9" s="131"/>
      <c r="DWK9" s="131"/>
      <c r="DWL9" s="131"/>
      <c r="DWM9" s="131"/>
      <c r="DWN9" s="131"/>
      <c r="DWO9" s="131"/>
      <c r="DWP9" s="131"/>
      <c r="DWQ9" s="131"/>
      <c r="DWR9" s="131"/>
      <c r="DWS9" s="131"/>
      <c r="DWT9" s="131"/>
      <c r="DWU9" s="131"/>
      <c r="DWV9" s="131"/>
      <c r="DWW9" s="131"/>
      <c r="DWX9" s="131"/>
      <c r="DWY9" s="131"/>
      <c r="DWZ9" s="131"/>
      <c r="DXA9" s="131"/>
      <c r="DXB9" s="131"/>
      <c r="DXC9" s="131"/>
      <c r="DXD9" s="131"/>
      <c r="DXE9" s="131"/>
      <c r="DXF9" s="131"/>
      <c r="DXG9" s="131"/>
      <c r="DXH9" s="131"/>
      <c r="DXI9" s="131"/>
      <c r="DXJ9" s="131"/>
      <c r="DXK9" s="131"/>
      <c r="DXL9" s="131"/>
      <c r="DXM9" s="131"/>
      <c r="DXN9" s="131"/>
      <c r="DXO9" s="131"/>
      <c r="DXP9" s="131"/>
      <c r="DXQ9" s="131"/>
      <c r="DXR9" s="131"/>
      <c r="DXS9" s="131"/>
      <c r="DXT9" s="131"/>
      <c r="DXU9" s="131"/>
      <c r="DXV9" s="131"/>
      <c r="DXW9" s="131"/>
      <c r="DXX9" s="131"/>
      <c r="DXY9" s="131"/>
      <c r="DXZ9" s="131"/>
      <c r="DYA9" s="131"/>
      <c r="DYB9" s="131"/>
      <c r="DYC9" s="131"/>
      <c r="DYD9" s="131"/>
      <c r="DYE9" s="131"/>
      <c r="DYF9" s="131"/>
      <c r="DYG9" s="131"/>
      <c r="DYH9" s="131"/>
      <c r="DYI9" s="131"/>
      <c r="DYJ9" s="131"/>
      <c r="DYK9" s="131"/>
      <c r="DYL9" s="131"/>
      <c r="DYM9" s="131"/>
      <c r="DYN9" s="131"/>
      <c r="DYO9" s="131"/>
      <c r="DYP9" s="131"/>
      <c r="DYQ9" s="131"/>
      <c r="DYR9" s="131"/>
      <c r="DYS9" s="131"/>
      <c r="DYT9" s="131"/>
      <c r="DYU9" s="131"/>
      <c r="DYV9" s="131"/>
      <c r="DYW9" s="131"/>
      <c r="DYX9" s="131"/>
      <c r="DYY9" s="131"/>
      <c r="DYZ9" s="131"/>
      <c r="DZA9" s="131"/>
      <c r="DZB9" s="131"/>
      <c r="DZC9" s="131"/>
      <c r="DZD9" s="131"/>
      <c r="DZE9" s="131"/>
      <c r="DZF9" s="131"/>
      <c r="DZG9" s="131"/>
      <c r="DZH9" s="131"/>
      <c r="DZI9" s="131"/>
      <c r="DZJ9" s="131"/>
      <c r="DZK9" s="131"/>
      <c r="DZL9" s="131"/>
      <c r="DZM9" s="131"/>
      <c r="DZN9" s="131"/>
      <c r="DZO9" s="131"/>
      <c r="DZP9" s="131"/>
      <c r="DZQ9" s="131"/>
      <c r="DZR9" s="131"/>
      <c r="DZS9" s="131"/>
      <c r="DZT9" s="131"/>
      <c r="DZU9" s="131"/>
      <c r="DZV9" s="131"/>
      <c r="DZW9" s="131"/>
      <c r="DZX9" s="131"/>
      <c r="DZY9" s="131"/>
      <c r="DZZ9" s="131"/>
      <c r="EAA9" s="131"/>
      <c r="EAB9" s="131"/>
      <c r="EAC9" s="131"/>
      <c r="EAD9" s="131"/>
      <c r="EAE9" s="131"/>
      <c r="EAF9" s="131"/>
      <c r="EAG9" s="131"/>
      <c r="EAH9" s="131"/>
      <c r="EAI9" s="131"/>
      <c r="EAJ9" s="131"/>
      <c r="EAK9" s="131"/>
      <c r="EAL9" s="131"/>
      <c r="EAM9" s="131"/>
      <c r="EAN9" s="131"/>
      <c r="EAO9" s="131"/>
      <c r="EAP9" s="131"/>
      <c r="EAQ9" s="131"/>
      <c r="EAR9" s="131"/>
      <c r="EAS9" s="131"/>
      <c r="EAT9" s="131"/>
      <c r="EAU9" s="131"/>
      <c r="EAV9" s="131"/>
      <c r="EAW9" s="131"/>
      <c r="EAX9" s="131"/>
      <c r="EAY9" s="131"/>
      <c r="EAZ9" s="131"/>
      <c r="EBA9" s="131"/>
      <c r="EBB9" s="131"/>
      <c r="EBC9" s="131"/>
      <c r="EBD9" s="131"/>
      <c r="EBE9" s="131"/>
      <c r="EBF9" s="131"/>
      <c r="EBG9" s="131"/>
      <c r="EBH9" s="131"/>
      <c r="EBI9" s="131"/>
      <c r="EBJ9" s="131"/>
      <c r="EBK9" s="131"/>
      <c r="EBL9" s="131"/>
      <c r="EBM9" s="131"/>
      <c r="EBN9" s="131"/>
      <c r="EBO9" s="131"/>
      <c r="EBP9" s="131"/>
      <c r="EBQ9" s="131"/>
      <c r="EBR9" s="131"/>
      <c r="EBS9" s="131"/>
      <c r="EBT9" s="131"/>
      <c r="EBU9" s="131"/>
      <c r="EBV9" s="131"/>
      <c r="EBW9" s="131"/>
      <c r="EBX9" s="131"/>
      <c r="EBY9" s="131"/>
      <c r="EBZ9" s="131"/>
      <c r="ECA9" s="131"/>
      <c r="ECB9" s="131"/>
      <c r="ECC9" s="131"/>
      <c r="ECD9" s="131"/>
      <c r="ECE9" s="131"/>
      <c r="ECF9" s="131"/>
      <c r="ECG9" s="131"/>
      <c r="ECH9" s="131"/>
      <c r="ECI9" s="131"/>
      <c r="ECJ9" s="131"/>
      <c r="ECK9" s="131"/>
      <c r="ECL9" s="131"/>
      <c r="ECM9" s="131"/>
      <c r="ECN9" s="131"/>
      <c r="ECO9" s="131"/>
      <c r="ECP9" s="131"/>
      <c r="ECQ9" s="131"/>
      <c r="ECR9" s="131"/>
      <c r="ECS9" s="131"/>
      <c r="ECT9" s="131"/>
      <c r="ECU9" s="131"/>
      <c r="ECV9" s="131"/>
      <c r="ECW9" s="131"/>
      <c r="ECX9" s="131"/>
      <c r="ECY9" s="131"/>
      <c r="ECZ9" s="131"/>
      <c r="EDA9" s="131"/>
      <c r="EDB9" s="131"/>
      <c r="EDC9" s="131"/>
      <c r="EDD9" s="131"/>
      <c r="EDE9" s="131"/>
      <c r="EDF9" s="131"/>
      <c r="EDG9" s="131"/>
      <c r="EDH9" s="131"/>
      <c r="EDI9" s="131"/>
      <c r="EDJ9" s="131"/>
      <c r="EDK9" s="131"/>
      <c r="EDL9" s="131"/>
      <c r="EDM9" s="131"/>
      <c r="EDN9" s="131"/>
      <c r="EDO9" s="131"/>
      <c r="EDP9" s="131"/>
      <c r="EDQ9" s="131"/>
      <c r="EDR9" s="131"/>
      <c r="EDS9" s="131"/>
      <c r="EDT9" s="131"/>
      <c r="EDU9" s="131"/>
      <c r="EDV9" s="131"/>
      <c r="EDW9" s="131"/>
      <c r="EDX9" s="131"/>
      <c r="EDY9" s="131"/>
      <c r="EDZ9" s="131"/>
      <c r="EEA9" s="131"/>
      <c r="EEB9" s="131"/>
      <c r="EEC9" s="131"/>
      <c r="EED9" s="131"/>
      <c r="EEE9" s="131"/>
      <c r="EEF9" s="131"/>
      <c r="EEG9" s="131"/>
      <c r="EEH9" s="131"/>
      <c r="EEI9" s="131"/>
      <c r="EEJ9" s="131"/>
      <c r="EEK9" s="131"/>
      <c r="EEL9" s="131"/>
      <c r="EEM9" s="131"/>
      <c r="EEN9" s="131"/>
      <c r="EEO9" s="131"/>
      <c r="EEP9" s="131"/>
      <c r="EEQ9" s="131"/>
      <c r="EER9" s="131"/>
      <c r="EES9" s="131"/>
      <c r="EET9" s="131"/>
      <c r="EEU9" s="131"/>
      <c r="EEV9" s="131"/>
      <c r="EEW9" s="131"/>
      <c r="EEX9" s="131"/>
      <c r="EEY9" s="131"/>
      <c r="EEZ9" s="131"/>
      <c r="EFA9" s="131"/>
      <c r="EFB9" s="131"/>
      <c r="EFC9" s="131"/>
      <c r="EFD9" s="131"/>
      <c r="EFE9" s="131"/>
      <c r="EFF9" s="131"/>
      <c r="EFG9" s="131"/>
      <c r="EFH9" s="131"/>
      <c r="EFI9" s="131"/>
      <c r="EFJ9" s="131"/>
      <c r="EFK9" s="131"/>
      <c r="EFL9" s="131"/>
      <c r="EFM9" s="131"/>
      <c r="EFN9" s="131"/>
      <c r="EFO9" s="131"/>
      <c r="EFP9" s="131"/>
      <c r="EFQ9" s="131"/>
      <c r="EFR9" s="131"/>
      <c r="EFS9" s="131"/>
      <c r="EFT9" s="131"/>
      <c r="EFU9" s="131"/>
      <c r="EFV9" s="131"/>
      <c r="EFW9" s="131"/>
      <c r="EFX9" s="131"/>
      <c r="EFY9" s="131"/>
      <c r="EFZ9" s="131"/>
      <c r="EGA9" s="131"/>
      <c r="EGB9" s="131"/>
      <c r="EGC9" s="131"/>
      <c r="EGD9" s="131"/>
      <c r="EGE9" s="131"/>
      <c r="EGF9" s="131"/>
      <c r="EGG9" s="131"/>
      <c r="EGH9" s="131"/>
      <c r="EGI9" s="131"/>
      <c r="EGJ9" s="131"/>
      <c r="EGK9" s="131"/>
      <c r="EGL9" s="131"/>
      <c r="EGM9" s="131"/>
      <c r="EGN9" s="131"/>
      <c r="EGO9" s="131"/>
      <c r="EGP9" s="131"/>
      <c r="EGQ9" s="131"/>
      <c r="EGR9" s="131"/>
      <c r="EGS9" s="131"/>
      <c r="EGT9" s="131"/>
      <c r="EGU9" s="131"/>
      <c r="EGV9" s="131"/>
      <c r="EGW9" s="131"/>
      <c r="EGX9" s="131"/>
      <c r="EGY9" s="131"/>
      <c r="EGZ9" s="131"/>
      <c r="EHA9" s="131"/>
      <c r="EHB9" s="131"/>
      <c r="EHC9" s="131"/>
      <c r="EHD9" s="131"/>
      <c r="EHE9" s="131"/>
      <c r="EHF9" s="131"/>
      <c r="EHG9" s="131"/>
      <c r="EHH9" s="131"/>
      <c r="EHI9" s="131"/>
      <c r="EHJ9" s="131"/>
      <c r="EHK9" s="131"/>
      <c r="EHL9" s="131"/>
      <c r="EHM9" s="131"/>
      <c r="EHN9" s="131"/>
      <c r="EHO9" s="131"/>
      <c r="EHP9" s="131"/>
      <c r="EHQ9" s="131"/>
      <c r="EHR9" s="131"/>
      <c r="EHS9" s="131"/>
      <c r="EHT9" s="131"/>
      <c r="EHU9" s="131"/>
      <c r="EHV9" s="131"/>
      <c r="EHW9" s="131"/>
      <c r="EHX9" s="131"/>
      <c r="EHY9" s="131"/>
      <c r="EHZ9" s="131"/>
      <c r="EIA9" s="131"/>
      <c r="EIB9" s="131"/>
      <c r="EIC9" s="131"/>
      <c r="EID9" s="131"/>
      <c r="EIE9" s="131"/>
      <c r="EIF9" s="131"/>
      <c r="EIG9" s="131"/>
      <c r="EIH9" s="131"/>
      <c r="EII9" s="131"/>
      <c r="EIJ9" s="131"/>
      <c r="EIK9" s="131"/>
      <c r="EIL9" s="131"/>
      <c r="EIM9" s="131"/>
      <c r="EIN9" s="131"/>
      <c r="EIO9" s="131"/>
      <c r="EIP9" s="131"/>
      <c r="EIQ9" s="131"/>
      <c r="EIR9" s="131"/>
      <c r="EIS9" s="131"/>
      <c r="EIT9" s="131"/>
      <c r="EIU9" s="131"/>
      <c r="EIV9" s="131"/>
      <c r="EIW9" s="131"/>
      <c r="EIX9" s="131"/>
      <c r="EIY9" s="131"/>
      <c r="EIZ9" s="131"/>
      <c r="EJA9" s="131"/>
      <c r="EJB9" s="131"/>
      <c r="EJC9" s="131"/>
      <c r="EJD9" s="131"/>
      <c r="EJE9" s="131"/>
      <c r="EJF9" s="131"/>
      <c r="EJG9" s="131"/>
      <c r="EJH9" s="131"/>
      <c r="EJI9" s="131"/>
      <c r="EJJ9" s="131"/>
      <c r="EJK9" s="131"/>
      <c r="EJL9" s="131"/>
      <c r="EJM9" s="131"/>
      <c r="EJN9" s="131"/>
      <c r="EJO9" s="131"/>
      <c r="EJP9" s="131"/>
      <c r="EJQ9" s="131"/>
      <c r="EJR9" s="131"/>
      <c r="EJS9" s="131"/>
      <c r="EJT9" s="131"/>
      <c r="EJU9" s="131"/>
      <c r="EJV9" s="131"/>
      <c r="EJW9" s="131"/>
      <c r="EJX9" s="131"/>
      <c r="EJY9" s="131"/>
      <c r="EJZ9" s="131"/>
      <c r="EKA9" s="131"/>
      <c r="EKB9" s="131"/>
      <c r="EKC9" s="131"/>
      <c r="EKD9" s="131"/>
      <c r="EKE9" s="131"/>
      <c r="EKF9" s="131"/>
      <c r="EKG9" s="131"/>
      <c r="EKH9" s="131"/>
      <c r="EKI9" s="131"/>
      <c r="EKJ9" s="131"/>
      <c r="EKK9" s="131"/>
      <c r="EKL9" s="131"/>
      <c r="EKM9" s="131"/>
      <c r="EKN9" s="131"/>
      <c r="EKO9" s="131"/>
      <c r="EKP9" s="131"/>
      <c r="EKQ9" s="131"/>
      <c r="EKR9" s="131"/>
      <c r="EKS9" s="131"/>
      <c r="EKT9" s="131"/>
      <c r="EKU9" s="131"/>
      <c r="EKV9" s="131"/>
      <c r="EKW9" s="131"/>
      <c r="EKX9" s="131"/>
      <c r="EKY9" s="131"/>
      <c r="EKZ9" s="131"/>
      <c r="ELA9" s="131"/>
      <c r="ELB9" s="131"/>
      <c r="ELC9" s="131"/>
      <c r="ELD9" s="131"/>
      <c r="ELE9" s="131"/>
      <c r="ELF9" s="131"/>
      <c r="ELG9" s="131"/>
      <c r="ELH9" s="131"/>
      <c r="ELI9" s="131"/>
      <c r="ELJ9" s="131"/>
      <c r="ELK9" s="131"/>
      <c r="ELL9" s="131"/>
      <c r="ELM9" s="131"/>
      <c r="ELN9" s="131"/>
      <c r="ELO9" s="131"/>
      <c r="ELP9" s="131"/>
      <c r="ELQ9" s="131"/>
      <c r="ELR9" s="131"/>
      <c r="ELS9" s="131"/>
      <c r="ELT9" s="131"/>
      <c r="ELU9" s="131"/>
      <c r="ELV9" s="131"/>
      <c r="ELW9" s="131"/>
      <c r="ELX9" s="131"/>
      <c r="ELY9" s="131"/>
      <c r="ELZ9" s="131"/>
      <c r="EMA9" s="131"/>
      <c r="EMB9" s="131"/>
      <c r="EMC9" s="131"/>
      <c r="EMD9" s="131"/>
      <c r="EME9" s="131"/>
      <c r="EMF9" s="131"/>
      <c r="EMG9" s="131"/>
      <c r="EMH9" s="131"/>
      <c r="EMI9" s="131"/>
      <c r="EMJ9" s="131"/>
      <c r="EMK9" s="131"/>
      <c r="EML9" s="131"/>
      <c r="EMM9" s="131"/>
      <c r="EMN9" s="131"/>
      <c r="EMO9" s="131"/>
      <c r="EMP9" s="131"/>
      <c r="EMQ9" s="131"/>
      <c r="EMR9" s="131"/>
      <c r="EMS9" s="131"/>
      <c r="EMT9" s="131"/>
      <c r="EMU9" s="131"/>
      <c r="EMV9" s="131"/>
      <c r="EMW9" s="131"/>
      <c r="EMX9" s="131"/>
      <c r="EMY9" s="131"/>
      <c r="EMZ9" s="131"/>
      <c r="ENA9" s="131"/>
      <c r="ENB9" s="131"/>
      <c r="ENC9" s="131"/>
      <c r="END9" s="131"/>
      <c r="ENE9" s="131"/>
      <c r="ENF9" s="131"/>
      <c r="ENG9" s="131"/>
      <c r="ENH9" s="131"/>
      <c r="ENI9" s="131"/>
      <c r="ENJ9" s="131"/>
      <c r="ENK9" s="131"/>
      <c r="ENL9" s="131"/>
      <c r="ENM9" s="131"/>
      <c r="ENN9" s="131"/>
      <c r="ENO9" s="131"/>
      <c r="ENP9" s="131"/>
      <c r="ENQ9" s="131"/>
      <c r="ENR9" s="131"/>
      <c r="ENS9" s="131"/>
      <c r="ENT9" s="131"/>
      <c r="ENU9" s="131"/>
      <c r="ENV9" s="131"/>
      <c r="ENW9" s="131"/>
      <c r="ENX9" s="131"/>
      <c r="ENY9" s="131"/>
      <c r="ENZ9" s="131"/>
      <c r="EOA9" s="131"/>
      <c r="EOB9" s="131"/>
      <c r="EOC9" s="131"/>
      <c r="EOD9" s="131"/>
      <c r="EOE9" s="131"/>
      <c r="EOF9" s="131"/>
      <c r="EOG9" s="131"/>
      <c r="EOH9" s="131"/>
      <c r="EOI9" s="131"/>
      <c r="EOJ9" s="131"/>
      <c r="EOK9" s="131"/>
      <c r="EOL9" s="131"/>
      <c r="EOM9" s="131"/>
      <c r="EON9" s="131"/>
      <c r="EOO9" s="131"/>
      <c r="EOP9" s="131"/>
      <c r="EOQ9" s="131"/>
      <c r="EOR9" s="131"/>
      <c r="EOS9" s="131"/>
      <c r="EOT9" s="131"/>
      <c r="EOU9" s="131"/>
      <c r="EOV9" s="131"/>
      <c r="EOW9" s="131"/>
      <c r="EOX9" s="131"/>
      <c r="EOY9" s="131"/>
      <c r="EOZ9" s="131"/>
      <c r="EPA9" s="131"/>
      <c r="EPB9" s="131"/>
      <c r="EPC9" s="131"/>
      <c r="EPD9" s="131"/>
      <c r="EPE9" s="131"/>
      <c r="EPF9" s="131"/>
      <c r="EPG9" s="131"/>
      <c r="EPH9" s="131"/>
      <c r="EPI9" s="131"/>
      <c r="EPJ9" s="131"/>
      <c r="EPK9" s="131"/>
      <c r="EPL9" s="131"/>
      <c r="EPM9" s="131"/>
      <c r="EPN9" s="131"/>
      <c r="EPO9" s="131"/>
      <c r="EPP9" s="131"/>
      <c r="EPQ9" s="131"/>
      <c r="EPR9" s="131"/>
      <c r="EPS9" s="131"/>
      <c r="EPT9" s="131"/>
      <c r="EPU9" s="131"/>
      <c r="EPV9" s="131"/>
      <c r="EPW9" s="131"/>
      <c r="EPX9" s="131"/>
      <c r="EPY9" s="131"/>
      <c r="EPZ9" s="131"/>
      <c r="EQA9" s="131"/>
      <c r="EQB9" s="131"/>
      <c r="EQC9" s="131"/>
      <c r="EQD9" s="131"/>
      <c r="EQE9" s="131"/>
      <c r="EQF9" s="131"/>
      <c r="EQG9" s="131"/>
      <c r="EQH9" s="131"/>
      <c r="EQI9" s="131"/>
      <c r="EQJ9" s="131"/>
      <c r="EQK9" s="131"/>
      <c r="EQL9" s="131"/>
      <c r="EQM9" s="131"/>
      <c r="EQN9" s="131"/>
      <c r="EQO9" s="131"/>
      <c r="EQP9" s="131"/>
      <c r="EQQ9" s="131"/>
      <c r="EQR9" s="131"/>
      <c r="EQS9" s="131"/>
      <c r="EQT9" s="131"/>
      <c r="EQU9" s="131"/>
      <c r="EQV9" s="131"/>
      <c r="EQW9" s="131"/>
      <c r="EQX9" s="131"/>
      <c r="EQY9" s="131"/>
      <c r="EQZ9" s="131"/>
      <c r="ERA9" s="131"/>
      <c r="ERB9" s="131"/>
      <c r="ERC9" s="131"/>
      <c r="ERD9" s="131"/>
      <c r="ERE9" s="131"/>
      <c r="ERF9" s="131"/>
      <c r="ERG9" s="131"/>
      <c r="ERH9" s="131"/>
      <c r="ERI9" s="131"/>
      <c r="ERJ9" s="131"/>
      <c r="ERK9" s="131"/>
      <c r="ERL9" s="131"/>
      <c r="ERM9" s="131"/>
      <c r="ERN9" s="131"/>
      <c r="ERO9" s="131"/>
      <c r="ERP9" s="131"/>
      <c r="ERQ9" s="131"/>
      <c r="ERR9" s="131"/>
      <c r="ERS9" s="131"/>
      <c r="ERT9" s="131"/>
      <c r="ERU9" s="131"/>
      <c r="ERV9" s="131"/>
      <c r="ERW9" s="131"/>
      <c r="ERX9" s="131"/>
      <c r="ERY9" s="131"/>
      <c r="ERZ9" s="131"/>
      <c r="ESA9" s="131"/>
      <c r="ESB9" s="131"/>
      <c r="ESC9" s="131"/>
      <c r="ESD9" s="131"/>
      <c r="ESE9" s="131"/>
      <c r="ESF9" s="131"/>
      <c r="ESG9" s="131"/>
      <c r="ESH9" s="131"/>
      <c r="ESI9" s="131"/>
      <c r="ESJ9" s="131"/>
      <c r="ESK9" s="131"/>
      <c r="ESL9" s="131"/>
      <c r="ESM9" s="131"/>
      <c r="ESN9" s="131"/>
      <c r="ESO9" s="131"/>
      <c r="ESP9" s="131"/>
      <c r="ESQ9" s="131"/>
      <c r="ESR9" s="131"/>
      <c r="ESS9" s="131"/>
      <c r="EST9" s="131"/>
      <c r="ESU9" s="131"/>
      <c r="ESV9" s="131"/>
      <c r="ESW9" s="131"/>
      <c r="ESX9" s="131"/>
      <c r="ESY9" s="131"/>
      <c r="ESZ9" s="131"/>
      <c r="ETA9" s="131"/>
      <c r="ETB9" s="131"/>
      <c r="ETC9" s="131"/>
      <c r="ETD9" s="131"/>
      <c r="ETE9" s="131"/>
      <c r="ETF9" s="131"/>
      <c r="ETG9" s="131"/>
      <c r="ETH9" s="131"/>
      <c r="ETI9" s="131"/>
      <c r="ETJ9" s="131"/>
      <c r="ETK9" s="131"/>
      <c r="ETL9" s="131"/>
      <c r="ETM9" s="131"/>
      <c r="ETN9" s="131"/>
      <c r="ETO9" s="131"/>
      <c r="ETP9" s="131"/>
      <c r="ETQ9" s="131"/>
      <c r="ETR9" s="131"/>
      <c r="ETS9" s="131"/>
      <c r="ETT9" s="131"/>
      <c r="ETU9" s="131"/>
      <c r="ETV9" s="131"/>
      <c r="ETW9" s="131"/>
      <c r="ETX9" s="131"/>
      <c r="ETY9" s="131"/>
      <c r="ETZ9" s="131"/>
      <c r="EUA9" s="131"/>
      <c r="EUB9" s="131"/>
      <c r="EUC9" s="131"/>
      <c r="EUD9" s="131"/>
      <c r="EUE9" s="131"/>
      <c r="EUF9" s="131"/>
      <c r="EUG9" s="131"/>
      <c r="EUH9" s="131"/>
      <c r="EUI9" s="131"/>
      <c r="EUJ9" s="131"/>
      <c r="EUK9" s="131"/>
      <c r="EUL9" s="131"/>
      <c r="EUM9" s="131"/>
      <c r="EUN9" s="131"/>
      <c r="EUO9" s="131"/>
      <c r="EUP9" s="131"/>
      <c r="EUQ9" s="131"/>
      <c r="EUR9" s="131"/>
      <c r="EUS9" s="131"/>
      <c r="EUT9" s="131"/>
      <c r="EUU9" s="131"/>
      <c r="EUV9" s="131"/>
      <c r="EUW9" s="131"/>
      <c r="EUX9" s="131"/>
      <c r="EUY9" s="131"/>
      <c r="EUZ9" s="131"/>
      <c r="EVA9" s="131"/>
      <c r="EVB9" s="131"/>
      <c r="EVC9" s="131"/>
      <c r="EVD9" s="131"/>
      <c r="EVE9" s="131"/>
      <c r="EVF9" s="131"/>
      <c r="EVG9" s="131"/>
      <c r="EVH9" s="131"/>
      <c r="EVI9" s="131"/>
      <c r="EVJ9" s="131"/>
      <c r="EVK9" s="131"/>
      <c r="EVL9" s="131"/>
      <c r="EVM9" s="131"/>
      <c r="EVN9" s="131"/>
      <c r="EVO9" s="131"/>
      <c r="EVP9" s="131"/>
      <c r="EVQ9" s="131"/>
      <c r="EVR9" s="131"/>
      <c r="EVS9" s="131"/>
      <c r="EVT9" s="131"/>
      <c r="EVU9" s="131"/>
      <c r="EVV9" s="131"/>
      <c r="EVW9" s="131"/>
      <c r="EVX9" s="131"/>
      <c r="EVY9" s="131"/>
      <c r="EVZ9" s="131"/>
      <c r="EWA9" s="131"/>
      <c r="EWB9" s="131"/>
      <c r="EWC9" s="131"/>
      <c r="EWD9" s="131"/>
      <c r="EWE9" s="131"/>
      <c r="EWF9" s="131"/>
      <c r="EWG9" s="131"/>
      <c r="EWH9" s="131"/>
      <c r="EWI9" s="131"/>
      <c r="EWJ9" s="131"/>
      <c r="EWK9" s="131"/>
      <c r="EWL9" s="131"/>
      <c r="EWM9" s="131"/>
      <c r="EWN9" s="131"/>
      <c r="EWO9" s="131"/>
      <c r="EWP9" s="131"/>
      <c r="EWQ9" s="131"/>
      <c r="EWR9" s="131"/>
      <c r="EWS9" s="131"/>
      <c r="EWT9" s="131"/>
      <c r="EWU9" s="131"/>
      <c r="EWV9" s="131"/>
      <c r="EWW9" s="131"/>
      <c r="EWX9" s="131"/>
      <c r="EWY9" s="131"/>
      <c r="EWZ9" s="131"/>
      <c r="EXA9" s="131"/>
      <c r="EXB9" s="131"/>
      <c r="EXC9" s="131"/>
      <c r="EXD9" s="131"/>
      <c r="EXE9" s="131"/>
      <c r="EXF9" s="131"/>
      <c r="EXG9" s="131"/>
      <c r="EXH9" s="131"/>
      <c r="EXI9" s="131"/>
      <c r="EXJ9" s="131"/>
      <c r="EXK9" s="131"/>
      <c r="EXL9" s="131"/>
      <c r="EXM9" s="131"/>
      <c r="EXN9" s="131"/>
      <c r="EXO9" s="131"/>
      <c r="EXP9" s="131"/>
      <c r="EXQ9" s="131"/>
      <c r="EXR9" s="131"/>
      <c r="EXS9" s="131"/>
      <c r="EXT9" s="131"/>
      <c r="EXU9" s="131"/>
      <c r="EXV9" s="131"/>
      <c r="EXW9" s="131"/>
      <c r="EXX9" s="131"/>
      <c r="EXY9" s="131"/>
      <c r="EXZ9" s="131"/>
      <c r="EYA9" s="131"/>
      <c r="EYB9" s="131"/>
      <c r="EYC9" s="131"/>
      <c r="EYD9" s="131"/>
      <c r="EYE9" s="131"/>
      <c r="EYF9" s="131"/>
      <c r="EYG9" s="131"/>
      <c r="EYH9" s="131"/>
      <c r="EYI9" s="131"/>
      <c r="EYJ9" s="131"/>
      <c r="EYK9" s="131"/>
      <c r="EYL9" s="131"/>
      <c r="EYM9" s="131"/>
      <c r="EYN9" s="131"/>
      <c r="EYO9" s="131"/>
      <c r="EYP9" s="131"/>
      <c r="EYQ9" s="131"/>
      <c r="EYR9" s="131"/>
      <c r="EYS9" s="131"/>
      <c r="EYT9" s="131"/>
      <c r="EYU9" s="131"/>
      <c r="EYV9" s="131"/>
      <c r="EYW9" s="131"/>
      <c r="EYX9" s="131"/>
      <c r="EYY9" s="131"/>
      <c r="EYZ9" s="131"/>
      <c r="EZA9" s="131"/>
      <c r="EZB9" s="131"/>
      <c r="EZC9" s="131"/>
      <c r="EZD9" s="131"/>
      <c r="EZE9" s="131"/>
      <c r="EZF9" s="131"/>
      <c r="EZG9" s="131"/>
      <c r="EZH9" s="131"/>
      <c r="EZI9" s="131"/>
      <c r="EZJ9" s="131"/>
      <c r="EZK9" s="131"/>
      <c r="EZL9" s="131"/>
      <c r="EZM9" s="131"/>
      <c r="EZN9" s="131"/>
      <c r="EZO9" s="131"/>
      <c r="EZP9" s="131"/>
      <c r="EZQ9" s="131"/>
      <c r="EZR9" s="131"/>
      <c r="EZS9" s="131"/>
      <c r="EZT9" s="131"/>
      <c r="EZU9" s="131"/>
      <c r="EZV9" s="131"/>
      <c r="EZW9" s="131"/>
      <c r="EZX9" s="131"/>
      <c r="EZY9" s="131"/>
      <c r="EZZ9" s="131"/>
      <c r="FAA9" s="131"/>
      <c r="FAB9" s="131"/>
      <c r="FAC9" s="131"/>
      <c r="FAP9" s="131"/>
      <c r="FAQ9" s="131"/>
      <c r="FAR9" s="131"/>
      <c r="FAS9" s="131"/>
      <c r="FAT9" s="131"/>
      <c r="FAU9" s="131"/>
      <c r="FAV9" s="131"/>
      <c r="FAW9" s="131"/>
      <c r="FAX9" s="131"/>
      <c r="FAY9" s="131"/>
      <c r="FAZ9" s="131"/>
      <c r="FBA9" s="131"/>
      <c r="FBB9" s="131"/>
      <c r="FBC9" s="131"/>
      <c r="FBD9" s="131"/>
      <c r="FBE9" s="131"/>
      <c r="FBF9" s="131"/>
      <c r="FBG9" s="131"/>
      <c r="FBH9" s="131"/>
      <c r="FBI9" s="131"/>
      <c r="FBJ9" s="131"/>
      <c r="FBK9" s="131"/>
      <c r="FBL9" s="131"/>
      <c r="FBM9" s="131"/>
      <c r="FBN9" s="131"/>
      <c r="FBO9" s="131"/>
      <c r="FBP9" s="131"/>
      <c r="FBQ9" s="131"/>
      <c r="FBR9" s="131"/>
      <c r="FBS9" s="131"/>
      <c r="FBT9" s="131"/>
      <c r="FBU9" s="131"/>
      <c r="FBV9" s="131"/>
      <c r="FBW9" s="131"/>
      <c r="FBX9" s="131"/>
      <c r="FBY9" s="131"/>
      <c r="FBZ9" s="131"/>
      <c r="FCA9" s="131"/>
      <c r="FCB9" s="131"/>
      <c r="FCC9" s="131"/>
      <c r="FCD9" s="131"/>
      <c r="FCE9" s="131"/>
      <c r="FCF9" s="131"/>
      <c r="FCG9" s="131"/>
      <c r="FCH9" s="131"/>
      <c r="FCI9" s="131"/>
      <c r="FCJ9" s="131"/>
      <c r="FCK9" s="131"/>
      <c r="FCL9" s="131"/>
      <c r="FCM9" s="131"/>
      <c r="FCN9" s="131"/>
      <c r="FCO9" s="131"/>
      <c r="FCP9" s="131"/>
      <c r="FCQ9" s="131"/>
      <c r="FCR9" s="131"/>
      <c r="FCS9" s="131"/>
      <c r="FCT9" s="131"/>
      <c r="FCU9" s="131"/>
      <c r="FCV9" s="131"/>
      <c r="FCW9" s="131"/>
      <c r="FCX9" s="131"/>
      <c r="FCY9" s="131"/>
      <c r="FCZ9" s="131"/>
      <c r="FDA9" s="131"/>
      <c r="FDB9" s="131"/>
      <c r="FDC9" s="131"/>
      <c r="FDD9" s="131"/>
      <c r="FDE9" s="131"/>
      <c r="FDF9" s="131"/>
      <c r="FDG9" s="131"/>
      <c r="FDH9" s="131"/>
      <c r="FDI9" s="131"/>
      <c r="FDJ9" s="131"/>
      <c r="FDK9" s="131"/>
      <c r="FDL9" s="131"/>
      <c r="FDM9" s="131"/>
      <c r="FDN9" s="131"/>
      <c r="FDO9" s="131"/>
      <c r="FDP9" s="131"/>
      <c r="FDQ9" s="131"/>
      <c r="FDR9" s="131"/>
      <c r="FDS9" s="131"/>
      <c r="FDT9" s="131"/>
      <c r="FDU9" s="131"/>
      <c r="FDV9" s="131"/>
      <c r="FDW9" s="131"/>
      <c r="FDX9" s="131"/>
      <c r="FDY9" s="131"/>
      <c r="FDZ9" s="131"/>
      <c r="FEA9" s="131"/>
      <c r="FEB9" s="131"/>
      <c r="FEC9" s="131"/>
      <c r="FED9" s="131"/>
      <c r="FEE9" s="131"/>
      <c r="FEF9" s="131"/>
      <c r="FEG9" s="131"/>
      <c r="FEH9" s="131"/>
      <c r="FEI9" s="131"/>
      <c r="FEJ9" s="131"/>
      <c r="FEK9" s="131"/>
      <c r="FEL9" s="131"/>
      <c r="FEM9" s="131"/>
      <c r="FEN9" s="131"/>
      <c r="FEO9" s="131"/>
      <c r="FEP9" s="131"/>
      <c r="FEQ9" s="131"/>
      <c r="FER9" s="131"/>
      <c r="FES9" s="131"/>
      <c r="FET9" s="131"/>
      <c r="FEU9" s="131"/>
      <c r="FEV9" s="131"/>
      <c r="FEW9" s="131"/>
      <c r="FEX9" s="131"/>
      <c r="FEY9" s="131"/>
      <c r="FEZ9" s="131"/>
      <c r="FFA9" s="131"/>
      <c r="FFB9" s="131"/>
      <c r="FFC9" s="131"/>
      <c r="FFD9" s="131"/>
      <c r="FFE9" s="131"/>
      <c r="FFF9" s="131"/>
      <c r="FFG9" s="131"/>
      <c r="FFH9" s="131"/>
      <c r="FFI9" s="131"/>
      <c r="FFJ9" s="131"/>
      <c r="FFK9" s="131"/>
      <c r="FFL9" s="131"/>
      <c r="FFM9" s="131"/>
      <c r="FFN9" s="131"/>
      <c r="FFO9" s="131"/>
      <c r="FFP9" s="131"/>
      <c r="FFQ9" s="131"/>
      <c r="FFR9" s="131"/>
      <c r="FFS9" s="131"/>
      <c r="FFT9" s="131"/>
      <c r="FFU9" s="131"/>
      <c r="FFV9" s="131"/>
      <c r="FFW9" s="131"/>
      <c r="FFX9" s="131"/>
      <c r="FFY9" s="131"/>
      <c r="FFZ9" s="131"/>
      <c r="FGA9" s="131"/>
      <c r="FGB9" s="131"/>
      <c r="FGC9" s="131"/>
      <c r="FGD9" s="131"/>
      <c r="FGE9" s="131"/>
      <c r="FGF9" s="131"/>
      <c r="FGG9" s="131"/>
      <c r="FGH9" s="131"/>
      <c r="FGI9" s="131"/>
      <c r="FGJ9" s="131"/>
      <c r="FGK9" s="131"/>
      <c r="FGL9" s="131"/>
      <c r="FGM9" s="131"/>
      <c r="FGN9" s="131"/>
      <c r="FGO9" s="131"/>
      <c r="FGP9" s="131"/>
      <c r="FGQ9" s="131"/>
      <c r="FGR9" s="131"/>
      <c r="FGS9" s="131"/>
      <c r="FGT9" s="131"/>
      <c r="FGU9" s="131"/>
      <c r="FGV9" s="131"/>
      <c r="FGW9" s="131"/>
      <c r="FGX9" s="131"/>
      <c r="FGY9" s="131"/>
      <c r="FGZ9" s="131"/>
      <c r="FHA9" s="131"/>
      <c r="FHB9" s="131"/>
      <c r="FHC9" s="131"/>
      <c r="FHD9" s="131"/>
      <c r="FHE9" s="131"/>
      <c r="FHF9" s="131"/>
      <c r="FHG9" s="131"/>
      <c r="FHH9" s="131"/>
      <c r="FHI9" s="131"/>
      <c r="FHJ9" s="131"/>
      <c r="FHK9" s="131"/>
      <c r="FHL9" s="131"/>
      <c r="FHM9" s="131"/>
      <c r="FHN9" s="131"/>
      <c r="FHO9" s="131"/>
      <c r="FHP9" s="131"/>
      <c r="FHQ9" s="131"/>
      <c r="FHR9" s="131"/>
      <c r="FHS9" s="131"/>
      <c r="FHT9" s="131"/>
      <c r="FHU9" s="131"/>
      <c r="FHV9" s="131"/>
      <c r="FHW9" s="131"/>
      <c r="FHX9" s="131"/>
      <c r="FHY9" s="131"/>
      <c r="FHZ9" s="131"/>
      <c r="FIA9" s="131"/>
      <c r="FIB9" s="131"/>
      <c r="FIC9" s="131"/>
      <c r="FID9" s="131"/>
      <c r="FIE9" s="131"/>
      <c r="FIF9" s="131"/>
      <c r="FIG9" s="131"/>
      <c r="FIH9" s="131"/>
      <c r="FII9" s="131"/>
      <c r="FIJ9" s="131"/>
      <c r="FIK9" s="131"/>
      <c r="FIL9" s="131"/>
      <c r="FIM9" s="131"/>
      <c r="FIN9" s="131"/>
      <c r="FIO9" s="131"/>
      <c r="FIP9" s="131"/>
      <c r="FIQ9" s="131"/>
      <c r="FIR9" s="131"/>
      <c r="FIS9" s="131"/>
      <c r="FIT9" s="131"/>
      <c r="FIU9" s="131"/>
      <c r="FIV9" s="131"/>
      <c r="FIW9" s="131"/>
      <c r="FIX9" s="131"/>
      <c r="FIY9" s="131"/>
      <c r="FIZ9" s="131"/>
      <c r="FJA9" s="131"/>
      <c r="FJB9" s="131"/>
      <c r="FJC9" s="131"/>
      <c r="FJD9" s="131"/>
      <c r="FJE9" s="131"/>
      <c r="FJF9" s="131"/>
      <c r="FJG9" s="131"/>
      <c r="FJH9" s="131"/>
      <c r="FJI9" s="131"/>
      <c r="FJJ9" s="131"/>
      <c r="FJK9" s="131"/>
      <c r="FJL9" s="131"/>
      <c r="FJM9" s="131"/>
      <c r="FJN9" s="131"/>
      <c r="FJO9" s="131"/>
      <c r="FJP9" s="131"/>
      <c r="FJQ9" s="131"/>
      <c r="FJR9" s="131"/>
      <c r="FJS9" s="131"/>
      <c r="FJT9" s="131"/>
      <c r="FJU9" s="131"/>
      <c r="FJV9" s="131"/>
      <c r="FJW9" s="131"/>
      <c r="FJX9" s="131"/>
      <c r="FJY9" s="131"/>
      <c r="FJZ9" s="131"/>
      <c r="FKA9" s="131"/>
      <c r="FKB9" s="131"/>
      <c r="FKC9" s="131"/>
      <c r="FKD9" s="131"/>
      <c r="FKE9" s="131"/>
      <c r="FKF9" s="131"/>
      <c r="FKG9" s="131"/>
      <c r="FKH9" s="131"/>
      <c r="FKI9" s="131"/>
      <c r="FKJ9" s="131"/>
      <c r="FKK9" s="131"/>
      <c r="FKL9" s="131"/>
      <c r="FKM9" s="131"/>
      <c r="FKN9" s="131"/>
      <c r="FKO9" s="131"/>
      <c r="FKP9" s="131"/>
      <c r="FKQ9" s="131"/>
      <c r="FKR9" s="131"/>
      <c r="FKS9" s="131"/>
      <c r="FKT9" s="131"/>
      <c r="FKU9" s="131"/>
      <c r="FKV9" s="131"/>
      <c r="FKW9" s="131"/>
      <c r="FKX9" s="131"/>
      <c r="FKY9" s="131"/>
      <c r="FKZ9" s="131"/>
      <c r="FLA9" s="131"/>
      <c r="FLB9" s="131"/>
      <c r="FLC9" s="131"/>
      <c r="FLD9" s="131"/>
      <c r="FLE9" s="131"/>
      <c r="FLF9" s="131"/>
      <c r="FLG9" s="131"/>
      <c r="FLH9" s="131"/>
      <c r="FLI9" s="131"/>
      <c r="FLJ9" s="131"/>
      <c r="FLK9" s="131"/>
      <c r="FLL9" s="131"/>
      <c r="FLM9" s="131"/>
      <c r="FLN9" s="131"/>
      <c r="FLO9" s="131"/>
      <c r="FLP9" s="131"/>
      <c r="FLQ9" s="131"/>
      <c r="FLR9" s="131"/>
      <c r="FLS9" s="131"/>
      <c r="FLT9" s="131"/>
      <c r="FLU9" s="131"/>
      <c r="FLV9" s="131"/>
      <c r="FLW9" s="131"/>
      <c r="FLX9" s="131"/>
      <c r="FLY9" s="131"/>
      <c r="FLZ9" s="131"/>
      <c r="FMA9" s="131"/>
      <c r="FMB9" s="131"/>
      <c r="FMC9" s="131"/>
      <c r="FMD9" s="131"/>
      <c r="FME9" s="131"/>
      <c r="FMF9" s="131"/>
      <c r="FMG9" s="131"/>
      <c r="FMH9" s="131"/>
      <c r="FMI9" s="131"/>
      <c r="FMJ9" s="131"/>
      <c r="FMK9" s="131"/>
      <c r="FML9" s="131"/>
      <c r="FMM9" s="131"/>
      <c r="FMN9" s="131"/>
      <c r="FMO9" s="131"/>
      <c r="FMP9" s="131"/>
      <c r="FMQ9" s="131"/>
      <c r="FMR9" s="131"/>
      <c r="FMS9" s="131"/>
      <c r="FMT9" s="131"/>
      <c r="FMU9" s="131"/>
      <c r="FMV9" s="131"/>
      <c r="FMW9" s="131"/>
      <c r="FMX9" s="131"/>
      <c r="FMY9" s="131"/>
      <c r="FMZ9" s="131"/>
      <c r="FNA9" s="131"/>
      <c r="FNB9" s="131"/>
      <c r="FNC9" s="131"/>
      <c r="FND9" s="131"/>
      <c r="FNE9" s="131"/>
      <c r="FNF9" s="131"/>
      <c r="FNG9" s="131"/>
      <c r="FNH9" s="131"/>
      <c r="FNI9" s="131"/>
      <c r="FNJ9" s="131"/>
      <c r="FNK9" s="131"/>
      <c r="FNL9" s="131"/>
      <c r="FNM9" s="131"/>
      <c r="FNN9" s="131"/>
      <c r="FNO9" s="131"/>
      <c r="FNP9" s="131"/>
      <c r="FNQ9" s="131"/>
      <c r="FNR9" s="131"/>
      <c r="FNS9" s="131"/>
      <c r="FNT9" s="131"/>
      <c r="FNU9" s="131"/>
      <c r="FNV9" s="131"/>
      <c r="FNW9" s="131"/>
      <c r="FNX9" s="131"/>
      <c r="FNY9" s="131"/>
      <c r="FNZ9" s="131"/>
      <c r="FOA9" s="131"/>
      <c r="FOB9" s="131"/>
      <c r="FOC9" s="131"/>
      <c r="FOD9" s="131"/>
      <c r="FOE9" s="131"/>
      <c r="FOF9" s="131"/>
      <c r="FOG9" s="131"/>
      <c r="FOH9" s="131"/>
      <c r="FOI9" s="131"/>
      <c r="FOJ9" s="131"/>
      <c r="FOK9" s="131"/>
      <c r="FOL9" s="131"/>
      <c r="FOM9" s="131"/>
      <c r="FON9" s="131"/>
      <c r="FOO9" s="131"/>
      <c r="FOP9" s="131"/>
      <c r="FOQ9" s="131"/>
      <c r="FOR9" s="131"/>
      <c r="FOS9" s="131"/>
      <c r="FOT9" s="131"/>
      <c r="FOU9" s="131"/>
      <c r="FOV9" s="131"/>
      <c r="FOW9" s="131"/>
      <c r="FOX9" s="131"/>
      <c r="FOY9" s="131"/>
      <c r="FOZ9" s="131"/>
      <c r="FPA9" s="131"/>
      <c r="FPB9" s="131"/>
      <c r="FPC9" s="131"/>
      <c r="FPD9" s="131"/>
      <c r="FPE9" s="131"/>
      <c r="FPF9" s="131"/>
      <c r="FPG9" s="131"/>
      <c r="FPH9" s="131"/>
      <c r="FPI9" s="131"/>
      <c r="FPJ9" s="131"/>
      <c r="FPK9" s="131"/>
      <c r="FPL9" s="131"/>
      <c r="FPM9" s="131"/>
      <c r="FPN9" s="131"/>
      <c r="FPO9" s="131"/>
      <c r="FPP9" s="131"/>
      <c r="FPQ9" s="131"/>
      <c r="FPR9" s="131"/>
      <c r="FPS9" s="131"/>
      <c r="FPT9" s="131"/>
      <c r="FPU9" s="131"/>
      <c r="FPV9" s="131"/>
      <c r="FPW9" s="131"/>
      <c r="FPX9" s="131"/>
      <c r="FPY9" s="131"/>
      <c r="FPZ9" s="131"/>
      <c r="FQA9" s="131"/>
      <c r="FQB9" s="131"/>
      <c r="FQC9" s="131"/>
      <c r="FQD9" s="131"/>
      <c r="FQE9" s="131"/>
      <c r="FQF9" s="131"/>
      <c r="FQG9" s="131"/>
      <c r="FQH9" s="131"/>
      <c r="FQI9" s="131"/>
      <c r="FQJ9" s="131"/>
      <c r="FQK9" s="131"/>
      <c r="FQL9" s="131"/>
      <c r="FQM9" s="131"/>
      <c r="FQN9" s="131"/>
      <c r="FQO9" s="131"/>
      <c r="FQP9" s="131"/>
      <c r="FQQ9" s="131"/>
      <c r="FQR9" s="131"/>
      <c r="FQS9" s="131"/>
      <c r="FQT9" s="131"/>
      <c r="FQU9" s="131"/>
      <c r="FQV9" s="131"/>
      <c r="FQW9" s="131"/>
      <c r="FQX9" s="131"/>
      <c r="FQY9" s="131"/>
      <c r="FQZ9" s="131"/>
      <c r="FRA9" s="131"/>
      <c r="FRB9" s="131"/>
      <c r="FRC9" s="131"/>
      <c r="FRD9" s="131"/>
      <c r="FRE9" s="131"/>
      <c r="FRF9" s="131"/>
      <c r="FRG9" s="131"/>
      <c r="FRH9" s="131"/>
      <c r="FRI9" s="131"/>
      <c r="FRJ9" s="131"/>
      <c r="FRK9" s="131"/>
      <c r="FRL9" s="131"/>
      <c r="FRM9" s="131"/>
      <c r="FRN9" s="131"/>
      <c r="FRO9" s="131"/>
      <c r="FRP9" s="131"/>
      <c r="FRQ9" s="131"/>
      <c r="FRR9" s="131"/>
      <c r="FRS9" s="131"/>
      <c r="FRT9" s="131"/>
      <c r="FRU9" s="131"/>
      <c r="FRV9" s="131"/>
      <c r="FRW9" s="131"/>
      <c r="FRX9" s="131"/>
      <c r="FRY9" s="131"/>
      <c r="FRZ9" s="131"/>
      <c r="FSA9" s="131"/>
      <c r="FSB9" s="131"/>
      <c r="FSC9" s="131"/>
      <c r="FSD9" s="131"/>
      <c r="FSE9" s="131"/>
      <c r="FSF9" s="131"/>
      <c r="FSG9" s="131"/>
      <c r="FSH9" s="131"/>
      <c r="FSI9" s="131"/>
      <c r="FSJ9" s="131"/>
      <c r="FSK9" s="131"/>
      <c r="FSL9" s="131"/>
      <c r="FSM9" s="131"/>
      <c r="FSN9" s="131"/>
      <c r="FSO9" s="131"/>
      <c r="FSP9" s="131"/>
      <c r="FSQ9" s="131"/>
      <c r="FSR9" s="131"/>
      <c r="FSS9" s="131"/>
      <c r="FST9" s="131"/>
      <c r="FSU9" s="131"/>
      <c r="FSV9" s="131"/>
      <c r="FSW9" s="131"/>
      <c r="FSX9" s="131"/>
      <c r="FSY9" s="131"/>
      <c r="FSZ9" s="131"/>
      <c r="FTA9" s="131"/>
      <c r="FTB9" s="131"/>
      <c r="FTC9" s="131"/>
      <c r="FTD9" s="131"/>
      <c r="FTE9" s="131"/>
      <c r="FTF9" s="131"/>
      <c r="FTG9" s="131"/>
      <c r="FTH9" s="131"/>
      <c r="FTI9" s="131"/>
      <c r="FTJ9" s="131"/>
      <c r="FTK9" s="131"/>
      <c r="FTL9" s="131"/>
      <c r="FTM9" s="131"/>
      <c r="FTN9" s="131"/>
      <c r="FTO9" s="131"/>
      <c r="FTP9" s="131"/>
      <c r="FTQ9" s="131"/>
      <c r="FTR9" s="131"/>
      <c r="FTS9" s="131"/>
      <c r="FTT9" s="131"/>
      <c r="FTU9" s="131"/>
      <c r="FTV9" s="131"/>
      <c r="FTW9" s="131"/>
      <c r="FTX9" s="131"/>
      <c r="FTY9" s="131"/>
      <c r="FTZ9" s="131"/>
      <c r="FUA9" s="131"/>
      <c r="FUB9" s="131"/>
      <c r="FUC9" s="131"/>
      <c r="FUD9" s="131"/>
      <c r="FUE9" s="131"/>
      <c r="FUF9" s="131"/>
      <c r="FUG9" s="131"/>
      <c r="FUH9" s="131"/>
      <c r="FUI9" s="131"/>
      <c r="FUJ9" s="131"/>
      <c r="FUK9" s="131"/>
      <c r="FUL9" s="131"/>
      <c r="FUM9" s="131"/>
      <c r="FUN9" s="131"/>
      <c r="FUO9" s="131"/>
      <c r="FUP9" s="131"/>
      <c r="FUQ9" s="131"/>
      <c r="FUR9" s="131"/>
      <c r="FUS9" s="131"/>
      <c r="FUT9" s="131"/>
      <c r="FUU9" s="131"/>
      <c r="FUV9" s="131"/>
      <c r="FUW9" s="131"/>
      <c r="FUX9" s="131"/>
      <c r="FUY9" s="131"/>
      <c r="FUZ9" s="131"/>
      <c r="FVA9" s="131"/>
      <c r="FVB9" s="131"/>
      <c r="FVC9" s="131"/>
      <c r="FVD9" s="131"/>
      <c r="FVE9" s="131"/>
      <c r="FVF9" s="131"/>
      <c r="FVG9" s="131"/>
      <c r="FVH9" s="131"/>
      <c r="FVI9" s="131"/>
      <c r="FVJ9" s="131"/>
      <c r="FVK9" s="131"/>
      <c r="FVL9" s="131"/>
      <c r="FVM9" s="131"/>
      <c r="FVN9" s="131"/>
      <c r="FVO9" s="131"/>
      <c r="FVP9" s="131"/>
      <c r="FVQ9" s="131"/>
      <c r="FVR9" s="131"/>
      <c r="FVS9" s="131"/>
      <c r="FVT9" s="131"/>
      <c r="FVU9" s="131"/>
      <c r="FVV9" s="131"/>
      <c r="FVW9" s="131"/>
      <c r="FVX9" s="131"/>
      <c r="FVY9" s="131"/>
      <c r="FVZ9" s="131"/>
      <c r="FWA9" s="131"/>
      <c r="FWB9" s="131"/>
      <c r="FWC9" s="131"/>
      <c r="FWD9" s="131"/>
      <c r="FWE9" s="131"/>
      <c r="FWF9" s="131"/>
      <c r="FWG9" s="131"/>
      <c r="FWH9" s="131"/>
      <c r="FWI9" s="131"/>
      <c r="FWJ9" s="131"/>
      <c r="FWK9" s="131"/>
      <c r="FWL9" s="131"/>
      <c r="FWM9" s="131"/>
      <c r="FWN9" s="131"/>
      <c r="FWO9" s="131"/>
      <c r="FWP9" s="131"/>
      <c r="FWQ9" s="131"/>
      <c r="FWR9" s="131"/>
      <c r="FWS9" s="131"/>
      <c r="FWT9" s="131"/>
      <c r="FWU9" s="131"/>
      <c r="FWV9" s="131"/>
      <c r="FWW9" s="131"/>
      <c r="FWX9" s="131"/>
      <c r="FWY9" s="131"/>
      <c r="FWZ9" s="131"/>
      <c r="FXA9" s="131"/>
      <c r="FXB9" s="131"/>
      <c r="FXC9" s="131"/>
      <c r="FXD9" s="131"/>
      <c r="FXE9" s="131"/>
      <c r="FXF9" s="131"/>
      <c r="FXG9" s="131"/>
      <c r="FXH9" s="131"/>
      <c r="FXI9" s="131"/>
      <c r="FXJ9" s="131"/>
      <c r="FXK9" s="131"/>
      <c r="FXL9" s="131"/>
      <c r="FXM9" s="131"/>
      <c r="FXN9" s="131"/>
      <c r="FXO9" s="131"/>
      <c r="FXP9" s="131"/>
      <c r="FXQ9" s="131"/>
      <c r="FXR9" s="131"/>
      <c r="FXS9" s="131"/>
      <c r="FXT9" s="131"/>
      <c r="FXU9" s="131"/>
      <c r="FXV9" s="131"/>
      <c r="FXW9" s="131"/>
      <c r="FXX9" s="131"/>
      <c r="FXY9" s="131"/>
      <c r="FXZ9" s="131"/>
      <c r="FYA9" s="131"/>
      <c r="FYB9" s="131"/>
      <c r="FYC9" s="131"/>
      <c r="FYD9" s="131"/>
      <c r="FYE9" s="131"/>
      <c r="FYF9" s="131"/>
      <c r="FYG9" s="131"/>
      <c r="FYH9" s="131"/>
      <c r="FYI9" s="131"/>
      <c r="FYJ9" s="131"/>
      <c r="FYK9" s="131"/>
      <c r="FYL9" s="131"/>
      <c r="FYM9" s="131"/>
      <c r="FYN9" s="131"/>
      <c r="FYO9" s="131"/>
      <c r="FYP9" s="131"/>
      <c r="FYQ9" s="131"/>
      <c r="FYR9" s="131"/>
      <c r="FYS9" s="131"/>
      <c r="FYT9" s="131"/>
      <c r="FYU9" s="131"/>
      <c r="FYV9" s="131"/>
      <c r="FYW9" s="131"/>
      <c r="FYX9" s="131"/>
      <c r="FYY9" s="131"/>
      <c r="FYZ9" s="131"/>
      <c r="FZA9" s="131"/>
      <c r="FZB9" s="131"/>
      <c r="FZC9" s="131"/>
      <c r="FZD9" s="131"/>
      <c r="FZE9" s="131"/>
      <c r="FZF9" s="131"/>
      <c r="FZG9" s="131"/>
      <c r="FZH9" s="131"/>
      <c r="FZI9" s="131"/>
      <c r="FZJ9" s="131"/>
      <c r="FZK9" s="131"/>
      <c r="FZL9" s="131"/>
      <c r="FZM9" s="131"/>
      <c r="FZN9" s="131"/>
      <c r="FZO9" s="131"/>
      <c r="FZP9" s="131"/>
      <c r="FZQ9" s="131"/>
      <c r="FZR9" s="131"/>
      <c r="FZS9" s="131"/>
      <c r="FZT9" s="131"/>
      <c r="FZU9" s="131"/>
      <c r="FZV9" s="131"/>
      <c r="FZW9" s="131"/>
      <c r="FZX9" s="131"/>
      <c r="FZY9" s="131"/>
      <c r="FZZ9" s="131"/>
      <c r="GAA9" s="131"/>
      <c r="GAB9" s="131"/>
      <c r="GAC9" s="131"/>
      <c r="GAD9" s="131"/>
      <c r="GAE9" s="131"/>
      <c r="GAF9" s="131"/>
      <c r="GAG9" s="131"/>
      <c r="GAH9" s="131"/>
      <c r="GAI9" s="131"/>
      <c r="GAJ9" s="131"/>
      <c r="GAK9" s="131"/>
      <c r="GAL9" s="131"/>
      <c r="GAM9" s="131"/>
      <c r="GAN9" s="131"/>
      <c r="GAO9" s="131"/>
      <c r="GAP9" s="131"/>
      <c r="GAQ9" s="131"/>
      <c r="GAR9" s="131"/>
      <c r="GAS9" s="131"/>
      <c r="GAT9" s="131"/>
      <c r="GAU9" s="131"/>
      <c r="GAV9" s="131"/>
      <c r="GAW9" s="131"/>
      <c r="GAX9" s="131"/>
      <c r="GAY9" s="131"/>
      <c r="GAZ9" s="131"/>
      <c r="GBA9" s="131"/>
      <c r="GBB9" s="131"/>
      <c r="GBC9" s="131"/>
      <c r="GBD9" s="131"/>
      <c r="GBE9" s="131"/>
      <c r="GBF9" s="131"/>
      <c r="GBG9" s="131"/>
      <c r="GBH9" s="131"/>
      <c r="GBI9" s="131"/>
      <c r="GBJ9" s="131"/>
      <c r="GBK9" s="131"/>
      <c r="GBL9" s="131"/>
      <c r="GBM9" s="131"/>
      <c r="GBN9" s="131"/>
      <c r="GBO9" s="131"/>
      <c r="GBP9" s="131"/>
      <c r="GBQ9" s="131"/>
      <c r="GBR9" s="131"/>
      <c r="GBS9" s="131"/>
      <c r="GBT9" s="131"/>
      <c r="GBU9" s="131"/>
      <c r="GBV9" s="131"/>
      <c r="GBW9" s="131"/>
      <c r="GBX9" s="131"/>
      <c r="GBY9" s="131"/>
      <c r="GBZ9" s="131"/>
      <c r="GCA9" s="131"/>
      <c r="GCB9" s="131"/>
      <c r="GCC9" s="131"/>
      <c r="GCD9" s="131"/>
      <c r="GCE9" s="131"/>
      <c r="GCF9" s="131"/>
      <c r="GCG9" s="131"/>
      <c r="GCH9" s="131"/>
      <c r="GCI9" s="131"/>
      <c r="GCJ9" s="131"/>
      <c r="GCK9" s="131"/>
      <c r="GCL9" s="131"/>
      <c r="GCM9" s="131"/>
      <c r="GCN9" s="131"/>
      <c r="GCO9" s="131"/>
      <c r="GCP9" s="131"/>
      <c r="GCQ9" s="131"/>
      <c r="GCR9" s="131"/>
      <c r="GCS9" s="131"/>
      <c r="GCT9" s="131"/>
      <c r="GCU9" s="131"/>
      <c r="GCV9" s="131"/>
      <c r="GCW9" s="131"/>
      <c r="GCX9" s="131"/>
      <c r="GCY9" s="131"/>
      <c r="GCZ9" s="131"/>
      <c r="GDA9" s="131"/>
      <c r="GDB9" s="131"/>
      <c r="GDC9" s="131"/>
      <c r="GDD9" s="131"/>
      <c r="GDE9" s="131"/>
      <c r="GDF9" s="131"/>
      <c r="GDG9" s="131"/>
      <c r="GDH9" s="131"/>
      <c r="GDI9" s="131"/>
      <c r="GDJ9" s="131"/>
      <c r="GDK9" s="131"/>
      <c r="GDL9" s="131"/>
      <c r="GDM9" s="131"/>
      <c r="GDN9" s="131"/>
      <c r="GDO9" s="131"/>
      <c r="GDP9" s="131"/>
      <c r="GDQ9" s="131"/>
      <c r="GDR9" s="131"/>
      <c r="GDS9" s="131"/>
      <c r="GDT9" s="131"/>
      <c r="GDU9" s="131"/>
      <c r="GDV9" s="131"/>
      <c r="GDW9" s="131"/>
      <c r="GDX9" s="131"/>
      <c r="GDY9" s="131"/>
      <c r="GDZ9" s="131"/>
      <c r="GEA9" s="131"/>
      <c r="GEB9" s="131"/>
      <c r="GEC9" s="131"/>
      <c r="GED9" s="131"/>
      <c r="GEE9" s="131"/>
      <c r="GEF9" s="131"/>
      <c r="GEG9" s="131"/>
      <c r="GEH9" s="131"/>
      <c r="GEI9" s="131"/>
      <c r="GEJ9" s="131"/>
      <c r="GEK9" s="131"/>
      <c r="GEL9" s="131"/>
      <c r="GEM9" s="131"/>
      <c r="GEN9" s="131"/>
      <c r="GEO9" s="131"/>
      <c r="GEP9" s="131"/>
      <c r="GEQ9" s="131"/>
      <c r="GER9" s="131"/>
      <c r="GES9" s="131"/>
      <c r="GET9" s="131"/>
      <c r="GEU9" s="131"/>
      <c r="GEV9" s="131"/>
      <c r="GEW9" s="131"/>
      <c r="GEX9" s="131"/>
      <c r="GEY9" s="131"/>
      <c r="GEZ9" s="131"/>
      <c r="GFA9" s="131"/>
      <c r="GFB9" s="131"/>
      <c r="GFC9" s="131"/>
      <c r="GFD9" s="131"/>
      <c r="GFE9" s="131"/>
      <c r="GFF9" s="131"/>
      <c r="GFG9" s="131"/>
      <c r="GFH9" s="131"/>
      <c r="GFI9" s="131"/>
      <c r="GFJ9" s="131"/>
      <c r="GFK9" s="131"/>
      <c r="GFL9" s="131"/>
      <c r="GFM9" s="131"/>
      <c r="GFN9" s="131"/>
      <c r="GFO9" s="131"/>
      <c r="GFP9" s="131"/>
      <c r="GFQ9" s="131"/>
      <c r="GFR9" s="131"/>
      <c r="GFS9" s="131"/>
      <c r="GFT9" s="131"/>
      <c r="GFU9" s="131"/>
      <c r="GFV9" s="131"/>
      <c r="GFW9" s="131"/>
      <c r="GFX9" s="131"/>
      <c r="GFY9" s="131"/>
      <c r="GFZ9" s="131"/>
      <c r="GGA9" s="131"/>
      <c r="GGB9" s="131"/>
      <c r="GGC9" s="131"/>
      <c r="GGD9" s="131"/>
      <c r="GGE9" s="131"/>
      <c r="GGF9" s="131"/>
      <c r="GGG9" s="131"/>
      <c r="GGH9" s="131"/>
      <c r="GGI9" s="131"/>
      <c r="GGJ9" s="131"/>
      <c r="GGK9" s="131"/>
      <c r="GGL9" s="131"/>
      <c r="GGM9" s="131"/>
      <c r="GGN9" s="131"/>
      <c r="GGO9" s="131"/>
      <c r="GGP9" s="131"/>
      <c r="GGQ9" s="131"/>
      <c r="GGR9" s="131"/>
      <c r="GGS9" s="131"/>
      <c r="GGT9" s="131"/>
      <c r="GGU9" s="131"/>
      <c r="GGV9" s="131"/>
      <c r="GGW9" s="131"/>
      <c r="GGX9" s="131"/>
      <c r="GGY9" s="131"/>
      <c r="GGZ9" s="131"/>
      <c r="GHA9" s="131"/>
      <c r="GHB9" s="131"/>
      <c r="GHC9" s="131"/>
      <c r="GHD9" s="131"/>
      <c r="GHE9" s="131"/>
      <c r="GHF9" s="131"/>
      <c r="GHG9" s="131"/>
      <c r="GHH9" s="131"/>
      <c r="GHI9" s="131"/>
      <c r="GHJ9" s="131"/>
      <c r="GHK9" s="131"/>
      <c r="GHL9" s="131"/>
      <c r="GHM9" s="131"/>
      <c r="GHN9" s="131"/>
      <c r="GHO9" s="131"/>
      <c r="GHP9" s="131"/>
      <c r="GHQ9" s="131"/>
      <c r="GHR9" s="131"/>
      <c r="GHS9" s="131"/>
      <c r="GHT9" s="131"/>
      <c r="GHU9" s="131"/>
      <c r="GHV9" s="131"/>
      <c r="GHW9" s="131"/>
      <c r="GHX9" s="131"/>
      <c r="GHY9" s="131"/>
      <c r="GHZ9" s="131"/>
      <c r="GIA9" s="131"/>
      <c r="GIB9" s="131"/>
      <c r="GIC9" s="131"/>
      <c r="GID9" s="131"/>
      <c r="GIE9" s="131"/>
      <c r="GIF9" s="131"/>
      <c r="GIG9" s="131"/>
      <c r="GIH9" s="131"/>
      <c r="GII9" s="131"/>
      <c r="GIJ9" s="131"/>
      <c r="GIK9" s="131"/>
      <c r="GIL9" s="131"/>
      <c r="GIM9" s="131"/>
      <c r="GIN9" s="131"/>
      <c r="GIO9" s="131"/>
      <c r="GIP9" s="131"/>
      <c r="GIQ9" s="131"/>
      <c r="GIR9" s="131"/>
      <c r="GIS9" s="131"/>
      <c r="GIT9" s="131"/>
      <c r="GIU9" s="131"/>
      <c r="GIV9" s="131"/>
      <c r="GIW9" s="131"/>
      <c r="GIX9" s="131"/>
      <c r="GIY9" s="131"/>
      <c r="GIZ9" s="131"/>
      <c r="GJA9" s="131"/>
      <c r="GJB9" s="131"/>
      <c r="GJC9" s="131"/>
      <c r="GJD9" s="131"/>
      <c r="GJE9" s="131"/>
      <c r="GJF9" s="131"/>
      <c r="GJG9" s="131"/>
      <c r="GJH9" s="131"/>
      <c r="GJI9" s="131"/>
      <c r="GJJ9" s="131"/>
      <c r="GJK9" s="131"/>
      <c r="GJL9" s="131"/>
      <c r="GJM9" s="131"/>
      <c r="GJN9" s="131"/>
      <c r="GJO9" s="131"/>
      <c r="GJP9" s="131"/>
      <c r="GJQ9" s="131"/>
      <c r="GJR9" s="131"/>
      <c r="GJS9" s="131"/>
      <c r="GJT9" s="131"/>
      <c r="GJU9" s="131"/>
      <c r="GJV9" s="131"/>
      <c r="GJW9" s="131"/>
      <c r="GJX9" s="131"/>
      <c r="GJY9" s="131"/>
      <c r="GJZ9" s="131"/>
      <c r="GKA9" s="131"/>
      <c r="GKB9" s="131"/>
      <c r="GKC9" s="131"/>
      <c r="GKD9" s="131"/>
      <c r="GKE9" s="131"/>
      <c r="GKF9" s="131"/>
      <c r="GKG9" s="131"/>
      <c r="GKH9" s="131"/>
      <c r="GKI9" s="131"/>
      <c r="GKJ9" s="131"/>
      <c r="GKK9" s="131"/>
      <c r="GKL9" s="131"/>
      <c r="GKM9" s="131"/>
      <c r="GKN9" s="131"/>
      <c r="GKO9" s="131"/>
      <c r="GKP9" s="131"/>
      <c r="GKQ9" s="131"/>
      <c r="GKR9" s="131"/>
      <c r="GKS9" s="131"/>
      <c r="GKT9" s="131"/>
      <c r="GKU9" s="131"/>
      <c r="GKV9" s="131"/>
      <c r="GKW9" s="131"/>
      <c r="GKX9" s="131"/>
      <c r="GKY9" s="131"/>
      <c r="GKZ9" s="131"/>
      <c r="GLA9" s="131"/>
      <c r="GLB9" s="131"/>
      <c r="GLC9" s="131"/>
      <c r="GLD9" s="131"/>
      <c r="GLE9" s="131"/>
      <c r="GLF9" s="131"/>
      <c r="GLG9" s="131"/>
      <c r="GLH9" s="131"/>
      <c r="GLI9" s="131"/>
      <c r="GLJ9" s="131"/>
      <c r="GLK9" s="131"/>
      <c r="GLL9" s="131"/>
      <c r="GLM9" s="131"/>
      <c r="GLN9" s="131"/>
      <c r="GLO9" s="131"/>
      <c r="GLP9" s="131"/>
      <c r="GLQ9" s="131"/>
      <c r="GLR9" s="131"/>
      <c r="GLS9" s="131"/>
      <c r="GLT9" s="131"/>
      <c r="GLU9" s="131"/>
      <c r="GLV9" s="131"/>
      <c r="GLW9" s="131"/>
      <c r="GLX9" s="131"/>
      <c r="GLY9" s="131"/>
      <c r="GLZ9" s="131"/>
      <c r="GMA9" s="131"/>
      <c r="GMB9" s="131"/>
      <c r="GMC9" s="131"/>
      <c r="GMD9" s="131"/>
      <c r="GME9" s="131"/>
      <c r="GMF9" s="131"/>
      <c r="GMG9" s="131"/>
      <c r="GMH9" s="131"/>
      <c r="GMI9" s="131"/>
      <c r="GMJ9" s="131"/>
      <c r="GMK9" s="131"/>
      <c r="GML9" s="131"/>
      <c r="GMM9" s="131"/>
      <c r="GMN9" s="131"/>
      <c r="GMO9" s="131"/>
      <c r="GMP9" s="131"/>
      <c r="GMQ9" s="131"/>
      <c r="GMR9" s="131"/>
      <c r="GMS9" s="131"/>
      <c r="GMT9" s="131"/>
      <c r="GMU9" s="131"/>
      <c r="GMV9" s="131"/>
      <c r="GMW9" s="131"/>
      <c r="GMX9" s="131"/>
      <c r="GMY9" s="131"/>
      <c r="GMZ9" s="131"/>
      <c r="GNA9" s="131"/>
      <c r="GNB9" s="131"/>
      <c r="GNC9" s="131"/>
      <c r="GND9" s="131"/>
      <c r="GNE9" s="131"/>
      <c r="GNF9" s="131"/>
      <c r="GNG9" s="131"/>
      <c r="GNH9" s="131"/>
      <c r="GNI9" s="131"/>
      <c r="GNJ9" s="131"/>
      <c r="GNK9" s="131"/>
      <c r="GNL9" s="131"/>
      <c r="GNM9" s="131"/>
      <c r="GNZ9" s="131"/>
      <c r="GOA9" s="131"/>
      <c r="GOB9" s="131"/>
      <c r="GOC9" s="131"/>
      <c r="GOD9" s="131"/>
      <c r="GOE9" s="131"/>
      <c r="GOF9" s="131"/>
      <c r="GOG9" s="131"/>
      <c r="GOH9" s="131"/>
      <c r="GOI9" s="131"/>
      <c r="GOJ9" s="131"/>
      <c r="GOK9" s="131"/>
      <c r="GOL9" s="131"/>
      <c r="GOM9" s="131"/>
      <c r="GON9" s="131"/>
      <c r="GOO9" s="131"/>
      <c r="GOP9" s="131"/>
      <c r="GOQ9" s="131"/>
      <c r="GOR9" s="131"/>
      <c r="GOS9" s="131"/>
      <c r="GOT9" s="131"/>
      <c r="GOU9" s="131"/>
      <c r="GOV9" s="131"/>
      <c r="GOW9" s="131"/>
      <c r="GOX9" s="131"/>
      <c r="GOY9" s="131"/>
      <c r="GOZ9" s="131"/>
      <c r="GPA9" s="131"/>
      <c r="GPB9" s="131"/>
      <c r="GPC9" s="131"/>
      <c r="GPD9" s="131"/>
      <c r="GPE9" s="131"/>
      <c r="GPF9" s="131"/>
      <c r="GPG9" s="131"/>
      <c r="GPH9" s="131"/>
      <c r="GPI9" s="131"/>
      <c r="GPJ9" s="131"/>
      <c r="GPK9" s="131"/>
      <c r="GPL9" s="131"/>
      <c r="GPM9" s="131"/>
      <c r="GPN9" s="131"/>
      <c r="GPO9" s="131"/>
      <c r="GPP9" s="131"/>
      <c r="GPQ9" s="131"/>
      <c r="GPR9" s="131"/>
      <c r="GPS9" s="131"/>
      <c r="GPT9" s="131"/>
      <c r="GPU9" s="131"/>
      <c r="GPV9" s="131"/>
      <c r="GPW9" s="131"/>
      <c r="GPX9" s="131"/>
      <c r="GPY9" s="131"/>
      <c r="GPZ9" s="131"/>
      <c r="GQA9" s="131"/>
      <c r="GQB9" s="131"/>
      <c r="GQC9" s="131"/>
      <c r="GQD9" s="131"/>
      <c r="GQE9" s="131"/>
      <c r="GQF9" s="131"/>
      <c r="GQG9" s="131"/>
      <c r="GQH9" s="131"/>
      <c r="GQI9" s="131"/>
      <c r="GQJ9" s="131"/>
      <c r="GQK9" s="131"/>
      <c r="GQL9" s="131"/>
      <c r="GQM9" s="131"/>
      <c r="GQN9" s="131"/>
      <c r="GQO9" s="131"/>
      <c r="GQP9" s="131"/>
      <c r="GQQ9" s="131"/>
      <c r="GQR9" s="131"/>
      <c r="GQS9" s="131"/>
      <c r="GQT9" s="131"/>
      <c r="GQU9" s="131"/>
      <c r="GQV9" s="131"/>
      <c r="GQW9" s="131"/>
      <c r="GQX9" s="131"/>
      <c r="GQY9" s="131"/>
      <c r="GQZ9" s="131"/>
      <c r="GRA9" s="131"/>
      <c r="GRB9" s="131"/>
      <c r="GRC9" s="131"/>
      <c r="GRD9" s="131"/>
      <c r="GRE9" s="131"/>
      <c r="GRF9" s="131"/>
      <c r="GRG9" s="131"/>
      <c r="GRH9" s="131"/>
      <c r="GRI9" s="131"/>
      <c r="GRJ9" s="131"/>
      <c r="GRK9" s="131"/>
      <c r="GRL9" s="131"/>
      <c r="GRM9" s="131"/>
      <c r="GRN9" s="131"/>
      <c r="GRO9" s="131"/>
      <c r="GRP9" s="131"/>
      <c r="GRQ9" s="131"/>
      <c r="GRR9" s="131"/>
      <c r="GRS9" s="131"/>
      <c r="GRT9" s="131"/>
      <c r="GRU9" s="131"/>
      <c r="GRV9" s="131"/>
      <c r="GRW9" s="131"/>
      <c r="GRX9" s="131"/>
      <c r="GRY9" s="131"/>
      <c r="GRZ9" s="131"/>
      <c r="GSA9" s="131"/>
      <c r="GSB9" s="131"/>
      <c r="GSC9" s="131"/>
      <c r="GSD9" s="131"/>
      <c r="GSE9" s="131"/>
      <c r="GSF9" s="131"/>
      <c r="GSG9" s="131"/>
      <c r="GSH9" s="131"/>
      <c r="GSI9" s="131"/>
      <c r="GSJ9" s="131"/>
      <c r="GSK9" s="131"/>
      <c r="GSL9" s="131"/>
      <c r="GSM9" s="131"/>
      <c r="GSN9" s="131"/>
      <c r="GSO9" s="131"/>
      <c r="GSP9" s="131"/>
      <c r="GSQ9" s="131"/>
      <c r="GSR9" s="131"/>
      <c r="GSS9" s="131"/>
      <c r="GST9" s="131"/>
      <c r="GSU9" s="131"/>
      <c r="GSV9" s="131"/>
      <c r="GSW9" s="131"/>
      <c r="GSX9" s="131"/>
      <c r="GSY9" s="131"/>
      <c r="GSZ9" s="131"/>
      <c r="GTA9" s="131"/>
      <c r="GTB9" s="131"/>
      <c r="GTC9" s="131"/>
      <c r="GTD9" s="131"/>
      <c r="GTE9" s="131"/>
      <c r="GTF9" s="131"/>
      <c r="GTG9" s="131"/>
      <c r="GTH9" s="131"/>
      <c r="GTI9" s="131"/>
      <c r="GTJ9" s="131"/>
      <c r="GTK9" s="131"/>
      <c r="GTL9" s="131"/>
      <c r="GTM9" s="131"/>
      <c r="GTN9" s="131"/>
      <c r="GTO9" s="131"/>
      <c r="GTP9" s="131"/>
      <c r="GTQ9" s="131"/>
      <c r="GTR9" s="131"/>
      <c r="GTS9" s="131"/>
      <c r="GTT9" s="131"/>
      <c r="GTU9" s="131"/>
      <c r="GTV9" s="131"/>
      <c r="GTW9" s="131"/>
      <c r="GTX9" s="131"/>
      <c r="GTY9" s="131"/>
      <c r="GTZ9" s="131"/>
      <c r="GUA9" s="131"/>
      <c r="GUB9" s="131"/>
      <c r="GUC9" s="131"/>
      <c r="GUD9" s="131"/>
      <c r="GUE9" s="131"/>
      <c r="GUF9" s="131"/>
      <c r="GUG9" s="131"/>
      <c r="GUH9" s="131"/>
      <c r="GUI9" s="131"/>
      <c r="GUJ9" s="131"/>
      <c r="GUK9" s="131"/>
      <c r="GUL9" s="131"/>
      <c r="GUM9" s="131"/>
      <c r="GUN9" s="131"/>
      <c r="GUO9" s="131"/>
      <c r="GUP9" s="131"/>
      <c r="GUQ9" s="131"/>
      <c r="GUR9" s="131"/>
      <c r="GUS9" s="131"/>
      <c r="GUT9" s="131"/>
      <c r="GUU9" s="131"/>
      <c r="GUV9" s="131"/>
      <c r="GUW9" s="131"/>
      <c r="GUX9" s="131"/>
      <c r="GUY9" s="131"/>
      <c r="GUZ9" s="131"/>
      <c r="GVA9" s="131"/>
      <c r="GVB9" s="131"/>
      <c r="GVC9" s="131"/>
      <c r="GVD9" s="131"/>
      <c r="GVE9" s="131"/>
      <c r="GVF9" s="131"/>
      <c r="GVG9" s="131"/>
      <c r="GVH9" s="131"/>
      <c r="GVI9" s="131"/>
      <c r="GVJ9" s="131"/>
      <c r="GVK9" s="131"/>
      <c r="GVL9" s="131"/>
      <c r="GVM9" s="131"/>
      <c r="GVN9" s="131"/>
      <c r="GVO9" s="131"/>
      <c r="GVP9" s="131"/>
      <c r="GVQ9" s="131"/>
      <c r="GVR9" s="131"/>
      <c r="GVS9" s="131"/>
      <c r="GVT9" s="131"/>
      <c r="GVU9" s="131"/>
      <c r="GVV9" s="131"/>
      <c r="GVW9" s="131"/>
      <c r="GVX9" s="131"/>
      <c r="GVY9" s="131"/>
      <c r="GVZ9" s="131"/>
      <c r="GWA9" s="131"/>
      <c r="GWB9" s="131"/>
      <c r="GWC9" s="131"/>
      <c r="GWD9" s="131"/>
      <c r="GWE9" s="131"/>
      <c r="GWF9" s="131"/>
      <c r="GWG9" s="131"/>
      <c r="GWH9" s="131"/>
      <c r="GWI9" s="131"/>
      <c r="GWJ9" s="131"/>
      <c r="GWK9" s="131"/>
      <c r="GWL9" s="131"/>
      <c r="GWM9" s="131"/>
      <c r="GWN9" s="131"/>
      <c r="GWO9" s="131"/>
      <c r="GWP9" s="131"/>
      <c r="GWQ9" s="131"/>
      <c r="GWR9" s="131"/>
      <c r="GWS9" s="131"/>
      <c r="GWT9" s="131"/>
      <c r="GWU9" s="131"/>
      <c r="GWV9" s="131"/>
      <c r="GWW9" s="131"/>
      <c r="GWX9" s="131"/>
      <c r="GWY9" s="131"/>
      <c r="GWZ9" s="131"/>
      <c r="GXA9" s="131"/>
      <c r="GXB9" s="131"/>
      <c r="GXC9" s="131"/>
      <c r="GXD9" s="131"/>
      <c r="GXE9" s="131"/>
      <c r="GXF9" s="131"/>
      <c r="GXG9" s="131"/>
      <c r="GXH9" s="131"/>
      <c r="GXI9" s="131"/>
      <c r="GXJ9" s="131"/>
      <c r="GXK9" s="131"/>
      <c r="GXL9" s="131"/>
      <c r="GXM9" s="131"/>
      <c r="GXN9" s="131"/>
      <c r="GXO9" s="131"/>
      <c r="GXP9" s="131"/>
      <c r="GXQ9" s="131"/>
      <c r="GXR9" s="131"/>
      <c r="GXS9" s="131"/>
      <c r="GXT9" s="131"/>
      <c r="GXU9" s="131"/>
      <c r="GXV9" s="131"/>
      <c r="GXW9" s="131"/>
      <c r="GXX9" s="131"/>
      <c r="GXY9" s="131"/>
      <c r="GXZ9" s="131"/>
      <c r="GYA9" s="131"/>
      <c r="GYB9" s="131"/>
      <c r="GYC9" s="131"/>
      <c r="GYD9" s="131"/>
      <c r="GYE9" s="131"/>
      <c r="GYF9" s="131"/>
      <c r="GYG9" s="131"/>
      <c r="GYH9" s="131"/>
      <c r="GYI9" s="131"/>
      <c r="GYJ9" s="131"/>
      <c r="GYK9" s="131"/>
      <c r="GYL9" s="131"/>
      <c r="GYM9" s="131"/>
      <c r="GYN9" s="131"/>
      <c r="GYO9" s="131"/>
      <c r="GYP9" s="131"/>
      <c r="GYQ9" s="131"/>
      <c r="GYR9" s="131"/>
      <c r="GYS9" s="131"/>
      <c r="GYT9" s="131"/>
      <c r="GYU9" s="131"/>
      <c r="GYV9" s="131"/>
      <c r="GYW9" s="131"/>
      <c r="GYX9" s="131"/>
      <c r="GYY9" s="131"/>
      <c r="GYZ9" s="131"/>
      <c r="GZA9" s="131"/>
      <c r="GZB9" s="131"/>
      <c r="GZC9" s="131"/>
      <c r="GZD9" s="131"/>
      <c r="GZE9" s="131"/>
      <c r="GZF9" s="131"/>
      <c r="GZG9" s="131"/>
      <c r="GZH9" s="131"/>
      <c r="GZI9" s="131"/>
      <c r="GZJ9" s="131"/>
      <c r="GZK9" s="131"/>
      <c r="GZL9" s="131"/>
      <c r="GZM9" s="131"/>
      <c r="GZN9" s="131"/>
      <c r="GZO9" s="131"/>
      <c r="GZP9" s="131"/>
      <c r="GZQ9" s="131"/>
      <c r="GZR9" s="131"/>
      <c r="GZS9" s="131"/>
      <c r="GZT9" s="131"/>
      <c r="GZU9" s="131"/>
      <c r="GZV9" s="131"/>
      <c r="GZW9" s="131"/>
      <c r="GZX9" s="131"/>
      <c r="GZY9" s="131"/>
      <c r="GZZ9" s="131"/>
      <c r="HAA9" s="131"/>
      <c r="HAB9" s="131"/>
      <c r="HAC9" s="131"/>
      <c r="HAD9" s="131"/>
      <c r="HAE9" s="131"/>
      <c r="HAF9" s="131"/>
      <c r="HAG9" s="131"/>
      <c r="HAH9" s="131"/>
      <c r="HAI9" s="131"/>
      <c r="HAJ9" s="131"/>
      <c r="HAK9" s="131"/>
      <c r="HAL9" s="131"/>
      <c r="HAM9" s="131"/>
      <c r="HAN9" s="131"/>
      <c r="HAO9" s="131"/>
      <c r="HAP9" s="131"/>
      <c r="HAQ9" s="131"/>
      <c r="HAR9" s="131"/>
      <c r="HAS9" s="131"/>
      <c r="HAT9" s="131"/>
      <c r="HAU9" s="131"/>
      <c r="HAV9" s="131"/>
      <c r="HAW9" s="131"/>
      <c r="HAX9" s="131"/>
      <c r="HAY9" s="131"/>
      <c r="HAZ9" s="131"/>
      <c r="HBA9" s="131"/>
      <c r="HBB9" s="131"/>
      <c r="HBC9" s="131"/>
      <c r="HBD9" s="131"/>
      <c r="HBE9" s="131"/>
      <c r="HBF9" s="131"/>
      <c r="HBG9" s="131"/>
      <c r="HBH9" s="131"/>
      <c r="HBI9" s="131"/>
      <c r="HBJ9" s="131"/>
      <c r="HBK9" s="131"/>
      <c r="HBL9" s="131"/>
      <c r="HBM9" s="131"/>
      <c r="HBN9" s="131"/>
      <c r="HBO9" s="131"/>
      <c r="HBP9" s="131"/>
      <c r="HBQ9" s="131"/>
      <c r="HBR9" s="131"/>
      <c r="HBS9" s="131"/>
      <c r="HBT9" s="131"/>
      <c r="HBU9" s="131"/>
      <c r="HBV9" s="131"/>
      <c r="HBW9" s="131"/>
      <c r="HBX9" s="131"/>
      <c r="HBY9" s="131"/>
      <c r="HBZ9" s="131"/>
      <c r="HCA9" s="131"/>
      <c r="HCB9" s="131"/>
      <c r="HCC9" s="131"/>
      <c r="HCD9" s="131"/>
      <c r="HCE9" s="131"/>
      <c r="HCF9" s="131"/>
      <c r="HCG9" s="131"/>
      <c r="HCH9" s="131"/>
      <c r="HCI9" s="131"/>
      <c r="HCJ9" s="131"/>
      <c r="HCK9" s="131"/>
      <c r="HCL9" s="131"/>
      <c r="HCM9" s="131"/>
      <c r="HCN9" s="131"/>
      <c r="HCO9" s="131"/>
      <c r="HCP9" s="131"/>
      <c r="HCQ9" s="131"/>
      <c r="HCR9" s="131"/>
      <c r="HCS9" s="131"/>
      <c r="HCT9" s="131"/>
      <c r="HCU9" s="131"/>
      <c r="HCV9" s="131"/>
      <c r="HCW9" s="131"/>
      <c r="HCX9" s="131"/>
      <c r="HCY9" s="131"/>
      <c r="HCZ9" s="131"/>
      <c r="HDA9" s="131"/>
      <c r="HDB9" s="131"/>
      <c r="HDC9" s="131"/>
      <c r="HDD9" s="131"/>
      <c r="HDE9" s="131"/>
      <c r="HDF9" s="131"/>
      <c r="HDG9" s="131"/>
      <c r="HDH9" s="131"/>
      <c r="HDI9" s="131"/>
      <c r="HDJ9" s="131"/>
      <c r="HDK9" s="131"/>
      <c r="HDL9" s="131"/>
      <c r="HDM9" s="131"/>
      <c r="HDN9" s="131"/>
      <c r="HDO9" s="131"/>
      <c r="HDP9" s="131"/>
      <c r="HDQ9" s="131"/>
      <c r="HDR9" s="131"/>
      <c r="HDS9" s="131"/>
      <c r="HDT9" s="131"/>
      <c r="HDU9" s="131"/>
      <c r="HDV9" s="131"/>
      <c r="HDW9" s="131"/>
      <c r="HDX9" s="131"/>
      <c r="HDY9" s="131"/>
      <c r="HDZ9" s="131"/>
      <c r="HEA9" s="131"/>
      <c r="HEB9" s="131"/>
      <c r="HEC9" s="131"/>
      <c r="HED9" s="131"/>
      <c r="HEE9" s="131"/>
      <c r="HEF9" s="131"/>
      <c r="HEG9" s="131"/>
      <c r="HEH9" s="131"/>
      <c r="HEI9" s="131"/>
      <c r="HEJ9" s="131"/>
      <c r="HEK9" s="131"/>
      <c r="HEL9" s="131"/>
      <c r="HEM9" s="131"/>
      <c r="HEN9" s="131"/>
      <c r="HEO9" s="131"/>
      <c r="HEP9" s="131"/>
      <c r="HEQ9" s="131"/>
      <c r="HER9" s="131"/>
      <c r="HES9" s="131"/>
      <c r="HET9" s="131"/>
      <c r="HEU9" s="131"/>
      <c r="HEV9" s="131"/>
      <c r="HEW9" s="131"/>
      <c r="HEX9" s="131"/>
      <c r="HEY9" s="131"/>
      <c r="HEZ9" s="131"/>
      <c r="HFA9" s="131"/>
      <c r="HFB9" s="131"/>
      <c r="HFC9" s="131"/>
      <c r="HFD9" s="131"/>
      <c r="HFE9" s="131"/>
      <c r="HFF9" s="131"/>
      <c r="HFG9" s="131"/>
      <c r="HFH9" s="131"/>
      <c r="HFI9" s="131"/>
      <c r="HFJ9" s="131"/>
      <c r="HFK9" s="131"/>
      <c r="HFL9" s="131"/>
      <c r="HFM9" s="131"/>
      <c r="HFN9" s="131"/>
      <c r="HFO9" s="131"/>
      <c r="HFP9" s="131"/>
      <c r="HFQ9" s="131"/>
      <c r="HFR9" s="131"/>
      <c r="HFS9" s="131"/>
      <c r="HFT9" s="131"/>
      <c r="HFU9" s="131"/>
      <c r="HFV9" s="131"/>
      <c r="HFW9" s="131"/>
      <c r="HFX9" s="131"/>
      <c r="HFY9" s="131"/>
      <c r="HFZ9" s="131"/>
      <c r="HGA9" s="131"/>
      <c r="HGB9" s="131"/>
      <c r="HGC9" s="131"/>
      <c r="HGD9" s="131"/>
      <c r="HGE9" s="131"/>
      <c r="HGF9" s="131"/>
      <c r="HGG9" s="131"/>
      <c r="HGH9" s="131"/>
      <c r="HGI9" s="131"/>
      <c r="HGJ9" s="131"/>
      <c r="HGK9" s="131"/>
      <c r="HGL9" s="131"/>
      <c r="HGM9" s="131"/>
      <c r="HGN9" s="131"/>
      <c r="HGO9" s="131"/>
      <c r="HGP9" s="131"/>
      <c r="HGQ9" s="131"/>
      <c r="HGR9" s="131"/>
      <c r="HGS9" s="131"/>
      <c r="HGT9" s="131"/>
      <c r="HGU9" s="131"/>
      <c r="HGV9" s="131"/>
      <c r="HGW9" s="131"/>
      <c r="HGX9" s="131"/>
      <c r="HGY9" s="131"/>
      <c r="HGZ9" s="131"/>
      <c r="HHA9" s="131"/>
      <c r="HHB9" s="131"/>
      <c r="HHC9" s="131"/>
      <c r="HHD9" s="131"/>
      <c r="HHE9" s="131"/>
      <c r="HHF9" s="131"/>
      <c r="HHG9" s="131"/>
      <c r="HHH9" s="131"/>
      <c r="HHI9" s="131"/>
      <c r="HHJ9" s="131"/>
      <c r="HHK9" s="131"/>
      <c r="HHL9" s="131"/>
      <c r="HHM9" s="131"/>
      <c r="HHN9" s="131"/>
      <c r="HHO9" s="131"/>
      <c r="HHP9" s="131"/>
      <c r="HHQ9" s="131"/>
      <c r="HHR9" s="131"/>
      <c r="HHS9" s="131"/>
      <c r="HHT9" s="131"/>
      <c r="HHU9" s="131"/>
      <c r="HHV9" s="131"/>
      <c r="HHW9" s="131"/>
      <c r="HHX9" s="131"/>
      <c r="HHY9" s="131"/>
      <c r="HHZ9" s="131"/>
      <c r="HIA9" s="131"/>
      <c r="HIB9" s="131"/>
      <c r="HIC9" s="131"/>
      <c r="HID9" s="131"/>
      <c r="HIE9" s="131"/>
      <c r="HIF9" s="131"/>
      <c r="HIG9" s="131"/>
      <c r="HIH9" s="131"/>
      <c r="HII9" s="131"/>
      <c r="HIJ9" s="131"/>
      <c r="HIK9" s="131"/>
      <c r="HIL9" s="131"/>
      <c r="HIM9" s="131"/>
      <c r="HIN9" s="131"/>
      <c r="HIO9" s="131"/>
      <c r="HIP9" s="131"/>
      <c r="HIQ9" s="131"/>
      <c r="HIR9" s="131"/>
      <c r="HIS9" s="131"/>
      <c r="HIT9" s="131"/>
      <c r="HIU9" s="131"/>
      <c r="HIV9" s="131"/>
      <c r="HIW9" s="131"/>
      <c r="HIX9" s="131"/>
      <c r="HIY9" s="131"/>
      <c r="HIZ9" s="131"/>
      <c r="HJA9" s="131"/>
      <c r="HJB9" s="131"/>
      <c r="HJC9" s="131"/>
      <c r="HJD9" s="131"/>
      <c r="HJE9" s="131"/>
      <c r="HJF9" s="131"/>
      <c r="HJG9" s="131"/>
      <c r="HJH9" s="131"/>
      <c r="HJI9" s="131"/>
      <c r="HJJ9" s="131"/>
      <c r="HJK9" s="131"/>
      <c r="HJL9" s="131"/>
      <c r="HJM9" s="131"/>
      <c r="HJN9" s="131"/>
      <c r="HJO9" s="131"/>
      <c r="HJP9" s="131"/>
      <c r="HJQ9" s="131"/>
      <c r="HJR9" s="131"/>
      <c r="HJS9" s="131"/>
      <c r="HJT9" s="131"/>
      <c r="HJU9" s="131"/>
      <c r="HJV9" s="131"/>
      <c r="HJW9" s="131"/>
      <c r="HJX9" s="131"/>
      <c r="HJY9" s="131"/>
      <c r="HJZ9" s="131"/>
      <c r="HKA9" s="131"/>
      <c r="HKB9" s="131"/>
      <c r="HKC9" s="131"/>
      <c r="HKD9" s="131"/>
      <c r="HKE9" s="131"/>
      <c r="HKF9" s="131"/>
      <c r="HKG9" s="131"/>
      <c r="HKH9" s="131"/>
      <c r="HKI9" s="131"/>
      <c r="HKJ9" s="131"/>
      <c r="HKK9" s="131"/>
      <c r="HKL9" s="131"/>
      <c r="HKM9" s="131"/>
      <c r="HKN9" s="131"/>
      <c r="HKO9" s="131"/>
      <c r="HKP9" s="131"/>
      <c r="HKQ9" s="131"/>
      <c r="HKR9" s="131"/>
      <c r="HKS9" s="131"/>
      <c r="HKT9" s="131"/>
      <c r="HKU9" s="131"/>
      <c r="HKV9" s="131"/>
      <c r="HKW9" s="131"/>
      <c r="HKX9" s="131"/>
      <c r="HKY9" s="131"/>
      <c r="HKZ9" s="131"/>
      <c r="HLA9" s="131"/>
      <c r="HLB9" s="131"/>
      <c r="HLC9" s="131"/>
      <c r="HLD9" s="131"/>
      <c r="HLE9" s="131"/>
      <c r="HLF9" s="131"/>
      <c r="HLG9" s="131"/>
      <c r="HLH9" s="131"/>
      <c r="HLI9" s="131"/>
      <c r="HLJ9" s="131"/>
      <c r="HLK9" s="131"/>
      <c r="HLL9" s="131"/>
      <c r="HLM9" s="131"/>
      <c r="HLN9" s="131"/>
      <c r="HLO9" s="131"/>
      <c r="HLP9" s="131"/>
      <c r="HLQ9" s="131"/>
      <c r="HLR9" s="131"/>
      <c r="HLS9" s="131"/>
      <c r="HLT9" s="131"/>
      <c r="HLU9" s="131"/>
      <c r="HLV9" s="131"/>
      <c r="HLW9" s="131"/>
      <c r="HLX9" s="131"/>
      <c r="HLY9" s="131"/>
      <c r="HLZ9" s="131"/>
      <c r="HMA9" s="131"/>
      <c r="HMB9" s="131"/>
      <c r="HMC9" s="131"/>
      <c r="HMD9" s="131"/>
      <c r="HME9" s="131"/>
      <c r="HMF9" s="131"/>
      <c r="HMG9" s="131"/>
      <c r="HMH9" s="131"/>
      <c r="HMI9" s="131"/>
      <c r="HMJ9" s="131"/>
      <c r="HMK9" s="131"/>
      <c r="HML9" s="131"/>
      <c r="HMM9" s="131"/>
      <c r="HMN9" s="131"/>
      <c r="HMO9" s="131"/>
      <c r="HMP9" s="131"/>
      <c r="HMQ9" s="131"/>
      <c r="HMR9" s="131"/>
      <c r="HMS9" s="131"/>
      <c r="HMT9" s="131"/>
      <c r="HMU9" s="131"/>
      <c r="HMV9" s="131"/>
      <c r="HMW9" s="131"/>
      <c r="HMX9" s="131"/>
      <c r="HMY9" s="131"/>
      <c r="HMZ9" s="131"/>
      <c r="HNA9" s="131"/>
      <c r="HNB9" s="131"/>
      <c r="HNC9" s="131"/>
      <c r="HND9" s="131"/>
      <c r="HNE9" s="131"/>
      <c r="HNF9" s="131"/>
      <c r="HNG9" s="131"/>
      <c r="HNH9" s="131"/>
      <c r="HNI9" s="131"/>
      <c r="HNJ9" s="131"/>
      <c r="HNK9" s="131"/>
      <c r="HNL9" s="131"/>
      <c r="HNM9" s="131"/>
      <c r="HNN9" s="131"/>
      <c r="HNO9" s="131"/>
      <c r="HNP9" s="131"/>
      <c r="HNQ9" s="131"/>
      <c r="HNR9" s="131"/>
      <c r="HNS9" s="131"/>
      <c r="HNT9" s="131"/>
      <c r="HNU9" s="131"/>
      <c r="HNV9" s="131"/>
      <c r="HNW9" s="131"/>
      <c r="HNX9" s="131"/>
      <c r="HNY9" s="131"/>
      <c r="HNZ9" s="131"/>
      <c r="HOA9" s="131"/>
      <c r="HOB9" s="131"/>
      <c r="HOC9" s="131"/>
      <c r="HOD9" s="131"/>
      <c r="HOE9" s="131"/>
      <c r="HOF9" s="131"/>
      <c r="HOG9" s="131"/>
      <c r="HOH9" s="131"/>
      <c r="HOI9" s="131"/>
      <c r="HOJ9" s="131"/>
      <c r="HOK9" s="131"/>
      <c r="HOL9" s="131"/>
      <c r="HOM9" s="131"/>
      <c r="HON9" s="131"/>
      <c r="HOO9" s="131"/>
      <c r="HOP9" s="131"/>
      <c r="HOQ9" s="131"/>
      <c r="HOR9" s="131"/>
      <c r="HOS9" s="131"/>
      <c r="HOT9" s="131"/>
      <c r="HOU9" s="131"/>
      <c r="HOV9" s="131"/>
      <c r="HOW9" s="131"/>
      <c r="HOX9" s="131"/>
      <c r="HOY9" s="131"/>
      <c r="HOZ9" s="131"/>
      <c r="HPA9" s="131"/>
      <c r="HPB9" s="131"/>
      <c r="HPC9" s="131"/>
      <c r="HPD9" s="131"/>
      <c r="HPE9" s="131"/>
      <c r="HPF9" s="131"/>
      <c r="HPG9" s="131"/>
      <c r="HPH9" s="131"/>
      <c r="HPI9" s="131"/>
      <c r="HPJ9" s="131"/>
      <c r="HPK9" s="131"/>
      <c r="HPL9" s="131"/>
      <c r="HPM9" s="131"/>
      <c r="HPN9" s="131"/>
      <c r="HPO9" s="131"/>
      <c r="HPP9" s="131"/>
      <c r="HPQ9" s="131"/>
      <c r="HPR9" s="131"/>
      <c r="HPS9" s="131"/>
      <c r="HPT9" s="131"/>
      <c r="HPU9" s="131"/>
      <c r="HPV9" s="131"/>
      <c r="HPW9" s="131"/>
      <c r="HPX9" s="131"/>
      <c r="HPY9" s="131"/>
      <c r="HPZ9" s="131"/>
      <c r="HQA9" s="131"/>
      <c r="HQB9" s="131"/>
      <c r="HQC9" s="131"/>
      <c r="HQD9" s="131"/>
      <c r="HQE9" s="131"/>
      <c r="HQF9" s="131"/>
      <c r="HQG9" s="131"/>
      <c r="HQH9" s="131"/>
      <c r="HQI9" s="131"/>
      <c r="HQJ9" s="131"/>
      <c r="HQK9" s="131"/>
      <c r="HQL9" s="131"/>
      <c r="HQM9" s="131"/>
      <c r="HQN9" s="131"/>
      <c r="HQO9" s="131"/>
      <c r="HQP9" s="131"/>
      <c r="HQQ9" s="131"/>
      <c r="HQR9" s="131"/>
      <c r="HQS9" s="131"/>
      <c r="HQT9" s="131"/>
      <c r="HQU9" s="131"/>
      <c r="HQV9" s="131"/>
      <c r="HQW9" s="131"/>
      <c r="HQX9" s="131"/>
      <c r="HQY9" s="131"/>
      <c r="HQZ9" s="131"/>
      <c r="HRA9" s="131"/>
      <c r="HRB9" s="131"/>
      <c r="HRC9" s="131"/>
      <c r="HRD9" s="131"/>
      <c r="HRE9" s="131"/>
      <c r="HRF9" s="131"/>
      <c r="HRG9" s="131"/>
      <c r="HRH9" s="131"/>
      <c r="HRI9" s="131"/>
      <c r="HRJ9" s="131"/>
      <c r="HRK9" s="131"/>
      <c r="HRL9" s="131"/>
      <c r="HRM9" s="131"/>
      <c r="HRN9" s="131"/>
      <c r="HRO9" s="131"/>
      <c r="HRP9" s="131"/>
      <c r="HRQ9" s="131"/>
      <c r="HRR9" s="131"/>
      <c r="HRS9" s="131"/>
      <c r="HRT9" s="131"/>
      <c r="HRU9" s="131"/>
      <c r="HRV9" s="131"/>
      <c r="HRW9" s="131"/>
      <c r="HRX9" s="131"/>
      <c r="HRY9" s="131"/>
      <c r="HRZ9" s="131"/>
      <c r="HSA9" s="131"/>
      <c r="HSB9" s="131"/>
      <c r="HSC9" s="131"/>
      <c r="HSD9" s="131"/>
      <c r="HSE9" s="131"/>
      <c r="HSF9" s="131"/>
      <c r="HSG9" s="131"/>
      <c r="HSH9" s="131"/>
      <c r="HSI9" s="131"/>
      <c r="HSJ9" s="131"/>
      <c r="HSK9" s="131"/>
      <c r="HSL9" s="131"/>
      <c r="HSM9" s="131"/>
      <c r="HSN9" s="131"/>
      <c r="HSO9" s="131"/>
      <c r="HSP9" s="131"/>
      <c r="HSQ9" s="131"/>
      <c r="HSR9" s="131"/>
      <c r="HSS9" s="131"/>
      <c r="HST9" s="131"/>
      <c r="HSU9" s="131"/>
      <c r="HSV9" s="131"/>
      <c r="HSW9" s="131"/>
      <c r="HSX9" s="131"/>
      <c r="HSY9" s="131"/>
      <c r="HSZ9" s="131"/>
      <c r="HTA9" s="131"/>
      <c r="HTB9" s="131"/>
      <c r="HTC9" s="131"/>
      <c r="HTD9" s="131"/>
      <c r="HTE9" s="131"/>
      <c r="HTF9" s="131"/>
      <c r="HTG9" s="131"/>
      <c r="HTH9" s="131"/>
      <c r="HTI9" s="131"/>
      <c r="HTJ9" s="131"/>
      <c r="HTK9" s="131"/>
      <c r="HTL9" s="131"/>
      <c r="HTM9" s="131"/>
      <c r="HTN9" s="131"/>
      <c r="HTO9" s="131"/>
      <c r="HTP9" s="131"/>
      <c r="HTQ9" s="131"/>
      <c r="HTR9" s="131"/>
      <c r="HTS9" s="131"/>
      <c r="HTT9" s="131"/>
      <c r="HTU9" s="131"/>
      <c r="HTV9" s="131"/>
      <c r="HTW9" s="131"/>
      <c r="HTX9" s="131"/>
      <c r="HTY9" s="131"/>
      <c r="HTZ9" s="131"/>
      <c r="HUA9" s="131"/>
      <c r="HUB9" s="131"/>
      <c r="HUC9" s="131"/>
      <c r="HUD9" s="131"/>
      <c r="HUE9" s="131"/>
      <c r="HUF9" s="131"/>
      <c r="HUG9" s="131"/>
      <c r="HUH9" s="131"/>
      <c r="HUI9" s="131"/>
      <c r="HUJ9" s="131"/>
      <c r="HUK9" s="131"/>
      <c r="HUL9" s="131"/>
      <c r="HUM9" s="131"/>
      <c r="HUN9" s="131"/>
      <c r="HUO9" s="131"/>
      <c r="HUP9" s="131"/>
      <c r="HUQ9" s="131"/>
      <c r="HUR9" s="131"/>
      <c r="HUS9" s="131"/>
      <c r="HUT9" s="131"/>
      <c r="HUU9" s="131"/>
      <c r="HUV9" s="131"/>
      <c r="HUW9" s="131"/>
      <c r="HUX9" s="131"/>
      <c r="HUY9" s="131"/>
      <c r="HUZ9" s="131"/>
      <c r="HVA9" s="131"/>
      <c r="HVB9" s="131"/>
      <c r="HVC9" s="131"/>
      <c r="HVD9" s="131"/>
      <c r="HVE9" s="131"/>
      <c r="HVF9" s="131"/>
      <c r="HVG9" s="131"/>
      <c r="HVH9" s="131"/>
      <c r="HVI9" s="131"/>
      <c r="HVJ9" s="131"/>
      <c r="HVK9" s="131"/>
      <c r="HVL9" s="131"/>
      <c r="HVM9" s="131"/>
      <c r="HVN9" s="131"/>
      <c r="HVO9" s="131"/>
      <c r="HVP9" s="131"/>
      <c r="HVQ9" s="131"/>
      <c r="HVR9" s="131"/>
      <c r="HVS9" s="131"/>
      <c r="HVT9" s="131"/>
      <c r="HVU9" s="131"/>
      <c r="HVV9" s="131"/>
      <c r="HVW9" s="131"/>
      <c r="HVX9" s="131"/>
      <c r="HVY9" s="131"/>
      <c r="HVZ9" s="131"/>
      <c r="HWA9" s="131"/>
      <c r="HWB9" s="131"/>
      <c r="HWC9" s="131"/>
      <c r="HWD9" s="131"/>
      <c r="HWE9" s="131"/>
      <c r="HWF9" s="131"/>
      <c r="HWG9" s="131"/>
      <c r="HWH9" s="131"/>
      <c r="HWI9" s="131"/>
      <c r="HWJ9" s="131"/>
      <c r="HWK9" s="131"/>
      <c r="HWL9" s="131"/>
      <c r="HWM9" s="131"/>
      <c r="HWN9" s="131"/>
      <c r="HWO9" s="131"/>
      <c r="HWP9" s="131"/>
      <c r="HWQ9" s="131"/>
      <c r="HWR9" s="131"/>
      <c r="HWS9" s="131"/>
      <c r="HWT9" s="131"/>
      <c r="HWU9" s="131"/>
      <c r="HWV9" s="131"/>
      <c r="HWW9" s="131"/>
      <c r="HWX9" s="131"/>
      <c r="HWY9" s="131"/>
      <c r="HWZ9" s="131"/>
      <c r="HXA9" s="131"/>
      <c r="HXB9" s="131"/>
      <c r="HXC9" s="131"/>
      <c r="HXD9" s="131"/>
      <c r="HXE9" s="131"/>
      <c r="HXF9" s="131"/>
      <c r="HXG9" s="131"/>
      <c r="HXH9" s="131"/>
      <c r="HXI9" s="131"/>
      <c r="HXJ9" s="131"/>
      <c r="HXK9" s="131"/>
      <c r="HXL9" s="131"/>
      <c r="HXM9" s="131"/>
      <c r="HXN9" s="131"/>
      <c r="HXO9" s="131"/>
      <c r="HXP9" s="131"/>
      <c r="HXQ9" s="131"/>
      <c r="HXR9" s="131"/>
      <c r="HXS9" s="131"/>
      <c r="HXT9" s="131"/>
      <c r="HXU9" s="131"/>
      <c r="HXV9" s="131"/>
      <c r="HXW9" s="131"/>
      <c r="HXX9" s="131"/>
      <c r="HXY9" s="131"/>
      <c r="HXZ9" s="131"/>
      <c r="HYA9" s="131"/>
      <c r="HYB9" s="131"/>
      <c r="HYC9" s="131"/>
      <c r="HYD9" s="131"/>
      <c r="HYE9" s="131"/>
      <c r="HYF9" s="131"/>
      <c r="HYG9" s="131"/>
      <c r="HYH9" s="131"/>
      <c r="HYI9" s="131"/>
      <c r="HYJ9" s="131"/>
      <c r="HYK9" s="131"/>
      <c r="HYL9" s="131"/>
      <c r="HYM9" s="131"/>
      <c r="HYN9" s="131"/>
      <c r="HYO9" s="131"/>
      <c r="HYP9" s="131"/>
      <c r="HYQ9" s="131"/>
      <c r="HYR9" s="131"/>
      <c r="HYS9" s="131"/>
      <c r="HYT9" s="131"/>
      <c r="HYU9" s="131"/>
      <c r="HYV9" s="131"/>
      <c r="HYW9" s="131"/>
      <c r="HYX9" s="131"/>
      <c r="HYY9" s="131"/>
      <c r="HYZ9" s="131"/>
      <c r="HZA9" s="131"/>
      <c r="HZB9" s="131"/>
      <c r="HZC9" s="131"/>
      <c r="HZD9" s="131"/>
      <c r="HZE9" s="131"/>
      <c r="HZF9" s="131"/>
      <c r="HZG9" s="131"/>
      <c r="HZH9" s="131"/>
      <c r="HZI9" s="131"/>
      <c r="HZJ9" s="131"/>
      <c r="HZK9" s="131"/>
      <c r="HZL9" s="131"/>
      <c r="HZM9" s="131"/>
      <c r="HZN9" s="131"/>
      <c r="HZO9" s="131"/>
      <c r="HZP9" s="131"/>
      <c r="HZQ9" s="131"/>
      <c r="HZR9" s="131"/>
      <c r="HZS9" s="131"/>
      <c r="HZT9" s="131"/>
      <c r="HZU9" s="131"/>
      <c r="HZV9" s="131"/>
      <c r="HZW9" s="131"/>
      <c r="HZX9" s="131"/>
      <c r="HZY9" s="131"/>
      <c r="HZZ9" s="131"/>
      <c r="IAA9" s="131"/>
      <c r="IAB9" s="131"/>
      <c r="IAC9" s="131"/>
      <c r="IAD9" s="131"/>
      <c r="IAE9" s="131"/>
      <c r="IAF9" s="131"/>
      <c r="IAG9" s="131"/>
      <c r="IAH9" s="131"/>
      <c r="IAI9" s="131"/>
      <c r="IAJ9" s="131"/>
      <c r="IAK9" s="131"/>
      <c r="IAL9" s="131"/>
      <c r="IAM9" s="131"/>
      <c r="IAN9" s="131"/>
      <c r="IAO9" s="131"/>
      <c r="IAP9" s="131"/>
      <c r="IAQ9" s="131"/>
      <c r="IAR9" s="131"/>
      <c r="IAS9" s="131"/>
      <c r="IAT9" s="131"/>
      <c r="IAU9" s="131"/>
      <c r="IAV9" s="131"/>
      <c r="IAW9" s="131"/>
      <c r="IBJ9" s="131"/>
      <c r="IBK9" s="131"/>
      <c r="IBL9" s="131"/>
      <c r="IBM9" s="131"/>
      <c r="IBN9" s="131"/>
      <c r="IBO9" s="131"/>
      <c r="IBP9" s="131"/>
      <c r="IBQ9" s="131"/>
      <c r="IBR9" s="131"/>
      <c r="IBS9" s="131"/>
      <c r="IBT9" s="131"/>
      <c r="IBU9" s="131"/>
      <c r="IBV9" s="131"/>
      <c r="IBW9" s="131"/>
      <c r="IBX9" s="131"/>
      <c r="IBY9" s="131"/>
      <c r="IBZ9" s="131"/>
      <c r="ICA9" s="131"/>
      <c r="ICB9" s="131"/>
      <c r="ICC9" s="131"/>
      <c r="ICD9" s="131"/>
      <c r="ICE9" s="131"/>
      <c r="ICF9" s="131"/>
      <c r="ICG9" s="131"/>
      <c r="ICH9" s="131"/>
      <c r="ICI9" s="131"/>
      <c r="ICJ9" s="131"/>
      <c r="ICK9" s="131"/>
      <c r="ICL9" s="131"/>
      <c r="ICM9" s="131"/>
      <c r="ICN9" s="131"/>
      <c r="ICO9" s="131"/>
      <c r="ICP9" s="131"/>
      <c r="ICQ9" s="131"/>
      <c r="ICR9" s="131"/>
      <c r="ICS9" s="131"/>
      <c r="ICT9" s="131"/>
      <c r="ICU9" s="131"/>
      <c r="ICV9" s="131"/>
      <c r="ICW9" s="131"/>
      <c r="ICX9" s="131"/>
      <c r="ICY9" s="131"/>
      <c r="ICZ9" s="131"/>
      <c r="IDA9" s="131"/>
      <c r="IDB9" s="131"/>
      <c r="IDC9" s="131"/>
      <c r="IDD9" s="131"/>
      <c r="IDE9" s="131"/>
      <c r="IDF9" s="131"/>
      <c r="IDG9" s="131"/>
      <c r="IDH9" s="131"/>
      <c r="IDI9" s="131"/>
      <c r="IDJ9" s="131"/>
      <c r="IDK9" s="131"/>
      <c r="IDL9" s="131"/>
      <c r="IDM9" s="131"/>
      <c r="IDN9" s="131"/>
      <c r="IDO9" s="131"/>
      <c r="IDP9" s="131"/>
      <c r="IDQ9" s="131"/>
      <c r="IDR9" s="131"/>
      <c r="IDS9" s="131"/>
      <c r="IDT9" s="131"/>
      <c r="IDU9" s="131"/>
      <c r="IDV9" s="131"/>
      <c r="IDW9" s="131"/>
      <c r="IDX9" s="131"/>
      <c r="IDY9" s="131"/>
      <c r="IDZ9" s="131"/>
      <c r="IEA9" s="131"/>
      <c r="IEB9" s="131"/>
      <c r="IEC9" s="131"/>
      <c r="IED9" s="131"/>
      <c r="IEE9" s="131"/>
      <c r="IEF9" s="131"/>
      <c r="IEG9" s="131"/>
      <c r="IEH9" s="131"/>
      <c r="IEI9" s="131"/>
      <c r="IEJ9" s="131"/>
      <c r="IEK9" s="131"/>
      <c r="IEL9" s="131"/>
      <c r="IEM9" s="131"/>
      <c r="IEN9" s="131"/>
      <c r="IEO9" s="131"/>
      <c r="IEP9" s="131"/>
      <c r="IEQ9" s="131"/>
      <c r="IER9" s="131"/>
      <c r="IES9" s="131"/>
      <c r="IET9" s="131"/>
      <c r="IEU9" s="131"/>
      <c r="IEV9" s="131"/>
      <c r="IEW9" s="131"/>
      <c r="IEX9" s="131"/>
      <c r="IEY9" s="131"/>
      <c r="IEZ9" s="131"/>
      <c r="IFA9" s="131"/>
      <c r="IFB9" s="131"/>
      <c r="IFC9" s="131"/>
      <c r="IFD9" s="131"/>
      <c r="IFE9" s="131"/>
      <c r="IFF9" s="131"/>
      <c r="IFG9" s="131"/>
      <c r="IFH9" s="131"/>
      <c r="IFI9" s="131"/>
      <c r="IFJ9" s="131"/>
      <c r="IFK9" s="131"/>
      <c r="IFL9" s="131"/>
      <c r="IFM9" s="131"/>
      <c r="IFN9" s="131"/>
      <c r="IFO9" s="131"/>
      <c r="IFP9" s="131"/>
      <c r="IFQ9" s="131"/>
      <c r="IFR9" s="131"/>
      <c r="IFS9" s="131"/>
      <c r="IFT9" s="131"/>
      <c r="IFU9" s="131"/>
      <c r="IFV9" s="131"/>
      <c r="IFW9" s="131"/>
      <c r="IFX9" s="131"/>
      <c r="IFY9" s="131"/>
      <c r="IFZ9" s="131"/>
      <c r="IGA9" s="131"/>
      <c r="IGB9" s="131"/>
      <c r="IGC9" s="131"/>
      <c r="IGD9" s="131"/>
      <c r="IGE9" s="131"/>
      <c r="IGF9" s="131"/>
      <c r="IGG9" s="131"/>
      <c r="IGH9" s="131"/>
      <c r="IGI9" s="131"/>
      <c r="IGJ9" s="131"/>
      <c r="IGK9" s="131"/>
      <c r="IGL9" s="131"/>
      <c r="IGM9" s="131"/>
      <c r="IGN9" s="131"/>
      <c r="IGO9" s="131"/>
      <c r="IGP9" s="131"/>
      <c r="IGQ9" s="131"/>
      <c r="IGR9" s="131"/>
      <c r="IGS9" s="131"/>
      <c r="IGT9" s="131"/>
      <c r="IGU9" s="131"/>
      <c r="IGV9" s="131"/>
      <c r="IGW9" s="131"/>
      <c r="IGX9" s="131"/>
      <c r="IGY9" s="131"/>
      <c r="IGZ9" s="131"/>
      <c r="IHA9" s="131"/>
      <c r="IHB9" s="131"/>
      <c r="IHC9" s="131"/>
      <c r="IHD9" s="131"/>
      <c r="IHE9" s="131"/>
      <c r="IHF9" s="131"/>
      <c r="IHG9" s="131"/>
      <c r="IHH9" s="131"/>
      <c r="IHI9" s="131"/>
      <c r="IHJ9" s="131"/>
      <c r="IHK9" s="131"/>
      <c r="IHL9" s="131"/>
      <c r="IHM9" s="131"/>
      <c r="IHN9" s="131"/>
      <c r="IHO9" s="131"/>
      <c r="IHP9" s="131"/>
      <c r="IHQ9" s="131"/>
      <c r="IHR9" s="131"/>
      <c r="IHS9" s="131"/>
      <c r="IHT9" s="131"/>
      <c r="IHU9" s="131"/>
      <c r="IHV9" s="131"/>
      <c r="IHW9" s="131"/>
      <c r="IHX9" s="131"/>
      <c r="IHY9" s="131"/>
      <c r="IHZ9" s="131"/>
      <c r="IIA9" s="131"/>
      <c r="IIB9" s="131"/>
      <c r="IIC9" s="131"/>
      <c r="IID9" s="131"/>
      <c r="IIE9" s="131"/>
      <c r="IIF9" s="131"/>
      <c r="IIG9" s="131"/>
      <c r="IIH9" s="131"/>
      <c r="III9" s="131"/>
      <c r="IIJ9" s="131"/>
      <c r="IIK9" s="131"/>
      <c r="IIL9" s="131"/>
      <c r="IIM9" s="131"/>
      <c r="IIN9" s="131"/>
      <c r="IIO9" s="131"/>
      <c r="IIP9" s="131"/>
      <c r="IIQ9" s="131"/>
      <c r="IIR9" s="131"/>
      <c r="IIS9" s="131"/>
      <c r="IIT9" s="131"/>
      <c r="IIU9" s="131"/>
      <c r="IIV9" s="131"/>
      <c r="IIW9" s="131"/>
      <c r="IIX9" s="131"/>
      <c r="IIY9" s="131"/>
      <c r="IIZ9" s="131"/>
      <c r="IJA9" s="131"/>
      <c r="IJB9" s="131"/>
      <c r="IJC9" s="131"/>
      <c r="IJD9" s="131"/>
      <c r="IJE9" s="131"/>
      <c r="IJF9" s="131"/>
      <c r="IJG9" s="131"/>
      <c r="IJH9" s="131"/>
      <c r="IJI9" s="131"/>
      <c r="IJJ9" s="131"/>
      <c r="IJK9" s="131"/>
      <c r="IJL9" s="131"/>
      <c r="IJM9" s="131"/>
      <c r="IJN9" s="131"/>
      <c r="IJO9" s="131"/>
      <c r="IJP9" s="131"/>
      <c r="IJQ9" s="131"/>
      <c r="IJR9" s="131"/>
      <c r="IJS9" s="131"/>
      <c r="IJT9" s="131"/>
      <c r="IJU9" s="131"/>
      <c r="IJV9" s="131"/>
      <c r="IJW9" s="131"/>
      <c r="IJX9" s="131"/>
      <c r="IJY9" s="131"/>
      <c r="IJZ9" s="131"/>
      <c r="IKA9" s="131"/>
      <c r="IKB9" s="131"/>
      <c r="IKC9" s="131"/>
      <c r="IKD9" s="131"/>
      <c r="IKE9" s="131"/>
      <c r="IKF9" s="131"/>
      <c r="IKG9" s="131"/>
      <c r="IKH9" s="131"/>
      <c r="IKI9" s="131"/>
      <c r="IKJ9" s="131"/>
      <c r="IKK9" s="131"/>
      <c r="IKL9" s="131"/>
      <c r="IKM9" s="131"/>
      <c r="IKN9" s="131"/>
      <c r="IKO9" s="131"/>
      <c r="IKP9" s="131"/>
      <c r="IKQ9" s="131"/>
      <c r="IKR9" s="131"/>
      <c r="IKS9" s="131"/>
      <c r="IKT9" s="131"/>
      <c r="IKU9" s="131"/>
      <c r="IKV9" s="131"/>
      <c r="IKW9" s="131"/>
      <c r="IKX9" s="131"/>
      <c r="IKY9" s="131"/>
      <c r="IKZ9" s="131"/>
      <c r="ILA9" s="131"/>
      <c r="ILB9" s="131"/>
      <c r="ILC9" s="131"/>
      <c r="ILD9" s="131"/>
      <c r="ILE9" s="131"/>
      <c r="ILF9" s="131"/>
      <c r="ILG9" s="131"/>
      <c r="ILH9" s="131"/>
      <c r="ILI9" s="131"/>
      <c r="ILJ9" s="131"/>
      <c r="ILK9" s="131"/>
      <c r="ILL9" s="131"/>
      <c r="ILM9" s="131"/>
      <c r="ILN9" s="131"/>
      <c r="ILO9" s="131"/>
      <c r="ILP9" s="131"/>
      <c r="ILQ9" s="131"/>
      <c r="ILR9" s="131"/>
      <c r="ILS9" s="131"/>
      <c r="ILT9" s="131"/>
      <c r="ILU9" s="131"/>
      <c r="ILV9" s="131"/>
      <c r="ILW9" s="131"/>
      <c r="ILX9" s="131"/>
      <c r="ILY9" s="131"/>
      <c r="ILZ9" s="131"/>
      <c r="IMA9" s="131"/>
      <c r="IMB9" s="131"/>
      <c r="IMC9" s="131"/>
      <c r="IMD9" s="131"/>
      <c r="IME9" s="131"/>
      <c r="IMF9" s="131"/>
      <c r="IMG9" s="131"/>
      <c r="IMH9" s="131"/>
      <c r="IMI9" s="131"/>
      <c r="IMJ9" s="131"/>
      <c r="IMK9" s="131"/>
      <c r="IML9" s="131"/>
      <c r="IMM9" s="131"/>
      <c r="IMN9" s="131"/>
      <c r="IMO9" s="131"/>
      <c r="IMP9" s="131"/>
      <c r="IMQ9" s="131"/>
      <c r="IMR9" s="131"/>
      <c r="IMS9" s="131"/>
      <c r="IMT9" s="131"/>
      <c r="IMU9" s="131"/>
      <c r="IMV9" s="131"/>
      <c r="IMW9" s="131"/>
      <c r="IMX9" s="131"/>
      <c r="IMY9" s="131"/>
      <c r="IMZ9" s="131"/>
      <c r="INA9" s="131"/>
      <c r="INB9" s="131"/>
      <c r="INC9" s="131"/>
      <c r="IND9" s="131"/>
      <c r="INE9" s="131"/>
      <c r="INF9" s="131"/>
      <c r="ING9" s="131"/>
      <c r="INH9" s="131"/>
      <c r="INI9" s="131"/>
      <c r="INJ9" s="131"/>
      <c r="INK9" s="131"/>
      <c r="INL9" s="131"/>
      <c r="INM9" s="131"/>
      <c r="INN9" s="131"/>
      <c r="INO9" s="131"/>
      <c r="INP9" s="131"/>
      <c r="INQ9" s="131"/>
      <c r="INR9" s="131"/>
      <c r="INS9" s="131"/>
      <c r="INT9" s="131"/>
      <c r="INU9" s="131"/>
      <c r="INV9" s="131"/>
      <c r="INW9" s="131"/>
      <c r="INX9" s="131"/>
      <c r="INY9" s="131"/>
      <c r="INZ9" s="131"/>
      <c r="IOA9" s="131"/>
      <c r="IOB9" s="131"/>
      <c r="IOC9" s="131"/>
      <c r="IOD9" s="131"/>
      <c r="IOE9" s="131"/>
      <c r="IOF9" s="131"/>
      <c r="IOG9" s="131"/>
      <c r="IOH9" s="131"/>
      <c r="IOI9" s="131"/>
      <c r="IOJ9" s="131"/>
      <c r="IOK9" s="131"/>
      <c r="IOL9" s="131"/>
      <c r="IOM9" s="131"/>
      <c r="ION9" s="131"/>
      <c r="IOO9" s="131"/>
      <c r="IOP9" s="131"/>
      <c r="IOQ9" s="131"/>
      <c r="IOR9" s="131"/>
      <c r="IOS9" s="131"/>
      <c r="IOT9" s="131"/>
      <c r="IOU9" s="131"/>
      <c r="IOV9" s="131"/>
      <c r="IOW9" s="131"/>
      <c r="IOX9" s="131"/>
      <c r="IOY9" s="131"/>
      <c r="IOZ9" s="131"/>
      <c r="IPA9" s="131"/>
      <c r="IPB9" s="131"/>
      <c r="IPC9" s="131"/>
      <c r="IPD9" s="131"/>
      <c r="IPE9" s="131"/>
      <c r="IPF9" s="131"/>
      <c r="IPG9" s="131"/>
      <c r="IPH9" s="131"/>
      <c r="IPI9" s="131"/>
      <c r="IPJ9" s="131"/>
      <c r="IPK9" s="131"/>
      <c r="IPL9" s="131"/>
      <c r="IPM9" s="131"/>
      <c r="IPN9" s="131"/>
      <c r="IPO9" s="131"/>
      <c r="IPP9" s="131"/>
      <c r="IPQ9" s="131"/>
      <c r="IPR9" s="131"/>
      <c r="IPS9" s="131"/>
      <c r="IPT9" s="131"/>
      <c r="IPU9" s="131"/>
      <c r="IPV9" s="131"/>
      <c r="IPW9" s="131"/>
      <c r="IPX9" s="131"/>
      <c r="IPY9" s="131"/>
      <c r="IPZ9" s="131"/>
      <c r="IQA9" s="131"/>
      <c r="IQB9" s="131"/>
      <c r="IQC9" s="131"/>
      <c r="IQD9" s="131"/>
      <c r="IQE9" s="131"/>
      <c r="IQF9" s="131"/>
      <c r="IQG9" s="131"/>
      <c r="IQH9" s="131"/>
      <c r="IQI9" s="131"/>
      <c r="IQJ9" s="131"/>
      <c r="IQK9" s="131"/>
      <c r="IQL9" s="131"/>
      <c r="IQM9" s="131"/>
      <c r="IQN9" s="131"/>
      <c r="IQO9" s="131"/>
      <c r="IQP9" s="131"/>
      <c r="IQQ9" s="131"/>
      <c r="IQR9" s="131"/>
      <c r="IQS9" s="131"/>
      <c r="IQT9" s="131"/>
      <c r="IQU9" s="131"/>
      <c r="IQV9" s="131"/>
      <c r="IQW9" s="131"/>
      <c r="IQX9" s="131"/>
      <c r="IQY9" s="131"/>
      <c r="IQZ9" s="131"/>
      <c r="IRA9" s="131"/>
      <c r="IRB9" s="131"/>
      <c r="IRC9" s="131"/>
      <c r="IRD9" s="131"/>
      <c r="IRE9" s="131"/>
      <c r="IRF9" s="131"/>
      <c r="IRG9" s="131"/>
      <c r="IRH9" s="131"/>
      <c r="IRI9" s="131"/>
      <c r="IRJ9" s="131"/>
      <c r="IRK9" s="131"/>
      <c r="IRL9" s="131"/>
      <c r="IRM9" s="131"/>
      <c r="IRN9" s="131"/>
      <c r="IRO9" s="131"/>
      <c r="IRP9" s="131"/>
      <c r="IRQ9" s="131"/>
      <c r="IRR9" s="131"/>
      <c r="IRS9" s="131"/>
      <c r="IRT9" s="131"/>
      <c r="IRU9" s="131"/>
      <c r="IRV9" s="131"/>
      <c r="IRW9" s="131"/>
      <c r="IRX9" s="131"/>
      <c r="IRY9" s="131"/>
      <c r="IRZ9" s="131"/>
      <c r="ISA9" s="131"/>
      <c r="ISB9" s="131"/>
      <c r="ISC9" s="131"/>
      <c r="ISD9" s="131"/>
      <c r="ISE9" s="131"/>
      <c r="ISF9" s="131"/>
      <c r="ISG9" s="131"/>
      <c r="ISH9" s="131"/>
      <c r="ISI9" s="131"/>
      <c r="ISJ9" s="131"/>
      <c r="ISK9" s="131"/>
      <c r="ISL9" s="131"/>
      <c r="ISM9" s="131"/>
      <c r="ISN9" s="131"/>
      <c r="ISO9" s="131"/>
      <c r="ISP9" s="131"/>
      <c r="ISQ9" s="131"/>
      <c r="ISR9" s="131"/>
      <c r="ISS9" s="131"/>
      <c r="IST9" s="131"/>
      <c r="ISU9" s="131"/>
      <c r="ISV9" s="131"/>
      <c r="ISW9" s="131"/>
      <c r="ISX9" s="131"/>
      <c r="ISY9" s="131"/>
      <c r="ISZ9" s="131"/>
      <c r="ITA9" s="131"/>
      <c r="ITB9" s="131"/>
      <c r="ITC9" s="131"/>
      <c r="ITD9" s="131"/>
      <c r="ITE9" s="131"/>
      <c r="ITF9" s="131"/>
      <c r="ITG9" s="131"/>
      <c r="ITH9" s="131"/>
      <c r="ITI9" s="131"/>
      <c r="ITJ9" s="131"/>
      <c r="ITK9" s="131"/>
      <c r="ITL9" s="131"/>
      <c r="ITM9" s="131"/>
      <c r="ITN9" s="131"/>
      <c r="ITO9" s="131"/>
      <c r="ITP9" s="131"/>
      <c r="ITQ9" s="131"/>
      <c r="ITR9" s="131"/>
      <c r="ITS9" s="131"/>
      <c r="ITT9" s="131"/>
      <c r="ITU9" s="131"/>
      <c r="ITV9" s="131"/>
      <c r="ITW9" s="131"/>
      <c r="ITX9" s="131"/>
      <c r="ITY9" s="131"/>
      <c r="ITZ9" s="131"/>
      <c r="IUA9" s="131"/>
      <c r="IUB9" s="131"/>
      <c r="IUC9" s="131"/>
      <c r="IUD9" s="131"/>
      <c r="IUE9" s="131"/>
      <c r="IUF9" s="131"/>
      <c r="IUG9" s="131"/>
      <c r="IUH9" s="131"/>
      <c r="IUI9" s="131"/>
      <c r="IUJ9" s="131"/>
      <c r="IUK9" s="131"/>
      <c r="IUL9" s="131"/>
      <c r="IUM9" s="131"/>
      <c r="IUN9" s="131"/>
      <c r="IUO9" s="131"/>
      <c r="IUP9" s="131"/>
      <c r="IUQ9" s="131"/>
      <c r="IUR9" s="131"/>
      <c r="IUS9" s="131"/>
      <c r="IUT9" s="131"/>
      <c r="IUU9" s="131"/>
      <c r="IUV9" s="131"/>
      <c r="IUW9" s="131"/>
      <c r="IUX9" s="131"/>
      <c r="IUY9" s="131"/>
      <c r="IUZ9" s="131"/>
      <c r="IVA9" s="131"/>
      <c r="IVB9" s="131"/>
      <c r="IVC9" s="131"/>
      <c r="IVD9" s="131"/>
      <c r="IVE9" s="131"/>
      <c r="IVF9" s="131"/>
      <c r="IVG9" s="131"/>
      <c r="IVH9" s="131"/>
      <c r="IVI9" s="131"/>
      <c r="IVJ9" s="131"/>
      <c r="IVK9" s="131"/>
      <c r="IVL9" s="131"/>
      <c r="IVM9" s="131"/>
      <c r="IVN9" s="131"/>
      <c r="IVO9" s="131"/>
      <c r="IVP9" s="131"/>
      <c r="IVQ9" s="131"/>
      <c r="IVR9" s="131"/>
      <c r="IVS9" s="131"/>
      <c r="IVT9" s="131"/>
      <c r="IVU9" s="131"/>
      <c r="IVV9" s="131"/>
      <c r="IVW9" s="131"/>
      <c r="IVX9" s="131"/>
      <c r="IVY9" s="131"/>
      <c r="IVZ9" s="131"/>
      <c r="IWA9" s="131"/>
      <c r="IWB9" s="131"/>
      <c r="IWC9" s="131"/>
      <c r="IWD9" s="131"/>
      <c r="IWE9" s="131"/>
      <c r="IWF9" s="131"/>
      <c r="IWG9" s="131"/>
      <c r="IWH9" s="131"/>
      <c r="IWI9" s="131"/>
      <c r="IWJ9" s="131"/>
      <c r="IWK9" s="131"/>
      <c r="IWL9" s="131"/>
      <c r="IWM9" s="131"/>
      <c r="IWN9" s="131"/>
      <c r="IWO9" s="131"/>
      <c r="IWP9" s="131"/>
      <c r="IWQ9" s="131"/>
      <c r="IWR9" s="131"/>
      <c r="IWS9" s="131"/>
      <c r="IWT9" s="131"/>
      <c r="IWU9" s="131"/>
      <c r="IWV9" s="131"/>
      <c r="IWW9" s="131"/>
      <c r="IWX9" s="131"/>
      <c r="IWY9" s="131"/>
      <c r="IWZ9" s="131"/>
      <c r="IXA9" s="131"/>
      <c r="IXB9" s="131"/>
      <c r="IXC9" s="131"/>
      <c r="IXD9" s="131"/>
      <c r="IXE9" s="131"/>
      <c r="IXF9" s="131"/>
      <c r="IXG9" s="131"/>
      <c r="IXH9" s="131"/>
      <c r="IXI9" s="131"/>
      <c r="IXJ9" s="131"/>
      <c r="IXK9" s="131"/>
      <c r="IXL9" s="131"/>
      <c r="IXM9" s="131"/>
      <c r="IXN9" s="131"/>
      <c r="IXO9" s="131"/>
      <c r="IXP9" s="131"/>
      <c r="IXQ9" s="131"/>
      <c r="IXR9" s="131"/>
      <c r="IXS9" s="131"/>
      <c r="IXT9" s="131"/>
      <c r="IXU9" s="131"/>
      <c r="IXV9" s="131"/>
      <c r="IXW9" s="131"/>
      <c r="IXX9" s="131"/>
      <c r="IXY9" s="131"/>
      <c r="IXZ9" s="131"/>
      <c r="IYA9" s="131"/>
      <c r="IYB9" s="131"/>
      <c r="IYC9" s="131"/>
      <c r="IYD9" s="131"/>
      <c r="IYE9" s="131"/>
      <c r="IYF9" s="131"/>
      <c r="IYG9" s="131"/>
      <c r="IYH9" s="131"/>
      <c r="IYI9" s="131"/>
      <c r="IYJ9" s="131"/>
      <c r="IYK9" s="131"/>
      <c r="IYL9" s="131"/>
      <c r="IYM9" s="131"/>
      <c r="IYN9" s="131"/>
      <c r="IYO9" s="131"/>
      <c r="IYP9" s="131"/>
      <c r="IYQ9" s="131"/>
      <c r="IYR9" s="131"/>
      <c r="IYS9" s="131"/>
      <c r="IYT9" s="131"/>
      <c r="IYU9" s="131"/>
      <c r="IYV9" s="131"/>
      <c r="IYW9" s="131"/>
      <c r="IYX9" s="131"/>
      <c r="IYY9" s="131"/>
      <c r="IYZ9" s="131"/>
      <c r="IZA9" s="131"/>
      <c r="IZB9" s="131"/>
      <c r="IZC9" s="131"/>
      <c r="IZD9" s="131"/>
      <c r="IZE9" s="131"/>
      <c r="IZF9" s="131"/>
      <c r="IZG9" s="131"/>
      <c r="IZH9" s="131"/>
      <c r="IZI9" s="131"/>
      <c r="IZJ9" s="131"/>
      <c r="IZK9" s="131"/>
      <c r="IZL9" s="131"/>
      <c r="IZM9" s="131"/>
      <c r="IZN9" s="131"/>
      <c r="IZO9" s="131"/>
      <c r="IZP9" s="131"/>
      <c r="IZQ9" s="131"/>
      <c r="IZR9" s="131"/>
      <c r="IZS9" s="131"/>
      <c r="IZT9" s="131"/>
      <c r="IZU9" s="131"/>
      <c r="IZV9" s="131"/>
      <c r="IZW9" s="131"/>
      <c r="IZX9" s="131"/>
      <c r="IZY9" s="131"/>
      <c r="IZZ9" s="131"/>
      <c r="JAA9" s="131"/>
      <c r="JAB9" s="131"/>
      <c r="JAC9" s="131"/>
      <c r="JAD9" s="131"/>
      <c r="JAE9" s="131"/>
      <c r="JAF9" s="131"/>
      <c r="JAG9" s="131"/>
      <c r="JAH9" s="131"/>
      <c r="JAI9" s="131"/>
      <c r="JAJ9" s="131"/>
      <c r="JAK9" s="131"/>
      <c r="JAL9" s="131"/>
      <c r="JAM9" s="131"/>
      <c r="JAN9" s="131"/>
      <c r="JAO9" s="131"/>
      <c r="JAP9" s="131"/>
      <c r="JAQ9" s="131"/>
      <c r="JAR9" s="131"/>
      <c r="JAS9" s="131"/>
      <c r="JAT9" s="131"/>
      <c r="JAU9" s="131"/>
      <c r="JAV9" s="131"/>
      <c r="JAW9" s="131"/>
      <c r="JAX9" s="131"/>
      <c r="JAY9" s="131"/>
      <c r="JAZ9" s="131"/>
      <c r="JBA9" s="131"/>
      <c r="JBB9" s="131"/>
      <c r="JBC9" s="131"/>
      <c r="JBD9" s="131"/>
      <c r="JBE9" s="131"/>
      <c r="JBF9" s="131"/>
      <c r="JBG9" s="131"/>
      <c r="JBH9" s="131"/>
      <c r="JBI9" s="131"/>
      <c r="JBJ9" s="131"/>
      <c r="JBK9" s="131"/>
      <c r="JBL9" s="131"/>
      <c r="JBM9" s="131"/>
      <c r="JBN9" s="131"/>
      <c r="JBO9" s="131"/>
      <c r="JBP9" s="131"/>
      <c r="JBQ9" s="131"/>
      <c r="JBR9" s="131"/>
      <c r="JBS9" s="131"/>
      <c r="JBT9" s="131"/>
      <c r="JBU9" s="131"/>
      <c r="JBV9" s="131"/>
      <c r="JBW9" s="131"/>
      <c r="JBX9" s="131"/>
      <c r="JBY9" s="131"/>
      <c r="JBZ9" s="131"/>
      <c r="JCA9" s="131"/>
      <c r="JCB9" s="131"/>
      <c r="JCC9" s="131"/>
      <c r="JCD9" s="131"/>
      <c r="JCE9" s="131"/>
      <c r="JCF9" s="131"/>
      <c r="JCG9" s="131"/>
      <c r="JCH9" s="131"/>
      <c r="JCI9" s="131"/>
      <c r="JCJ9" s="131"/>
      <c r="JCK9" s="131"/>
      <c r="JCL9" s="131"/>
      <c r="JCM9" s="131"/>
      <c r="JCN9" s="131"/>
      <c r="JCO9" s="131"/>
      <c r="JCP9" s="131"/>
      <c r="JCQ9" s="131"/>
      <c r="JCR9" s="131"/>
      <c r="JCS9" s="131"/>
      <c r="JCT9" s="131"/>
      <c r="JCU9" s="131"/>
      <c r="JCV9" s="131"/>
      <c r="JCW9" s="131"/>
      <c r="JCX9" s="131"/>
      <c r="JCY9" s="131"/>
      <c r="JCZ9" s="131"/>
      <c r="JDA9" s="131"/>
      <c r="JDB9" s="131"/>
      <c r="JDC9" s="131"/>
      <c r="JDD9" s="131"/>
      <c r="JDE9" s="131"/>
      <c r="JDF9" s="131"/>
      <c r="JDG9" s="131"/>
      <c r="JDH9" s="131"/>
      <c r="JDI9" s="131"/>
      <c r="JDJ9" s="131"/>
      <c r="JDK9" s="131"/>
      <c r="JDL9" s="131"/>
      <c r="JDM9" s="131"/>
      <c r="JDN9" s="131"/>
      <c r="JDO9" s="131"/>
      <c r="JDP9" s="131"/>
      <c r="JDQ9" s="131"/>
      <c r="JDR9" s="131"/>
      <c r="JDS9" s="131"/>
      <c r="JDT9" s="131"/>
      <c r="JDU9" s="131"/>
      <c r="JDV9" s="131"/>
      <c r="JDW9" s="131"/>
      <c r="JDX9" s="131"/>
      <c r="JDY9" s="131"/>
      <c r="JDZ9" s="131"/>
      <c r="JEA9" s="131"/>
      <c r="JEB9" s="131"/>
      <c r="JEC9" s="131"/>
      <c r="JED9" s="131"/>
      <c r="JEE9" s="131"/>
      <c r="JEF9" s="131"/>
      <c r="JEG9" s="131"/>
      <c r="JEH9" s="131"/>
      <c r="JEI9" s="131"/>
      <c r="JEJ9" s="131"/>
      <c r="JEK9" s="131"/>
      <c r="JEL9" s="131"/>
      <c r="JEM9" s="131"/>
      <c r="JEN9" s="131"/>
      <c r="JEO9" s="131"/>
      <c r="JEP9" s="131"/>
      <c r="JEQ9" s="131"/>
      <c r="JER9" s="131"/>
      <c r="JES9" s="131"/>
      <c r="JET9" s="131"/>
      <c r="JEU9" s="131"/>
      <c r="JEV9" s="131"/>
      <c r="JEW9" s="131"/>
      <c r="JEX9" s="131"/>
      <c r="JEY9" s="131"/>
      <c r="JEZ9" s="131"/>
      <c r="JFA9" s="131"/>
      <c r="JFB9" s="131"/>
      <c r="JFC9" s="131"/>
      <c r="JFD9" s="131"/>
      <c r="JFE9" s="131"/>
      <c r="JFF9" s="131"/>
      <c r="JFG9" s="131"/>
      <c r="JFH9" s="131"/>
      <c r="JFI9" s="131"/>
      <c r="JFJ9" s="131"/>
      <c r="JFK9" s="131"/>
      <c r="JFL9" s="131"/>
      <c r="JFM9" s="131"/>
      <c r="JFN9" s="131"/>
      <c r="JFO9" s="131"/>
      <c r="JFP9" s="131"/>
      <c r="JFQ9" s="131"/>
      <c r="JFR9" s="131"/>
      <c r="JFS9" s="131"/>
      <c r="JFT9" s="131"/>
      <c r="JFU9" s="131"/>
      <c r="JFV9" s="131"/>
      <c r="JFW9" s="131"/>
      <c r="JFX9" s="131"/>
      <c r="JFY9" s="131"/>
      <c r="JFZ9" s="131"/>
      <c r="JGA9" s="131"/>
      <c r="JGB9" s="131"/>
      <c r="JGC9" s="131"/>
      <c r="JGD9" s="131"/>
      <c r="JGE9" s="131"/>
      <c r="JGF9" s="131"/>
      <c r="JGG9" s="131"/>
      <c r="JGH9" s="131"/>
      <c r="JGI9" s="131"/>
      <c r="JGJ9" s="131"/>
      <c r="JGK9" s="131"/>
      <c r="JGL9" s="131"/>
      <c r="JGM9" s="131"/>
      <c r="JGN9" s="131"/>
      <c r="JGO9" s="131"/>
      <c r="JGP9" s="131"/>
      <c r="JGQ9" s="131"/>
      <c r="JGR9" s="131"/>
      <c r="JGS9" s="131"/>
      <c r="JGT9" s="131"/>
      <c r="JGU9" s="131"/>
      <c r="JGV9" s="131"/>
      <c r="JGW9" s="131"/>
      <c r="JGX9" s="131"/>
      <c r="JGY9" s="131"/>
      <c r="JGZ9" s="131"/>
      <c r="JHA9" s="131"/>
      <c r="JHB9" s="131"/>
      <c r="JHC9" s="131"/>
      <c r="JHD9" s="131"/>
      <c r="JHE9" s="131"/>
      <c r="JHF9" s="131"/>
      <c r="JHG9" s="131"/>
      <c r="JHH9" s="131"/>
      <c r="JHI9" s="131"/>
      <c r="JHJ9" s="131"/>
      <c r="JHK9" s="131"/>
      <c r="JHL9" s="131"/>
      <c r="JHM9" s="131"/>
      <c r="JHN9" s="131"/>
      <c r="JHO9" s="131"/>
      <c r="JHP9" s="131"/>
      <c r="JHQ9" s="131"/>
      <c r="JHR9" s="131"/>
      <c r="JHS9" s="131"/>
      <c r="JHT9" s="131"/>
      <c r="JHU9" s="131"/>
      <c r="JHV9" s="131"/>
      <c r="JHW9" s="131"/>
      <c r="JHX9" s="131"/>
      <c r="JHY9" s="131"/>
      <c r="JHZ9" s="131"/>
      <c r="JIA9" s="131"/>
      <c r="JIB9" s="131"/>
      <c r="JIC9" s="131"/>
      <c r="JID9" s="131"/>
      <c r="JIE9" s="131"/>
      <c r="JIF9" s="131"/>
      <c r="JIG9" s="131"/>
      <c r="JIH9" s="131"/>
      <c r="JII9" s="131"/>
      <c r="JIJ9" s="131"/>
      <c r="JIK9" s="131"/>
      <c r="JIL9" s="131"/>
      <c r="JIM9" s="131"/>
      <c r="JIN9" s="131"/>
      <c r="JIO9" s="131"/>
      <c r="JIP9" s="131"/>
      <c r="JIQ9" s="131"/>
      <c r="JIR9" s="131"/>
      <c r="JIS9" s="131"/>
      <c r="JIT9" s="131"/>
      <c r="JIU9" s="131"/>
      <c r="JIV9" s="131"/>
      <c r="JIW9" s="131"/>
      <c r="JIX9" s="131"/>
      <c r="JIY9" s="131"/>
      <c r="JIZ9" s="131"/>
      <c r="JJA9" s="131"/>
      <c r="JJB9" s="131"/>
      <c r="JJC9" s="131"/>
      <c r="JJD9" s="131"/>
      <c r="JJE9" s="131"/>
      <c r="JJF9" s="131"/>
      <c r="JJG9" s="131"/>
      <c r="JJH9" s="131"/>
      <c r="JJI9" s="131"/>
      <c r="JJJ9" s="131"/>
      <c r="JJK9" s="131"/>
      <c r="JJL9" s="131"/>
      <c r="JJM9" s="131"/>
      <c r="JJN9" s="131"/>
      <c r="JJO9" s="131"/>
      <c r="JJP9" s="131"/>
      <c r="JJQ9" s="131"/>
      <c r="JJR9" s="131"/>
      <c r="JJS9" s="131"/>
      <c r="JJT9" s="131"/>
      <c r="JJU9" s="131"/>
      <c r="JJV9" s="131"/>
      <c r="JJW9" s="131"/>
      <c r="JJX9" s="131"/>
      <c r="JJY9" s="131"/>
      <c r="JJZ9" s="131"/>
      <c r="JKA9" s="131"/>
      <c r="JKB9" s="131"/>
      <c r="JKC9" s="131"/>
      <c r="JKD9" s="131"/>
      <c r="JKE9" s="131"/>
      <c r="JKF9" s="131"/>
      <c r="JKG9" s="131"/>
      <c r="JKH9" s="131"/>
      <c r="JKI9" s="131"/>
      <c r="JKJ9" s="131"/>
      <c r="JKK9" s="131"/>
      <c r="JKL9" s="131"/>
      <c r="JKM9" s="131"/>
      <c r="JKN9" s="131"/>
      <c r="JKO9" s="131"/>
      <c r="JKP9" s="131"/>
      <c r="JKQ9" s="131"/>
      <c r="JKR9" s="131"/>
      <c r="JKS9" s="131"/>
      <c r="JKT9" s="131"/>
      <c r="JKU9" s="131"/>
      <c r="JKV9" s="131"/>
      <c r="JKW9" s="131"/>
      <c r="JKX9" s="131"/>
      <c r="JKY9" s="131"/>
      <c r="JKZ9" s="131"/>
      <c r="JLA9" s="131"/>
      <c r="JLB9" s="131"/>
      <c r="JLC9" s="131"/>
      <c r="JLD9" s="131"/>
      <c r="JLE9" s="131"/>
      <c r="JLF9" s="131"/>
      <c r="JLG9" s="131"/>
      <c r="JLH9" s="131"/>
      <c r="JLI9" s="131"/>
      <c r="JLJ9" s="131"/>
      <c r="JLK9" s="131"/>
      <c r="JLL9" s="131"/>
      <c r="JLM9" s="131"/>
      <c r="JLN9" s="131"/>
      <c r="JLO9" s="131"/>
      <c r="JLP9" s="131"/>
      <c r="JLQ9" s="131"/>
      <c r="JLR9" s="131"/>
      <c r="JLS9" s="131"/>
      <c r="JLT9" s="131"/>
      <c r="JLU9" s="131"/>
      <c r="JLV9" s="131"/>
      <c r="JLW9" s="131"/>
      <c r="JLX9" s="131"/>
      <c r="JLY9" s="131"/>
      <c r="JLZ9" s="131"/>
      <c r="JMA9" s="131"/>
      <c r="JMB9" s="131"/>
      <c r="JMC9" s="131"/>
      <c r="JMD9" s="131"/>
      <c r="JME9" s="131"/>
      <c r="JMF9" s="131"/>
      <c r="JMG9" s="131"/>
      <c r="JMH9" s="131"/>
      <c r="JMI9" s="131"/>
      <c r="JMJ9" s="131"/>
      <c r="JMK9" s="131"/>
      <c r="JML9" s="131"/>
      <c r="JMM9" s="131"/>
      <c r="JMN9" s="131"/>
      <c r="JMO9" s="131"/>
      <c r="JMP9" s="131"/>
      <c r="JMQ9" s="131"/>
      <c r="JMR9" s="131"/>
      <c r="JMS9" s="131"/>
      <c r="JMT9" s="131"/>
      <c r="JMU9" s="131"/>
      <c r="JMV9" s="131"/>
      <c r="JMW9" s="131"/>
      <c r="JMX9" s="131"/>
      <c r="JMY9" s="131"/>
      <c r="JMZ9" s="131"/>
      <c r="JNA9" s="131"/>
      <c r="JNB9" s="131"/>
      <c r="JNC9" s="131"/>
      <c r="JND9" s="131"/>
      <c r="JNE9" s="131"/>
      <c r="JNF9" s="131"/>
      <c r="JNG9" s="131"/>
      <c r="JNH9" s="131"/>
      <c r="JNI9" s="131"/>
      <c r="JNJ9" s="131"/>
      <c r="JNK9" s="131"/>
      <c r="JNL9" s="131"/>
      <c r="JNM9" s="131"/>
      <c r="JNN9" s="131"/>
      <c r="JNO9" s="131"/>
      <c r="JNP9" s="131"/>
      <c r="JNQ9" s="131"/>
      <c r="JNR9" s="131"/>
      <c r="JNS9" s="131"/>
      <c r="JNT9" s="131"/>
      <c r="JNU9" s="131"/>
      <c r="JNV9" s="131"/>
      <c r="JNW9" s="131"/>
      <c r="JNX9" s="131"/>
      <c r="JNY9" s="131"/>
      <c r="JNZ9" s="131"/>
      <c r="JOA9" s="131"/>
      <c r="JOB9" s="131"/>
      <c r="JOC9" s="131"/>
      <c r="JOD9" s="131"/>
      <c r="JOE9" s="131"/>
      <c r="JOF9" s="131"/>
      <c r="JOG9" s="131"/>
      <c r="JOT9" s="131"/>
      <c r="JOU9" s="131"/>
      <c r="JOV9" s="131"/>
      <c r="JOW9" s="131"/>
      <c r="JOX9" s="131"/>
      <c r="JOY9" s="131"/>
      <c r="JOZ9" s="131"/>
      <c r="JPA9" s="131"/>
      <c r="JPB9" s="131"/>
      <c r="JPC9" s="131"/>
      <c r="JPD9" s="131"/>
      <c r="JPE9" s="131"/>
      <c r="JPF9" s="131"/>
      <c r="JPG9" s="131"/>
      <c r="JPH9" s="131"/>
      <c r="JPI9" s="131"/>
      <c r="JPJ9" s="131"/>
      <c r="JPK9" s="131"/>
      <c r="JPL9" s="131"/>
      <c r="JPM9" s="131"/>
      <c r="JPN9" s="131"/>
      <c r="JPO9" s="131"/>
      <c r="JPP9" s="131"/>
      <c r="JPQ9" s="131"/>
      <c r="JPR9" s="131"/>
      <c r="JPS9" s="131"/>
      <c r="JPT9" s="131"/>
      <c r="JPU9" s="131"/>
      <c r="JPV9" s="131"/>
      <c r="JPW9" s="131"/>
      <c r="JPX9" s="131"/>
      <c r="JPY9" s="131"/>
      <c r="JPZ9" s="131"/>
      <c r="JQA9" s="131"/>
      <c r="JQB9" s="131"/>
      <c r="JQC9" s="131"/>
      <c r="JQD9" s="131"/>
      <c r="JQE9" s="131"/>
      <c r="JQF9" s="131"/>
      <c r="JQG9" s="131"/>
      <c r="JQH9" s="131"/>
      <c r="JQI9" s="131"/>
      <c r="JQJ9" s="131"/>
      <c r="JQK9" s="131"/>
      <c r="JQL9" s="131"/>
      <c r="JQM9" s="131"/>
      <c r="JQN9" s="131"/>
      <c r="JQO9" s="131"/>
      <c r="JQP9" s="131"/>
      <c r="JQQ9" s="131"/>
      <c r="JQR9" s="131"/>
      <c r="JQS9" s="131"/>
      <c r="JQT9" s="131"/>
      <c r="JQU9" s="131"/>
      <c r="JQV9" s="131"/>
      <c r="JQW9" s="131"/>
      <c r="JQX9" s="131"/>
      <c r="JQY9" s="131"/>
      <c r="JQZ9" s="131"/>
      <c r="JRA9" s="131"/>
      <c r="JRB9" s="131"/>
      <c r="JRC9" s="131"/>
      <c r="JRD9" s="131"/>
      <c r="JRE9" s="131"/>
      <c r="JRF9" s="131"/>
      <c r="JRG9" s="131"/>
      <c r="JRH9" s="131"/>
      <c r="JRI9" s="131"/>
      <c r="JRJ9" s="131"/>
      <c r="JRK9" s="131"/>
      <c r="JRL9" s="131"/>
      <c r="JRM9" s="131"/>
      <c r="JRN9" s="131"/>
      <c r="JRO9" s="131"/>
      <c r="JRP9" s="131"/>
      <c r="JRQ9" s="131"/>
      <c r="JRR9" s="131"/>
      <c r="JRS9" s="131"/>
      <c r="JRT9" s="131"/>
      <c r="JRU9" s="131"/>
      <c r="JRV9" s="131"/>
      <c r="JRW9" s="131"/>
      <c r="JRX9" s="131"/>
      <c r="JRY9" s="131"/>
      <c r="JRZ9" s="131"/>
      <c r="JSA9" s="131"/>
      <c r="JSB9" s="131"/>
      <c r="JSC9" s="131"/>
      <c r="JSD9" s="131"/>
      <c r="JSE9" s="131"/>
      <c r="JSF9" s="131"/>
      <c r="JSG9" s="131"/>
      <c r="JSH9" s="131"/>
      <c r="JSI9" s="131"/>
      <c r="JSJ9" s="131"/>
      <c r="JSK9" s="131"/>
      <c r="JSL9" s="131"/>
      <c r="JSM9" s="131"/>
      <c r="JSN9" s="131"/>
      <c r="JSO9" s="131"/>
      <c r="JSP9" s="131"/>
      <c r="JSQ9" s="131"/>
      <c r="JSR9" s="131"/>
      <c r="JSS9" s="131"/>
      <c r="JST9" s="131"/>
      <c r="JSU9" s="131"/>
      <c r="JSV9" s="131"/>
      <c r="JSW9" s="131"/>
      <c r="JSX9" s="131"/>
      <c r="JSY9" s="131"/>
      <c r="JSZ9" s="131"/>
      <c r="JTA9" s="131"/>
      <c r="JTB9" s="131"/>
      <c r="JTC9" s="131"/>
      <c r="JTD9" s="131"/>
      <c r="JTE9" s="131"/>
      <c r="JTF9" s="131"/>
      <c r="JTG9" s="131"/>
      <c r="JTH9" s="131"/>
      <c r="JTI9" s="131"/>
      <c r="JTJ9" s="131"/>
      <c r="JTK9" s="131"/>
      <c r="JTL9" s="131"/>
      <c r="JTM9" s="131"/>
      <c r="JTN9" s="131"/>
      <c r="JTO9" s="131"/>
      <c r="JTP9" s="131"/>
      <c r="JTQ9" s="131"/>
      <c r="JTR9" s="131"/>
      <c r="JTS9" s="131"/>
      <c r="JTT9" s="131"/>
      <c r="JTU9" s="131"/>
      <c r="JTV9" s="131"/>
      <c r="JTW9" s="131"/>
      <c r="JTX9" s="131"/>
      <c r="JTY9" s="131"/>
      <c r="JTZ9" s="131"/>
      <c r="JUA9" s="131"/>
      <c r="JUB9" s="131"/>
      <c r="JUC9" s="131"/>
      <c r="JUD9" s="131"/>
      <c r="JUE9" s="131"/>
      <c r="JUF9" s="131"/>
      <c r="JUG9" s="131"/>
      <c r="JUH9" s="131"/>
      <c r="JUI9" s="131"/>
      <c r="JUJ9" s="131"/>
      <c r="JUK9" s="131"/>
      <c r="JUL9" s="131"/>
      <c r="JUM9" s="131"/>
      <c r="JUN9" s="131"/>
      <c r="JUO9" s="131"/>
      <c r="JUP9" s="131"/>
      <c r="JUQ9" s="131"/>
      <c r="JUR9" s="131"/>
      <c r="JUS9" s="131"/>
      <c r="JUT9" s="131"/>
      <c r="JUU9" s="131"/>
      <c r="JUV9" s="131"/>
      <c r="JUW9" s="131"/>
      <c r="JUX9" s="131"/>
      <c r="JUY9" s="131"/>
      <c r="JUZ9" s="131"/>
      <c r="JVA9" s="131"/>
      <c r="JVB9" s="131"/>
      <c r="JVC9" s="131"/>
      <c r="JVD9" s="131"/>
      <c r="JVE9" s="131"/>
      <c r="JVF9" s="131"/>
      <c r="JVG9" s="131"/>
      <c r="JVH9" s="131"/>
      <c r="JVI9" s="131"/>
      <c r="JVJ9" s="131"/>
      <c r="JVK9" s="131"/>
      <c r="JVL9" s="131"/>
      <c r="JVM9" s="131"/>
      <c r="JVN9" s="131"/>
      <c r="JVO9" s="131"/>
      <c r="JVP9" s="131"/>
      <c r="JVQ9" s="131"/>
      <c r="JVR9" s="131"/>
      <c r="JVS9" s="131"/>
      <c r="JVT9" s="131"/>
      <c r="JVU9" s="131"/>
      <c r="JVV9" s="131"/>
      <c r="JVW9" s="131"/>
      <c r="JVX9" s="131"/>
      <c r="JVY9" s="131"/>
      <c r="JVZ9" s="131"/>
      <c r="JWA9" s="131"/>
      <c r="JWB9" s="131"/>
      <c r="JWC9" s="131"/>
      <c r="JWD9" s="131"/>
      <c r="JWE9" s="131"/>
      <c r="JWF9" s="131"/>
      <c r="JWG9" s="131"/>
      <c r="JWH9" s="131"/>
      <c r="JWI9" s="131"/>
      <c r="JWJ9" s="131"/>
      <c r="JWK9" s="131"/>
      <c r="JWL9" s="131"/>
      <c r="JWM9" s="131"/>
      <c r="JWN9" s="131"/>
      <c r="JWO9" s="131"/>
      <c r="JWP9" s="131"/>
      <c r="JWQ9" s="131"/>
      <c r="JWR9" s="131"/>
      <c r="JWS9" s="131"/>
      <c r="JWT9" s="131"/>
      <c r="JWU9" s="131"/>
      <c r="JWV9" s="131"/>
      <c r="JWW9" s="131"/>
      <c r="JWX9" s="131"/>
      <c r="JWY9" s="131"/>
      <c r="JWZ9" s="131"/>
      <c r="JXA9" s="131"/>
      <c r="JXB9" s="131"/>
      <c r="JXC9" s="131"/>
      <c r="JXD9" s="131"/>
      <c r="JXE9" s="131"/>
      <c r="JXF9" s="131"/>
      <c r="JXG9" s="131"/>
      <c r="JXH9" s="131"/>
      <c r="JXI9" s="131"/>
      <c r="JXJ9" s="131"/>
      <c r="JXK9" s="131"/>
      <c r="JXL9" s="131"/>
      <c r="JXM9" s="131"/>
      <c r="JXN9" s="131"/>
      <c r="JXO9" s="131"/>
      <c r="JXP9" s="131"/>
      <c r="JXQ9" s="131"/>
      <c r="JXR9" s="131"/>
      <c r="JXS9" s="131"/>
      <c r="JXT9" s="131"/>
      <c r="JXU9" s="131"/>
      <c r="JXV9" s="131"/>
      <c r="JXW9" s="131"/>
      <c r="JXX9" s="131"/>
      <c r="JXY9" s="131"/>
      <c r="JXZ9" s="131"/>
      <c r="JYA9" s="131"/>
      <c r="JYB9" s="131"/>
      <c r="JYC9" s="131"/>
      <c r="JYD9" s="131"/>
      <c r="JYE9" s="131"/>
      <c r="JYF9" s="131"/>
      <c r="JYG9" s="131"/>
      <c r="JYH9" s="131"/>
      <c r="JYI9" s="131"/>
      <c r="JYJ9" s="131"/>
      <c r="JYK9" s="131"/>
      <c r="JYL9" s="131"/>
      <c r="JYM9" s="131"/>
      <c r="JYN9" s="131"/>
      <c r="JYO9" s="131"/>
      <c r="JYP9" s="131"/>
      <c r="JYQ9" s="131"/>
      <c r="JYR9" s="131"/>
      <c r="JYS9" s="131"/>
      <c r="JYT9" s="131"/>
      <c r="JYU9" s="131"/>
      <c r="JYV9" s="131"/>
      <c r="JYW9" s="131"/>
      <c r="JYX9" s="131"/>
      <c r="JYY9" s="131"/>
      <c r="JYZ9" s="131"/>
      <c r="JZA9" s="131"/>
      <c r="JZB9" s="131"/>
      <c r="JZC9" s="131"/>
      <c r="JZD9" s="131"/>
      <c r="JZE9" s="131"/>
      <c r="JZF9" s="131"/>
      <c r="JZG9" s="131"/>
      <c r="JZH9" s="131"/>
      <c r="JZI9" s="131"/>
      <c r="JZJ9" s="131"/>
      <c r="JZK9" s="131"/>
      <c r="JZL9" s="131"/>
      <c r="JZM9" s="131"/>
      <c r="JZN9" s="131"/>
      <c r="JZO9" s="131"/>
      <c r="JZP9" s="131"/>
      <c r="JZQ9" s="131"/>
      <c r="JZR9" s="131"/>
      <c r="JZS9" s="131"/>
      <c r="JZT9" s="131"/>
      <c r="JZU9" s="131"/>
      <c r="JZV9" s="131"/>
      <c r="JZW9" s="131"/>
      <c r="JZX9" s="131"/>
      <c r="JZY9" s="131"/>
      <c r="JZZ9" s="131"/>
      <c r="KAA9" s="131"/>
      <c r="KAB9" s="131"/>
      <c r="KAC9" s="131"/>
      <c r="KAD9" s="131"/>
      <c r="KAE9" s="131"/>
      <c r="KAF9" s="131"/>
      <c r="KAG9" s="131"/>
      <c r="KAH9" s="131"/>
      <c r="KAI9" s="131"/>
      <c r="KAJ9" s="131"/>
      <c r="KAK9" s="131"/>
      <c r="KAL9" s="131"/>
      <c r="KAM9" s="131"/>
      <c r="KAN9" s="131"/>
      <c r="KAO9" s="131"/>
      <c r="KAP9" s="131"/>
      <c r="KAQ9" s="131"/>
      <c r="KAR9" s="131"/>
      <c r="KAS9" s="131"/>
      <c r="KAT9" s="131"/>
      <c r="KAU9" s="131"/>
      <c r="KAV9" s="131"/>
      <c r="KAW9" s="131"/>
      <c r="KAX9" s="131"/>
      <c r="KAY9" s="131"/>
      <c r="KAZ9" s="131"/>
      <c r="KBA9" s="131"/>
      <c r="KBB9" s="131"/>
      <c r="KBC9" s="131"/>
      <c r="KBD9" s="131"/>
      <c r="KBE9" s="131"/>
      <c r="KBF9" s="131"/>
      <c r="KBG9" s="131"/>
      <c r="KBH9" s="131"/>
      <c r="KBI9" s="131"/>
      <c r="KBJ9" s="131"/>
      <c r="KBK9" s="131"/>
      <c r="KBL9" s="131"/>
      <c r="KBM9" s="131"/>
      <c r="KBN9" s="131"/>
      <c r="KBO9" s="131"/>
      <c r="KBP9" s="131"/>
      <c r="KBQ9" s="131"/>
      <c r="KBR9" s="131"/>
      <c r="KBS9" s="131"/>
      <c r="KBT9" s="131"/>
      <c r="KBU9" s="131"/>
      <c r="KBV9" s="131"/>
      <c r="KBW9" s="131"/>
      <c r="KBX9" s="131"/>
      <c r="KBY9" s="131"/>
      <c r="KBZ9" s="131"/>
      <c r="KCA9" s="131"/>
      <c r="KCB9" s="131"/>
      <c r="KCC9" s="131"/>
      <c r="KCD9" s="131"/>
      <c r="KCE9" s="131"/>
      <c r="KCF9" s="131"/>
      <c r="KCG9" s="131"/>
      <c r="KCH9" s="131"/>
      <c r="KCI9" s="131"/>
      <c r="KCJ9" s="131"/>
      <c r="KCK9" s="131"/>
      <c r="KCL9" s="131"/>
      <c r="KCM9" s="131"/>
      <c r="KCN9" s="131"/>
      <c r="KCO9" s="131"/>
      <c r="KCP9" s="131"/>
      <c r="KCQ9" s="131"/>
      <c r="KCR9" s="131"/>
      <c r="KCS9" s="131"/>
      <c r="KCT9" s="131"/>
      <c r="KCU9" s="131"/>
      <c r="KCV9" s="131"/>
      <c r="KCW9" s="131"/>
      <c r="KCX9" s="131"/>
      <c r="KCY9" s="131"/>
      <c r="KCZ9" s="131"/>
      <c r="KDA9" s="131"/>
      <c r="KDB9" s="131"/>
      <c r="KDC9" s="131"/>
      <c r="KDD9" s="131"/>
      <c r="KDE9" s="131"/>
      <c r="KDF9" s="131"/>
      <c r="KDG9" s="131"/>
      <c r="KDH9" s="131"/>
      <c r="KDI9" s="131"/>
      <c r="KDJ9" s="131"/>
      <c r="KDK9" s="131"/>
      <c r="KDL9" s="131"/>
      <c r="KDM9" s="131"/>
      <c r="KDN9" s="131"/>
      <c r="KDO9" s="131"/>
      <c r="KDP9" s="131"/>
      <c r="KDQ9" s="131"/>
      <c r="KDR9" s="131"/>
      <c r="KDS9" s="131"/>
      <c r="KDT9" s="131"/>
      <c r="KDU9" s="131"/>
      <c r="KDV9" s="131"/>
      <c r="KDW9" s="131"/>
      <c r="KDX9" s="131"/>
      <c r="KDY9" s="131"/>
      <c r="KDZ9" s="131"/>
      <c r="KEA9" s="131"/>
      <c r="KEB9" s="131"/>
      <c r="KEC9" s="131"/>
      <c r="KED9" s="131"/>
      <c r="KEE9" s="131"/>
      <c r="KEF9" s="131"/>
      <c r="KEG9" s="131"/>
      <c r="KEH9" s="131"/>
      <c r="KEI9" s="131"/>
      <c r="KEJ9" s="131"/>
      <c r="KEK9" s="131"/>
      <c r="KEL9" s="131"/>
      <c r="KEM9" s="131"/>
      <c r="KEN9" s="131"/>
      <c r="KEO9" s="131"/>
      <c r="KEP9" s="131"/>
      <c r="KEQ9" s="131"/>
      <c r="KER9" s="131"/>
      <c r="KES9" s="131"/>
      <c r="KET9" s="131"/>
      <c r="KEU9" s="131"/>
      <c r="KEV9" s="131"/>
      <c r="KEW9" s="131"/>
      <c r="KEX9" s="131"/>
      <c r="KEY9" s="131"/>
      <c r="KEZ9" s="131"/>
      <c r="KFA9" s="131"/>
      <c r="KFB9" s="131"/>
      <c r="KFC9" s="131"/>
      <c r="KFD9" s="131"/>
      <c r="KFE9" s="131"/>
      <c r="KFF9" s="131"/>
      <c r="KFG9" s="131"/>
      <c r="KFH9" s="131"/>
      <c r="KFI9" s="131"/>
      <c r="KFJ9" s="131"/>
      <c r="KFK9" s="131"/>
      <c r="KFL9" s="131"/>
      <c r="KFM9" s="131"/>
      <c r="KFN9" s="131"/>
      <c r="KFO9" s="131"/>
      <c r="KFP9" s="131"/>
      <c r="KFQ9" s="131"/>
      <c r="KFR9" s="131"/>
      <c r="KFS9" s="131"/>
      <c r="KFT9" s="131"/>
      <c r="KFU9" s="131"/>
      <c r="KFV9" s="131"/>
      <c r="KFW9" s="131"/>
      <c r="KFX9" s="131"/>
      <c r="KFY9" s="131"/>
      <c r="KFZ9" s="131"/>
      <c r="KGA9" s="131"/>
      <c r="KGB9" s="131"/>
      <c r="KGC9" s="131"/>
      <c r="KGD9" s="131"/>
      <c r="KGE9" s="131"/>
      <c r="KGF9" s="131"/>
      <c r="KGG9" s="131"/>
      <c r="KGH9" s="131"/>
      <c r="KGI9" s="131"/>
      <c r="KGJ9" s="131"/>
      <c r="KGK9" s="131"/>
      <c r="KGL9" s="131"/>
      <c r="KGM9" s="131"/>
      <c r="KGN9" s="131"/>
      <c r="KGO9" s="131"/>
      <c r="KGP9" s="131"/>
      <c r="KGQ9" s="131"/>
      <c r="KGR9" s="131"/>
      <c r="KGS9" s="131"/>
      <c r="KGT9" s="131"/>
      <c r="KGU9" s="131"/>
      <c r="KGV9" s="131"/>
      <c r="KGW9" s="131"/>
      <c r="KGX9" s="131"/>
      <c r="KGY9" s="131"/>
      <c r="KGZ9" s="131"/>
      <c r="KHA9" s="131"/>
      <c r="KHB9" s="131"/>
      <c r="KHC9" s="131"/>
      <c r="KHD9" s="131"/>
      <c r="KHE9" s="131"/>
      <c r="KHF9" s="131"/>
      <c r="KHG9" s="131"/>
      <c r="KHH9" s="131"/>
      <c r="KHI9" s="131"/>
      <c r="KHJ9" s="131"/>
      <c r="KHK9" s="131"/>
      <c r="KHL9" s="131"/>
      <c r="KHM9" s="131"/>
      <c r="KHN9" s="131"/>
      <c r="KHO9" s="131"/>
      <c r="KHP9" s="131"/>
      <c r="KHQ9" s="131"/>
      <c r="KHR9" s="131"/>
      <c r="KHS9" s="131"/>
      <c r="KHT9" s="131"/>
      <c r="KHU9" s="131"/>
      <c r="KHV9" s="131"/>
      <c r="KHW9" s="131"/>
      <c r="KHX9" s="131"/>
      <c r="KHY9" s="131"/>
      <c r="KHZ9" s="131"/>
      <c r="KIA9" s="131"/>
      <c r="KIB9" s="131"/>
      <c r="KIC9" s="131"/>
      <c r="KID9" s="131"/>
      <c r="KIE9" s="131"/>
      <c r="KIF9" s="131"/>
      <c r="KIG9" s="131"/>
      <c r="KIH9" s="131"/>
      <c r="KII9" s="131"/>
      <c r="KIJ9" s="131"/>
      <c r="KIK9" s="131"/>
      <c r="KIL9" s="131"/>
      <c r="KIM9" s="131"/>
      <c r="KIN9" s="131"/>
      <c r="KIO9" s="131"/>
      <c r="KIP9" s="131"/>
      <c r="KIQ9" s="131"/>
      <c r="KIR9" s="131"/>
      <c r="KIS9" s="131"/>
      <c r="KIT9" s="131"/>
      <c r="KIU9" s="131"/>
      <c r="KIV9" s="131"/>
      <c r="KIW9" s="131"/>
      <c r="KIX9" s="131"/>
      <c r="KIY9" s="131"/>
      <c r="KIZ9" s="131"/>
      <c r="KJA9" s="131"/>
      <c r="KJB9" s="131"/>
      <c r="KJC9" s="131"/>
      <c r="KJD9" s="131"/>
      <c r="KJE9" s="131"/>
      <c r="KJF9" s="131"/>
      <c r="KJG9" s="131"/>
      <c r="KJH9" s="131"/>
      <c r="KJI9" s="131"/>
      <c r="KJJ9" s="131"/>
      <c r="KJK9" s="131"/>
      <c r="KJL9" s="131"/>
      <c r="KJM9" s="131"/>
      <c r="KJN9" s="131"/>
      <c r="KJO9" s="131"/>
      <c r="KJP9" s="131"/>
      <c r="KJQ9" s="131"/>
      <c r="KJR9" s="131"/>
      <c r="KJS9" s="131"/>
      <c r="KJT9" s="131"/>
      <c r="KJU9" s="131"/>
      <c r="KJV9" s="131"/>
      <c r="KJW9" s="131"/>
      <c r="KJX9" s="131"/>
      <c r="KJY9" s="131"/>
      <c r="KJZ9" s="131"/>
      <c r="KKA9" s="131"/>
      <c r="KKB9" s="131"/>
      <c r="KKC9" s="131"/>
      <c r="KKD9" s="131"/>
      <c r="KKE9" s="131"/>
      <c r="KKF9" s="131"/>
      <c r="KKG9" s="131"/>
      <c r="KKH9" s="131"/>
      <c r="KKI9" s="131"/>
      <c r="KKJ9" s="131"/>
      <c r="KKK9" s="131"/>
      <c r="KKL9" s="131"/>
      <c r="KKM9" s="131"/>
      <c r="KKN9" s="131"/>
      <c r="KKO9" s="131"/>
      <c r="KKP9" s="131"/>
      <c r="KKQ9" s="131"/>
      <c r="KKR9" s="131"/>
      <c r="KKS9" s="131"/>
      <c r="KKT9" s="131"/>
      <c r="KKU9" s="131"/>
      <c r="KKV9" s="131"/>
      <c r="KKW9" s="131"/>
      <c r="KKX9" s="131"/>
      <c r="KKY9" s="131"/>
      <c r="KKZ9" s="131"/>
      <c r="KLA9" s="131"/>
      <c r="KLB9" s="131"/>
      <c r="KLC9" s="131"/>
      <c r="KLD9" s="131"/>
      <c r="KLE9" s="131"/>
      <c r="KLF9" s="131"/>
      <c r="KLG9" s="131"/>
      <c r="KLH9" s="131"/>
      <c r="KLI9" s="131"/>
      <c r="KLJ9" s="131"/>
      <c r="KLK9" s="131"/>
      <c r="KLL9" s="131"/>
      <c r="KLM9" s="131"/>
      <c r="KLN9" s="131"/>
      <c r="KLO9" s="131"/>
      <c r="KLP9" s="131"/>
      <c r="KLQ9" s="131"/>
      <c r="KLR9" s="131"/>
      <c r="KLS9" s="131"/>
      <c r="KLT9" s="131"/>
      <c r="KLU9" s="131"/>
      <c r="KLV9" s="131"/>
      <c r="KLW9" s="131"/>
      <c r="KLX9" s="131"/>
      <c r="KLY9" s="131"/>
      <c r="KLZ9" s="131"/>
      <c r="KMA9" s="131"/>
      <c r="KMB9" s="131"/>
      <c r="KMC9" s="131"/>
      <c r="KMD9" s="131"/>
      <c r="KME9" s="131"/>
      <c r="KMF9" s="131"/>
      <c r="KMG9" s="131"/>
      <c r="KMH9" s="131"/>
      <c r="KMI9" s="131"/>
      <c r="KMJ9" s="131"/>
      <c r="KMK9" s="131"/>
      <c r="KML9" s="131"/>
      <c r="KMM9" s="131"/>
      <c r="KMN9" s="131"/>
      <c r="KMO9" s="131"/>
      <c r="KMP9" s="131"/>
      <c r="KMQ9" s="131"/>
      <c r="KMR9" s="131"/>
      <c r="KMS9" s="131"/>
      <c r="KMT9" s="131"/>
      <c r="KMU9" s="131"/>
      <c r="KMV9" s="131"/>
      <c r="KMW9" s="131"/>
      <c r="KMX9" s="131"/>
      <c r="KMY9" s="131"/>
      <c r="KMZ9" s="131"/>
      <c r="KNA9" s="131"/>
      <c r="KNB9" s="131"/>
      <c r="KNC9" s="131"/>
      <c r="KND9" s="131"/>
      <c r="KNE9" s="131"/>
      <c r="KNF9" s="131"/>
      <c r="KNG9" s="131"/>
      <c r="KNH9" s="131"/>
      <c r="KNI9" s="131"/>
      <c r="KNJ9" s="131"/>
      <c r="KNK9" s="131"/>
      <c r="KNL9" s="131"/>
      <c r="KNM9" s="131"/>
      <c r="KNN9" s="131"/>
      <c r="KNO9" s="131"/>
      <c r="KNP9" s="131"/>
      <c r="KNQ9" s="131"/>
      <c r="KNR9" s="131"/>
      <c r="KNS9" s="131"/>
      <c r="KNT9" s="131"/>
      <c r="KNU9" s="131"/>
      <c r="KNV9" s="131"/>
      <c r="KNW9" s="131"/>
      <c r="KNX9" s="131"/>
      <c r="KNY9" s="131"/>
      <c r="KNZ9" s="131"/>
      <c r="KOA9" s="131"/>
      <c r="KOB9" s="131"/>
      <c r="KOC9" s="131"/>
      <c r="KOD9" s="131"/>
      <c r="KOE9" s="131"/>
      <c r="KOF9" s="131"/>
      <c r="KOG9" s="131"/>
      <c r="KOH9" s="131"/>
      <c r="KOI9" s="131"/>
      <c r="KOJ9" s="131"/>
      <c r="KOK9" s="131"/>
      <c r="KOL9" s="131"/>
      <c r="KOM9" s="131"/>
      <c r="KON9" s="131"/>
      <c r="KOO9" s="131"/>
      <c r="KOP9" s="131"/>
      <c r="KOQ9" s="131"/>
      <c r="KOR9" s="131"/>
      <c r="KOS9" s="131"/>
      <c r="KOT9" s="131"/>
      <c r="KOU9" s="131"/>
      <c r="KOV9" s="131"/>
      <c r="KOW9" s="131"/>
      <c r="KOX9" s="131"/>
      <c r="KOY9" s="131"/>
      <c r="KOZ9" s="131"/>
      <c r="KPA9" s="131"/>
      <c r="KPB9" s="131"/>
      <c r="KPC9" s="131"/>
      <c r="KPD9" s="131"/>
      <c r="KPE9" s="131"/>
      <c r="KPF9" s="131"/>
      <c r="KPG9" s="131"/>
      <c r="KPH9" s="131"/>
      <c r="KPI9" s="131"/>
      <c r="KPJ9" s="131"/>
      <c r="KPK9" s="131"/>
      <c r="KPL9" s="131"/>
      <c r="KPM9" s="131"/>
      <c r="KPN9" s="131"/>
      <c r="KPO9" s="131"/>
      <c r="KPP9" s="131"/>
      <c r="KPQ9" s="131"/>
      <c r="KPR9" s="131"/>
      <c r="KPS9" s="131"/>
      <c r="KPT9" s="131"/>
      <c r="KPU9" s="131"/>
      <c r="KPV9" s="131"/>
      <c r="KPW9" s="131"/>
      <c r="KPX9" s="131"/>
      <c r="KPY9" s="131"/>
      <c r="KPZ9" s="131"/>
      <c r="KQA9" s="131"/>
      <c r="KQB9" s="131"/>
      <c r="KQC9" s="131"/>
      <c r="KQD9" s="131"/>
      <c r="KQE9" s="131"/>
      <c r="KQF9" s="131"/>
      <c r="KQG9" s="131"/>
      <c r="KQH9" s="131"/>
      <c r="KQI9" s="131"/>
      <c r="KQJ9" s="131"/>
      <c r="KQK9" s="131"/>
      <c r="KQL9" s="131"/>
      <c r="KQM9" s="131"/>
      <c r="KQN9" s="131"/>
      <c r="KQO9" s="131"/>
      <c r="KQP9" s="131"/>
      <c r="KQQ9" s="131"/>
      <c r="KQR9" s="131"/>
      <c r="KQS9" s="131"/>
      <c r="KQT9" s="131"/>
      <c r="KQU9" s="131"/>
      <c r="KQV9" s="131"/>
      <c r="KQW9" s="131"/>
      <c r="KQX9" s="131"/>
      <c r="KQY9" s="131"/>
      <c r="KQZ9" s="131"/>
      <c r="KRA9" s="131"/>
      <c r="KRB9" s="131"/>
      <c r="KRC9" s="131"/>
      <c r="KRD9" s="131"/>
      <c r="KRE9" s="131"/>
      <c r="KRF9" s="131"/>
      <c r="KRG9" s="131"/>
      <c r="KRH9" s="131"/>
      <c r="KRI9" s="131"/>
      <c r="KRJ9" s="131"/>
      <c r="KRK9" s="131"/>
      <c r="KRL9" s="131"/>
      <c r="KRM9" s="131"/>
      <c r="KRN9" s="131"/>
      <c r="KRO9" s="131"/>
      <c r="KRP9" s="131"/>
      <c r="KRQ9" s="131"/>
      <c r="KRR9" s="131"/>
      <c r="KRS9" s="131"/>
      <c r="KRT9" s="131"/>
      <c r="KRU9" s="131"/>
      <c r="KRV9" s="131"/>
      <c r="KRW9" s="131"/>
      <c r="KRX9" s="131"/>
      <c r="KRY9" s="131"/>
      <c r="KRZ9" s="131"/>
      <c r="KSA9" s="131"/>
      <c r="KSB9" s="131"/>
      <c r="KSC9" s="131"/>
      <c r="KSD9" s="131"/>
      <c r="KSE9" s="131"/>
      <c r="KSF9" s="131"/>
      <c r="KSG9" s="131"/>
      <c r="KSH9" s="131"/>
      <c r="KSI9" s="131"/>
      <c r="KSJ9" s="131"/>
      <c r="KSK9" s="131"/>
      <c r="KSL9" s="131"/>
      <c r="KSM9" s="131"/>
      <c r="KSN9" s="131"/>
      <c r="KSO9" s="131"/>
      <c r="KSP9" s="131"/>
      <c r="KSQ9" s="131"/>
      <c r="KSR9" s="131"/>
      <c r="KSS9" s="131"/>
      <c r="KST9" s="131"/>
      <c r="KSU9" s="131"/>
      <c r="KSV9" s="131"/>
      <c r="KSW9" s="131"/>
      <c r="KSX9" s="131"/>
      <c r="KSY9" s="131"/>
      <c r="KSZ9" s="131"/>
      <c r="KTA9" s="131"/>
      <c r="KTB9" s="131"/>
      <c r="KTC9" s="131"/>
      <c r="KTD9" s="131"/>
      <c r="KTE9" s="131"/>
      <c r="KTF9" s="131"/>
      <c r="KTG9" s="131"/>
      <c r="KTH9" s="131"/>
      <c r="KTI9" s="131"/>
      <c r="KTJ9" s="131"/>
      <c r="KTK9" s="131"/>
      <c r="KTL9" s="131"/>
      <c r="KTM9" s="131"/>
      <c r="KTN9" s="131"/>
      <c r="KTO9" s="131"/>
      <c r="KTP9" s="131"/>
      <c r="KTQ9" s="131"/>
      <c r="KTR9" s="131"/>
      <c r="KTS9" s="131"/>
      <c r="KTT9" s="131"/>
      <c r="KTU9" s="131"/>
      <c r="KTV9" s="131"/>
      <c r="KTW9" s="131"/>
      <c r="KTX9" s="131"/>
      <c r="KTY9" s="131"/>
      <c r="KTZ9" s="131"/>
      <c r="KUA9" s="131"/>
      <c r="KUB9" s="131"/>
      <c r="KUC9" s="131"/>
      <c r="KUD9" s="131"/>
      <c r="KUE9" s="131"/>
      <c r="KUF9" s="131"/>
      <c r="KUG9" s="131"/>
      <c r="KUH9" s="131"/>
      <c r="KUI9" s="131"/>
      <c r="KUJ9" s="131"/>
      <c r="KUK9" s="131"/>
      <c r="KUL9" s="131"/>
      <c r="KUM9" s="131"/>
      <c r="KUN9" s="131"/>
      <c r="KUO9" s="131"/>
      <c r="KUP9" s="131"/>
      <c r="KUQ9" s="131"/>
      <c r="KUR9" s="131"/>
      <c r="KUS9" s="131"/>
      <c r="KUT9" s="131"/>
      <c r="KUU9" s="131"/>
      <c r="KUV9" s="131"/>
      <c r="KUW9" s="131"/>
      <c r="KUX9" s="131"/>
      <c r="KUY9" s="131"/>
      <c r="KUZ9" s="131"/>
      <c r="KVA9" s="131"/>
      <c r="KVB9" s="131"/>
      <c r="KVC9" s="131"/>
      <c r="KVD9" s="131"/>
      <c r="KVE9" s="131"/>
      <c r="KVF9" s="131"/>
      <c r="KVG9" s="131"/>
      <c r="KVH9" s="131"/>
      <c r="KVI9" s="131"/>
      <c r="KVJ9" s="131"/>
      <c r="KVK9" s="131"/>
      <c r="KVL9" s="131"/>
      <c r="KVM9" s="131"/>
      <c r="KVN9" s="131"/>
      <c r="KVO9" s="131"/>
      <c r="KVP9" s="131"/>
      <c r="KVQ9" s="131"/>
      <c r="KVR9" s="131"/>
      <c r="KVS9" s="131"/>
      <c r="KVT9" s="131"/>
      <c r="KVU9" s="131"/>
      <c r="KVV9" s="131"/>
      <c r="KVW9" s="131"/>
      <c r="KVX9" s="131"/>
      <c r="KVY9" s="131"/>
      <c r="KVZ9" s="131"/>
      <c r="KWA9" s="131"/>
      <c r="KWB9" s="131"/>
      <c r="KWC9" s="131"/>
      <c r="KWD9" s="131"/>
      <c r="KWE9" s="131"/>
      <c r="KWF9" s="131"/>
      <c r="KWG9" s="131"/>
      <c r="KWH9" s="131"/>
      <c r="KWI9" s="131"/>
      <c r="KWJ9" s="131"/>
      <c r="KWK9" s="131"/>
      <c r="KWL9" s="131"/>
      <c r="KWM9" s="131"/>
      <c r="KWN9" s="131"/>
      <c r="KWO9" s="131"/>
      <c r="KWP9" s="131"/>
      <c r="KWQ9" s="131"/>
      <c r="KWR9" s="131"/>
      <c r="KWS9" s="131"/>
      <c r="KWT9" s="131"/>
      <c r="KWU9" s="131"/>
      <c r="KWV9" s="131"/>
      <c r="KWW9" s="131"/>
      <c r="KWX9" s="131"/>
      <c r="KWY9" s="131"/>
      <c r="KWZ9" s="131"/>
      <c r="KXA9" s="131"/>
      <c r="KXB9" s="131"/>
      <c r="KXC9" s="131"/>
      <c r="KXD9" s="131"/>
      <c r="KXE9" s="131"/>
      <c r="KXF9" s="131"/>
      <c r="KXG9" s="131"/>
      <c r="KXH9" s="131"/>
      <c r="KXI9" s="131"/>
      <c r="KXJ9" s="131"/>
      <c r="KXK9" s="131"/>
      <c r="KXL9" s="131"/>
      <c r="KXM9" s="131"/>
      <c r="KXN9" s="131"/>
      <c r="KXO9" s="131"/>
      <c r="KXP9" s="131"/>
      <c r="KXQ9" s="131"/>
      <c r="KXR9" s="131"/>
      <c r="KXS9" s="131"/>
      <c r="KXT9" s="131"/>
      <c r="KXU9" s="131"/>
      <c r="KXV9" s="131"/>
      <c r="KXW9" s="131"/>
      <c r="KXX9" s="131"/>
      <c r="KXY9" s="131"/>
      <c r="KXZ9" s="131"/>
      <c r="KYA9" s="131"/>
      <c r="KYB9" s="131"/>
      <c r="KYC9" s="131"/>
      <c r="KYD9" s="131"/>
      <c r="KYE9" s="131"/>
      <c r="KYF9" s="131"/>
      <c r="KYG9" s="131"/>
      <c r="KYH9" s="131"/>
      <c r="KYI9" s="131"/>
      <c r="KYJ9" s="131"/>
      <c r="KYK9" s="131"/>
      <c r="KYL9" s="131"/>
      <c r="KYM9" s="131"/>
      <c r="KYN9" s="131"/>
      <c r="KYO9" s="131"/>
      <c r="KYP9" s="131"/>
      <c r="KYQ9" s="131"/>
      <c r="KYR9" s="131"/>
      <c r="KYS9" s="131"/>
      <c r="KYT9" s="131"/>
      <c r="KYU9" s="131"/>
      <c r="KYV9" s="131"/>
      <c r="KYW9" s="131"/>
      <c r="KYX9" s="131"/>
      <c r="KYY9" s="131"/>
      <c r="KYZ9" s="131"/>
      <c r="KZA9" s="131"/>
      <c r="KZB9" s="131"/>
      <c r="KZC9" s="131"/>
      <c r="KZD9" s="131"/>
      <c r="KZE9" s="131"/>
      <c r="KZF9" s="131"/>
      <c r="KZG9" s="131"/>
      <c r="KZH9" s="131"/>
      <c r="KZI9" s="131"/>
      <c r="KZJ9" s="131"/>
      <c r="KZK9" s="131"/>
      <c r="KZL9" s="131"/>
      <c r="KZM9" s="131"/>
      <c r="KZN9" s="131"/>
      <c r="KZO9" s="131"/>
      <c r="KZP9" s="131"/>
      <c r="KZQ9" s="131"/>
      <c r="KZR9" s="131"/>
      <c r="KZS9" s="131"/>
      <c r="KZT9" s="131"/>
      <c r="KZU9" s="131"/>
      <c r="KZV9" s="131"/>
      <c r="KZW9" s="131"/>
      <c r="KZX9" s="131"/>
      <c r="KZY9" s="131"/>
      <c r="KZZ9" s="131"/>
      <c r="LAA9" s="131"/>
      <c r="LAB9" s="131"/>
      <c r="LAC9" s="131"/>
      <c r="LAD9" s="131"/>
      <c r="LAE9" s="131"/>
      <c r="LAF9" s="131"/>
      <c r="LAG9" s="131"/>
      <c r="LAH9" s="131"/>
      <c r="LAI9" s="131"/>
      <c r="LAJ9" s="131"/>
      <c r="LAK9" s="131"/>
      <c r="LAL9" s="131"/>
      <c r="LAM9" s="131"/>
      <c r="LAN9" s="131"/>
      <c r="LAO9" s="131"/>
      <c r="LAP9" s="131"/>
      <c r="LAQ9" s="131"/>
      <c r="LAR9" s="131"/>
      <c r="LAS9" s="131"/>
      <c r="LAT9" s="131"/>
      <c r="LAU9" s="131"/>
      <c r="LAV9" s="131"/>
      <c r="LAW9" s="131"/>
      <c r="LAX9" s="131"/>
      <c r="LAY9" s="131"/>
      <c r="LAZ9" s="131"/>
      <c r="LBA9" s="131"/>
      <c r="LBB9" s="131"/>
      <c r="LBC9" s="131"/>
      <c r="LBD9" s="131"/>
      <c r="LBE9" s="131"/>
      <c r="LBF9" s="131"/>
      <c r="LBG9" s="131"/>
      <c r="LBH9" s="131"/>
      <c r="LBI9" s="131"/>
      <c r="LBJ9" s="131"/>
      <c r="LBK9" s="131"/>
      <c r="LBL9" s="131"/>
      <c r="LBM9" s="131"/>
      <c r="LBN9" s="131"/>
      <c r="LBO9" s="131"/>
      <c r="LBP9" s="131"/>
      <c r="LBQ9" s="131"/>
      <c r="LCD9" s="131"/>
      <c r="LCE9" s="131"/>
      <c r="LCF9" s="131"/>
      <c r="LCG9" s="131"/>
      <c r="LCH9" s="131"/>
      <c r="LCI9" s="131"/>
      <c r="LCJ9" s="131"/>
      <c r="LCK9" s="131"/>
      <c r="LCL9" s="131"/>
      <c r="LCM9" s="131"/>
      <c r="LCN9" s="131"/>
      <c r="LCO9" s="131"/>
      <c r="LCP9" s="131"/>
      <c r="LCQ9" s="131"/>
      <c r="LCR9" s="131"/>
      <c r="LCS9" s="131"/>
      <c r="LCT9" s="131"/>
      <c r="LCU9" s="131"/>
      <c r="LCV9" s="131"/>
      <c r="LCW9" s="131"/>
      <c r="LCX9" s="131"/>
      <c r="LCY9" s="131"/>
      <c r="LCZ9" s="131"/>
      <c r="LDA9" s="131"/>
      <c r="LDB9" s="131"/>
      <c r="LDC9" s="131"/>
      <c r="LDD9" s="131"/>
      <c r="LDE9" s="131"/>
      <c r="LDF9" s="131"/>
      <c r="LDG9" s="131"/>
      <c r="LDH9" s="131"/>
      <c r="LDI9" s="131"/>
      <c r="LDJ9" s="131"/>
      <c r="LDK9" s="131"/>
      <c r="LDL9" s="131"/>
      <c r="LDM9" s="131"/>
      <c r="LDN9" s="131"/>
      <c r="LDO9" s="131"/>
      <c r="LDP9" s="131"/>
      <c r="LDQ9" s="131"/>
      <c r="LDR9" s="131"/>
      <c r="LDS9" s="131"/>
      <c r="LDT9" s="131"/>
      <c r="LDU9" s="131"/>
      <c r="LDV9" s="131"/>
      <c r="LDW9" s="131"/>
      <c r="LDX9" s="131"/>
      <c r="LDY9" s="131"/>
      <c r="LDZ9" s="131"/>
      <c r="LEA9" s="131"/>
      <c r="LEB9" s="131"/>
      <c r="LEC9" s="131"/>
      <c r="LED9" s="131"/>
      <c r="LEE9" s="131"/>
      <c r="LEF9" s="131"/>
      <c r="LEG9" s="131"/>
      <c r="LEH9" s="131"/>
      <c r="LEI9" s="131"/>
      <c r="LEJ9" s="131"/>
      <c r="LEK9" s="131"/>
      <c r="LEL9" s="131"/>
      <c r="LEM9" s="131"/>
      <c r="LEN9" s="131"/>
      <c r="LEO9" s="131"/>
      <c r="LEP9" s="131"/>
      <c r="LEQ9" s="131"/>
      <c r="LER9" s="131"/>
      <c r="LES9" s="131"/>
      <c r="LET9" s="131"/>
      <c r="LEU9" s="131"/>
      <c r="LEV9" s="131"/>
      <c r="LEW9" s="131"/>
      <c r="LEX9" s="131"/>
      <c r="LEY9" s="131"/>
      <c r="LEZ9" s="131"/>
      <c r="LFA9" s="131"/>
      <c r="LFB9" s="131"/>
      <c r="LFC9" s="131"/>
      <c r="LFD9" s="131"/>
      <c r="LFE9" s="131"/>
      <c r="LFF9" s="131"/>
      <c r="LFG9" s="131"/>
      <c r="LFH9" s="131"/>
      <c r="LFI9" s="131"/>
      <c r="LFJ9" s="131"/>
      <c r="LFK9" s="131"/>
      <c r="LFL9" s="131"/>
      <c r="LFM9" s="131"/>
      <c r="LFN9" s="131"/>
      <c r="LFO9" s="131"/>
      <c r="LFP9" s="131"/>
      <c r="LFQ9" s="131"/>
      <c r="LFR9" s="131"/>
      <c r="LFS9" s="131"/>
      <c r="LFT9" s="131"/>
      <c r="LFU9" s="131"/>
      <c r="LFV9" s="131"/>
      <c r="LFW9" s="131"/>
      <c r="LFX9" s="131"/>
      <c r="LFY9" s="131"/>
      <c r="LFZ9" s="131"/>
      <c r="LGA9" s="131"/>
      <c r="LGB9" s="131"/>
      <c r="LGC9" s="131"/>
      <c r="LGD9" s="131"/>
      <c r="LGE9" s="131"/>
      <c r="LGF9" s="131"/>
      <c r="LGG9" s="131"/>
      <c r="LGH9" s="131"/>
      <c r="LGI9" s="131"/>
      <c r="LGJ9" s="131"/>
      <c r="LGK9" s="131"/>
      <c r="LGL9" s="131"/>
      <c r="LGM9" s="131"/>
      <c r="LGN9" s="131"/>
      <c r="LGO9" s="131"/>
      <c r="LGP9" s="131"/>
      <c r="LGQ9" s="131"/>
      <c r="LGR9" s="131"/>
      <c r="LGS9" s="131"/>
      <c r="LGT9" s="131"/>
      <c r="LGU9" s="131"/>
      <c r="LGV9" s="131"/>
      <c r="LGW9" s="131"/>
      <c r="LGX9" s="131"/>
      <c r="LGY9" s="131"/>
      <c r="LGZ9" s="131"/>
      <c r="LHA9" s="131"/>
      <c r="LHB9" s="131"/>
      <c r="LHC9" s="131"/>
      <c r="LHD9" s="131"/>
      <c r="LHE9" s="131"/>
      <c r="LHF9" s="131"/>
      <c r="LHG9" s="131"/>
      <c r="LHH9" s="131"/>
      <c r="LHI9" s="131"/>
      <c r="LHJ9" s="131"/>
      <c r="LHK9" s="131"/>
      <c r="LHL9" s="131"/>
      <c r="LHM9" s="131"/>
      <c r="LHN9" s="131"/>
      <c r="LHO9" s="131"/>
      <c r="LHP9" s="131"/>
      <c r="LHQ9" s="131"/>
      <c r="LHR9" s="131"/>
      <c r="LHS9" s="131"/>
      <c r="LHT9" s="131"/>
      <c r="LHU9" s="131"/>
      <c r="LHV9" s="131"/>
      <c r="LHW9" s="131"/>
      <c r="LHX9" s="131"/>
      <c r="LHY9" s="131"/>
      <c r="LHZ9" s="131"/>
      <c r="LIA9" s="131"/>
      <c r="LIB9" s="131"/>
      <c r="LIC9" s="131"/>
      <c r="LID9" s="131"/>
      <c r="LIE9" s="131"/>
      <c r="LIF9" s="131"/>
      <c r="LIG9" s="131"/>
      <c r="LIH9" s="131"/>
      <c r="LII9" s="131"/>
      <c r="LIJ9" s="131"/>
      <c r="LIK9" s="131"/>
      <c r="LIL9" s="131"/>
      <c r="LIM9" s="131"/>
      <c r="LIN9" s="131"/>
      <c r="LIO9" s="131"/>
      <c r="LIP9" s="131"/>
      <c r="LIQ9" s="131"/>
      <c r="LIR9" s="131"/>
      <c r="LIS9" s="131"/>
      <c r="LIT9" s="131"/>
      <c r="LIU9" s="131"/>
      <c r="LIV9" s="131"/>
      <c r="LIW9" s="131"/>
      <c r="LIX9" s="131"/>
      <c r="LIY9" s="131"/>
      <c r="LIZ9" s="131"/>
      <c r="LJA9" s="131"/>
      <c r="LJB9" s="131"/>
      <c r="LJC9" s="131"/>
      <c r="LJD9" s="131"/>
      <c r="LJE9" s="131"/>
      <c r="LJF9" s="131"/>
      <c r="LJG9" s="131"/>
      <c r="LJH9" s="131"/>
      <c r="LJI9" s="131"/>
      <c r="LJJ9" s="131"/>
      <c r="LJK9" s="131"/>
      <c r="LJL9" s="131"/>
      <c r="LJM9" s="131"/>
      <c r="LJN9" s="131"/>
      <c r="LJO9" s="131"/>
      <c r="LJP9" s="131"/>
      <c r="LJQ9" s="131"/>
      <c r="LJR9" s="131"/>
      <c r="LJS9" s="131"/>
      <c r="LJT9" s="131"/>
      <c r="LJU9" s="131"/>
      <c r="LJV9" s="131"/>
      <c r="LJW9" s="131"/>
      <c r="LJX9" s="131"/>
      <c r="LJY9" s="131"/>
      <c r="LJZ9" s="131"/>
      <c r="LKA9" s="131"/>
      <c r="LKB9" s="131"/>
      <c r="LKC9" s="131"/>
      <c r="LKD9" s="131"/>
      <c r="LKE9" s="131"/>
      <c r="LKF9" s="131"/>
      <c r="LKG9" s="131"/>
      <c r="LKH9" s="131"/>
      <c r="LKI9" s="131"/>
      <c r="LKJ9" s="131"/>
      <c r="LKK9" s="131"/>
      <c r="LKL9" s="131"/>
      <c r="LKM9" s="131"/>
      <c r="LKN9" s="131"/>
      <c r="LKO9" s="131"/>
      <c r="LKP9" s="131"/>
      <c r="LKQ9" s="131"/>
      <c r="LKR9" s="131"/>
      <c r="LKS9" s="131"/>
      <c r="LKT9" s="131"/>
      <c r="LKU9" s="131"/>
      <c r="LKV9" s="131"/>
      <c r="LKW9" s="131"/>
      <c r="LKX9" s="131"/>
      <c r="LKY9" s="131"/>
      <c r="LKZ9" s="131"/>
      <c r="LLA9" s="131"/>
      <c r="LLB9" s="131"/>
      <c r="LLC9" s="131"/>
      <c r="LLD9" s="131"/>
      <c r="LLE9" s="131"/>
      <c r="LLF9" s="131"/>
      <c r="LLG9" s="131"/>
      <c r="LLH9" s="131"/>
      <c r="LLI9" s="131"/>
      <c r="LLJ9" s="131"/>
      <c r="LLK9" s="131"/>
      <c r="LLL9" s="131"/>
      <c r="LLM9" s="131"/>
      <c r="LLN9" s="131"/>
      <c r="LLO9" s="131"/>
      <c r="LLP9" s="131"/>
      <c r="LLQ9" s="131"/>
      <c r="LLR9" s="131"/>
      <c r="LLS9" s="131"/>
      <c r="LLT9" s="131"/>
      <c r="LLU9" s="131"/>
      <c r="LLV9" s="131"/>
      <c r="LLW9" s="131"/>
      <c r="LLX9" s="131"/>
      <c r="LLY9" s="131"/>
      <c r="LLZ9" s="131"/>
      <c r="LMA9" s="131"/>
      <c r="LMB9" s="131"/>
      <c r="LMC9" s="131"/>
      <c r="LMD9" s="131"/>
      <c r="LME9" s="131"/>
      <c r="LMF9" s="131"/>
      <c r="LMG9" s="131"/>
      <c r="LMH9" s="131"/>
      <c r="LMI9" s="131"/>
      <c r="LMJ9" s="131"/>
      <c r="LMK9" s="131"/>
      <c r="LML9" s="131"/>
      <c r="LMM9" s="131"/>
      <c r="LMN9" s="131"/>
      <c r="LMO9" s="131"/>
      <c r="LMP9" s="131"/>
      <c r="LMQ9" s="131"/>
      <c r="LMR9" s="131"/>
      <c r="LMS9" s="131"/>
      <c r="LMT9" s="131"/>
      <c r="LMU9" s="131"/>
      <c r="LMV9" s="131"/>
      <c r="LMW9" s="131"/>
      <c r="LMX9" s="131"/>
      <c r="LMY9" s="131"/>
      <c r="LMZ9" s="131"/>
      <c r="LNA9" s="131"/>
      <c r="LNB9" s="131"/>
      <c r="LNC9" s="131"/>
      <c r="LND9" s="131"/>
      <c r="LNE9" s="131"/>
      <c r="LNF9" s="131"/>
      <c r="LNG9" s="131"/>
      <c r="LNH9" s="131"/>
      <c r="LNI9" s="131"/>
      <c r="LNJ9" s="131"/>
      <c r="LNK9" s="131"/>
      <c r="LNL9" s="131"/>
      <c r="LNM9" s="131"/>
      <c r="LNN9" s="131"/>
      <c r="LNO9" s="131"/>
      <c r="LNP9" s="131"/>
      <c r="LNQ9" s="131"/>
      <c r="LNR9" s="131"/>
      <c r="LNS9" s="131"/>
      <c r="LNT9" s="131"/>
      <c r="LNU9" s="131"/>
      <c r="LNV9" s="131"/>
      <c r="LNW9" s="131"/>
      <c r="LNX9" s="131"/>
      <c r="LNY9" s="131"/>
      <c r="LNZ9" s="131"/>
      <c r="LOA9" s="131"/>
      <c r="LOB9" s="131"/>
      <c r="LOC9" s="131"/>
      <c r="LOD9" s="131"/>
      <c r="LOE9" s="131"/>
      <c r="LOF9" s="131"/>
      <c r="LOG9" s="131"/>
      <c r="LOH9" s="131"/>
      <c r="LOI9" s="131"/>
      <c r="LOJ9" s="131"/>
      <c r="LOK9" s="131"/>
      <c r="LOL9" s="131"/>
      <c r="LOM9" s="131"/>
      <c r="LON9" s="131"/>
      <c r="LOO9" s="131"/>
      <c r="LOP9" s="131"/>
      <c r="LOQ9" s="131"/>
      <c r="LOR9" s="131"/>
      <c r="LOS9" s="131"/>
      <c r="LOT9" s="131"/>
      <c r="LOU9" s="131"/>
      <c r="LOV9" s="131"/>
      <c r="LOW9" s="131"/>
      <c r="LOX9" s="131"/>
      <c r="LOY9" s="131"/>
      <c r="LOZ9" s="131"/>
      <c r="LPA9" s="131"/>
      <c r="LPB9" s="131"/>
      <c r="LPC9" s="131"/>
      <c r="LPD9" s="131"/>
      <c r="LPE9" s="131"/>
      <c r="LPF9" s="131"/>
      <c r="LPG9" s="131"/>
      <c r="LPH9" s="131"/>
      <c r="LPI9" s="131"/>
      <c r="LPJ9" s="131"/>
      <c r="LPK9" s="131"/>
      <c r="LPL9" s="131"/>
      <c r="LPM9" s="131"/>
      <c r="LPN9" s="131"/>
      <c r="LPO9" s="131"/>
      <c r="LPP9" s="131"/>
      <c r="LPQ9" s="131"/>
      <c r="LPR9" s="131"/>
      <c r="LPS9" s="131"/>
      <c r="LPT9" s="131"/>
      <c r="LPU9" s="131"/>
      <c r="LPV9" s="131"/>
      <c r="LPW9" s="131"/>
      <c r="LPX9" s="131"/>
      <c r="LPY9" s="131"/>
      <c r="LPZ9" s="131"/>
      <c r="LQA9" s="131"/>
      <c r="LQB9" s="131"/>
      <c r="LQC9" s="131"/>
      <c r="LQD9" s="131"/>
      <c r="LQE9" s="131"/>
      <c r="LQF9" s="131"/>
      <c r="LQG9" s="131"/>
      <c r="LQH9" s="131"/>
      <c r="LQI9" s="131"/>
      <c r="LQJ9" s="131"/>
      <c r="LQK9" s="131"/>
      <c r="LQL9" s="131"/>
      <c r="LQM9" s="131"/>
      <c r="LQN9" s="131"/>
      <c r="LQO9" s="131"/>
      <c r="LQP9" s="131"/>
      <c r="LQQ9" s="131"/>
      <c r="LQR9" s="131"/>
      <c r="LQS9" s="131"/>
      <c r="LQT9" s="131"/>
      <c r="LQU9" s="131"/>
      <c r="LQV9" s="131"/>
      <c r="LQW9" s="131"/>
      <c r="LQX9" s="131"/>
      <c r="LQY9" s="131"/>
      <c r="LQZ9" s="131"/>
      <c r="LRA9" s="131"/>
      <c r="LRB9" s="131"/>
      <c r="LRC9" s="131"/>
      <c r="LRD9" s="131"/>
      <c r="LRE9" s="131"/>
      <c r="LRF9" s="131"/>
      <c r="LRG9" s="131"/>
      <c r="LRH9" s="131"/>
      <c r="LRI9" s="131"/>
      <c r="LRJ9" s="131"/>
      <c r="LRK9" s="131"/>
      <c r="LRL9" s="131"/>
      <c r="LRM9" s="131"/>
      <c r="LRN9" s="131"/>
      <c r="LRO9" s="131"/>
      <c r="LRP9" s="131"/>
      <c r="LRQ9" s="131"/>
      <c r="LRR9" s="131"/>
      <c r="LRS9" s="131"/>
      <c r="LRT9" s="131"/>
      <c r="LRU9" s="131"/>
      <c r="LRV9" s="131"/>
      <c r="LRW9" s="131"/>
      <c r="LRX9" s="131"/>
      <c r="LRY9" s="131"/>
      <c r="LRZ9" s="131"/>
      <c r="LSA9" s="131"/>
      <c r="LSB9" s="131"/>
      <c r="LSC9" s="131"/>
      <c r="LSD9" s="131"/>
      <c r="LSE9" s="131"/>
      <c r="LSF9" s="131"/>
      <c r="LSG9" s="131"/>
      <c r="LSH9" s="131"/>
      <c r="LSI9" s="131"/>
      <c r="LSJ9" s="131"/>
      <c r="LSK9" s="131"/>
      <c r="LSL9" s="131"/>
      <c r="LSM9" s="131"/>
      <c r="LSN9" s="131"/>
      <c r="LSO9" s="131"/>
      <c r="LSP9" s="131"/>
      <c r="LSQ9" s="131"/>
      <c r="LSR9" s="131"/>
      <c r="LSS9" s="131"/>
      <c r="LST9" s="131"/>
      <c r="LSU9" s="131"/>
      <c r="LSV9" s="131"/>
      <c r="LSW9" s="131"/>
      <c r="LSX9" s="131"/>
      <c r="LSY9" s="131"/>
      <c r="LSZ9" s="131"/>
      <c r="LTA9" s="131"/>
      <c r="LTB9" s="131"/>
      <c r="LTC9" s="131"/>
      <c r="LTD9" s="131"/>
      <c r="LTE9" s="131"/>
      <c r="LTF9" s="131"/>
      <c r="LTG9" s="131"/>
      <c r="LTH9" s="131"/>
      <c r="LTI9" s="131"/>
      <c r="LTJ9" s="131"/>
      <c r="LTK9" s="131"/>
      <c r="LTL9" s="131"/>
      <c r="LTM9" s="131"/>
      <c r="LTN9" s="131"/>
      <c r="LTO9" s="131"/>
      <c r="LTP9" s="131"/>
      <c r="LTQ9" s="131"/>
      <c r="LTR9" s="131"/>
      <c r="LTS9" s="131"/>
      <c r="LTT9" s="131"/>
      <c r="LTU9" s="131"/>
      <c r="LTV9" s="131"/>
      <c r="LTW9" s="131"/>
      <c r="LTX9" s="131"/>
      <c r="LTY9" s="131"/>
      <c r="LTZ9" s="131"/>
      <c r="LUA9" s="131"/>
      <c r="LUB9" s="131"/>
      <c r="LUC9" s="131"/>
      <c r="LUD9" s="131"/>
      <c r="LUE9" s="131"/>
      <c r="LUF9" s="131"/>
      <c r="LUG9" s="131"/>
      <c r="LUH9" s="131"/>
      <c r="LUI9" s="131"/>
      <c r="LUJ9" s="131"/>
      <c r="LUK9" s="131"/>
      <c r="LUL9" s="131"/>
      <c r="LUM9" s="131"/>
      <c r="LUN9" s="131"/>
      <c r="LUO9" s="131"/>
      <c r="LUP9" s="131"/>
      <c r="LUQ9" s="131"/>
      <c r="LUR9" s="131"/>
      <c r="LUS9" s="131"/>
      <c r="LUT9" s="131"/>
      <c r="LUU9" s="131"/>
      <c r="LUV9" s="131"/>
      <c r="LUW9" s="131"/>
      <c r="LUX9" s="131"/>
      <c r="LUY9" s="131"/>
      <c r="LUZ9" s="131"/>
      <c r="LVA9" s="131"/>
      <c r="LVB9" s="131"/>
      <c r="LVC9" s="131"/>
      <c r="LVD9" s="131"/>
      <c r="LVE9" s="131"/>
      <c r="LVF9" s="131"/>
      <c r="LVG9" s="131"/>
      <c r="LVH9" s="131"/>
      <c r="LVI9" s="131"/>
      <c r="LVJ9" s="131"/>
      <c r="LVK9" s="131"/>
      <c r="LVL9" s="131"/>
      <c r="LVM9" s="131"/>
      <c r="LVN9" s="131"/>
      <c r="LVO9" s="131"/>
      <c r="LVP9" s="131"/>
      <c r="LVQ9" s="131"/>
      <c r="LVR9" s="131"/>
      <c r="LVS9" s="131"/>
      <c r="LVT9" s="131"/>
      <c r="LVU9" s="131"/>
      <c r="LVV9" s="131"/>
      <c r="LVW9" s="131"/>
      <c r="LVX9" s="131"/>
      <c r="LVY9" s="131"/>
      <c r="LVZ9" s="131"/>
      <c r="LWA9" s="131"/>
      <c r="LWB9" s="131"/>
      <c r="LWC9" s="131"/>
      <c r="LWD9" s="131"/>
      <c r="LWE9" s="131"/>
      <c r="LWF9" s="131"/>
      <c r="LWG9" s="131"/>
      <c r="LWH9" s="131"/>
      <c r="LWI9" s="131"/>
      <c r="LWJ9" s="131"/>
      <c r="LWK9" s="131"/>
      <c r="LWL9" s="131"/>
      <c r="LWM9" s="131"/>
      <c r="LWN9" s="131"/>
      <c r="LWO9" s="131"/>
      <c r="LWP9" s="131"/>
      <c r="LWQ9" s="131"/>
      <c r="LWR9" s="131"/>
      <c r="LWS9" s="131"/>
      <c r="LWT9" s="131"/>
      <c r="LWU9" s="131"/>
      <c r="LWV9" s="131"/>
      <c r="LWW9" s="131"/>
      <c r="LWX9" s="131"/>
      <c r="LWY9" s="131"/>
      <c r="LWZ9" s="131"/>
      <c r="LXA9" s="131"/>
      <c r="LXB9" s="131"/>
      <c r="LXC9" s="131"/>
      <c r="LXD9" s="131"/>
      <c r="LXE9" s="131"/>
      <c r="LXF9" s="131"/>
      <c r="LXG9" s="131"/>
      <c r="LXH9" s="131"/>
      <c r="LXI9" s="131"/>
      <c r="LXJ9" s="131"/>
      <c r="LXK9" s="131"/>
      <c r="LXL9" s="131"/>
      <c r="LXM9" s="131"/>
      <c r="LXN9" s="131"/>
      <c r="LXO9" s="131"/>
      <c r="LXP9" s="131"/>
      <c r="LXQ9" s="131"/>
      <c r="LXR9" s="131"/>
      <c r="LXS9" s="131"/>
      <c r="LXT9" s="131"/>
      <c r="LXU9" s="131"/>
      <c r="LXV9" s="131"/>
      <c r="LXW9" s="131"/>
      <c r="LXX9" s="131"/>
      <c r="LXY9" s="131"/>
      <c r="LXZ9" s="131"/>
      <c r="LYA9" s="131"/>
      <c r="LYB9" s="131"/>
      <c r="LYC9" s="131"/>
      <c r="LYD9" s="131"/>
      <c r="LYE9" s="131"/>
      <c r="LYF9" s="131"/>
      <c r="LYG9" s="131"/>
      <c r="LYH9" s="131"/>
      <c r="LYI9" s="131"/>
      <c r="LYJ9" s="131"/>
      <c r="LYK9" s="131"/>
      <c r="LYL9" s="131"/>
      <c r="LYM9" s="131"/>
      <c r="LYN9" s="131"/>
      <c r="LYO9" s="131"/>
      <c r="LYP9" s="131"/>
      <c r="LYQ9" s="131"/>
      <c r="LYR9" s="131"/>
      <c r="LYS9" s="131"/>
      <c r="LYT9" s="131"/>
      <c r="LYU9" s="131"/>
      <c r="LYV9" s="131"/>
      <c r="LYW9" s="131"/>
      <c r="LYX9" s="131"/>
      <c r="LYY9" s="131"/>
      <c r="LYZ9" s="131"/>
      <c r="LZA9" s="131"/>
      <c r="LZB9" s="131"/>
      <c r="LZC9" s="131"/>
      <c r="LZD9" s="131"/>
      <c r="LZE9" s="131"/>
      <c r="LZF9" s="131"/>
      <c r="LZG9" s="131"/>
      <c r="LZH9" s="131"/>
      <c r="LZI9" s="131"/>
      <c r="LZJ9" s="131"/>
      <c r="LZK9" s="131"/>
      <c r="LZL9" s="131"/>
      <c r="LZM9" s="131"/>
      <c r="LZN9" s="131"/>
      <c r="LZO9" s="131"/>
      <c r="LZP9" s="131"/>
      <c r="LZQ9" s="131"/>
      <c r="LZR9" s="131"/>
      <c r="LZS9" s="131"/>
      <c r="LZT9" s="131"/>
      <c r="LZU9" s="131"/>
      <c r="LZV9" s="131"/>
      <c r="LZW9" s="131"/>
      <c r="LZX9" s="131"/>
      <c r="LZY9" s="131"/>
      <c r="LZZ9" s="131"/>
      <c r="MAA9" s="131"/>
      <c r="MAB9" s="131"/>
      <c r="MAC9" s="131"/>
      <c r="MAD9" s="131"/>
      <c r="MAE9" s="131"/>
      <c r="MAF9" s="131"/>
      <c r="MAG9" s="131"/>
      <c r="MAH9" s="131"/>
      <c r="MAI9" s="131"/>
      <c r="MAJ9" s="131"/>
      <c r="MAK9" s="131"/>
      <c r="MAL9" s="131"/>
      <c r="MAM9" s="131"/>
      <c r="MAN9" s="131"/>
      <c r="MAO9" s="131"/>
      <c r="MAP9" s="131"/>
      <c r="MAQ9" s="131"/>
      <c r="MAR9" s="131"/>
      <c r="MAS9" s="131"/>
      <c r="MAT9" s="131"/>
      <c r="MAU9" s="131"/>
      <c r="MAV9" s="131"/>
      <c r="MAW9" s="131"/>
      <c r="MAX9" s="131"/>
      <c r="MAY9" s="131"/>
      <c r="MAZ9" s="131"/>
      <c r="MBA9" s="131"/>
      <c r="MBB9" s="131"/>
      <c r="MBC9" s="131"/>
      <c r="MBD9" s="131"/>
      <c r="MBE9" s="131"/>
      <c r="MBF9" s="131"/>
      <c r="MBG9" s="131"/>
      <c r="MBH9" s="131"/>
      <c r="MBI9" s="131"/>
      <c r="MBJ9" s="131"/>
      <c r="MBK9" s="131"/>
      <c r="MBL9" s="131"/>
      <c r="MBM9" s="131"/>
      <c r="MBN9" s="131"/>
      <c r="MBO9" s="131"/>
      <c r="MBP9" s="131"/>
      <c r="MBQ9" s="131"/>
      <c r="MBR9" s="131"/>
      <c r="MBS9" s="131"/>
      <c r="MBT9" s="131"/>
      <c r="MBU9" s="131"/>
      <c r="MBV9" s="131"/>
      <c r="MBW9" s="131"/>
      <c r="MBX9" s="131"/>
      <c r="MBY9" s="131"/>
      <c r="MBZ9" s="131"/>
      <c r="MCA9" s="131"/>
      <c r="MCB9" s="131"/>
      <c r="MCC9" s="131"/>
      <c r="MCD9" s="131"/>
      <c r="MCE9" s="131"/>
      <c r="MCF9" s="131"/>
      <c r="MCG9" s="131"/>
      <c r="MCH9" s="131"/>
      <c r="MCI9" s="131"/>
      <c r="MCJ9" s="131"/>
      <c r="MCK9" s="131"/>
      <c r="MCL9" s="131"/>
      <c r="MCM9" s="131"/>
      <c r="MCN9" s="131"/>
      <c r="MCO9" s="131"/>
      <c r="MCP9" s="131"/>
      <c r="MCQ9" s="131"/>
      <c r="MCR9" s="131"/>
      <c r="MCS9" s="131"/>
      <c r="MCT9" s="131"/>
      <c r="MCU9" s="131"/>
      <c r="MCV9" s="131"/>
      <c r="MCW9" s="131"/>
      <c r="MCX9" s="131"/>
      <c r="MCY9" s="131"/>
      <c r="MCZ9" s="131"/>
      <c r="MDA9" s="131"/>
      <c r="MDB9" s="131"/>
      <c r="MDC9" s="131"/>
      <c r="MDD9" s="131"/>
      <c r="MDE9" s="131"/>
      <c r="MDF9" s="131"/>
      <c r="MDG9" s="131"/>
      <c r="MDH9" s="131"/>
      <c r="MDI9" s="131"/>
      <c r="MDJ9" s="131"/>
      <c r="MDK9" s="131"/>
      <c r="MDL9" s="131"/>
      <c r="MDM9" s="131"/>
      <c r="MDN9" s="131"/>
      <c r="MDO9" s="131"/>
      <c r="MDP9" s="131"/>
      <c r="MDQ9" s="131"/>
      <c r="MDR9" s="131"/>
      <c r="MDS9" s="131"/>
      <c r="MDT9" s="131"/>
      <c r="MDU9" s="131"/>
      <c r="MDV9" s="131"/>
      <c r="MDW9" s="131"/>
      <c r="MDX9" s="131"/>
      <c r="MDY9" s="131"/>
      <c r="MDZ9" s="131"/>
      <c r="MEA9" s="131"/>
      <c r="MEB9" s="131"/>
      <c r="MEC9" s="131"/>
      <c r="MED9" s="131"/>
      <c r="MEE9" s="131"/>
      <c r="MEF9" s="131"/>
      <c r="MEG9" s="131"/>
      <c r="MEH9" s="131"/>
      <c r="MEI9" s="131"/>
      <c r="MEJ9" s="131"/>
      <c r="MEK9" s="131"/>
      <c r="MEL9" s="131"/>
      <c r="MEM9" s="131"/>
      <c r="MEN9" s="131"/>
      <c r="MEO9" s="131"/>
      <c r="MEP9" s="131"/>
      <c r="MEQ9" s="131"/>
      <c r="MER9" s="131"/>
      <c r="MES9" s="131"/>
      <c r="MET9" s="131"/>
      <c r="MEU9" s="131"/>
      <c r="MEV9" s="131"/>
      <c r="MEW9" s="131"/>
      <c r="MEX9" s="131"/>
      <c r="MEY9" s="131"/>
      <c r="MEZ9" s="131"/>
      <c r="MFA9" s="131"/>
      <c r="MFB9" s="131"/>
      <c r="MFC9" s="131"/>
      <c r="MFD9" s="131"/>
      <c r="MFE9" s="131"/>
      <c r="MFF9" s="131"/>
      <c r="MFG9" s="131"/>
      <c r="MFH9" s="131"/>
      <c r="MFI9" s="131"/>
      <c r="MFJ9" s="131"/>
      <c r="MFK9" s="131"/>
      <c r="MFL9" s="131"/>
      <c r="MFM9" s="131"/>
      <c r="MFN9" s="131"/>
      <c r="MFO9" s="131"/>
      <c r="MFP9" s="131"/>
      <c r="MFQ9" s="131"/>
      <c r="MFR9" s="131"/>
      <c r="MFS9" s="131"/>
      <c r="MFT9" s="131"/>
      <c r="MFU9" s="131"/>
      <c r="MFV9" s="131"/>
      <c r="MFW9" s="131"/>
      <c r="MFX9" s="131"/>
      <c r="MFY9" s="131"/>
      <c r="MFZ9" s="131"/>
      <c r="MGA9" s="131"/>
      <c r="MGB9" s="131"/>
      <c r="MGC9" s="131"/>
      <c r="MGD9" s="131"/>
      <c r="MGE9" s="131"/>
      <c r="MGF9" s="131"/>
      <c r="MGG9" s="131"/>
      <c r="MGH9" s="131"/>
      <c r="MGI9" s="131"/>
      <c r="MGJ9" s="131"/>
      <c r="MGK9" s="131"/>
      <c r="MGL9" s="131"/>
      <c r="MGM9" s="131"/>
      <c r="MGN9" s="131"/>
      <c r="MGO9" s="131"/>
      <c r="MGP9" s="131"/>
      <c r="MGQ9" s="131"/>
      <c r="MGR9" s="131"/>
      <c r="MGS9" s="131"/>
      <c r="MGT9" s="131"/>
      <c r="MGU9" s="131"/>
      <c r="MGV9" s="131"/>
      <c r="MGW9" s="131"/>
      <c r="MGX9" s="131"/>
      <c r="MGY9" s="131"/>
      <c r="MGZ9" s="131"/>
      <c r="MHA9" s="131"/>
      <c r="MHB9" s="131"/>
      <c r="MHC9" s="131"/>
      <c r="MHD9" s="131"/>
      <c r="MHE9" s="131"/>
      <c r="MHF9" s="131"/>
      <c r="MHG9" s="131"/>
      <c r="MHH9" s="131"/>
      <c r="MHI9" s="131"/>
      <c r="MHJ9" s="131"/>
      <c r="MHK9" s="131"/>
      <c r="MHL9" s="131"/>
      <c r="MHM9" s="131"/>
      <c r="MHN9" s="131"/>
      <c r="MHO9" s="131"/>
      <c r="MHP9" s="131"/>
      <c r="MHQ9" s="131"/>
      <c r="MHR9" s="131"/>
      <c r="MHS9" s="131"/>
      <c r="MHT9" s="131"/>
      <c r="MHU9" s="131"/>
      <c r="MHV9" s="131"/>
      <c r="MHW9" s="131"/>
      <c r="MHX9" s="131"/>
      <c r="MHY9" s="131"/>
      <c r="MHZ9" s="131"/>
      <c r="MIA9" s="131"/>
      <c r="MIB9" s="131"/>
      <c r="MIC9" s="131"/>
      <c r="MID9" s="131"/>
      <c r="MIE9" s="131"/>
      <c r="MIF9" s="131"/>
      <c r="MIG9" s="131"/>
      <c r="MIH9" s="131"/>
      <c r="MII9" s="131"/>
      <c r="MIJ9" s="131"/>
      <c r="MIK9" s="131"/>
      <c r="MIL9" s="131"/>
      <c r="MIM9" s="131"/>
      <c r="MIN9" s="131"/>
      <c r="MIO9" s="131"/>
      <c r="MIP9" s="131"/>
      <c r="MIQ9" s="131"/>
      <c r="MIR9" s="131"/>
      <c r="MIS9" s="131"/>
      <c r="MIT9" s="131"/>
      <c r="MIU9" s="131"/>
      <c r="MIV9" s="131"/>
      <c r="MIW9" s="131"/>
      <c r="MIX9" s="131"/>
      <c r="MIY9" s="131"/>
      <c r="MIZ9" s="131"/>
      <c r="MJA9" s="131"/>
      <c r="MJB9" s="131"/>
      <c r="MJC9" s="131"/>
      <c r="MJD9" s="131"/>
      <c r="MJE9" s="131"/>
      <c r="MJF9" s="131"/>
      <c r="MJG9" s="131"/>
      <c r="MJH9" s="131"/>
      <c r="MJI9" s="131"/>
      <c r="MJJ9" s="131"/>
      <c r="MJK9" s="131"/>
      <c r="MJL9" s="131"/>
      <c r="MJM9" s="131"/>
      <c r="MJN9" s="131"/>
      <c r="MJO9" s="131"/>
      <c r="MJP9" s="131"/>
      <c r="MJQ9" s="131"/>
      <c r="MJR9" s="131"/>
      <c r="MJS9" s="131"/>
      <c r="MJT9" s="131"/>
      <c r="MJU9" s="131"/>
      <c r="MJV9" s="131"/>
      <c r="MJW9" s="131"/>
      <c r="MJX9" s="131"/>
      <c r="MJY9" s="131"/>
      <c r="MJZ9" s="131"/>
      <c r="MKA9" s="131"/>
      <c r="MKB9" s="131"/>
      <c r="MKC9" s="131"/>
      <c r="MKD9" s="131"/>
      <c r="MKE9" s="131"/>
      <c r="MKF9" s="131"/>
      <c r="MKG9" s="131"/>
      <c r="MKH9" s="131"/>
      <c r="MKI9" s="131"/>
      <c r="MKJ9" s="131"/>
      <c r="MKK9" s="131"/>
      <c r="MKL9" s="131"/>
      <c r="MKM9" s="131"/>
      <c r="MKN9" s="131"/>
      <c r="MKO9" s="131"/>
      <c r="MKP9" s="131"/>
      <c r="MKQ9" s="131"/>
      <c r="MKR9" s="131"/>
      <c r="MKS9" s="131"/>
      <c r="MKT9" s="131"/>
      <c r="MKU9" s="131"/>
      <c r="MKV9" s="131"/>
      <c r="MKW9" s="131"/>
      <c r="MKX9" s="131"/>
      <c r="MKY9" s="131"/>
      <c r="MKZ9" s="131"/>
      <c r="MLA9" s="131"/>
      <c r="MLB9" s="131"/>
      <c r="MLC9" s="131"/>
      <c r="MLD9" s="131"/>
      <c r="MLE9" s="131"/>
      <c r="MLF9" s="131"/>
      <c r="MLG9" s="131"/>
      <c r="MLH9" s="131"/>
      <c r="MLI9" s="131"/>
      <c r="MLJ9" s="131"/>
      <c r="MLK9" s="131"/>
      <c r="MLL9" s="131"/>
      <c r="MLM9" s="131"/>
      <c r="MLN9" s="131"/>
      <c r="MLO9" s="131"/>
      <c r="MLP9" s="131"/>
      <c r="MLQ9" s="131"/>
      <c r="MLR9" s="131"/>
      <c r="MLS9" s="131"/>
      <c r="MLT9" s="131"/>
      <c r="MLU9" s="131"/>
      <c r="MLV9" s="131"/>
      <c r="MLW9" s="131"/>
      <c r="MLX9" s="131"/>
      <c r="MLY9" s="131"/>
      <c r="MLZ9" s="131"/>
      <c r="MMA9" s="131"/>
      <c r="MMB9" s="131"/>
      <c r="MMC9" s="131"/>
      <c r="MMD9" s="131"/>
      <c r="MME9" s="131"/>
      <c r="MMF9" s="131"/>
      <c r="MMG9" s="131"/>
      <c r="MMH9" s="131"/>
      <c r="MMI9" s="131"/>
      <c r="MMJ9" s="131"/>
      <c r="MMK9" s="131"/>
      <c r="MML9" s="131"/>
      <c r="MMM9" s="131"/>
      <c r="MMN9" s="131"/>
      <c r="MMO9" s="131"/>
      <c r="MMP9" s="131"/>
      <c r="MMQ9" s="131"/>
      <c r="MMR9" s="131"/>
      <c r="MMS9" s="131"/>
      <c r="MMT9" s="131"/>
      <c r="MMU9" s="131"/>
      <c r="MMV9" s="131"/>
      <c r="MMW9" s="131"/>
      <c r="MMX9" s="131"/>
      <c r="MMY9" s="131"/>
      <c r="MMZ9" s="131"/>
      <c r="MNA9" s="131"/>
      <c r="MNB9" s="131"/>
      <c r="MNC9" s="131"/>
      <c r="MND9" s="131"/>
      <c r="MNE9" s="131"/>
      <c r="MNF9" s="131"/>
      <c r="MNG9" s="131"/>
      <c r="MNH9" s="131"/>
      <c r="MNI9" s="131"/>
      <c r="MNJ9" s="131"/>
      <c r="MNK9" s="131"/>
      <c r="MNL9" s="131"/>
      <c r="MNM9" s="131"/>
      <c r="MNN9" s="131"/>
      <c r="MNO9" s="131"/>
      <c r="MNP9" s="131"/>
      <c r="MNQ9" s="131"/>
      <c r="MNR9" s="131"/>
      <c r="MNS9" s="131"/>
      <c r="MNT9" s="131"/>
      <c r="MNU9" s="131"/>
      <c r="MNV9" s="131"/>
      <c r="MNW9" s="131"/>
      <c r="MNX9" s="131"/>
      <c r="MNY9" s="131"/>
      <c r="MNZ9" s="131"/>
      <c r="MOA9" s="131"/>
      <c r="MOB9" s="131"/>
      <c r="MOC9" s="131"/>
      <c r="MOD9" s="131"/>
      <c r="MOE9" s="131"/>
      <c r="MOF9" s="131"/>
      <c r="MOG9" s="131"/>
      <c r="MOH9" s="131"/>
      <c r="MOI9" s="131"/>
      <c r="MOJ9" s="131"/>
      <c r="MOK9" s="131"/>
      <c r="MOL9" s="131"/>
      <c r="MOM9" s="131"/>
      <c r="MON9" s="131"/>
      <c r="MOO9" s="131"/>
      <c r="MOP9" s="131"/>
      <c r="MOQ9" s="131"/>
      <c r="MOR9" s="131"/>
      <c r="MOS9" s="131"/>
      <c r="MOT9" s="131"/>
      <c r="MOU9" s="131"/>
      <c r="MOV9" s="131"/>
      <c r="MOW9" s="131"/>
      <c r="MOX9" s="131"/>
      <c r="MOY9" s="131"/>
      <c r="MOZ9" s="131"/>
      <c r="MPA9" s="131"/>
      <c r="MPN9" s="131"/>
      <c r="MPO9" s="131"/>
      <c r="MPP9" s="131"/>
      <c r="MPQ9" s="131"/>
      <c r="MPR9" s="131"/>
      <c r="MPS9" s="131"/>
      <c r="MPT9" s="131"/>
      <c r="MPU9" s="131"/>
      <c r="MPV9" s="131"/>
      <c r="MPW9" s="131"/>
      <c r="MPX9" s="131"/>
      <c r="MPY9" s="131"/>
      <c r="MPZ9" s="131"/>
      <c r="MQA9" s="131"/>
      <c r="MQB9" s="131"/>
      <c r="MQC9" s="131"/>
      <c r="MQD9" s="131"/>
      <c r="MQE9" s="131"/>
      <c r="MQF9" s="131"/>
      <c r="MQG9" s="131"/>
      <c r="MQH9" s="131"/>
      <c r="MQI9" s="131"/>
      <c r="MQJ9" s="131"/>
      <c r="MQK9" s="131"/>
      <c r="MQL9" s="131"/>
      <c r="MQM9" s="131"/>
      <c r="MQN9" s="131"/>
      <c r="MQO9" s="131"/>
      <c r="MQP9" s="131"/>
      <c r="MQQ9" s="131"/>
      <c r="MQR9" s="131"/>
      <c r="MQS9" s="131"/>
      <c r="MQT9" s="131"/>
      <c r="MQU9" s="131"/>
      <c r="MQV9" s="131"/>
      <c r="MQW9" s="131"/>
      <c r="MQX9" s="131"/>
      <c r="MQY9" s="131"/>
      <c r="MQZ9" s="131"/>
      <c r="MRA9" s="131"/>
      <c r="MRB9" s="131"/>
      <c r="MRC9" s="131"/>
      <c r="MRD9" s="131"/>
      <c r="MRE9" s="131"/>
      <c r="MRF9" s="131"/>
      <c r="MRG9" s="131"/>
      <c r="MRH9" s="131"/>
      <c r="MRI9" s="131"/>
      <c r="MRJ9" s="131"/>
      <c r="MRK9" s="131"/>
      <c r="MRL9" s="131"/>
      <c r="MRM9" s="131"/>
      <c r="MRN9" s="131"/>
      <c r="MRO9" s="131"/>
      <c r="MRP9" s="131"/>
      <c r="MRQ9" s="131"/>
      <c r="MRR9" s="131"/>
      <c r="MRS9" s="131"/>
      <c r="MRT9" s="131"/>
      <c r="MRU9" s="131"/>
      <c r="MRV9" s="131"/>
      <c r="MRW9" s="131"/>
      <c r="MRX9" s="131"/>
      <c r="MRY9" s="131"/>
      <c r="MRZ9" s="131"/>
      <c r="MSA9" s="131"/>
      <c r="MSB9" s="131"/>
      <c r="MSC9" s="131"/>
      <c r="MSD9" s="131"/>
      <c r="MSE9" s="131"/>
      <c r="MSF9" s="131"/>
      <c r="MSG9" s="131"/>
      <c r="MSH9" s="131"/>
      <c r="MSI9" s="131"/>
      <c r="MSJ9" s="131"/>
      <c r="MSK9" s="131"/>
      <c r="MSL9" s="131"/>
      <c r="MSM9" s="131"/>
      <c r="MSN9" s="131"/>
      <c r="MSO9" s="131"/>
      <c r="MSP9" s="131"/>
      <c r="MSQ9" s="131"/>
      <c r="MSR9" s="131"/>
      <c r="MSS9" s="131"/>
      <c r="MST9" s="131"/>
      <c r="MSU9" s="131"/>
      <c r="MSV9" s="131"/>
      <c r="MSW9" s="131"/>
      <c r="MSX9" s="131"/>
      <c r="MSY9" s="131"/>
      <c r="MSZ9" s="131"/>
      <c r="MTA9" s="131"/>
      <c r="MTB9" s="131"/>
      <c r="MTC9" s="131"/>
      <c r="MTD9" s="131"/>
      <c r="MTE9" s="131"/>
      <c r="MTF9" s="131"/>
      <c r="MTG9" s="131"/>
      <c r="MTH9" s="131"/>
      <c r="MTI9" s="131"/>
      <c r="MTJ9" s="131"/>
      <c r="MTK9" s="131"/>
      <c r="MTL9" s="131"/>
      <c r="MTM9" s="131"/>
      <c r="MTN9" s="131"/>
      <c r="MTO9" s="131"/>
      <c r="MTP9" s="131"/>
      <c r="MTQ9" s="131"/>
      <c r="MTR9" s="131"/>
      <c r="MTS9" s="131"/>
      <c r="MTT9" s="131"/>
      <c r="MTU9" s="131"/>
      <c r="MTV9" s="131"/>
      <c r="MTW9" s="131"/>
      <c r="MTX9" s="131"/>
      <c r="MTY9" s="131"/>
      <c r="MTZ9" s="131"/>
      <c r="MUA9" s="131"/>
      <c r="MUB9" s="131"/>
      <c r="MUC9" s="131"/>
      <c r="MUD9" s="131"/>
      <c r="MUE9" s="131"/>
      <c r="MUF9" s="131"/>
      <c r="MUG9" s="131"/>
      <c r="MUH9" s="131"/>
      <c r="MUI9" s="131"/>
      <c r="MUJ9" s="131"/>
      <c r="MUK9" s="131"/>
      <c r="MUL9" s="131"/>
      <c r="MUM9" s="131"/>
      <c r="MUN9" s="131"/>
      <c r="MUO9" s="131"/>
      <c r="MUP9" s="131"/>
      <c r="MUQ9" s="131"/>
      <c r="MUR9" s="131"/>
      <c r="MUS9" s="131"/>
      <c r="MUT9" s="131"/>
      <c r="MUU9" s="131"/>
      <c r="MUV9" s="131"/>
      <c r="MUW9" s="131"/>
      <c r="MUX9" s="131"/>
      <c r="MUY9" s="131"/>
      <c r="MUZ9" s="131"/>
      <c r="MVA9" s="131"/>
      <c r="MVB9" s="131"/>
      <c r="MVC9" s="131"/>
      <c r="MVD9" s="131"/>
      <c r="MVE9" s="131"/>
      <c r="MVF9" s="131"/>
      <c r="MVG9" s="131"/>
      <c r="MVH9" s="131"/>
      <c r="MVI9" s="131"/>
      <c r="MVJ9" s="131"/>
      <c r="MVK9" s="131"/>
      <c r="MVL9" s="131"/>
      <c r="MVM9" s="131"/>
      <c r="MVN9" s="131"/>
      <c r="MVO9" s="131"/>
      <c r="MVP9" s="131"/>
      <c r="MVQ9" s="131"/>
      <c r="MVR9" s="131"/>
      <c r="MVS9" s="131"/>
      <c r="MVT9" s="131"/>
      <c r="MVU9" s="131"/>
      <c r="MVV9" s="131"/>
      <c r="MVW9" s="131"/>
      <c r="MVX9" s="131"/>
      <c r="MVY9" s="131"/>
      <c r="MVZ9" s="131"/>
      <c r="MWA9" s="131"/>
      <c r="MWB9" s="131"/>
      <c r="MWC9" s="131"/>
      <c r="MWD9" s="131"/>
      <c r="MWE9" s="131"/>
      <c r="MWF9" s="131"/>
      <c r="MWG9" s="131"/>
      <c r="MWH9" s="131"/>
      <c r="MWI9" s="131"/>
      <c r="MWJ9" s="131"/>
      <c r="MWK9" s="131"/>
      <c r="MWL9" s="131"/>
      <c r="MWM9" s="131"/>
      <c r="MWN9" s="131"/>
      <c r="MWO9" s="131"/>
      <c r="MWP9" s="131"/>
      <c r="MWQ9" s="131"/>
      <c r="MWR9" s="131"/>
      <c r="MWS9" s="131"/>
      <c r="MWT9" s="131"/>
      <c r="MWU9" s="131"/>
      <c r="MWV9" s="131"/>
      <c r="MWW9" s="131"/>
      <c r="MWX9" s="131"/>
      <c r="MWY9" s="131"/>
      <c r="MWZ9" s="131"/>
      <c r="MXA9" s="131"/>
      <c r="MXB9" s="131"/>
      <c r="MXC9" s="131"/>
      <c r="MXD9" s="131"/>
      <c r="MXE9" s="131"/>
      <c r="MXF9" s="131"/>
      <c r="MXG9" s="131"/>
      <c r="MXH9" s="131"/>
      <c r="MXI9" s="131"/>
      <c r="MXJ9" s="131"/>
      <c r="MXK9" s="131"/>
      <c r="MXL9" s="131"/>
      <c r="MXM9" s="131"/>
      <c r="MXN9" s="131"/>
      <c r="MXO9" s="131"/>
      <c r="MXP9" s="131"/>
      <c r="MXQ9" s="131"/>
      <c r="MXR9" s="131"/>
      <c r="MXS9" s="131"/>
      <c r="MXT9" s="131"/>
      <c r="MXU9" s="131"/>
      <c r="MXV9" s="131"/>
      <c r="MXW9" s="131"/>
      <c r="MXX9" s="131"/>
      <c r="MXY9" s="131"/>
      <c r="MXZ9" s="131"/>
      <c r="MYA9" s="131"/>
      <c r="MYB9" s="131"/>
      <c r="MYC9" s="131"/>
      <c r="MYD9" s="131"/>
      <c r="MYE9" s="131"/>
      <c r="MYF9" s="131"/>
      <c r="MYG9" s="131"/>
      <c r="MYH9" s="131"/>
      <c r="MYI9" s="131"/>
      <c r="MYJ9" s="131"/>
      <c r="MYK9" s="131"/>
      <c r="MYL9" s="131"/>
      <c r="MYM9" s="131"/>
      <c r="MYN9" s="131"/>
      <c r="MYO9" s="131"/>
      <c r="MYP9" s="131"/>
      <c r="MYQ9" s="131"/>
      <c r="MYR9" s="131"/>
      <c r="MYS9" s="131"/>
      <c r="MYT9" s="131"/>
      <c r="MYU9" s="131"/>
      <c r="MYV9" s="131"/>
      <c r="MYW9" s="131"/>
      <c r="MYX9" s="131"/>
      <c r="MYY9" s="131"/>
      <c r="MYZ9" s="131"/>
      <c r="MZA9" s="131"/>
      <c r="MZB9" s="131"/>
      <c r="MZC9" s="131"/>
      <c r="MZD9" s="131"/>
      <c r="MZE9" s="131"/>
      <c r="MZF9" s="131"/>
      <c r="MZG9" s="131"/>
      <c r="MZH9" s="131"/>
      <c r="MZI9" s="131"/>
      <c r="MZJ9" s="131"/>
      <c r="MZK9" s="131"/>
      <c r="MZL9" s="131"/>
      <c r="MZM9" s="131"/>
      <c r="MZN9" s="131"/>
      <c r="MZO9" s="131"/>
      <c r="MZP9" s="131"/>
      <c r="MZQ9" s="131"/>
      <c r="MZR9" s="131"/>
      <c r="MZS9" s="131"/>
      <c r="MZT9" s="131"/>
      <c r="MZU9" s="131"/>
      <c r="MZV9" s="131"/>
      <c r="MZW9" s="131"/>
      <c r="MZX9" s="131"/>
      <c r="MZY9" s="131"/>
      <c r="MZZ9" s="131"/>
      <c r="NAA9" s="131"/>
      <c r="NAB9" s="131"/>
      <c r="NAC9" s="131"/>
      <c r="NAD9" s="131"/>
      <c r="NAE9" s="131"/>
      <c r="NAF9" s="131"/>
      <c r="NAG9" s="131"/>
      <c r="NAH9" s="131"/>
      <c r="NAI9" s="131"/>
      <c r="NAJ9" s="131"/>
      <c r="NAK9" s="131"/>
      <c r="NAL9" s="131"/>
      <c r="NAM9" s="131"/>
      <c r="NAN9" s="131"/>
      <c r="NAO9" s="131"/>
      <c r="NAP9" s="131"/>
      <c r="NAQ9" s="131"/>
      <c r="NAR9" s="131"/>
      <c r="NAS9" s="131"/>
      <c r="NAT9" s="131"/>
      <c r="NAU9" s="131"/>
      <c r="NAV9" s="131"/>
      <c r="NAW9" s="131"/>
      <c r="NAX9" s="131"/>
      <c r="NAY9" s="131"/>
      <c r="NAZ9" s="131"/>
      <c r="NBA9" s="131"/>
      <c r="NBB9" s="131"/>
      <c r="NBC9" s="131"/>
      <c r="NBD9" s="131"/>
      <c r="NBE9" s="131"/>
      <c r="NBF9" s="131"/>
      <c r="NBG9" s="131"/>
      <c r="NBH9" s="131"/>
      <c r="NBI9" s="131"/>
      <c r="NBJ9" s="131"/>
      <c r="NBK9" s="131"/>
      <c r="NBL9" s="131"/>
      <c r="NBM9" s="131"/>
      <c r="NBN9" s="131"/>
      <c r="NBO9" s="131"/>
      <c r="NBP9" s="131"/>
      <c r="NBQ9" s="131"/>
      <c r="NBR9" s="131"/>
      <c r="NBS9" s="131"/>
      <c r="NBT9" s="131"/>
      <c r="NBU9" s="131"/>
      <c r="NBV9" s="131"/>
      <c r="NBW9" s="131"/>
      <c r="NBX9" s="131"/>
      <c r="NBY9" s="131"/>
      <c r="NBZ9" s="131"/>
      <c r="NCA9" s="131"/>
      <c r="NCB9" s="131"/>
      <c r="NCC9" s="131"/>
      <c r="NCD9" s="131"/>
      <c r="NCE9" s="131"/>
      <c r="NCF9" s="131"/>
      <c r="NCG9" s="131"/>
      <c r="NCH9" s="131"/>
      <c r="NCI9" s="131"/>
      <c r="NCJ9" s="131"/>
      <c r="NCK9" s="131"/>
      <c r="NCL9" s="131"/>
      <c r="NCM9" s="131"/>
      <c r="NCN9" s="131"/>
      <c r="NCO9" s="131"/>
      <c r="NCP9" s="131"/>
      <c r="NCQ9" s="131"/>
      <c r="NCR9" s="131"/>
      <c r="NCS9" s="131"/>
      <c r="NCT9" s="131"/>
      <c r="NCU9" s="131"/>
      <c r="NCV9" s="131"/>
      <c r="NCW9" s="131"/>
      <c r="NCX9" s="131"/>
      <c r="NCY9" s="131"/>
      <c r="NCZ9" s="131"/>
      <c r="NDA9" s="131"/>
      <c r="NDB9" s="131"/>
      <c r="NDC9" s="131"/>
      <c r="NDD9" s="131"/>
      <c r="NDE9" s="131"/>
      <c r="NDF9" s="131"/>
      <c r="NDG9" s="131"/>
      <c r="NDH9" s="131"/>
      <c r="NDI9" s="131"/>
      <c r="NDJ9" s="131"/>
      <c r="NDK9" s="131"/>
      <c r="NDL9" s="131"/>
      <c r="NDM9" s="131"/>
      <c r="NDN9" s="131"/>
      <c r="NDO9" s="131"/>
      <c r="NDP9" s="131"/>
      <c r="NDQ9" s="131"/>
      <c r="NDR9" s="131"/>
      <c r="NDS9" s="131"/>
      <c r="NDT9" s="131"/>
      <c r="NDU9" s="131"/>
      <c r="NDV9" s="131"/>
      <c r="NDW9" s="131"/>
      <c r="NDX9" s="131"/>
      <c r="NDY9" s="131"/>
      <c r="NDZ9" s="131"/>
      <c r="NEA9" s="131"/>
      <c r="NEB9" s="131"/>
      <c r="NEC9" s="131"/>
      <c r="NED9" s="131"/>
      <c r="NEE9" s="131"/>
      <c r="NEF9" s="131"/>
      <c r="NEG9" s="131"/>
      <c r="NEH9" s="131"/>
      <c r="NEI9" s="131"/>
      <c r="NEJ9" s="131"/>
      <c r="NEK9" s="131"/>
      <c r="NEL9" s="131"/>
      <c r="NEM9" s="131"/>
      <c r="NEN9" s="131"/>
      <c r="NEO9" s="131"/>
      <c r="NEP9" s="131"/>
      <c r="NEQ9" s="131"/>
      <c r="NER9" s="131"/>
      <c r="NES9" s="131"/>
      <c r="NET9" s="131"/>
      <c r="NEU9" s="131"/>
      <c r="NEV9" s="131"/>
      <c r="NEW9" s="131"/>
      <c r="NEX9" s="131"/>
      <c r="NEY9" s="131"/>
      <c r="NEZ9" s="131"/>
      <c r="NFA9" s="131"/>
      <c r="NFB9" s="131"/>
      <c r="NFC9" s="131"/>
      <c r="NFD9" s="131"/>
      <c r="NFE9" s="131"/>
      <c r="NFF9" s="131"/>
      <c r="NFG9" s="131"/>
      <c r="NFH9" s="131"/>
      <c r="NFI9" s="131"/>
      <c r="NFJ9" s="131"/>
      <c r="NFK9" s="131"/>
      <c r="NFL9" s="131"/>
      <c r="NFM9" s="131"/>
      <c r="NFN9" s="131"/>
      <c r="NFO9" s="131"/>
      <c r="NFP9" s="131"/>
      <c r="NFQ9" s="131"/>
      <c r="NFR9" s="131"/>
      <c r="NFS9" s="131"/>
      <c r="NFT9" s="131"/>
      <c r="NFU9" s="131"/>
      <c r="NFV9" s="131"/>
      <c r="NFW9" s="131"/>
      <c r="NFX9" s="131"/>
      <c r="NFY9" s="131"/>
      <c r="NFZ9" s="131"/>
      <c r="NGA9" s="131"/>
      <c r="NGB9" s="131"/>
      <c r="NGC9" s="131"/>
      <c r="NGD9" s="131"/>
      <c r="NGE9" s="131"/>
      <c r="NGF9" s="131"/>
      <c r="NGG9" s="131"/>
      <c r="NGH9" s="131"/>
      <c r="NGI9" s="131"/>
      <c r="NGJ9" s="131"/>
      <c r="NGK9" s="131"/>
      <c r="NGL9" s="131"/>
      <c r="NGM9" s="131"/>
      <c r="NGN9" s="131"/>
      <c r="NGO9" s="131"/>
      <c r="NGP9" s="131"/>
      <c r="NGQ9" s="131"/>
      <c r="NGR9" s="131"/>
      <c r="NGS9" s="131"/>
      <c r="NGT9" s="131"/>
      <c r="NGU9" s="131"/>
      <c r="NGV9" s="131"/>
      <c r="NGW9" s="131"/>
      <c r="NGX9" s="131"/>
      <c r="NGY9" s="131"/>
      <c r="NGZ9" s="131"/>
      <c r="NHA9" s="131"/>
      <c r="NHB9" s="131"/>
      <c r="NHC9" s="131"/>
      <c r="NHD9" s="131"/>
      <c r="NHE9" s="131"/>
      <c r="NHF9" s="131"/>
      <c r="NHG9" s="131"/>
      <c r="NHH9" s="131"/>
      <c r="NHI9" s="131"/>
      <c r="NHJ9" s="131"/>
      <c r="NHK9" s="131"/>
      <c r="NHL9" s="131"/>
      <c r="NHM9" s="131"/>
      <c r="NHN9" s="131"/>
      <c r="NHO9" s="131"/>
      <c r="NHP9" s="131"/>
      <c r="NHQ9" s="131"/>
      <c r="NHR9" s="131"/>
      <c r="NHS9" s="131"/>
      <c r="NHT9" s="131"/>
      <c r="NHU9" s="131"/>
      <c r="NHV9" s="131"/>
      <c r="NHW9" s="131"/>
      <c r="NHX9" s="131"/>
      <c r="NHY9" s="131"/>
      <c r="NHZ9" s="131"/>
      <c r="NIA9" s="131"/>
      <c r="NIB9" s="131"/>
      <c r="NIC9" s="131"/>
      <c r="NID9" s="131"/>
      <c r="NIE9" s="131"/>
      <c r="NIF9" s="131"/>
      <c r="NIG9" s="131"/>
      <c r="NIH9" s="131"/>
      <c r="NII9" s="131"/>
      <c r="NIJ9" s="131"/>
      <c r="NIK9" s="131"/>
      <c r="NIL9" s="131"/>
      <c r="NIM9" s="131"/>
      <c r="NIN9" s="131"/>
      <c r="NIO9" s="131"/>
      <c r="NIP9" s="131"/>
      <c r="NIQ9" s="131"/>
      <c r="NIR9" s="131"/>
      <c r="NIS9" s="131"/>
      <c r="NIT9" s="131"/>
      <c r="NIU9" s="131"/>
      <c r="NIV9" s="131"/>
      <c r="NIW9" s="131"/>
      <c r="NIX9" s="131"/>
      <c r="NIY9" s="131"/>
      <c r="NIZ9" s="131"/>
      <c r="NJA9" s="131"/>
      <c r="NJB9" s="131"/>
      <c r="NJC9" s="131"/>
      <c r="NJD9" s="131"/>
      <c r="NJE9" s="131"/>
      <c r="NJF9" s="131"/>
      <c r="NJG9" s="131"/>
      <c r="NJH9" s="131"/>
      <c r="NJI9" s="131"/>
      <c r="NJJ9" s="131"/>
      <c r="NJK9" s="131"/>
      <c r="NJL9" s="131"/>
      <c r="NJM9" s="131"/>
      <c r="NJN9" s="131"/>
      <c r="NJO9" s="131"/>
      <c r="NJP9" s="131"/>
      <c r="NJQ9" s="131"/>
      <c r="NJR9" s="131"/>
      <c r="NJS9" s="131"/>
      <c r="NJT9" s="131"/>
      <c r="NJU9" s="131"/>
      <c r="NJV9" s="131"/>
      <c r="NJW9" s="131"/>
      <c r="NJX9" s="131"/>
      <c r="NJY9" s="131"/>
      <c r="NJZ9" s="131"/>
      <c r="NKA9" s="131"/>
      <c r="NKB9" s="131"/>
      <c r="NKC9" s="131"/>
      <c r="NKD9" s="131"/>
      <c r="NKE9" s="131"/>
      <c r="NKF9" s="131"/>
      <c r="NKG9" s="131"/>
      <c r="NKH9" s="131"/>
      <c r="NKI9" s="131"/>
      <c r="NKJ9" s="131"/>
      <c r="NKK9" s="131"/>
      <c r="NKL9" s="131"/>
      <c r="NKM9" s="131"/>
      <c r="NKN9" s="131"/>
      <c r="NKO9" s="131"/>
      <c r="NKP9" s="131"/>
      <c r="NKQ9" s="131"/>
      <c r="NKR9" s="131"/>
      <c r="NKS9" s="131"/>
      <c r="NKT9" s="131"/>
      <c r="NKU9" s="131"/>
      <c r="NKV9" s="131"/>
      <c r="NKW9" s="131"/>
      <c r="NKX9" s="131"/>
      <c r="NKY9" s="131"/>
      <c r="NKZ9" s="131"/>
      <c r="NLA9" s="131"/>
      <c r="NLB9" s="131"/>
      <c r="NLC9" s="131"/>
      <c r="NLD9" s="131"/>
      <c r="NLE9" s="131"/>
      <c r="NLF9" s="131"/>
      <c r="NLG9" s="131"/>
      <c r="NLH9" s="131"/>
      <c r="NLI9" s="131"/>
      <c r="NLJ9" s="131"/>
      <c r="NLK9" s="131"/>
      <c r="NLL9" s="131"/>
      <c r="NLM9" s="131"/>
      <c r="NLN9" s="131"/>
      <c r="NLO9" s="131"/>
      <c r="NLP9" s="131"/>
      <c r="NLQ9" s="131"/>
      <c r="NLR9" s="131"/>
      <c r="NLS9" s="131"/>
      <c r="NLT9" s="131"/>
      <c r="NLU9" s="131"/>
      <c r="NLV9" s="131"/>
      <c r="NLW9" s="131"/>
      <c r="NLX9" s="131"/>
      <c r="NLY9" s="131"/>
      <c r="NLZ9" s="131"/>
      <c r="NMA9" s="131"/>
      <c r="NMB9" s="131"/>
      <c r="NMC9" s="131"/>
      <c r="NMD9" s="131"/>
      <c r="NME9" s="131"/>
      <c r="NMF9" s="131"/>
      <c r="NMG9" s="131"/>
      <c r="NMH9" s="131"/>
      <c r="NMI9" s="131"/>
      <c r="NMJ9" s="131"/>
      <c r="NMK9" s="131"/>
      <c r="NML9" s="131"/>
      <c r="NMM9" s="131"/>
      <c r="NMN9" s="131"/>
      <c r="NMO9" s="131"/>
      <c r="NMP9" s="131"/>
      <c r="NMQ9" s="131"/>
      <c r="NMR9" s="131"/>
      <c r="NMS9" s="131"/>
      <c r="NMT9" s="131"/>
      <c r="NMU9" s="131"/>
      <c r="NMV9" s="131"/>
      <c r="NMW9" s="131"/>
      <c r="NMX9" s="131"/>
      <c r="NMY9" s="131"/>
      <c r="NMZ9" s="131"/>
      <c r="NNA9" s="131"/>
      <c r="NNB9" s="131"/>
      <c r="NNC9" s="131"/>
      <c r="NND9" s="131"/>
      <c r="NNE9" s="131"/>
      <c r="NNF9" s="131"/>
      <c r="NNG9" s="131"/>
      <c r="NNH9" s="131"/>
      <c r="NNI9" s="131"/>
      <c r="NNJ9" s="131"/>
      <c r="NNK9" s="131"/>
      <c r="NNL9" s="131"/>
      <c r="NNM9" s="131"/>
      <c r="NNN9" s="131"/>
      <c r="NNO9" s="131"/>
      <c r="NNP9" s="131"/>
      <c r="NNQ9" s="131"/>
      <c r="NNR9" s="131"/>
      <c r="NNS9" s="131"/>
      <c r="NNT9" s="131"/>
      <c r="NNU9" s="131"/>
      <c r="NNV9" s="131"/>
      <c r="NNW9" s="131"/>
      <c r="NNX9" s="131"/>
      <c r="NNY9" s="131"/>
      <c r="NNZ9" s="131"/>
      <c r="NOA9" s="131"/>
      <c r="NOB9" s="131"/>
      <c r="NOC9" s="131"/>
      <c r="NOD9" s="131"/>
      <c r="NOE9" s="131"/>
      <c r="NOF9" s="131"/>
      <c r="NOG9" s="131"/>
      <c r="NOH9" s="131"/>
      <c r="NOI9" s="131"/>
      <c r="NOJ9" s="131"/>
      <c r="NOK9" s="131"/>
      <c r="NOL9" s="131"/>
      <c r="NOM9" s="131"/>
      <c r="NON9" s="131"/>
      <c r="NOO9" s="131"/>
      <c r="NOP9" s="131"/>
      <c r="NOQ9" s="131"/>
      <c r="NOR9" s="131"/>
      <c r="NOS9" s="131"/>
      <c r="NOT9" s="131"/>
      <c r="NOU9" s="131"/>
      <c r="NOV9" s="131"/>
      <c r="NOW9" s="131"/>
      <c r="NOX9" s="131"/>
      <c r="NOY9" s="131"/>
      <c r="NOZ9" s="131"/>
      <c r="NPA9" s="131"/>
      <c r="NPB9" s="131"/>
      <c r="NPC9" s="131"/>
      <c r="NPD9" s="131"/>
      <c r="NPE9" s="131"/>
      <c r="NPF9" s="131"/>
      <c r="NPG9" s="131"/>
      <c r="NPH9" s="131"/>
      <c r="NPI9" s="131"/>
      <c r="NPJ9" s="131"/>
      <c r="NPK9" s="131"/>
      <c r="NPL9" s="131"/>
      <c r="NPM9" s="131"/>
      <c r="NPN9" s="131"/>
      <c r="NPO9" s="131"/>
      <c r="NPP9" s="131"/>
      <c r="NPQ9" s="131"/>
      <c r="NPR9" s="131"/>
      <c r="NPS9" s="131"/>
      <c r="NPT9" s="131"/>
      <c r="NPU9" s="131"/>
      <c r="NPV9" s="131"/>
      <c r="NPW9" s="131"/>
      <c r="NPX9" s="131"/>
      <c r="NPY9" s="131"/>
      <c r="NPZ9" s="131"/>
      <c r="NQA9" s="131"/>
      <c r="NQB9" s="131"/>
      <c r="NQC9" s="131"/>
      <c r="NQD9" s="131"/>
      <c r="NQE9" s="131"/>
      <c r="NQF9" s="131"/>
      <c r="NQG9" s="131"/>
      <c r="NQH9" s="131"/>
      <c r="NQI9" s="131"/>
      <c r="NQJ9" s="131"/>
      <c r="NQK9" s="131"/>
      <c r="NQL9" s="131"/>
      <c r="NQM9" s="131"/>
      <c r="NQN9" s="131"/>
      <c r="NQO9" s="131"/>
      <c r="NQP9" s="131"/>
      <c r="NQQ9" s="131"/>
      <c r="NQR9" s="131"/>
      <c r="NQS9" s="131"/>
      <c r="NQT9" s="131"/>
      <c r="NQU9" s="131"/>
      <c r="NQV9" s="131"/>
      <c r="NQW9" s="131"/>
      <c r="NQX9" s="131"/>
      <c r="NQY9" s="131"/>
      <c r="NQZ9" s="131"/>
      <c r="NRA9" s="131"/>
      <c r="NRB9" s="131"/>
      <c r="NRC9" s="131"/>
      <c r="NRD9" s="131"/>
      <c r="NRE9" s="131"/>
      <c r="NRF9" s="131"/>
      <c r="NRG9" s="131"/>
      <c r="NRH9" s="131"/>
      <c r="NRI9" s="131"/>
      <c r="NRJ9" s="131"/>
      <c r="NRK9" s="131"/>
      <c r="NRL9" s="131"/>
      <c r="NRM9" s="131"/>
      <c r="NRN9" s="131"/>
      <c r="NRO9" s="131"/>
      <c r="NRP9" s="131"/>
      <c r="NRQ9" s="131"/>
      <c r="NRR9" s="131"/>
      <c r="NRS9" s="131"/>
      <c r="NRT9" s="131"/>
      <c r="NRU9" s="131"/>
      <c r="NRV9" s="131"/>
      <c r="NRW9" s="131"/>
      <c r="NRX9" s="131"/>
      <c r="NRY9" s="131"/>
      <c r="NRZ9" s="131"/>
      <c r="NSA9" s="131"/>
      <c r="NSB9" s="131"/>
      <c r="NSC9" s="131"/>
      <c r="NSD9" s="131"/>
      <c r="NSE9" s="131"/>
      <c r="NSF9" s="131"/>
      <c r="NSG9" s="131"/>
      <c r="NSH9" s="131"/>
      <c r="NSI9" s="131"/>
      <c r="NSJ9" s="131"/>
      <c r="NSK9" s="131"/>
      <c r="NSL9" s="131"/>
      <c r="NSM9" s="131"/>
      <c r="NSN9" s="131"/>
      <c r="NSO9" s="131"/>
      <c r="NSP9" s="131"/>
      <c r="NSQ9" s="131"/>
      <c r="NSR9" s="131"/>
      <c r="NSS9" s="131"/>
      <c r="NST9" s="131"/>
      <c r="NSU9" s="131"/>
      <c r="NSV9" s="131"/>
      <c r="NSW9" s="131"/>
      <c r="NSX9" s="131"/>
      <c r="NSY9" s="131"/>
      <c r="NSZ9" s="131"/>
      <c r="NTA9" s="131"/>
      <c r="NTB9" s="131"/>
      <c r="NTC9" s="131"/>
      <c r="NTD9" s="131"/>
      <c r="NTE9" s="131"/>
      <c r="NTF9" s="131"/>
      <c r="NTG9" s="131"/>
      <c r="NTH9" s="131"/>
      <c r="NTI9" s="131"/>
      <c r="NTJ9" s="131"/>
      <c r="NTK9" s="131"/>
      <c r="NTL9" s="131"/>
      <c r="NTM9" s="131"/>
      <c r="NTN9" s="131"/>
      <c r="NTO9" s="131"/>
      <c r="NTP9" s="131"/>
      <c r="NTQ9" s="131"/>
      <c r="NTR9" s="131"/>
      <c r="NTS9" s="131"/>
      <c r="NTT9" s="131"/>
      <c r="NTU9" s="131"/>
      <c r="NTV9" s="131"/>
      <c r="NTW9" s="131"/>
      <c r="NTX9" s="131"/>
      <c r="NTY9" s="131"/>
      <c r="NTZ9" s="131"/>
      <c r="NUA9" s="131"/>
      <c r="NUB9" s="131"/>
      <c r="NUC9" s="131"/>
      <c r="NUD9" s="131"/>
      <c r="NUE9" s="131"/>
      <c r="NUF9" s="131"/>
      <c r="NUG9" s="131"/>
      <c r="NUH9" s="131"/>
      <c r="NUI9" s="131"/>
      <c r="NUJ9" s="131"/>
      <c r="NUK9" s="131"/>
      <c r="NUL9" s="131"/>
      <c r="NUM9" s="131"/>
      <c r="NUN9" s="131"/>
      <c r="NUO9" s="131"/>
      <c r="NUP9" s="131"/>
      <c r="NUQ9" s="131"/>
      <c r="NUR9" s="131"/>
      <c r="NUS9" s="131"/>
      <c r="NUT9" s="131"/>
      <c r="NUU9" s="131"/>
      <c r="NUV9" s="131"/>
      <c r="NUW9" s="131"/>
      <c r="NUX9" s="131"/>
      <c r="NUY9" s="131"/>
      <c r="NUZ9" s="131"/>
      <c r="NVA9" s="131"/>
      <c r="NVB9" s="131"/>
      <c r="NVC9" s="131"/>
      <c r="NVD9" s="131"/>
      <c r="NVE9" s="131"/>
      <c r="NVF9" s="131"/>
      <c r="NVG9" s="131"/>
      <c r="NVH9" s="131"/>
      <c r="NVI9" s="131"/>
      <c r="NVJ9" s="131"/>
      <c r="NVK9" s="131"/>
      <c r="NVL9" s="131"/>
      <c r="NVM9" s="131"/>
      <c r="NVN9" s="131"/>
      <c r="NVO9" s="131"/>
      <c r="NVP9" s="131"/>
      <c r="NVQ9" s="131"/>
      <c r="NVR9" s="131"/>
      <c r="NVS9" s="131"/>
      <c r="NVT9" s="131"/>
      <c r="NVU9" s="131"/>
      <c r="NVV9" s="131"/>
      <c r="NVW9" s="131"/>
      <c r="NVX9" s="131"/>
      <c r="NVY9" s="131"/>
      <c r="NVZ9" s="131"/>
      <c r="NWA9" s="131"/>
      <c r="NWB9" s="131"/>
      <c r="NWC9" s="131"/>
      <c r="NWD9" s="131"/>
      <c r="NWE9" s="131"/>
      <c r="NWF9" s="131"/>
      <c r="NWG9" s="131"/>
      <c r="NWH9" s="131"/>
      <c r="NWI9" s="131"/>
      <c r="NWJ9" s="131"/>
      <c r="NWK9" s="131"/>
      <c r="NWL9" s="131"/>
      <c r="NWM9" s="131"/>
      <c r="NWN9" s="131"/>
      <c r="NWO9" s="131"/>
      <c r="NWP9" s="131"/>
      <c r="NWQ9" s="131"/>
      <c r="NWR9" s="131"/>
      <c r="NWS9" s="131"/>
      <c r="NWT9" s="131"/>
      <c r="NWU9" s="131"/>
      <c r="NWV9" s="131"/>
      <c r="NWW9" s="131"/>
      <c r="NWX9" s="131"/>
      <c r="NWY9" s="131"/>
      <c r="NWZ9" s="131"/>
      <c r="NXA9" s="131"/>
      <c r="NXB9" s="131"/>
      <c r="NXC9" s="131"/>
      <c r="NXD9" s="131"/>
      <c r="NXE9" s="131"/>
      <c r="NXF9" s="131"/>
      <c r="NXG9" s="131"/>
      <c r="NXH9" s="131"/>
      <c r="NXI9" s="131"/>
      <c r="NXJ9" s="131"/>
      <c r="NXK9" s="131"/>
      <c r="NXL9" s="131"/>
      <c r="NXM9" s="131"/>
      <c r="NXN9" s="131"/>
      <c r="NXO9" s="131"/>
      <c r="NXP9" s="131"/>
      <c r="NXQ9" s="131"/>
      <c r="NXR9" s="131"/>
      <c r="NXS9" s="131"/>
      <c r="NXT9" s="131"/>
      <c r="NXU9" s="131"/>
      <c r="NXV9" s="131"/>
      <c r="NXW9" s="131"/>
      <c r="NXX9" s="131"/>
      <c r="NXY9" s="131"/>
      <c r="NXZ9" s="131"/>
      <c r="NYA9" s="131"/>
      <c r="NYB9" s="131"/>
      <c r="NYC9" s="131"/>
      <c r="NYD9" s="131"/>
      <c r="NYE9" s="131"/>
      <c r="NYF9" s="131"/>
      <c r="NYG9" s="131"/>
      <c r="NYH9" s="131"/>
      <c r="NYI9" s="131"/>
      <c r="NYJ9" s="131"/>
      <c r="NYK9" s="131"/>
      <c r="NYL9" s="131"/>
      <c r="NYM9" s="131"/>
      <c r="NYN9" s="131"/>
      <c r="NYO9" s="131"/>
      <c r="NYP9" s="131"/>
      <c r="NYQ9" s="131"/>
      <c r="NYR9" s="131"/>
      <c r="NYS9" s="131"/>
      <c r="NYT9" s="131"/>
      <c r="NYU9" s="131"/>
      <c r="NYV9" s="131"/>
      <c r="NYW9" s="131"/>
      <c r="NYX9" s="131"/>
      <c r="NYY9" s="131"/>
      <c r="NYZ9" s="131"/>
      <c r="NZA9" s="131"/>
      <c r="NZB9" s="131"/>
      <c r="NZC9" s="131"/>
      <c r="NZD9" s="131"/>
      <c r="NZE9" s="131"/>
      <c r="NZF9" s="131"/>
      <c r="NZG9" s="131"/>
      <c r="NZH9" s="131"/>
      <c r="NZI9" s="131"/>
      <c r="NZJ9" s="131"/>
      <c r="NZK9" s="131"/>
      <c r="NZL9" s="131"/>
      <c r="NZM9" s="131"/>
      <c r="NZN9" s="131"/>
      <c r="NZO9" s="131"/>
      <c r="NZP9" s="131"/>
      <c r="NZQ9" s="131"/>
      <c r="NZR9" s="131"/>
      <c r="NZS9" s="131"/>
      <c r="NZT9" s="131"/>
      <c r="NZU9" s="131"/>
      <c r="NZV9" s="131"/>
      <c r="NZW9" s="131"/>
      <c r="NZX9" s="131"/>
      <c r="NZY9" s="131"/>
      <c r="NZZ9" s="131"/>
      <c r="OAA9" s="131"/>
      <c r="OAB9" s="131"/>
      <c r="OAC9" s="131"/>
      <c r="OAD9" s="131"/>
      <c r="OAE9" s="131"/>
      <c r="OAF9" s="131"/>
      <c r="OAG9" s="131"/>
      <c r="OAH9" s="131"/>
      <c r="OAI9" s="131"/>
      <c r="OAJ9" s="131"/>
      <c r="OAK9" s="131"/>
      <c r="OAL9" s="131"/>
      <c r="OAM9" s="131"/>
      <c r="OAN9" s="131"/>
      <c r="OAO9" s="131"/>
      <c r="OAP9" s="131"/>
      <c r="OAQ9" s="131"/>
      <c r="OAR9" s="131"/>
      <c r="OAS9" s="131"/>
      <c r="OAT9" s="131"/>
      <c r="OAU9" s="131"/>
      <c r="OAV9" s="131"/>
      <c r="OAW9" s="131"/>
      <c r="OAX9" s="131"/>
      <c r="OAY9" s="131"/>
      <c r="OAZ9" s="131"/>
      <c r="OBA9" s="131"/>
      <c r="OBB9" s="131"/>
      <c r="OBC9" s="131"/>
      <c r="OBD9" s="131"/>
      <c r="OBE9" s="131"/>
      <c r="OBF9" s="131"/>
      <c r="OBG9" s="131"/>
      <c r="OBH9" s="131"/>
      <c r="OBI9" s="131"/>
      <c r="OBJ9" s="131"/>
      <c r="OBK9" s="131"/>
      <c r="OBL9" s="131"/>
      <c r="OBM9" s="131"/>
      <c r="OBN9" s="131"/>
      <c r="OBO9" s="131"/>
      <c r="OBP9" s="131"/>
      <c r="OBQ9" s="131"/>
      <c r="OBR9" s="131"/>
      <c r="OBS9" s="131"/>
      <c r="OBT9" s="131"/>
      <c r="OBU9" s="131"/>
      <c r="OBV9" s="131"/>
      <c r="OBW9" s="131"/>
      <c r="OBX9" s="131"/>
      <c r="OBY9" s="131"/>
      <c r="OBZ9" s="131"/>
      <c r="OCA9" s="131"/>
      <c r="OCB9" s="131"/>
      <c r="OCC9" s="131"/>
      <c r="OCD9" s="131"/>
      <c r="OCE9" s="131"/>
      <c r="OCF9" s="131"/>
      <c r="OCG9" s="131"/>
      <c r="OCH9" s="131"/>
      <c r="OCI9" s="131"/>
      <c r="OCJ9" s="131"/>
      <c r="OCK9" s="131"/>
      <c r="OCX9" s="131"/>
      <c r="OCY9" s="131"/>
      <c r="OCZ9" s="131"/>
      <c r="ODA9" s="131"/>
      <c r="ODB9" s="131"/>
      <c r="ODC9" s="131"/>
      <c r="ODD9" s="131"/>
      <c r="ODE9" s="131"/>
      <c r="ODF9" s="131"/>
      <c r="ODG9" s="131"/>
      <c r="ODH9" s="131"/>
      <c r="ODI9" s="131"/>
      <c r="ODJ9" s="131"/>
      <c r="ODK9" s="131"/>
      <c r="ODL9" s="131"/>
      <c r="ODM9" s="131"/>
      <c r="ODN9" s="131"/>
      <c r="ODO9" s="131"/>
      <c r="ODP9" s="131"/>
      <c r="ODQ9" s="131"/>
      <c r="ODR9" s="131"/>
      <c r="ODS9" s="131"/>
      <c r="ODT9" s="131"/>
      <c r="ODU9" s="131"/>
      <c r="ODV9" s="131"/>
      <c r="ODW9" s="131"/>
      <c r="ODX9" s="131"/>
      <c r="ODY9" s="131"/>
      <c r="ODZ9" s="131"/>
      <c r="OEA9" s="131"/>
      <c r="OEB9" s="131"/>
      <c r="OEC9" s="131"/>
      <c r="OED9" s="131"/>
      <c r="OEE9" s="131"/>
      <c r="OEF9" s="131"/>
      <c r="OEG9" s="131"/>
      <c r="OEH9" s="131"/>
      <c r="OEI9" s="131"/>
      <c r="OEJ9" s="131"/>
      <c r="OEK9" s="131"/>
      <c r="OEL9" s="131"/>
      <c r="OEM9" s="131"/>
      <c r="OEN9" s="131"/>
      <c r="OEO9" s="131"/>
      <c r="OEP9" s="131"/>
      <c r="OEQ9" s="131"/>
      <c r="OER9" s="131"/>
      <c r="OES9" s="131"/>
      <c r="OET9" s="131"/>
      <c r="OEU9" s="131"/>
      <c r="OEV9" s="131"/>
      <c r="OEW9" s="131"/>
      <c r="OEX9" s="131"/>
      <c r="OEY9" s="131"/>
      <c r="OEZ9" s="131"/>
      <c r="OFA9" s="131"/>
      <c r="OFB9" s="131"/>
      <c r="OFC9" s="131"/>
      <c r="OFD9" s="131"/>
      <c r="OFE9" s="131"/>
      <c r="OFF9" s="131"/>
      <c r="OFG9" s="131"/>
      <c r="OFH9" s="131"/>
      <c r="OFI9" s="131"/>
      <c r="OFJ9" s="131"/>
      <c r="OFK9" s="131"/>
      <c r="OFL9" s="131"/>
      <c r="OFM9" s="131"/>
      <c r="OFN9" s="131"/>
      <c r="OFO9" s="131"/>
      <c r="OFP9" s="131"/>
      <c r="OFQ9" s="131"/>
      <c r="OFR9" s="131"/>
      <c r="OFS9" s="131"/>
      <c r="OFT9" s="131"/>
      <c r="OFU9" s="131"/>
      <c r="OFV9" s="131"/>
      <c r="OFW9" s="131"/>
      <c r="OFX9" s="131"/>
      <c r="OFY9" s="131"/>
      <c r="OFZ9" s="131"/>
      <c r="OGA9" s="131"/>
      <c r="OGB9" s="131"/>
      <c r="OGC9" s="131"/>
      <c r="OGD9" s="131"/>
      <c r="OGE9" s="131"/>
      <c r="OGF9" s="131"/>
      <c r="OGG9" s="131"/>
      <c r="OGH9" s="131"/>
      <c r="OGI9" s="131"/>
      <c r="OGJ9" s="131"/>
      <c r="OGK9" s="131"/>
      <c r="OGL9" s="131"/>
      <c r="OGM9" s="131"/>
      <c r="OGN9" s="131"/>
      <c r="OGO9" s="131"/>
      <c r="OGP9" s="131"/>
      <c r="OGQ9" s="131"/>
      <c r="OGR9" s="131"/>
      <c r="OGS9" s="131"/>
      <c r="OGT9" s="131"/>
      <c r="OGU9" s="131"/>
      <c r="OGV9" s="131"/>
      <c r="OGW9" s="131"/>
      <c r="OGX9" s="131"/>
      <c r="OGY9" s="131"/>
      <c r="OGZ9" s="131"/>
      <c r="OHA9" s="131"/>
      <c r="OHB9" s="131"/>
      <c r="OHC9" s="131"/>
      <c r="OHD9" s="131"/>
      <c r="OHE9" s="131"/>
      <c r="OHF9" s="131"/>
      <c r="OHG9" s="131"/>
      <c r="OHH9" s="131"/>
      <c r="OHI9" s="131"/>
      <c r="OHJ9" s="131"/>
      <c r="OHK9" s="131"/>
      <c r="OHL9" s="131"/>
      <c r="OHM9" s="131"/>
      <c r="OHN9" s="131"/>
      <c r="OHO9" s="131"/>
      <c r="OHP9" s="131"/>
      <c r="OHQ9" s="131"/>
      <c r="OHR9" s="131"/>
      <c r="OHS9" s="131"/>
      <c r="OHT9" s="131"/>
      <c r="OHU9" s="131"/>
      <c r="OHV9" s="131"/>
      <c r="OHW9" s="131"/>
      <c r="OHX9" s="131"/>
      <c r="OHY9" s="131"/>
      <c r="OHZ9" s="131"/>
      <c r="OIA9" s="131"/>
      <c r="OIB9" s="131"/>
      <c r="OIC9" s="131"/>
      <c r="OID9" s="131"/>
      <c r="OIE9" s="131"/>
      <c r="OIF9" s="131"/>
      <c r="OIG9" s="131"/>
      <c r="OIH9" s="131"/>
      <c r="OII9" s="131"/>
      <c r="OIJ9" s="131"/>
      <c r="OIK9" s="131"/>
      <c r="OIL9" s="131"/>
      <c r="OIM9" s="131"/>
      <c r="OIN9" s="131"/>
      <c r="OIO9" s="131"/>
      <c r="OIP9" s="131"/>
      <c r="OIQ9" s="131"/>
      <c r="OIR9" s="131"/>
      <c r="OIS9" s="131"/>
      <c r="OIT9" s="131"/>
      <c r="OIU9" s="131"/>
      <c r="OIV9" s="131"/>
      <c r="OIW9" s="131"/>
      <c r="OIX9" s="131"/>
      <c r="OIY9" s="131"/>
      <c r="OIZ9" s="131"/>
      <c r="OJA9" s="131"/>
      <c r="OJB9" s="131"/>
      <c r="OJC9" s="131"/>
      <c r="OJD9" s="131"/>
      <c r="OJE9" s="131"/>
      <c r="OJF9" s="131"/>
      <c r="OJG9" s="131"/>
      <c r="OJH9" s="131"/>
      <c r="OJI9" s="131"/>
      <c r="OJJ9" s="131"/>
      <c r="OJK9" s="131"/>
      <c r="OJL9" s="131"/>
      <c r="OJM9" s="131"/>
      <c r="OJN9" s="131"/>
      <c r="OJO9" s="131"/>
      <c r="OJP9" s="131"/>
      <c r="OJQ9" s="131"/>
      <c r="OJR9" s="131"/>
      <c r="OJS9" s="131"/>
      <c r="OJT9" s="131"/>
      <c r="OJU9" s="131"/>
      <c r="OJV9" s="131"/>
      <c r="OJW9" s="131"/>
      <c r="OJX9" s="131"/>
      <c r="OJY9" s="131"/>
      <c r="OJZ9" s="131"/>
      <c r="OKA9" s="131"/>
      <c r="OKB9" s="131"/>
      <c r="OKC9" s="131"/>
      <c r="OKD9" s="131"/>
      <c r="OKE9" s="131"/>
      <c r="OKF9" s="131"/>
      <c r="OKG9" s="131"/>
      <c r="OKH9" s="131"/>
      <c r="OKI9" s="131"/>
      <c r="OKJ9" s="131"/>
      <c r="OKK9" s="131"/>
      <c r="OKL9" s="131"/>
      <c r="OKM9" s="131"/>
      <c r="OKN9" s="131"/>
      <c r="OKO9" s="131"/>
      <c r="OKP9" s="131"/>
      <c r="OKQ9" s="131"/>
      <c r="OKR9" s="131"/>
      <c r="OKS9" s="131"/>
      <c r="OKT9" s="131"/>
      <c r="OKU9" s="131"/>
      <c r="OKV9" s="131"/>
      <c r="OKW9" s="131"/>
      <c r="OKX9" s="131"/>
      <c r="OKY9" s="131"/>
      <c r="OKZ9" s="131"/>
      <c r="OLA9" s="131"/>
      <c r="OLB9" s="131"/>
      <c r="OLC9" s="131"/>
      <c r="OLD9" s="131"/>
      <c r="OLE9" s="131"/>
      <c r="OLF9" s="131"/>
      <c r="OLG9" s="131"/>
      <c r="OLH9" s="131"/>
      <c r="OLI9" s="131"/>
      <c r="OLJ9" s="131"/>
      <c r="OLK9" s="131"/>
      <c r="OLL9" s="131"/>
      <c r="OLM9" s="131"/>
      <c r="OLN9" s="131"/>
      <c r="OLO9" s="131"/>
      <c r="OLP9" s="131"/>
      <c r="OLQ9" s="131"/>
      <c r="OLR9" s="131"/>
      <c r="OLS9" s="131"/>
      <c r="OLT9" s="131"/>
      <c r="OLU9" s="131"/>
      <c r="OLV9" s="131"/>
      <c r="OLW9" s="131"/>
      <c r="OLX9" s="131"/>
      <c r="OLY9" s="131"/>
      <c r="OLZ9" s="131"/>
      <c r="OMA9" s="131"/>
      <c r="OMB9" s="131"/>
      <c r="OMC9" s="131"/>
      <c r="OMD9" s="131"/>
      <c r="OME9" s="131"/>
      <c r="OMF9" s="131"/>
      <c r="OMG9" s="131"/>
      <c r="OMH9" s="131"/>
      <c r="OMI9" s="131"/>
      <c r="OMJ9" s="131"/>
      <c r="OMK9" s="131"/>
      <c r="OML9" s="131"/>
      <c r="OMM9" s="131"/>
      <c r="OMN9" s="131"/>
      <c r="OMO9" s="131"/>
      <c r="OMP9" s="131"/>
      <c r="OMQ9" s="131"/>
      <c r="OMR9" s="131"/>
      <c r="OMS9" s="131"/>
      <c r="OMT9" s="131"/>
      <c r="OMU9" s="131"/>
      <c r="OMV9" s="131"/>
      <c r="OMW9" s="131"/>
      <c r="OMX9" s="131"/>
      <c r="OMY9" s="131"/>
      <c r="OMZ9" s="131"/>
      <c r="ONA9" s="131"/>
      <c r="ONB9" s="131"/>
      <c r="ONC9" s="131"/>
      <c r="OND9" s="131"/>
      <c r="ONE9" s="131"/>
      <c r="ONF9" s="131"/>
      <c r="ONG9" s="131"/>
      <c r="ONH9" s="131"/>
      <c r="ONI9" s="131"/>
      <c r="ONJ9" s="131"/>
      <c r="ONK9" s="131"/>
      <c r="ONL9" s="131"/>
      <c r="ONM9" s="131"/>
      <c r="ONN9" s="131"/>
      <c r="ONO9" s="131"/>
      <c r="ONP9" s="131"/>
      <c r="ONQ9" s="131"/>
      <c r="ONR9" s="131"/>
      <c r="ONS9" s="131"/>
      <c r="ONT9" s="131"/>
      <c r="ONU9" s="131"/>
      <c r="ONV9" s="131"/>
      <c r="ONW9" s="131"/>
      <c r="ONX9" s="131"/>
      <c r="ONY9" s="131"/>
      <c r="ONZ9" s="131"/>
      <c r="OOA9" s="131"/>
      <c r="OOB9" s="131"/>
      <c r="OOC9" s="131"/>
      <c r="OOD9" s="131"/>
      <c r="OOE9" s="131"/>
      <c r="OOF9" s="131"/>
      <c r="OOG9" s="131"/>
      <c r="OOH9" s="131"/>
      <c r="OOI9" s="131"/>
      <c r="OOJ9" s="131"/>
      <c r="OOK9" s="131"/>
      <c r="OOL9" s="131"/>
      <c r="OOM9" s="131"/>
      <c r="OON9" s="131"/>
      <c r="OOO9" s="131"/>
      <c r="OOP9" s="131"/>
      <c r="OOQ9" s="131"/>
      <c r="OOR9" s="131"/>
      <c r="OOS9" s="131"/>
      <c r="OOT9" s="131"/>
      <c r="OOU9" s="131"/>
      <c r="OOV9" s="131"/>
      <c r="OOW9" s="131"/>
      <c r="OOX9" s="131"/>
      <c r="OOY9" s="131"/>
      <c r="OOZ9" s="131"/>
      <c r="OPA9" s="131"/>
      <c r="OPB9" s="131"/>
      <c r="OPC9" s="131"/>
      <c r="OPD9" s="131"/>
      <c r="OPE9" s="131"/>
      <c r="OPF9" s="131"/>
      <c r="OPG9" s="131"/>
      <c r="OPH9" s="131"/>
      <c r="OPI9" s="131"/>
      <c r="OPJ9" s="131"/>
      <c r="OPK9" s="131"/>
      <c r="OPL9" s="131"/>
      <c r="OPM9" s="131"/>
      <c r="OPN9" s="131"/>
      <c r="OPO9" s="131"/>
      <c r="OPP9" s="131"/>
      <c r="OPQ9" s="131"/>
      <c r="OPR9" s="131"/>
      <c r="OPS9" s="131"/>
      <c r="OPT9" s="131"/>
      <c r="OPU9" s="131"/>
      <c r="OPV9" s="131"/>
      <c r="OPW9" s="131"/>
      <c r="OPX9" s="131"/>
      <c r="OPY9" s="131"/>
      <c r="OPZ9" s="131"/>
      <c r="OQA9" s="131"/>
      <c r="OQB9" s="131"/>
      <c r="OQC9" s="131"/>
      <c r="OQD9" s="131"/>
      <c r="OQE9" s="131"/>
      <c r="OQF9" s="131"/>
      <c r="OQG9" s="131"/>
      <c r="OQH9" s="131"/>
      <c r="OQI9" s="131"/>
      <c r="OQJ9" s="131"/>
      <c r="OQK9" s="131"/>
      <c r="OQL9" s="131"/>
      <c r="OQM9" s="131"/>
      <c r="OQN9" s="131"/>
      <c r="OQO9" s="131"/>
      <c r="OQP9" s="131"/>
      <c r="OQQ9" s="131"/>
      <c r="OQR9" s="131"/>
      <c r="OQS9" s="131"/>
      <c r="OQT9" s="131"/>
      <c r="OQU9" s="131"/>
      <c r="OQV9" s="131"/>
      <c r="OQW9" s="131"/>
      <c r="OQX9" s="131"/>
      <c r="OQY9" s="131"/>
      <c r="OQZ9" s="131"/>
      <c r="ORA9" s="131"/>
      <c r="ORB9" s="131"/>
      <c r="ORC9" s="131"/>
      <c r="ORD9" s="131"/>
      <c r="ORE9" s="131"/>
      <c r="ORF9" s="131"/>
      <c r="ORG9" s="131"/>
      <c r="ORH9" s="131"/>
      <c r="ORI9" s="131"/>
      <c r="ORJ9" s="131"/>
      <c r="ORK9" s="131"/>
      <c r="ORL9" s="131"/>
      <c r="ORM9" s="131"/>
      <c r="ORN9" s="131"/>
      <c r="ORO9" s="131"/>
      <c r="ORP9" s="131"/>
      <c r="ORQ9" s="131"/>
      <c r="ORR9" s="131"/>
      <c r="ORS9" s="131"/>
      <c r="ORT9" s="131"/>
      <c r="ORU9" s="131"/>
      <c r="ORV9" s="131"/>
      <c r="ORW9" s="131"/>
      <c r="ORX9" s="131"/>
      <c r="ORY9" s="131"/>
      <c r="ORZ9" s="131"/>
      <c r="OSA9" s="131"/>
      <c r="OSB9" s="131"/>
      <c r="OSC9" s="131"/>
      <c r="OSD9" s="131"/>
      <c r="OSE9" s="131"/>
      <c r="OSF9" s="131"/>
      <c r="OSG9" s="131"/>
      <c r="OSH9" s="131"/>
      <c r="OSI9" s="131"/>
      <c r="OSJ9" s="131"/>
      <c r="OSK9" s="131"/>
      <c r="OSL9" s="131"/>
      <c r="OSM9" s="131"/>
      <c r="OSN9" s="131"/>
      <c r="OSO9" s="131"/>
      <c r="OSP9" s="131"/>
      <c r="OSQ9" s="131"/>
      <c r="OSR9" s="131"/>
      <c r="OSS9" s="131"/>
      <c r="OST9" s="131"/>
      <c r="OSU9" s="131"/>
      <c r="OSV9" s="131"/>
      <c r="OSW9" s="131"/>
      <c r="OSX9" s="131"/>
      <c r="OSY9" s="131"/>
      <c r="OSZ9" s="131"/>
      <c r="OTA9" s="131"/>
      <c r="OTB9" s="131"/>
      <c r="OTC9" s="131"/>
      <c r="OTD9" s="131"/>
      <c r="OTE9" s="131"/>
      <c r="OTF9" s="131"/>
      <c r="OTG9" s="131"/>
      <c r="OTH9" s="131"/>
      <c r="OTI9" s="131"/>
      <c r="OTJ9" s="131"/>
      <c r="OTK9" s="131"/>
      <c r="OTL9" s="131"/>
      <c r="OTM9" s="131"/>
      <c r="OTN9" s="131"/>
      <c r="OTO9" s="131"/>
      <c r="OTP9" s="131"/>
      <c r="OTQ9" s="131"/>
      <c r="OTR9" s="131"/>
      <c r="OTS9" s="131"/>
      <c r="OTT9" s="131"/>
      <c r="OTU9" s="131"/>
      <c r="OTV9" s="131"/>
      <c r="OTW9" s="131"/>
      <c r="OTX9" s="131"/>
      <c r="OTY9" s="131"/>
      <c r="OTZ9" s="131"/>
      <c r="OUA9" s="131"/>
      <c r="OUB9" s="131"/>
      <c r="OUC9" s="131"/>
      <c r="OUD9" s="131"/>
      <c r="OUE9" s="131"/>
      <c r="OUF9" s="131"/>
      <c r="OUG9" s="131"/>
      <c r="OUH9" s="131"/>
      <c r="OUI9" s="131"/>
      <c r="OUJ9" s="131"/>
      <c r="OUK9" s="131"/>
      <c r="OUL9" s="131"/>
      <c r="OUM9" s="131"/>
      <c r="OUN9" s="131"/>
      <c r="OUO9" s="131"/>
      <c r="OUP9" s="131"/>
      <c r="OUQ9" s="131"/>
      <c r="OUR9" s="131"/>
      <c r="OUS9" s="131"/>
      <c r="OUT9" s="131"/>
      <c r="OUU9" s="131"/>
      <c r="OUV9" s="131"/>
      <c r="OUW9" s="131"/>
      <c r="OUX9" s="131"/>
      <c r="OUY9" s="131"/>
      <c r="OUZ9" s="131"/>
      <c r="OVA9" s="131"/>
      <c r="OVB9" s="131"/>
      <c r="OVC9" s="131"/>
      <c r="OVD9" s="131"/>
      <c r="OVE9" s="131"/>
      <c r="OVF9" s="131"/>
      <c r="OVG9" s="131"/>
      <c r="OVH9" s="131"/>
      <c r="OVI9" s="131"/>
      <c r="OVJ9" s="131"/>
      <c r="OVK9" s="131"/>
      <c r="OVL9" s="131"/>
      <c r="OVM9" s="131"/>
      <c r="OVN9" s="131"/>
      <c r="OVO9" s="131"/>
      <c r="OVP9" s="131"/>
      <c r="OVQ9" s="131"/>
      <c r="OVR9" s="131"/>
      <c r="OVS9" s="131"/>
      <c r="OVT9" s="131"/>
      <c r="OVU9" s="131"/>
      <c r="OVV9" s="131"/>
      <c r="OVW9" s="131"/>
      <c r="OVX9" s="131"/>
      <c r="OVY9" s="131"/>
      <c r="OVZ9" s="131"/>
      <c r="OWA9" s="131"/>
      <c r="OWB9" s="131"/>
      <c r="OWC9" s="131"/>
      <c r="OWD9" s="131"/>
      <c r="OWE9" s="131"/>
      <c r="OWF9" s="131"/>
      <c r="OWG9" s="131"/>
      <c r="OWH9" s="131"/>
      <c r="OWI9" s="131"/>
      <c r="OWJ9" s="131"/>
      <c r="OWK9" s="131"/>
      <c r="OWL9" s="131"/>
      <c r="OWM9" s="131"/>
      <c r="OWN9" s="131"/>
      <c r="OWO9" s="131"/>
      <c r="OWP9" s="131"/>
      <c r="OWQ9" s="131"/>
      <c r="OWR9" s="131"/>
      <c r="OWS9" s="131"/>
      <c r="OWT9" s="131"/>
      <c r="OWU9" s="131"/>
      <c r="OWV9" s="131"/>
      <c r="OWW9" s="131"/>
      <c r="OWX9" s="131"/>
      <c r="OWY9" s="131"/>
      <c r="OWZ9" s="131"/>
      <c r="OXA9" s="131"/>
      <c r="OXB9" s="131"/>
      <c r="OXC9" s="131"/>
      <c r="OXD9" s="131"/>
      <c r="OXE9" s="131"/>
      <c r="OXF9" s="131"/>
      <c r="OXG9" s="131"/>
      <c r="OXH9" s="131"/>
      <c r="OXI9" s="131"/>
      <c r="OXJ9" s="131"/>
      <c r="OXK9" s="131"/>
      <c r="OXL9" s="131"/>
      <c r="OXM9" s="131"/>
      <c r="OXN9" s="131"/>
      <c r="OXO9" s="131"/>
      <c r="OXP9" s="131"/>
      <c r="OXQ9" s="131"/>
      <c r="OXR9" s="131"/>
      <c r="OXS9" s="131"/>
      <c r="OXT9" s="131"/>
      <c r="OXU9" s="131"/>
      <c r="OXV9" s="131"/>
      <c r="OXW9" s="131"/>
      <c r="OXX9" s="131"/>
      <c r="OXY9" s="131"/>
      <c r="OXZ9" s="131"/>
      <c r="OYA9" s="131"/>
      <c r="OYB9" s="131"/>
      <c r="OYC9" s="131"/>
      <c r="OYD9" s="131"/>
      <c r="OYE9" s="131"/>
      <c r="OYF9" s="131"/>
      <c r="OYG9" s="131"/>
      <c r="OYH9" s="131"/>
      <c r="OYI9" s="131"/>
      <c r="OYJ9" s="131"/>
      <c r="OYK9" s="131"/>
      <c r="OYL9" s="131"/>
      <c r="OYM9" s="131"/>
      <c r="OYN9" s="131"/>
      <c r="OYO9" s="131"/>
      <c r="OYP9" s="131"/>
      <c r="OYQ9" s="131"/>
      <c r="OYR9" s="131"/>
      <c r="OYS9" s="131"/>
      <c r="OYT9" s="131"/>
      <c r="OYU9" s="131"/>
      <c r="OYV9" s="131"/>
      <c r="OYW9" s="131"/>
      <c r="OYX9" s="131"/>
      <c r="OYY9" s="131"/>
      <c r="OYZ9" s="131"/>
      <c r="OZA9" s="131"/>
      <c r="OZB9" s="131"/>
      <c r="OZC9" s="131"/>
      <c r="OZD9" s="131"/>
      <c r="OZE9" s="131"/>
      <c r="OZF9" s="131"/>
      <c r="OZG9" s="131"/>
      <c r="OZH9" s="131"/>
      <c r="OZI9" s="131"/>
      <c r="OZJ9" s="131"/>
      <c r="OZK9" s="131"/>
      <c r="OZL9" s="131"/>
      <c r="OZM9" s="131"/>
      <c r="OZN9" s="131"/>
      <c r="OZO9" s="131"/>
      <c r="OZP9" s="131"/>
      <c r="OZQ9" s="131"/>
      <c r="OZR9" s="131"/>
      <c r="OZS9" s="131"/>
      <c r="OZT9" s="131"/>
      <c r="OZU9" s="131"/>
      <c r="OZV9" s="131"/>
      <c r="OZW9" s="131"/>
      <c r="OZX9" s="131"/>
      <c r="OZY9" s="131"/>
      <c r="OZZ9" s="131"/>
      <c r="PAA9" s="131"/>
      <c r="PAB9" s="131"/>
      <c r="PAC9" s="131"/>
      <c r="PAD9" s="131"/>
      <c r="PAE9" s="131"/>
      <c r="PAF9" s="131"/>
      <c r="PAG9" s="131"/>
      <c r="PAH9" s="131"/>
      <c r="PAI9" s="131"/>
      <c r="PAJ9" s="131"/>
      <c r="PAK9" s="131"/>
      <c r="PAL9" s="131"/>
      <c r="PAM9" s="131"/>
      <c r="PAN9" s="131"/>
      <c r="PAO9" s="131"/>
      <c r="PAP9" s="131"/>
      <c r="PAQ9" s="131"/>
      <c r="PAR9" s="131"/>
      <c r="PAS9" s="131"/>
      <c r="PAT9" s="131"/>
      <c r="PAU9" s="131"/>
      <c r="PAV9" s="131"/>
      <c r="PAW9" s="131"/>
      <c r="PAX9" s="131"/>
      <c r="PAY9" s="131"/>
      <c r="PAZ9" s="131"/>
      <c r="PBA9" s="131"/>
      <c r="PBB9" s="131"/>
      <c r="PBC9" s="131"/>
      <c r="PBD9" s="131"/>
      <c r="PBE9" s="131"/>
      <c r="PBF9" s="131"/>
      <c r="PBG9" s="131"/>
      <c r="PBH9" s="131"/>
      <c r="PBI9" s="131"/>
      <c r="PBJ9" s="131"/>
      <c r="PBK9" s="131"/>
      <c r="PBL9" s="131"/>
      <c r="PBM9" s="131"/>
      <c r="PBN9" s="131"/>
      <c r="PBO9" s="131"/>
      <c r="PBP9" s="131"/>
      <c r="PBQ9" s="131"/>
      <c r="PBR9" s="131"/>
      <c r="PBS9" s="131"/>
      <c r="PBT9" s="131"/>
      <c r="PBU9" s="131"/>
      <c r="PBV9" s="131"/>
      <c r="PBW9" s="131"/>
      <c r="PBX9" s="131"/>
      <c r="PBY9" s="131"/>
      <c r="PBZ9" s="131"/>
      <c r="PCA9" s="131"/>
      <c r="PCB9" s="131"/>
      <c r="PCC9" s="131"/>
      <c r="PCD9" s="131"/>
      <c r="PCE9" s="131"/>
      <c r="PCF9" s="131"/>
      <c r="PCG9" s="131"/>
      <c r="PCH9" s="131"/>
      <c r="PCI9" s="131"/>
      <c r="PCJ9" s="131"/>
      <c r="PCK9" s="131"/>
      <c r="PCL9" s="131"/>
      <c r="PCM9" s="131"/>
      <c r="PCN9" s="131"/>
      <c r="PCO9" s="131"/>
      <c r="PCP9" s="131"/>
      <c r="PCQ9" s="131"/>
      <c r="PCR9" s="131"/>
      <c r="PCS9" s="131"/>
      <c r="PCT9" s="131"/>
      <c r="PCU9" s="131"/>
      <c r="PCV9" s="131"/>
      <c r="PCW9" s="131"/>
      <c r="PCX9" s="131"/>
      <c r="PCY9" s="131"/>
      <c r="PCZ9" s="131"/>
      <c r="PDA9" s="131"/>
      <c r="PDB9" s="131"/>
      <c r="PDC9" s="131"/>
      <c r="PDD9" s="131"/>
      <c r="PDE9" s="131"/>
      <c r="PDF9" s="131"/>
      <c r="PDG9" s="131"/>
      <c r="PDH9" s="131"/>
      <c r="PDI9" s="131"/>
      <c r="PDJ9" s="131"/>
      <c r="PDK9" s="131"/>
      <c r="PDL9" s="131"/>
      <c r="PDM9" s="131"/>
      <c r="PDN9" s="131"/>
      <c r="PDO9" s="131"/>
      <c r="PDP9" s="131"/>
      <c r="PDQ9" s="131"/>
      <c r="PDR9" s="131"/>
      <c r="PDS9" s="131"/>
      <c r="PDT9" s="131"/>
      <c r="PDU9" s="131"/>
      <c r="PDV9" s="131"/>
      <c r="PDW9" s="131"/>
      <c r="PDX9" s="131"/>
      <c r="PDY9" s="131"/>
      <c r="PDZ9" s="131"/>
      <c r="PEA9" s="131"/>
      <c r="PEB9" s="131"/>
      <c r="PEC9" s="131"/>
      <c r="PED9" s="131"/>
      <c r="PEE9" s="131"/>
      <c r="PEF9" s="131"/>
      <c r="PEG9" s="131"/>
      <c r="PEH9" s="131"/>
      <c r="PEI9" s="131"/>
      <c r="PEJ9" s="131"/>
      <c r="PEK9" s="131"/>
      <c r="PEL9" s="131"/>
      <c r="PEM9" s="131"/>
      <c r="PEN9" s="131"/>
      <c r="PEO9" s="131"/>
      <c r="PEP9" s="131"/>
      <c r="PEQ9" s="131"/>
      <c r="PER9" s="131"/>
      <c r="PES9" s="131"/>
      <c r="PET9" s="131"/>
      <c r="PEU9" s="131"/>
      <c r="PEV9" s="131"/>
      <c r="PEW9" s="131"/>
      <c r="PEX9" s="131"/>
      <c r="PEY9" s="131"/>
      <c r="PEZ9" s="131"/>
      <c r="PFA9" s="131"/>
      <c r="PFB9" s="131"/>
      <c r="PFC9" s="131"/>
      <c r="PFD9" s="131"/>
      <c r="PFE9" s="131"/>
      <c r="PFF9" s="131"/>
      <c r="PFG9" s="131"/>
      <c r="PFH9" s="131"/>
      <c r="PFI9" s="131"/>
      <c r="PFJ9" s="131"/>
      <c r="PFK9" s="131"/>
      <c r="PFL9" s="131"/>
      <c r="PFM9" s="131"/>
      <c r="PFN9" s="131"/>
      <c r="PFO9" s="131"/>
      <c r="PFP9" s="131"/>
      <c r="PFQ9" s="131"/>
      <c r="PFR9" s="131"/>
      <c r="PFS9" s="131"/>
      <c r="PFT9" s="131"/>
      <c r="PFU9" s="131"/>
      <c r="PFV9" s="131"/>
      <c r="PFW9" s="131"/>
      <c r="PFX9" s="131"/>
      <c r="PFY9" s="131"/>
      <c r="PFZ9" s="131"/>
      <c r="PGA9" s="131"/>
      <c r="PGB9" s="131"/>
      <c r="PGC9" s="131"/>
      <c r="PGD9" s="131"/>
      <c r="PGE9" s="131"/>
      <c r="PGF9" s="131"/>
      <c r="PGG9" s="131"/>
      <c r="PGH9" s="131"/>
      <c r="PGI9" s="131"/>
      <c r="PGJ9" s="131"/>
      <c r="PGK9" s="131"/>
      <c r="PGL9" s="131"/>
      <c r="PGM9" s="131"/>
      <c r="PGN9" s="131"/>
      <c r="PGO9" s="131"/>
      <c r="PGP9" s="131"/>
      <c r="PGQ9" s="131"/>
      <c r="PGR9" s="131"/>
      <c r="PGS9" s="131"/>
      <c r="PGT9" s="131"/>
      <c r="PGU9" s="131"/>
      <c r="PGV9" s="131"/>
      <c r="PGW9" s="131"/>
      <c r="PGX9" s="131"/>
      <c r="PGY9" s="131"/>
      <c r="PGZ9" s="131"/>
      <c r="PHA9" s="131"/>
      <c r="PHB9" s="131"/>
      <c r="PHC9" s="131"/>
      <c r="PHD9" s="131"/>
      <c r="PHE9" s="131"/>
      <c r="PHF9" s="131"/>
      <c r="PHG9" s="131"/>
      <c r="PHH9" s="131"/>
      <c r="PHI9" s="131"/>
      <c r="PHJ9" s="131"/>
      <c r="PHK9" s="131"/>
      <c r="PHL9" s="131"/>
      <c r="PHM9" s="131"/>
      <c r="PHN9" s="131"/>
      <c r="PHO9" s="131"/>
      <c r="PHP9" s="131"/>
      <c r="PHQ9" s="131"/>
      <c r="PHR9" s="131"/>
      <c r="PHS9" s="131"/>
      <c r="PHT9" s="131"/>
      <c r="PHU9" s="131"/>
      <c r="PHV9" s="131"/>
      <c r="PHW9" s="131"/>
      <c r="PHX9" s="131"/>
      <c r="PHY9" s="131"/>
      <c r="PHZ9" s="131"/>
      <c r="PIA9" s="131"/>
      <c r="PIB9" s="131"/>
      <c r="PIC9" s="131"/>
      <c r="PID9" s="131"/>
      <c r="PIE9" s="131"/>
      <c r="PIF9" s="131"/>
      <c r="PIG9" s="131"/>
      <c r="PIH9" s="131"/>
      <c r="PII9" s="131"/>
      <c r="PIJ9" s="131"/>
      <c r="PIK9" s="131"/>
      <c r="PIL9" s="131"/>
      <c r="PIM9" s="131"/>
      <c r="PIN9" s="131"/>
      <c r="PIO9" s="131"/>
      <c r="PIP9" s="131"/>
      <c r="PIQ9" s="131"/>
      <c r="PIR9" s="131"/>
      <c r="PIS9" s="131"/>
      <c r="PIT9" s="131"/>
      <c r="PIU9" s="131"/>
      <c r="PIV9" s="131"/>
      <c r="PIW9" s="131"/>
      <c r="PIX9" s="131"/>
      <c r="PIY9" s="131"/>
      <c r="PIZ9" s="131"/>
      <c r="PJA9" s="131"/>
      <c r="PJB9" s="131"/>
      <c r="PJC9" s="131"/>
      <c r="PJD9" s="131"/>
      <c r="PJE9" s="131"/>
      <c r="PJF9" s="131"/>
      <c r="PJG9" s="131"/>
      <c r="PJH9" s="131"/>
      <c r="PJI9" s="131"/>
      <c r="PJJ9" s="131"/>
      <c r="PJK9" s="131"/>
      <c r="PJL9" s="131"/>
      <c r="PJM9" s="131"/>
      <c r="PJN9" s="131"/>
      <c r="PJO9" s="131"/>
      <c r="PJP9" s="131"/>
      <c r="PJQ9" s="131"/>
      <c r="PJR9" s="131"/>
      <c r="PJS9" s="131"/>
      <c r="PJT9" s="131"/>
      <c r="PJU9" s="131"/>
      <c r="PJV9" s="131"/>
      <c r="PJW9" s="131"/>
      <c r="PJX9" s="131"/>
      <c r="PJY9" s="131"/>
      <c r="PJZ9" s="131"/>
      <c r="PKA9" s="131"/>
      <c r="PKB9" s="131"/>
      <c r="PKC9" s="131"/>
      <c r="PKD9" s="131"/>
      <c r="PKE9" s="131"/>
      <c r="PKF9" s="131"/>
      <c r="PKG9" s="131"/>
      <c r="PKH9" s="131"/>
      <c r="PKI9" s="131"/>
      <c r="PKJ9" s="131"/>
      <c r="PKK9" s="131"/>
      <c r="PKL9" s="131"/>
      <c r="PKM9" s="131"/>
      <c r="PKN9" s="131"/>
      <c r="PKO9" s="131"/>
      <c r="PKP9" s="131"/>
      <c r="PKQ9" s="131"/>
      <c r="PKR9" s="131"/>
      <c r="PKS9" s="131"/>
      <c r="PKT9" s="131"/>
      <c r="PKU9" s="131"/>
      <c r="PKV9" s="131"/>
      <c r="PKW9" s="131"/>
      <c r="PKX9" s="131"/>
      <c r="PKY9" s="131"/>
      <c r="PKZ9" s="131"/>
      <c r="PLA9" s="131"/>
      <c r="PLB9" s="131"/>
      <c r="PLC9" s="131"/>
      <c r="PLD9" s="131"/>
      <c r="PLE9" s="131"/>
      <c r="PLF9" s="131"/>
      <c r="PLG9" s="131"/>
      <c r="PLH9" s="131"/>
      <c r="PLI9" s="131"/>
      <c r="PLJ9" s="131"/>
      <c r="PLK9" s="131"/>
      <c r="PLL9" s="131"/>
      <c r="PLM9" s="131"/>
      <c r="PLN9" s="131"/>
      <c r="PLO9" s="131"/>
      <c r="PLP9" s="131"/>
      <c r="PLQ9" s="131"/>
      <c r="PLR9" s="131"/>
      <c r="PLS9" s="131"/>
      <c r="PLT9" s="131"/>
      <c r="PLU9" s="131"/>
      <c r="PLV9" s="131"/>
      <c r="PLW9" s="131"/>
      <c r="PLX9" s="131"/>
      <c r="PLY9" s="131"/>
      <c r="PLZ9" s="131"/>
      <c r="PMA9" s="131"/>
      <c r="PMB9" s="131"/>
      <c r="PMC9" s="131"/>
      <c r="PMD9" s="131"/>
      <c r="PME9" s="131"/>
      <c r="PMF9" s="131"/>
      <c r="PMG9" s="131"/>
      <c r="PMH9" s="131"/>
      <c r="PMI9" s="131"/>
      <c r="PMJ9" s="131"/>
      <c r="PMK9" s="131"/>
      <c r="PML9" s="131"/>
      <c r="PMM9" s="131"/>
      <c r="PMN9" s="131"/>
      <c r="PMO9" s="131"/>
      <c r="PMP9" s="131"/>
      <c r="PMQ9" s="131"/>
      <c r="PMR9" s="131"/>
      <c r="PMS9" s="131"/>
      <c r="PMT9" s="131"/>
      <c r="PMU9" s="131"/>
      <c r="PMV9" s="131"/>
      <c r="PMW9" s="131"/>
      <c r="PMX9" s="131"/>
      <c r="PMY9" s="131"/>
      <c r="PMZ9" s="131"/>
      <c r="PNA9" s="131"/>
      <c r="PNB9" s="131"/>
      <c r="PNC9" s="131"/>
      <c r="PND9" s="131"/>
      <c r="PNE9" s="131"/>
      <c r="PNF9" s="131"/>
      <c r="PNG9" s="131"/>
      <c r="PNH9" s="131"/>
      <c r="PNI9" s="131"/>
      <c r="PNJ9" s="131"/>
      <c r="PNK9" s="131"/>
      <c r="PNL9" s="131"/>
      <c r="PNM9" s="131"/>
      <c r="PNN9" s="131"/>
      <c r="PNO9" s="131"/>
      <c r="PNP9" s="131"/>
      <c r="PNQ9" s="131"/>
      <c r="PNR9" s="131"/>
      <c r="PNS9" s="131"/>
      <c r="PNT9" s="131"/>
      <c r="PNU9" s="131"/>
      <c r="PNV9" s="131"/>
      <c r="PNW9" s="131"/>
      <c r="PNX9" s="131"/>
      <c r="PNY9" s="131"/>
      <c r="PNZ9" s="131"/>
      <c r="POA9" s="131"/>
      <c r="POB9" s="131"/>
      <c r="POC9" s="131"/>
      <c r="POD9" s="131"/>
      <c r="POE9" s="131"/>
      <c r="POF9" s="131"/>
      <c r="POG9" s="131"/>
      <c r="POH9" s="131"/>
      <c r="POI9" s="131"/>
      <c r="POJ9" s="131"/>
      <c r="POK9" s="131"/>
      <c r="POL9" s="131"/>
      <c r="POM9" s="131"/>
      <c r="PON9" s="131"/>
      <c r="POO9" s="131"/>
    </row>
    <row r="10" spans="1:1013 1026:2037 2050:3061 3074:4085 4098:5109 5122:6133 6146:7157 7170:8181 8194:9205 9218:10229 10242:11221" s="33" customFormat="1" ht="14.95" customHeight="1" thickBot="1" x14ac:dyDescent="0.3">
      <c r="A10" s="468" t="s">
        <v>237</v>
      </c>
      <c r="B10" s="469" t="s">
        <v>199</v>
      </c>
      <c r="C10" s="470" t="s">
        <v>25</v>
      </c>
      <c r="D10" s="471" t="s">
        <v>299</v>
      </c>
      <c r="E10" s="471" t="s">
        <v>32</v>
      </c>
      <c r="F10" s="471">
        <v>22</v>
      </c>
      <c r="G10" s="471">
        <v>13</v>
      </c>
      <c r="H10" s="471">
        <v>0</v>
      </c>
      <c r="I10" s="471">
        <v>0</v>
      </c>
      <c r="J10" s="471">
        <v>3</v>
      </c>
      <c r="K10" s="471">
        <v>2</v>
      </c>
      <c r="L10" s="471">
        <v>0</v>
      </c>
      <c r="M10" s="471">
        <v>1</v>
      </c>
      <c r="N10" s="471">
        <v>0</v>
      </c>
      <c r="O10" s="471">
        <v>1</v>
      </c>
      <c r="P10" s="471">
        <v>0</v>
      </c>
      <c r="Q10" s="471">
        <v>0</v>
      </c>
      <c r="R10" s="471">
        <v>2</v>
      </c>
      <c r="S10" s="503">
        <v>14066</v>
      </c>
      <c r="T10" s="480" t="s">
        <v>545</v>
      </c>
      <c r="U10" s="478" t="s">
        <v>318</v>
      </c>
      <c r="V10" s="472" t="s">
        <v>348</v>
      </c>
      <c r="W10" s="472" t="s">
        <v>395</v>
      </c>
      <c r="X10" s="473" t="s">
        <v>306</v>
      </c>
      <c r="Y10" s="472">
        <v>1</v>
      </c>
      <c r="Z10" s="472">
        <v>1</v>
      </c>
      <c r="AA10" s="472">
        <v>0</v>
      </c>
      <c r="AB10" s="472">
        <v>0</v>
      </c>
      <c r="AC10" s="472">
        <v>1</v>
      </c>
      <c r="AD10" s="472">
        <v>1</v>
      </c>
      <c r="AE10" s="472">
        <v>0</v>
      </c>
      <c r="AF10" s="472">
        <v>0</v>
      </c>
      <c r="AG10" s="472">
        <v>0</v>
      </c>
      <c r="AH10" s="472">
        <v>0</v>
      </c>
      <c r="AI10" s="472">
        <v>0</v>
      </c>
      <c r="AJ10" s="478">
        <v>0</v>
      </c>
      <c r="AK10" s="472">
        <v>0</v>
      </c>
      <c r="AL10" s="472">
        <v>0</v>
      </c>
      <c r="AM10" s="472">
        <v>0</v>
      </c>
      <c r="AN10" s="478">
        <v>0</v>
      </c>
      <c r="AO10" s="131"/>
      <c r="AP10" s="175" t="s">
        <v>73</v>
      </c>
      <c r="AQ10" s="176">
        <f>Bthhisttriesscored</f>
        <v>1180</v>
      </c>
      <c r="AR10" s="131"/>
      <c r="AS10" s="177" t="s">
        <v>175</v>
      </c>
      <c r="AT10" s="189">
        <f>btheuropeancuphistagainst</f>
        <v>1996</v>
      </c>
      <c r="AU10" s="179" t="s">
        <v>175</v>
      </c>
      <c r="AV10" s="180">
        <f>bthchampscuphistptsagainst</f>
        <v>695</v>
      </c>
      <c r="AW10" s="181" t="s">
        <v>175</v>
      </c>
      <c r="AX10" s="178">
        <f>bthchallcuphistagainst</f>
        <v>976</v>
      </c>
      <c r="AY10" s="182" t="s">
        <v>175</v>
      </c>
      <c r="AZ10" s="183">
        <f t="shared" si="0"/>
        <v>2972</v>
      </c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1"/>
      <c r="IW10" s="131"/>
      <c r="IX10" s="131"/>
      <c r="IY10" s="131"/>
      <c r="IZ10" s="131"/>
      <c r="JA10" s="131"/>
      <c r="JB10" s="131"/>
      <c r="JC10" s="131"/>
      <c r="JD10" s="131"/>
      <c r="JE10" s="131"/>
      <c r="JF10" s="131"/>
      <c r="JG10" s="131"/>
      <c r="JH10" s="131"/>
      <c r="JI10" s="131"/>
      <c r="JJ10" s="131"/>
      <c r="JK10" s="131"/>
      <c r="JL10" s="131"/>
      <c r="JM10" s="131"/>
      <c r="JN10" s="131"/>
      <c r="JO10" s="131"/>
      <c r="JP10" s="131"/>
      <c r="JQ10" s="131"/>
      <c r="JR10" s="131"/>
      <c r="JS10" s="131"/>
      <c r="JT10" s="131"/>
      <c r="JU10" s="131"/>
      <c r="JV10" s="131"/>
      <c r="JW10" s="131"/>
      <c r="JX10" s="131"/>
      <c r="JY10" s="131"/>
      <c r="JZ10" s="131"/>
      <c r="KA10" s="131"/>
      <c r="KB10" s="131"/>
      <c r="KC10" s="131"/>
      <c r="KD10" s="131"/>
      <c r="KE10" s="131"/>
      <c r="KF10" s="131"/>
      <c r="KG10" s="131"/>
      <c r="KH10" s="131"/>
      <c r="KI10" s="131"/>
      <c r="KJ10" s="131"/>
      <c r="KK10" s="131"/>
      <c r="KL10" s="131"/>
      <c r="KM10" s="131"/>
      <c r="KN10" s="131"/>
      <c r="KO10" s="131"/>
      <c r="KP10" s="131"/>
      <c r="KQ10" s="131"/>
      <c r="KR10" s="131"/>
      <c r="KS10" s="131"/>
      <c r="KT10" s="131"/>
      <c r="KU10" s="131"/>
      <c r="KV10" s="131"/>
      <c r="KW10" s="131"/>
      <c r="KX10" s="131"/>
      <c r="KY10" s="131"/>
      <c r="KZ10" s="131"/>
      <c r="LA10" s="131"/>
      <c r="LB10" s="131"/>
      <c r="LC10" s="131"/>
      <c r="LD10" s="131"/>
      <c r="LE10" s="131"/>
      <c r="LF10" s="131"/>
      <c r="LG10" s="131"/>
      <c r="LH10" s="131"/>
      <c r="LI10" s="131"/>
      <c r="LJ10" s="131"/>
      <c r="LK10" s="131"/>
      <c r="LL10" s="131"/>
      <c r="LM10" s="131"/>
      <c r="LN10" s="131"/>
      <c r="LO10" s="131"/>
      <c r="LP10" s="131"/>
      <c r="LQ10" s="131"/>
      <c r="LR10" s="131"/>
      <c r="LS10" s="131"/>
      <c r="LT10" s="131"/>
      <c r="LU10" s="131"/>
      <c r="LV10" s="131"/>
      <c r="LW10" s="131"/>
      <c r="LX10" s="131"/>
      <c r="LY10" s="131"/>
      <c r="LZ10" s="131"/>
      <c r="MA10" s="131"/>
      <c r="MB10" s="131"/>
      <c r="MC10" s="131"/>
      <c r="MD10" s="131"/>
      <c r="ME10" s="131"/>
      <c r="MF10" s="131"/>
      <c r="MG10" s="131"/>
      <c r="MH10" s="131"/>
      <c r="MI10" s="131"/>
      <c r="MJ10" s="131"/>
      <c r="MK10" s="131"/>
      <c r="ML10" s="131"/>
      <c r="MM10" s="131"/>
      <c r="MN10" s="131"/>
      <c r="MO10" s="131"/>
      <c r="MP10" s="131"/>
      <c r="MQ10" s="131"/>
      <c r="MR10" s="131"/>
      <c r="MS10" s="131"/>
      <c r="MT10" s="131"/>
      <c r="MU10" s="131"/>
      <c r="MV10" s="131"/>
      <c r="MW10" s="131"/>
      <c r="MX10" s="131"/>
      <c r="MY10" s="131"/>
      <c r="MZ10" s="131"/>
      <c r="NA10" s="131"/>
      <c r="NB10" s="131"/>
      <c r="NC10" s="131"/>
      <c r="ND10" s="131"/>
      <c r="NE10" s="131"/>
      <c r="NF10" s="131"/>
      <c r="NG10" s="131"/>
      <c r="NH10" s="131"/>
      <c r="NI10" s="131"/>
      <c r="NJ10" s="131"/>
      <c r="NK10" s="131"/>
      <c r="NL10" s="131"/>
      <c r="NM10" s="131"/>
      <c r="NN10" s="131"/>
      <c r="NO10" s="131"/>
      <c r="NP10" s="131"/>
      <c r="NQ10" s="131"/>
      <c r="NR10" s="131"/>
      <c r="NS10" s="131"/>
      <c r="NT10" s="131"/>
      <c r="NU10" s="131"/>
      <c r="NV10" s="131"/>
      <c r="NW10" s="131"/>
      <c r="NX10" s="131"/>
      <c r="NY10" s="131"/>
      <c r="NZ10" s="131"/>
      <c r="OA10" s="131"/>
      <c r="OB10" s="131"/>
      <c r="OC10" s="131"/>
      <c r="OD10" s="131"/>
      <c r="OE10" s="131"/>
      <c r="OF10" s="131"/>
      <c r="OG10" s="131"/>
      <c r="OH10" s="131"/>
      <c r="OI10" s="131"/>
      <c r="OJ10" s="131"/>
      <c r="OK10" s="131"/>
      <c r="OL10" s="131"/>
      <c r="OM10" s="131"/>
      <c r="ON10" s="131"/>
      <c r="OO10" s="131"/>
      <c r="OP10" s="131"/>
      <c r="OQ10" s="131"/>
      <c r="OR10" s="131"/>
      <c r="OS10" s="131"/>
      <c r="OT10" s="131"/>
      <c r="OU10" s="131"/>
      <c r="OV10" s="131"/>
      <c r="OW10" s="131"/>
      <c r="OX10" s="131"/>
      <c r="OY10" s="131"/>
      <c r="OZ10" s="131"/>
      <c r="PA10" s="131"/>
      <c r="PB10" s="131"/>
      <c r="PC10" s="131"/>
      <c r="PD10" s="131"/>
      <c r="PE10" s="131"/>
      <c r="PF10" s="131"/>
      <c r="PG10" s="131"/>
      <c r="PH10" s="131"/>
      <c r="PI10" s="131"/>
      <c r="PJ10" s="131"/>
      <c r="PK10" s="131"/>
      <c r="PL10" s="131"/>
      <c r="PM10" s="131"/>
      <c r="PN10" s="131"/>
      <c r="PO10" s="131"/>
      <c r="PP10" s="131"/>
      <c r="PQ10" s="131"/>
      <c r="PR10" s="131"/>
      <c r="PS10" s="131"/>
      <c r="PT10" s="131"/>
      <c r="PU10" s="131"/>
      <c r="PV10" s="131"/>
      <c r="PW10" s="131"/>
      <c r="PX10" s="131"/>
      <c r="PY10" s="131"/>
      <c r="PZ10" s="131"/>
      <c r="QA10" s="131"/>
      <c r="QB10" s="131"/>
      <c r="QC10" s="131"/>
      <c r="QD10" s="131"/>
      <c r="QE10" s="131"/>
      <c r="QF10" s="131"/>
      <c r="QG10" s="131"/>
      <c r="QH10" s="131"/>
      <c r="QI10" s="131"/>
      <c r="QJ10" s="131"/>
      <c r="QK10" s="131"/>
      <c r="QL10" s="131"/>
      <c r="QM10" s="131"/>
      <c r="QN10" s="131"/>
      <c r="QO10" s="131"/>
      <c r="QP10" s="131"/>
      <c r="QQ10" s="131"/>
      <c r="QR10" s="131"/>
      <c r="QS10" s="131"/>
      <c r="QT10" s="131"/>
      <c r="QU10" s="131"/>
      <c r="QV10" s="131"/>
      <c r="QW10" s="131"/>
      <c r="QX10" s="131"/>
      <c r="QY10" s="131"/>
      <c r="QZ10" s="131"/>
      <c r="RA10" s="131"/>
      <c r="RB10" s="131"/>
      <c r="RC10" s="131"/>
      <c r="RD10" s="131"/>
      <c r="RE10" s="131"/>
      <c r="RF10" s="131"/>
      <c r="RG10" s="131"/>
      <c r="RH10" s="131"/>
      <c r="RI10" s="131"/>
      <c r="RJ10" s="131"/>
      <c r="RK10" s="131"/>
      <c r="RL10" s="131"/>
      <c r="RM10" s="131"/>
      <c r="RN10" s="131"/>
      <c r="RO10" s="131"/>
      <c r="RP10" s="131"/>
      <c r="RQ10" s="131"/>
      <c r="RR10" s="131"/>
      <c r="RS10" s="131"/>
      <c r="RT10" s="131"/>
      <c r="RU10" s="131"/>
      <c r="RV10" s="131"/>
      <c r="RW10" s="131"/>
      <c r="RX10" s="131"/>
      <c r="RY10" s="131"/>
      <c r="RZ10" s="131"/>
      <c r="SA10" s="131"/>
      <c r="SB10" s="131"/>
      <c r="SC10" s="131"/>
      <c r="SD10" s="131"/>
      <c r="SE10" s="131"/>
      <c r="SF10" s="131"/>
      <c r="SG10" s="131"/>
      <c r="SH10" s="131"/>
      <c r="SI10" s="131"/>
      <c r="SJ10" s="131"/>
      <c r="SK10" s="131"/>
      <c r="SL10" s="131"/>
      <c r="SM10" s="131"/>
      <c r="SN10" s="131"/>
      <c r="SO10" s="131"/>
      <c r="SP10" s="131"/>
      <c r="SQ10" s="131"/>
      <c r="SR10" s="131"/>
      <c r="SS10" s="131"/>
      <c r="ST10" s="131"/>
      <c r="SU10" s="131"/>
      <c r="SV10" s="131"/>
      <c r="SW10" s="131"/>
      <c r="SX10" s="131"/>
      <c r="SY10" s="131"/>
      <c r="SZ10" s="131"/>
      <c r="TA10" s="131"/>
      <c r="TB10" s="131"/>
      <c r="TC10" s="131"/>
      <c r="TD10" s="131"/>
      <c r="TE10" s="131"/>
      <c r="TF10" s="131"/>
      <c r="TG10" s="131"/>
      <c r="TH10" s="131"/>
      <c r="TI10" s="131"/>
      <c r="TJ10" s="131"/>
      <c r="TK10" s="131"/>
      <c r="TL10" s="131"/>
      <c r="TM10" s="131"/>
      <c r="TN10" s="131"/>
      <c r="TO10" s="131"/>
      <c r="TP10" s="131"/>
      <c r="TQ10" s="131"/>
      <c r="TR10" s="131"/>
      <c r="TS10" s="131"/>
      <c r="TT10" s="131"/>
      <c r="TU10" s="131"/>
      <c r="TV10" s="131"/>
      <c r="TW10" s="131"/>
      <c r="TX10" s="131"/>
      <c r="TY10" s="131"/>
      <c r="TZ10" s="131"/>
      <c r="UA10" s="131"/>
      <c r="UB10" s="131"/>
      <c r="UC10" s="131"/>
      <c r="UD10" s="131"/>
      <c r="UE10" s="131"/>
      <c r="UF10" s="131"/>
      <c r="UG10" s="131"/>
      <c r="UH10" s="131"/>
      <c r="UI10" s="131"/>
      <c r="UJ10" s="131"/>
      <c r="UK10" s="131"/>
      <c r="UL10" s="131"/>
      <c r="UM10" s="131"/>
      <c r="UN10" s="131"/>
      <c r="UO10" s="131"/>
      <c r="UP10" s="131"/>
      <c r="UQ10" s="131"/>
      <c r="UR10" s="131"/>
      <c r="US10" s="131"/>
      <c r="UT10" s="131"/>
      <c r="UU10" s="131"/>
      <c r="UV10" s="131"/>
      <c r="UW10" s="131"/>
      <c r="UX10" s="131"/>
      <c r="UY10" s="131"/>
      <c r="UZ10" s="131"/>
      <c r="VA10" s="131"/>
      <c r="VB10" s="131"/>
      <c r="VC10" s="131"/>
      <c r="VD10" s="131"/>
      <c r="VE10" s="131"/>
      <c r="VF10" s="131"/>
      <c r="VG10" s="131"/>
      <c r="VH10" s="131"/>
      <c r="VI10" s="131"/>
      <c r="VJ10" s="131"/>
      <c r="VK10" s="131"/>
      <c r="VL10" s="131"/>
      <c r="VM10" s="131"/>
      <c r="VN10" s="131"/>
      <c r="VO10" s="131"/>
      <c r="VP10" s="131"/>
      <c r="VQ10" s="131"/>
      <c r="VR10" s="131"/>
      <c r="VS10" s="131"/>
      <c r="VT10" s="131"/>
      <c r="VU10" s="131"/>
      <c r="VV10" s="131"/>
      <c r="VW10" s="131"/>
      <c r="VX10" s="131"/>
      <c r="VY10" s="131"/>
      <c r="VZ10" s="131"/>
      <c r="WA10" s="131"/>
      <c r="WB10" s="131"/>
      <c r="WC10" s="131"/>
      <c r="WD10" s="131"/>
      <c r="WE10" s="131"/>
      <c r="WF10" s="131"/>
      <c r="WG10" s="131"/>
      <c r="WH10" s="131"/>
      <c r="WI10" s="131"/>
      <c r="WJ10" s="131"/>
      <c r="WK10" s="131"/>
      <c r="WL10" s="131"/>
      <c r="WM10" s="131"/>
      <c r="WN10" s="131"/>
      <c r="WO10" s="131"/>
      <c r="WP10" s="131"/>
      <c r="WQ10" s="131"/>
      <c r="WR10" s="131"/>
      <c r="WS10" s="131"/>
      <c r="WT10" s="131"/>
      <c r="WU10" s="131"/>
      <c r="WV10" s="131"/>
      <c r="WW10" s="131"/>
      <c r="WX10" s="131"/>
      <c r="WY10" s="131"/>
      <c r="WZ10" s="131"/>
      <c r="XA10" s="131"/>
      <c r="XB10" s="131"/>
      <c r="XC10" s="131"/>
      <c r="XD10" s="131"/>
      <c r="XE10" s="131"/>
      <c r="XF10" s="131"/>
      <c r="XG10" s="131"/>
      <c r="XH10" s="131"/>
      <c r="XI10" s="131"/>
      <c r="XJ10" s="131"/>
      <c r="XK10" s="131"/>
      <c r="XL10" s="131"/>
      <c r="XM10" s="131"/>
      <c r="XN10" s="131"/>
      <c r="XO10" s="131"/>
      <c r="XP10" s="131"/>
      <c r="XQ10" s="131"/>
      <c r="XR10" s="131"/>
      <c r="XS10" s="131"/>
      <c r="XT10" s="131"/>
      <c r="XU10" s="131"/>
      <c r="XV10" s="131"/>
      <c r="XW10" s="131"/>
      <c r="XX10" s="131"/>
      <c r="XY10" s="131"/>
      <c r="XZ10" s="131"/>
      <c r="YA10" s="131"/>
      <c r="YB10" s="131"/>
      <c r="YC10" s="131"/>
      <c r="YD10" s="131"/>
      <c r="YE10" s="131"/>
      <c r="YF10" s="131"/>
      <c r="YG10" s="131"/>
      <c r="YH10" s="131"/>
      <c r="YI10" s="131"/>
      <c r="YJ10" s="131"/>
      <c r="YK10" s="131"/>
      <c r="YL10" s="131"/>
      <c r="YM10" s="131"/>
      <c r="YN10" s="131"/>
      <c r="YO10" s="131"/>
      <c r="YP10" s="131"/>
      <c r="YQ10" s="131"/>
      <c r="YR10" s="131"/>
      <c r="YS10" s="131"/>
      <c r="YT10" s="131"/>
      <c r="YU10" s="131"/>
      <c r="YV10" s="131"/>
      <c r="YW10" s="131"/>
      <c r="YX10" s="131"/>
      <c r="YY10" s="131"/>
      <c r="YZ10" s="131"/>
      <c r="ZA10" s="131"/>
      <c r="ZB10" s="131"/>
      <c r="ZC10" s="131"/>
      <c r="ZD10" s="131"/>
      <c r="ZE10" s="131"/>
      <c r="ZF10" s="131"/>
      <c r="ZG10" s="131"/>
      <c r="ZH10" s="131"/>
      <c r="ZI10" s="131"/>
      <c r="ZJ10" s="131"/>
      <c r="ZK10" s="131"/>
      <c r="ZL10" s="131"/>
      <c r="ZM10" s="131"/>
      <c r="ZN10" s="131"/>
      <c r="ZO10" s="131"/>
      <c r="ZP10" s="131"/>
      <c r="ZQ10" s="131"/>
      <c r="ZR10" s="131"/>
      <c r="ZS10" s="131"/>
      <c r="ZT10" s="131"/>
      <c r="ZU10" s="131"/>
      <c r="ZV10" s="131"/>
      <c r="ZW10" s="131"/>
      <c r="ZX10" s="131"/>
      <c r="ZY10" s="131"/>
      <c r="ZZ10" s="131"/>
      <c r="AAA10" s="131"/>
      <c r="AAB10" s="131"/>
      <c r="AAC10" s="131"/>
      <c r="AAD10" s="131"/>
      <c r="AAE10" s="131"/>
      <c r="AAF10" s="131"/>
      <c r="AAG10" s="131"/>
      <c r="AAH10" s="131"/>
      <c r="AAI10" s="131"/>
      <c r="AAJ10" s="131"/>
      <c r="AAK10" s="131"/>
      <c r="AAL10" s="131"/>
      <c r="AAM10" s="131"/>
      <c r="AAN10" s="131"/>
      <c r="AAO10" s="131"/>
      <c r="AAP10" s="131"/>
      <c r="AAQ10" s="131"/>
      <c r="AAR10" s="131"/>
      <c r="AAS10" s="131"/>
      <c r="AAT10" s="131"/>
      <c r="AAU10" s="131"/>
      <c r="AAV10" s="131"/>
      <c r="AAW10" s="131"/>
      <c r="AAX10" s="131"/>
      <c r="AAY10" s="131"/>
      <c r="AAZ10" s="131"/>
      <c r="ABA10" s="131"/>
      <c r="ABB10" s="131"/>
      <c r="ABC10" s="131"/>
      <c r="ABD10" s="131"/>
      <c r="ABE10" s="131"/>
      <c r="ABF10" s="131"/>
      <c r="ABG10" s="131"/>
      <c r="ABH10" s="131"/>
      <c r="ABI10" s="131"/>
      <c r="ABJ10" s="131"/>
      <c r="ABK10" s="131"/>
      <c r="ABL10" s="131"/>
      <c r="ABM10" s="131"/>
      <c r="ABN10" s="131"/>
      <c r="ABO10" s="131"/>
      <c r="ABP10" s="131"/>
      <c r="ABQ10" s="131"/>
      <c r="ABR10" s="131"/>
      <c r="ABS10" s="131"/>
      <c r="ABT10" s="131"/>
      <c r="ABU10" s="131"/>
      <c r="ABV10" s="131"/>
      <c r="ABW10" s="131"/>
      <c r="ABX10" s="131"/>
      <c r="ABY10" s="131"/>
      <c r="ABZ10" s="131"/>
      <c r="ACA10" s="131"/>
      <c r="ACB10" s="131"/>
      <c r="ACC10" s="131"/>
      <c r="ACD10" s="131"/>
      <c r="ACE10" s="131"/>
      <c r="ACF10" s="131"/>
      <c r="ACG10" s="131"/>
      <c r="ACH10" s="131"/>
      <c r="ACI10" s="131"/>
      <c r="ACJ10" s="131"/>
      <c r="ACK10" s="131"/>
      <c r="ACL10" s="131"/>
      <c r="ACM10" s="131"/>
      <c r="ACN10" s="131"/>
      <c r="ACO10" s="131"/>
      <c r="ACP10" s="131"/>
      <c r="ACQ10" s="131"/>
      <c r="ACR10" s="131"/>
      <c r="ACS10" s="131"/>
      <c r="ACT10" s="131"/>
      <c r="ACU10" s="131"/>
      <c r="ACV10" s="131"/>
      <c r="ACW10" s="131"/>
      <c r="ACX10" s="131"/>
      <c r="ACY10" s="131"/>
      <c r="ACZ10" s="131"/>
      <c r="ADA10" s="131"/>
      <c r="ADB10" s="131"/>
      <c r="ADC10" s="131"/>
      <c r="ADD10" s="131"/>
      <c r="ADE10" s="131"/>
      <c r="ADF10" s="131"/>
      <c r="ADG10" s="131"/>
      <c r="ADH10" s="131"/>
      <c r="ADI10" s="131"/>
      <c r="ADJ10" s="131"/>
      <c r="ADK10" s="131"/>
      <c r="ADL10" s="131"/>
      <c r="ADM10" s="131"/>
      <c r="ADN10" s="131"/>
      <c r="ADO10" s="131"/>
      <c r="ADP10" s="131"/>
      <c r="ADQ10" s="131"/>
      <c r="ADR10" s="131"/>
      <c r="ADS10" s="131"/>
      <c r="ADT10" s="131"/>
      <c r="ADU10" s="131"/>
      <c r="ADV10" s="131"/>
      <c r="ADW10" s="131"/>
      <c r="ADX10" s="131"/>
      <c r="ADY10" s="131"/>
      <c r="ADZ10" s="131"/>
      <c r="AEA10" s="131"/>
      <c r="AEB10" s="131"/>
      <c r="AEC10" s="131"/>
      <c r="AED10" s="131"/>
      <c r="AEE10" s="131"/>
      <c r="AEF10" s="131"/>
      <c r="AEG10" s="131"/>
      <c r="AEH10" s="131"/>
      <c r="AEI10" s="131"/>
      <c r="AEJ10" s="131"/>
      <c r="AEK10" s="131"/>
      <c r="AEL10" s="131"/>
      <c r="AEM10" s="131"/>
      <c r="AEN10" s="131"/>
      <c r="AEO10" s="131"/>
      <c r="AEP10" s="131"/>
      <c r="AEQ10" s="131"/>
      <c r="AER10" s="131"/>
      <c r="AES10" s="131"/>
      <c r="AET10" s="131"/>
      <c r="AEU10" s="131"/>
      <c r="AEV10" s="131"/>
      <c r="AEW10" s="131"/>
      <c r="AEX10" s="131"/>
      <c r="AEY10" s="131"/>
      <c r="AEZ10" s="131"/>
      <c r="AFA10" s="131"/>
      <c r="AFB10" s="131"/>
      <c r="AFC10" s="131"/>
      <c r="AFD10" s="131"/>
      <c r="AFE10" s="131"/>
      <c r="AFF10" s="131"/>
      <c r="AFG10" s="131"/>
      <c r="AFH10" s="131"/>
      <c r="AFI10" s="131"/>
      <c r="AFJ10" s="131"/>
      <c r="AFK10" s="131"/>
      <c r="AFL10" s="131"/>
      <c r="AFM10" s="131"/>
      <c r="AFN10" s="131"/>
      <c r="AFO10" s="131"/>
      <c r="AFP10" s="131"/>
      <c r="AFQ10" s="131"/>
      <c r="AFR10" s="131"/>
      <c r="AFS10" s="131"/>
      <c r="AFT10" s="131"/>
      <c r="AFU10" s="131"/>
      <c r="AFV10" s="131"/>
      <c r="AFW10" s="131"/>
      <c r="AFX10" s="131"/>
      <c r="AFY10" s="131"/>
      <c r="AFZ10" s="131"/>
      <c r="AGA10" s="131"/>
      <c r="AGB10" s="131"/>
      <c r="AGC10" s="131"/>
      <c r="AGD10" s="131"/>
      <c r="AGE10" s="131"/>
      <c r="AGF10" s="131"/>
      <c r="AGG10" s="131"/>
      <c r="AGH10" s="131"/>
      <c r="AGI10" s="131"/>
      <c r="AGJ10" s="131"/>
      <c r="AGK10" s="131"/>
      <c r="AGL10" s="131"/>
      <c r="AGM10" s="131"/>
      <c r="AGN10" s="131"/>
      <c r="AGO10" s="131"/>
      <c r="AGP10" s="131"/>
      <c r="AGQ10" s="131"/>
      <c r="AGR10" s="131"/>
      <c r="AGS10" s="131"/>
      <c r="AGT10" s="131"/>
      <c r="AGU10" s="131"/>
      <c r="AGV10" s="131"/>
      <c r="AGW10" s="131"/>
      <c r="AGX10" s="131"/>
      <c r="AGY10" s="131"/>
      <c r="AGZ10" s="131"/>
      <c r="AHA10" s="131"/>
      <c r="AHB10" s="131"/>
      <c r="AHC10" s="131"/>
      <c r="AHD10" s="131"/>
      <c r="AHE10" s="131"/>
      <c r="AHF10" s="131"/>
      <c r="AHG10" s="131"/>
      <c r="AHH10" s="131"/>
      <c r="AHI10" s="131"/>
      <c r="AHJ10" s="131"/>
      <c r="AHK10" s="131"/>
      <c r="AHL10" s="131"/>
      <c r="AHM10" s="131"/>
      <c r="AHN10" s="131"/>
      <c r="AHO10" s="131"/>
      <c r="AHP10" s="131"/>
      <c r="AHQ10" s="131"/>
      <c r="AHR10" s="131"/>
      <c r="AHS10" s="131"/>
      <c r="AHT10" s="131"/>
      <c r="AHU10" s="131"/>
      <c r="AHV10" s="131"/>
      <c r="AHW10" s="131"/>
      <c r="AHX10" s="131"/>
      <c r="AHY10" s="131"/>
      <c r="AHZ10" s="131"/>
      <c r="AIA10" s="131"/>
      <c r="AIB10" s="131"/>
      <c r="AIC10" s="131"/>
      <c r="AID10" s="131"/>
      <c r="AIE10" s="131"/>
      <c r="AIF10" s="131"/>
      <c r="AIG10" s="131"/>
      <c r="AIH10" s="131"/>
      <c r="AII10" s="131"/>
      <c r="AIJ10" s="131"/>
      <c r="AIK10" s="131"/>
      <c r="AIL10" s="131"/>
      <c r="AIM10" s="131"/>
      <c r="AIN10" s="131"/>
      <c r="AIO10" s="131"/>
      <c r="AIP10" s="131"/>
      <c r="AIQ10" s="131"/>
      <c r="AIR10" s="131"/>
      <c r="AIS10" s="131"/>
      <c r="AIT10" s="131"/>
      <c r="AIU10" s="131"/>
      <c r="AIV10" s="131"/>
      <c r="AIW10" s="131"/>
      <c r="AIX10" s="131"/>
      <c r="AIY10" s="131"/>
      <c r="AIZ10" s="131"/>
      <c r="AJA10" s="131"/>
      <c r="AJB10" s="131"/>
      <c r="AJC10" s="131"/>
      <c r="AJD10" s="131"/>
      <c r="AJE10" s="131"/>
      <c r="AJF10" s="131"/>
      <c r="AJG10" s="131"/>
      <c r="AJH10" s="131"/>
      <c r="AJI10" s="131"/>
      <c r="AJJ10" s="131"/>
      <c r="AJK10" s="131"/>
      <c r="AJL10" s="131"/>
      <c r="AJM10" s="131"/>
      <c r="AJN10" s="131"/>
      <c r="AJO10" s="131"/>
      <c r="AJP10" s="131"/>
      <c r="AJQ10" s="131"/>
      <c r="AJR10" s="131"/>
      <c r="AJS10" s="131"/>
      <c r="AJT10" s="131"/>
      <c r="AJU10" s="131"/>
      <c r="AJV10" s="131"/>
      <c r="AJW10" s="131"/>
      <c r="AJX10" s="131"/>
      <c r="AJY10" s="131"/>
      <c r="AJZ10" s="131"/>
      <c r="AKA10" s="131"/>
      <c r="AKB10" s="131"/>
      <c r="AKC10" s="131"/>
      <c r="AKD10" s="131"/>
      <c r="AKE10" s="131"/>
      <c r="AKF10" s="131"/>
      <c r="AKG10" s="131"/>
      <c r="AKH10" s="131"/>
      <c r="AKI10" s="131"/>
      <c r="AKJ10" s="131"/>
      <c r="AKK10" s="131"/>
      <c r="AKL10" s="131"/>
      <c r="AKM10" s="131"/>
      <c r="AKN10" s="131"/>
      <c r="AKO10" s="131"/>
      <c r="AKP10" s="131"/>
      <c r="AKQ10" s="131"/>
      <c r="AKR10" s="131"/>
      <c r="AKS10" s="131"/>
      <c r="AKT10" s="131"/>
      <c r="AKU10" s="131"/>
      <c r="AKV10" s="131"/>
      <c r="AKW10" s="131"/>
      <c r="AKX10" s="131"/>
      <c r="AKY10" s="131"/>
      <c r="AKZ10" s="131"/>
      <c r="ALA10" s="131"/>
      <c r="ALB10" s="131"/>
      <c r="ALC10" s="131"/>
      <c r="ALD10" s="131"/>
      <c r="ALE10" s="131"/>
      <c r="ALF10" s="131"/>
      <c r="ALG10" s="131"/>
      <c r="ALH10" s="131"/>
      <c r="ALI10" s="131"/>
      <c r="ALJ10" s="131"/>
      <c r="ALK10" s="131"/>
      <c r="ALL10" s="131"/>
      <c r="ALM10" s="131"/>
      <c r="ALN10" s="131"/>
      <c r="ALO10" s="131"/>
      <c r="ALP10" s="131"/>
      <c r="ALQ10" s="131"/>
      <c r="ALR10" s="131"/>
      <c r="ALS10" s="131"/>
      <c r="ALT10" s="131"/>
      <c r="ALU10" s="131"/>
      <c r="ALV10" s="131"/>
      <c r="ALW10" s="131"/>
      <c r="ALX10" s="131"/>
      <c r="ALY10" s="131"/>
      <c r="AML10" s="131"/>
      <c r="AMM10" s="131"/>
      <c r="AMN10" s="131"/>
      <c r="AMO10" s="131"/>
      <c r="AMP10" s="131"/>
      <c r="AMQ10" s="131"/>
      <c r="AMR10" s="131"/>
      <c r="AMS10" s="131"/>
      <c r="AMT10" s="131"/>
      <c r="AMU10" s="131"/>
      <c r="AMV10" s="131"/>
      <c r="AMW10" s="131"/>
      <c r="AMX10" s="131"/>
      <c r="AMY10" s="131"/>
      <c r="AMZ10" s="131"/>
      <c r="ANA10" s="131"/>
      <c r="ANB10" s="131"/>
      <c r="ANC10" s="131"/>
      <c r="AND10" s="131"/>
      <c r="ANE10" s="131"/>
      <c r="ANF10" s="131"/>
      <c r="ANG10" s="131"/>
      <c r="ANH10" s="131"/>
      <c r="ANI10" s="131"/>
      <c r="ANJ10" s="131"/>
      <c r="ANK10" s="131"/>
      <c r="ANL10" s="131"/>
      <c r="ANM10" s="131"/>
      <c r="ANN10" s="131"/>
      <c r="ANO10" s="131"/>
      <c r="ANP10" s="131"/>
      <c r="ANQ10" s="131"/>
      <c r="ANR10" s="131"/>
      <c r="ANS10" s="131"/>
      <c r="ANT10" s="131"/>
      <c r="ANU10" s="131"/>
      <c r="ANV10" s="131"/>
      <c r="ANW10" s="131"/>
      <c r="ANX10" s="131"/>
      <c r="ANY10" s="131"/>
      <c r="ANZ10" s="131"/>
      <c r="AOA10" s="131"/>
      <c r="AOB10" s="131"/>
      <c r="AOC10" s="131"/>
      <c r="AOD10" s="131"/>
      <c r="AOE10" s="131"/>
      <c r="AOF10" s="131"/>
      <c r="AOG10" s="131"/>
      <c r="AOH10" s="131"/>
      <c r="AOI10" s="131"/>
      <c r="AOJ10" s="131"/>
      <c r="AOK10" s="131"/>
      <c r="AOL10" s="131"/>
      <c r="AOM10" s="131"/>
      <c r="AON10" s="131"/>
      <c r="AOO10" s="131"/>
      <c r="AOP10" s="131"/>
      <c r="AOQ10" s="131"/>
      <c r="AOR10" s="131"/>
      <c r="AOS10" s="131"/>
      <c r="AOT10" s="131"/>
      <c r="AOU10" s="131"/>
      <c r="AOV10" s="131"/>
      <c r="AOW10" s="131"/>
      <c r="AOX10" s="131"/>
      <c r="AOY10" s="131"/>
      <c r="AOZ10" s="131"/>
      <c r="APA10" s="131"/>
      <c r="APB10" s="131"/>
      <c r="APC10" s="131"/>
      <c r="APD10" s="131"/>
      <c r="APE10" s="131"/>
      <c r="APF10" s="131"/>
      <c r="APG10" s="131"/>
      <c r="APH10" s="131"/>
      <c r="API10" s="131"/>
      <c r="APJ10" s="131"/>
      <c r="APK10" s="131"/>
      <c r="APL10" s="131"/>
      <c r="APM10" s="131"/>
      <c r="APN10" s="131"/>
      <c r="APO10" s="131"/>
      <c r="APP10" s="131"/>
      <c r="APQ10" s="131"/>
      <c r="APR10" s="131"/>
      <c r="APS10" s="131"/>
      <c r="APT10" s="131"/>
      <c r="APU10" s="131"/>
      <c r="APV10" s="131"/>
      <c r="APW10" s="131"/>
      <c r="APX10" s="131"/>
      <c r="APY10" s="131"/>
      <c r="APZ10" s="131"/>
      <c r="AQA10" s="131"/>
      <c r="AQB10" s="131"/>
      <c r="AQC10" s="131"/>
      <c r="AQD10" s="131"/>
      <c r="AQE10" s="131"/>
      <c r="AQF10" s="131"/>
      <c r="AQG10" s="131"/>
      <c r="AQH10" s="131"/>
      <c r="AQI10" s="131"/>
      <c r="AQJ10" s="131"/>
      <c r="AQK10" s="131"/>
      <c r="AQL10" s="131"/>
      <c r="AQM10" s="131"/>
      <c r="AQN10" s="131"/>
      <c r="AQO10" s="131"/>
      <c r="AQP10" s="131"/>
      <c r="AQQ10" s="131"/>
      <c r="AQR10" s="131"/>
      <c r="AQS10" s="131"/>
      <c r="AQT10" s="131"/>
      <c r="AQU10" s="131"/>
      <c r="AQV10" s="131"/>
      <c r="AQW10" s="131"/>
      <c r="AQX10" s="131"/>
      <c r="AQY10" s="131"/>
      <c r="AQZ10" s="131"/>
      <c r="ARA10" s="131"/>
      <c r="ARB10" s="131"/>
      <c r="ARC10" s="131"/>
      <c r="ARD10" s="131"/>
      <c r="ARE10" s="131"/>
      <c r="ARF10" s="131"/>
      <c r="ARG10" s="131"/>
      <c r="ARH10" s="131"/>
      <c r="ARI10" s="131"/>
      <c r="ARJ10" s="131"/>
      <c r="ARK10" s="131"/>
      <c r="ARL10" s="131"/>
      <c r="ARM10" s="131"/>
      <c r="ARN10" s="131"/>
      <c r="ARO10" s="131"/>
      <c r="ARP10" s="131"/>
      <c r="ARQ10" s="131"/>
      <c r="ARR10" s="131"/>
      <c r="ARS10" s="131"/>
      <c r="ART10" s="131"/>
      <c r="ARU10" s="131"/>
      <c r="ARV10" s="131"/>
      <c r="ARW10" s="131"/>
      <c r="ARX10" s="131"/>
      <c r="ARY10" s="131"/>
      <c r="ARZ10" s="131"/>
      <c r="ASA10" s="131"/>
      <c r="ASB10" s="131"/>
      <c r="ASC10" s="131"/>
      <c r="ASD10" s="131"/>
      <c r="ASE10" s="131"/>
      <c r="ASF10" s="131"/>
      <c r="ASG10" s="131"/>
      <c r="ASH10" s="131"/>
      <c r="ASI10" s="131"/>
      <c r="ASJ10" s="131"/>
      <c r="ASK10" s="131"/>
      <c r="ASL10" s="131"/>
      <c r="ASM10" s="131"/>
      <c r="ASN10" s="131"/>
      <c r="ASO10" s="131"/>
      <c r="ASP10" s="131"/>
      <c r="ASQ10" s="131"/>
      <c r="ASR10" s="131"/>
      <c r="ASS10" s="131"/>
      <c r="AST10" s="131"/>
      <c r="ASU10" s="131"/>
      <c r="ASV10" s="131"/>
      <c r="ASW10" s="131"/>
      <c r="ASX10" s="131"/>
      <c r="ASY10" s="131"/>
      <c r="ASZ10" s="131"/>
      <c r="ATA10" s="131"/>
      <c r="ATB10" s="131"/>
      <c r="ATC10" s="131"/>
      <c r="ATD10" s="131"/>
      <c r="ATE10" s="131"/>
      <c r="ATF10" s="131"/>
      <c r="ATG10" s="131"/>
      <c r="ATH10" s="131"/>
      <c r="ATI10" s="131"/>
      <c r="ATJ10" s="131"/>
      <c r="ATK10" s="131"/>
      <c r="ATL10" s="131"/>
      <c r="ATM10" s="131"/>
      <c r="ATN10" s="131"/>
      <c r="ATO10" s="131"/>
      <c r="ATP10" s="131"/>
      <c r="ATQ10" s="131"/>
      <c r="ATR10" s="131"/>
      <c r="ATS10" s="131"/>
      <c r="ATT10" s="131"/>
      <c r="ATU10" s="131"/>
      <c r="ATV10" s="131"/>
      <c r="ATW10" s="131"/>
      <c r="ATX10" s="131"/>
      <c r="ATY10" s="131"/>
      <c r="ATZ10" s="131"/>
      <c r="AUA10" s="131"/>
      <c r="AUB10" s="131"/>
      <c r="AUC10" s="131"/>
      <c r="AUD10" s="131"/>
      <c r="AUE10" s="131"/>
      <c r="AUF10" s="131"/>
      <c r="AUG10" s="131"/>
      <c r="AUH10" s="131"/>
      <c r="AUI10" s="131"/>
      <c r="AUJ10" s="131"/>
      <c r="AUK10" s="131"/>
      <c r="AUL10" s="131"/>
      <c r="AUM10" s="131"/>
      <c r="AUN10" s="131"/>
      <c r="AUO10" s="131"/>
      <c r="AUP10" s="131"/>
      <c r="AUQ10" s="131"/>
      <c r="AUR10" s="131"/>
      <c r="AUS10" s="131"/>
      <c r="AUT10" s="131"/>
      <c r="AUU10" s="131"/>
      <c r="AUV10" s="131"/>
      <c r="AUW10" s="131"/>
      <c r="AUX10" s="131"/>
      <c r="AUY10" s="131"/>
      <c r="AUZ10" s="131"/>
      <c r="AVA10" s="131"/>
      <c r="AVB10" s="131"/>
      <c r="AVC10" s="131"/>
      <c r="AVD10" s="131"/>
      <c r="AVE10" s="131"/>
      <c r="AVF10" s="131"/>
      <c r="AVG10" s="131"/>
      <c r="AVH10" s="131"/>
      <c r="AVI10" s="131"/>
      <c r="AVJ10" s="131"/>
      <c r="AVK10" s="131"/>
      <c r="AVL10" s="131"/>
      <c r="AVM10" s="131"/>
      <c r="AVN10" s="131"/>
      <c r="AVO10" s="131"/>
      <c r="AVP10" s="131"/>
      <c r="AVQ10" s="131"/>
      <c r="AVR10" s="131"/>
      <c r="AVS10" s="131"/>
      <c r="AVT10" s="131"/>
      <c r="AVU10" s="131"/>
      <c r="AVV10" s="131"/>
      <c r="AVW10" s="131"/>
      <c r="AVX10" s="131"/>
      <c r="AVY10" s="131"/>
      <c r="AVZ10" s="131"/>
      <c r="AWA10" s="131"/>
      <c r="AWB10" s="131"/>
      <c r="AWC10" s="131"/>
      <c r="AWD10" s="131"/>
      <c r="AWE10" s="131"/>
      <c r="AWF10" s="131"/>
      <c r="AWG10" s="131"/>
      <c r="AWH10" s="131"/>
      <c r="AWI10" s="131"/>
      <c r="AWJ10" s="131"/>
      <c r="AWK10" s="131"/>
      <c r="AWL10" s="131"/>
      <c r="AWM10" s="131"/>
      <c r="AWN10" s="131"/>
      <c r="AWO10" s="131"/>
      <c r="AWP10" s="131"/>
      <c r="AWQ10" s="131"/>
      <c r="AWR10" s="131"/>
      <c r="AWS10" s="131"/>
      <c r="AWT10" s="131"/>
      <c r="AWU10" s="131"/>
      <c r="AWV10" s="131"/>
      <c r="AWW10" s="131"/>
      <c r="AWX10" s="131"/>
      <c r="AWY10" s="131"/>
      <c r="AWZ10" s="131"/>
      <c r="AXA10" s="131"/>
      <c r="AXB10" s="131"/>
      <c r="AXC10" s="131"/>
      <c r="AXD10" s="131"/>
      <c r="AXE10" s="131"/>
      <c r="AXF10" s="131"/>
      <c r="AXG10" s="131"/>
      <c r="AXH10" s="131"/>
      <c r="AXI10" s="131"/>
      <c r="AXJ10" s="131"/>
      <c r="AXK10" s="131"/>
      <c r="AXL10" s="131"/>
      <c r="AXM10" s="131"/>
      <c r="AXN10" s="131"/>
      <c r="AXO10" s="131"/>
      <c r="AXP10" s="131"/>
      <c r="AXQ10" s="131"/>
      <c r="AXR10" s="131"/>
      <c r="AXS10" s="131"/>
      <c r="AXT10" s="131"/>
      <c r="AXU10" s="131"/>
      <c r="AXV10" s="131"/>
      <c r="AXW10" s="131"/>
      <c r="AXX10" s="131"/>
      <c r="AXY10" s="131"/>
      <c r="AXZ10" s="131"/>
      <c r="AYA10" s="131"/>
      <c r="AYB10" s="131"/>
      <c r="AYC10" s="131"/>
      <c r="AYD10" s="131"/>
      <c r="AYE10" s="131"/>
      <c r="AYF10" s="131"/>
      <c r="AYG10" s="131"/>
      <c r="AYH10" s="131"/>
      <c r="AYI10" s="131"/>
      <c r="AYJ10" s="131"/>
      <c r="AYK10" s="131"/>
      <c r="AYL10" s="131"/>
      <c r="AYM10" s="131"/>
      <c r="AYN10" s="131"/>
      <c r="AYO10" s="131"/>
      <c r="AYP10" s="131"/>
      <c r="AYQ10" s="131"/>
      <c r="AYR10" s="131"/>
      <c r="AYS10" s="131"/>
      <c r="AYT10" s="131"/>
      <c r="AYU10" s="131"/>
      <c r="AYV10" s="131"/>
      <c r="AYW10" s="131"/>
      <c r="AYX10" s="131"/>
      <c r="AYY10" s="131"/>
      <c r="AYZ10" s="131"/>
      <c r="AZA10" s="131"/>
      <c r="AZB10" s="131"/>
      <c r="AZC10" s="131"/>
      <c r="AZD10" s="131"/>
      <c r="AZE10" s="131"/>
      <c r="AZF10" s="131"/>
      <c r="AZG10" s="131"/>
      <c r="AZH10" s="131"/>
      <c r="AZI10" s="131"/>
      <c r="AZJ10" s="131"/>
      <c r="AZK10" s="131"/>
      <c r="AZL10" s="131"/>
      <c r="AZM10" s="131"/>
      <c r="AZN10" s="131"/>
      <c r="AZO10" s="131"/>
      <c r="AZP10" s="131"/>
      <c r="AZQ10" s="131"/>
      <c r="AZR10" s="131"/>
      <c r="AZS10" s="131"/>
      <c r="AZT10" s="131"/>
      <c r="AZU10" s="131"/>
      <c r="AZV10" s="131"/>
      <c r="AZW10" s="131"/>
      <c r="AZX10" s="131"/>
      <c r="AZY10" s="131"/>
      <c r="AZZ10" s="131"/>
      <c r="BAA10" s="131"/>
      <c r="BAB10" s="131"/>
      <c r="BAC10" s="131"/>
      <c r="BAD10" s="131"/>
      <c r="BAE10" s="131"/>
      <c r="BAF10" s="131"/>
      <c r="BAG10" s="131"/>
      <c r="BAH10" s="131"/>
      <c r="BAI10" s="131"/>
      <c r="BAJ10" s="131"/>
      <c r="BAK10" s="131"/>
      <c r="BAL10" s="131"/>
      <c r="BAM10" s="131"/>
      <c r="BAN10" s="131"/>
      <c r="BAO10" s="131"/>
      <c r="BAP10" s="131"/>
      <c r="BAQ10" s="131"/>
      <c r="BAR10" s="131"/>
      <c r="BAS10" s="131"/>
      <c r="BAT10" s="131"/>
      <c r="BAU10" s="131"/>
      <c r="BAV10" s="131"/>
      <c r="BAW10" s="131"/>
      <c r="BAX10" s="131"/>
      <c r="BAY10" s="131"/>
      <c r="BAZ10" s="131"/>
      <c r="BBA10" s="131"/>
      <c r="BBB10" s="131"/>
      <c r="BBC10" s="131"/>
      <c r="BBD10" s="131"/>
      <c r="BBE10" s="131"/>
      <c r="BBF10" s="131"/>
      <c r="BBG10" s="131"/>
      <c r="BBH10" s="131"/>
      <c r="BBI10" s="131"/>
      <c r="BBJ10" s="131"/>
      <c r="BBK10" s="131"/>
      <c r="BBL10" s="131"/>
      <c r="BBM10" s="131"/>
      <c r="BBN10" s="131"/>
      <c r="BBO10" s="131"/>
      <c r="BBP10" s="131"/>
      <c r="BBQ10" s="131"/>
      <c r="BBR10" s="131"/>
      <c r="BBS10" s="131"/>
      <c r="BBT10" s="131"/>
      <c r="BBU10" s="131"/>
      <c r="BBV10" s="131"/>
      <c r="BBW10" s="131"/>
      <c r="BBX10" s="131"/>
      <c r="BBY10" s="131"/>
      <c r="BBZ10" s="131"/>
      <c r="BCA10" s="131"/>
      <c r="BCB10" s="131"/>
      <c r="BCC10" s="131"/>
      <c r="BCD10" s="131"/>
      <c r="BCE10" s="131"/>
      <c r="BCF10" s="131"/>
      <c r="BCG10" s="131"/>
      <c r="BCH10" s="131"/>
      <c r="BCI10" s="131"/>
      <c r="BCJ10" s="131"/>
      <c r="BCK10" s="131"/>
      <c r="BCL10" s="131"/>
      <c r="BCM10" s="131"/>
      <c r="BCN10" s="131"/>
      <c r="BCO10" s="131"/>
      <c r="BCP10" s="131"/>
      <c r="BCQ10" s="131"/>
      <c r="BCR10" s="131"/>
      <c r="BCS10" s="131"/>
      <c r="BCT10" s="131"/>
      <c r="BCU10" s="131"/>
      <c r="BCV10" s="131"/>
      <c r="BCW10" s="131"/>
      <c r="BCX10" s="131"/>
      <c r="BCY10" s="131"/>
      <c r="BCZ10" s="131"/>
      <c r="BDA10" s="131"/>
      <c r="BDB10" s="131"/>
      <c r="BDC10" s="131"/>
      <c r="BDD10" s="131"/>
      <c r="BDE10" s="131"/>
      <c r="BDF10" s="131"/>
      <c r="BDG10" s="131"/>
      <c r="BDH10" s="131"/>
      <c r="BDI10" s="131"/>
      <c r="BDJ10" s="131"/>
      <c r="BDK10" s="131"/>
      <c r="BDL10" s="131"/>
      <c r="BDM10" s="131"/>
      <c r="BDN10" s="131"/>
      <c r="BDO10" s="131"/>
      <c r="BDP10" s="131"/>
      <c r="BDQ10" s="131"/>
      <c r="BDR10" s="131"/>
      <c r="BDS10" s="131"/>
      <c r="BDT10" s="131"/>
      <c r="BDU10" s="131"/>
      <c r="BDV10" s="131"/>
      <c r="BDW10" s="131"/>
      <c r="BDX10" s="131"/>
      <c r="BDY10" s="131"/>
      <c r="BDZ10" s="131"/>
      <c r="BEA10" s="131"/>
      <c r="BEB10" s="131"/>
      <c r="BEC10" s="131"/>
      <c r="BED10" s="131"/>
      <c r="BEE10" s="131"/>
      <c r="BEF10" s="131"/>
      <c r="BEG10" s="131"/>
      <c r="BEH10" s="131"/>
      <c r="BEI10" s="131"/>
      <c r="BEJ10" s="131"/>
      <c r="BEK10" s="131"/>
      <c r="BEL10" s="131"/>
      <c r="BEM10" s="131"/>
      <c r="BEN10" s="131"/>
      <c r="BEO10" s="131"/>
      <c r="BEP10" s="131"/>
      <c r="BEQ10" s="131"/>
      <c r="BER10" s="131"/>
      <c r="BES10" s="131"/>
      <c r="BET10" s="131"/>
      <c r="BEU10" s="131"/>
      <c r="BEV10" s="131"/>
      <c r="BEW10" s="131"/>
      <c r="BEX10" s="131"/>
      <c r="BEY10" s="131"/>
      <c r="BEZ10" s="131"/>
      <c r="BFA10" s="131"/>
      <c r="BFB10" s="131"/>
      <c r="BFC10" s="131"/>
      <c r="BFD10" s="131"/>
      <c r="BFE10" s="131"/>
      <c r="BFF10" s="131"/>
      <c r="BFG10" s="131"/>
      <c r="BFH10" s="131"/>
      <c r="BFI10" s="131"/>
      <c r="BFJ10" s="131"/>
      <c r="BFK10" s="131"/>
      <c r="BFL10" s="131"/>
      <c r="BFM10" s="131"/>
      <c r="BFN10" s="131"/>
      <c r="BFO10" s="131"/>
      <c r="BFP10" s="131"/>
      <c r="BFQ10" s="131"/>
      <c r="BFR10" s="131"/>
      <c r="BFS10" s="131"/>
      <c r="BFT10" s="131"/>
      <c r="BFU10" s="131"/>
      <c r="BFV10" s="131"/>
      <c r="BFW10" s="131"/>
      <c r="BFX10" s="131"/>
      <c r="BFY10" s="131"/>
      <c r="BFZ10" s="131"/>
      <c r="BGA10" s="131"/>
      <c r="BGB10" s="131"/>
      <c r="BGC10" s="131"/>
      <c r="BGD10" s="131"/>
      <c r="BGE10" s="131"/>
      <c r="BGF10" s="131"/>
      <c r="BGG10" s="131"/>
      <c r="BGH10" s="131"/>
      <c r="BGI10" s="131"/>
      <c r="BGJ10" s="131"/>
      <c r="BGK10" s="131"/>
      <c r="BGL10" s="131"/>
      <c r="BGM10" s="131"/>
      <c r="BGN10" s="131"/>
      <c r="BGO10" s="131"/>
      <c r="BGP10" s="131"/>
      <c r="BGQ10" s="131"/>
      <c r="BGR10" s="131"/>
      <c r="BGS10" s="131"/>
      <c r="BGT10" s="131"/>
      <c r="BGU10" s="131"/>
      <c r="BGV10" s="131"/>
      <c r="BGW10" s="131"/>
      <c r="BGX10" s="131"/>
      <c r="BGY10" s="131"/>
      <c r="BGZ10" s="131"/>
      <c r="BHA10" s="131"/>
      <c r="BHB10" s="131"/>
      <c r="BHC10" s="131"/>
      <c r="BHD10" s="131"/>
      <c r="BHE10" s="131"/>
      <c r="BHF10" s="131"/>
      <c r="BHG10" s="131"/>
      <c r="BHH10" s="131"/>
      <c r="BHI10" s="131"/>
      <c r="BHJ10" s="131"/>
      <c r="BHK10" s="131"/>
      <c r="BHL10" s="131"/>
      <c r="BHM10" s="131"/>
      <c r="BHN10" s="131"/>
      <c r="BHO10" s="131"/>
      <c r="BHP10" s="131"/>
      <c r="BHQ10" s="131"/>
      <c r="BHR10" s="131"/>
      <c r="BHS10" s="131"/>
      <c r="BHT10" s="131"/>
      <c r="BHU10" s="131"/>
      <c r="BHV10" s="131"/>
      <c r="BHW10" s="131"/>
      <c r="BHX10" s="131"/>
      <c r="BHY10" s="131"/>
      <c r="BHZ10" s="131"/>
      <c r="BIA10" s="131"/>
      <c r="BIB10" s="131"/>
      <c r="BIC10" s="131"/>
      <c r="BID10" s="131"/>
      <c r="BIE10" s="131"/>
      <c r="BIF10" s="131"/>
      <c r="BIG10" s="131"/>
      <c r="BIH10" s="131"/>
      <c r="BII10" s="131"/>
      <c r="BIJ10" s="131"/>
      <c r="BIK10" s="131"/>
      <c r="BIL10" s="131"/>
      <c r="BIM10" s="131"/>
      <c r="BIN10" s="131"/>
      <c r="BIO10" s="131"/>
      <c r="BIP10" s="131"/>
      <c r="BIQ10" s="131"/>
      <c r="BIR10" s="131"/>
      <c r="BIS10" s="131"/>
      <c r="BIT10" s="131"/>
      <c r="BIU10" s="131"/>
      <c r="BIV10" s="131"/>
      <c r="BIW10" s="131"/>
      <c r="BIX10" s="131"/>
      <c r="BIY10" s="131"/>
      <c r="BIZ10" s="131"/>
      <c r="BJA10" s="131"/>
      <c r="BJB10" s="131"/>
      <c r="BJC10" s="131"/>
      <c r="BJD10" s="131"/>
      <c r="BJE10" s="131"/>
      <c r="BJF10" s="131"/>
      <c r="BJG10" s="131"/>
      <c r="BJH10" s="131"/>
      <c r="BJI10" s="131"/>
      <c r="BJJ10" s="131"/>
      <c r="BJK10" s="131"/>
      <c r="BJL10" s="131"/>
      <c r="BJM10" s="131"/>
      <c r="BJN10" s="131"/>
      <c r="BJO10" s="131"/>
      <c r="BJP10" s="131"/>
      <c r="BJQ10" s="131"/>
      <c r="BJR10" s="131"/>
      <c r="BJS10" s="131"/>
      <c r="BJT10" s="131"/>
      <c r="BJU10" s="131"/>
      <c r="BJV10" s="131"/>
      <c r="BJW10" s="131"/>
      <c r="BJX10" s="131"/>
      <c r="BJY10" s="131"/>
      <c r="BJZ10" s="131"/>
      <c r="BKA10" s="131"/>
      <c r="BKB10" s="131"/>
      <c r="BKC10" s="131"/>
      <c r="BKD10" s="131"/>
      <c r="BKE10" s="131"/>
      <c r="BKF10" s="131"/>
      <c r="BKG10" s="131"/>
      <c r="BKH10" s="131"/>
      <c r="BKI10" s="131"/>
      <c r="BKJ10" s="131"/>
      <c r="BKK10" s="131"/>
      <c r="BKL10" s="131"/>
      <c r="BKM10" s="131"/>
      <c r="BKN10" s="131"/>
      <c r="BKO10" s="131"/>
      <c r="BKP10" s="131"/>
      <c r="BKQ10" s="131"/>
      <c r="BKR10" s="131"/>
      <c r="BKS10" s="131"/>
      <c r="BKT10" s="131"/>
      <c r="BKU10" s="131"/>
      <c r="BKV10" s="131"/>
      <c r="BKW10" s="131"/>
      <c r="BKX10" s="131"/>
      <c r="BKY10" s="131"/>
      <c r="BKZ10" s="131"/>
      <c r="BLA10" s="131"/>
      <c r="BLB10" s="131"/>
      <c r="BLC10" s="131"/>
      <c r="BLD10" s="131"/>
      <c r="BLE10" s="131"/>
      <c r="BLF10" s="131"/>
      <c r="BLG10" s="131"/>
      <c r="BLH10" s="131"/>
      <c r="BLI10" s="131"/>
      <c r="BLJ10" s="131"/>
      <c r="BLK10" s="131"/>
      <c r="BLL10" s="131"/>
      <c r="BLM10" s="131"/>
      <c r="BLN10" s="131"/>
      <c r="BLO10" s="131"/>
      <c r="BLP10" s="131"/>
      <c r="BLQ10" s="131"/>
      <c r="BLR10" s="131"/>
      <c r="BLS10" s="131"/>
      <c r="BLT10" s="131"/>
      <c r="BLU10" s="131"/>
      <c r="BLV10" s="131"/>
      <c r="BLW10" s="131"/>
      <c r="BLX10" s="131"/>
      <c r="BLY10" s="131"/>
      <c r="BLZ10" s="131"/>
      <c r="BMA10" s="131"/>
      <c r="BMB10" s="131"/>
      <c r="BMC10" s="131"/>
      <c r="BMD10" s="131"/>
      <c r="BME10" s="131"/>
      <c r="BMF10" s="131"/>
      <c r="BMG10" s="131"/>
      <c r="BMH10" s="131"/>
      <c r="BMI10" s="131"/>
      <c r="BMJ10" s="131"/>
      <c r="BMK10" s="131"/>
      <c r="BML10" s="131"/>
      <c r="BMM10" s="131"/>
      <c r="BMN10" s="131"/>
      <c r="BMO10" s="131"/>
      <c r="BMP10" s="131"/>
      <c r="BMQ10" s="131"/>
      <c r="BMR10" s="131"/>
      <c r="BMS10" s="131"/>
      <c r="BMT10" s="131"/>
      <c r="BMU10" s="131"/>
      <c r="BMV10" s="131"/>
      <c r="BMW10" s="131"/>
      <c r="BMX10" s="131"/>
      <c r="BMY10" s="131"/>
      <c r="BMZ10" s="131"/>
      <c r="BNA10" s="131"/>
      <c r="BNB10" s="131"/>
      <c r="BNC10" s="131"/>
      <c r="BND10" s="131"/>
      <c r="BNE10" s="131"/>
      <c r="BNF10" s="131"/>
      <c r="BNG10" s="131"/>
      <c r="BNH10" s="131"/>
      <c r="BNI10" s="131"/>
      <c r="BNJ10" s="131"/>
      <c r="BNK10" s="131"/>
      <c r="BNL10" s="131"/>
      <c r="BNM10" s="131"/>
      <c r="BNN10" s="131"/>
      <c r="BNO10" s="131"/>
      <c r="BNP10" s="131"/>
      <c r="BNQ10" s="131"/>
      <c r="BNR10" s="131"/>
      <c r="BNS10" s="131"/>
      <c r="BNT10" s="131"/>
      <c r="BNU10" s="131"/>
      <c r="BNV10" s="131"/>
      <c r="BNW10" s="131"/>
      <c r="BNX10" s="131"/>
      <c r="BNY10" s="131"/>
      <c r="BNZ10" s="131"/>
      <c r="BOA10" s="131"/>
      <c r="BOB10" s="131"/>
      <c r="BOC10" s="131"/>
      <c r="BOD10" s="131"/>
      <c r="BOE10" s="131"/>
      <c r="BOF10" s="131"/>
      <c r="BOG10" s="131"/>
      <c r="BOH10" s="131"/>
      <c r="BOI10" s="131"/>
      <c r="BOJ10" s="131"/>
      <c r="BOK10" s="131"/>
      <c r="BOL10" s="131"/>
      <c r="BOM10" s="131"/>
      <c r="BON10" s="131"/>
      <c r="BOO10" s="131"/>
      <c r="BOP10" s="131"/>
      <c r="BOQ10" s="131"/>
      <c r="BOR10" s="131"/>
      <c r="BOS10" s="131"/>
      <c r="BOT10" s="131"/>
      <c r="BOU10" s="131"/>
      <c r="BOV10" s="131"/>
      <c r="BOW10" s="131"/>
      <c r="BOX10" s="131"/>
      <c r="BOY10" s="131"/>
      <c r="BOZ10" s="131"/>
      <c r="BPA10" s="131"/>
      <c r="BPB10" s="131"/>
      <c r="BPC10" s="131"/>
      <c r="BPD10" s="131"/>
      <c r="BPE10" s="131"/>
      <c r="BPF10" s="131"/>
      <c r="BPG10" s="131"/>
      <c r="BPH10" s="131"/>
      <c r="BPI10" s="131"/>
      <c r="BPJ10" s="131"/>
      <c r="BPK10" s="131"/>
      <c r="BPL10" s="131"/>
      <c r="BPM10" s="131"/>
      <c r="BPN10" s="131"/>
      <c r="BPO10" s="131"/>
      <c r="BPP10" s="131"/>
      <c r="BPQ10" s="131"/>
      <c r="BPR10" s="131"/>
      <c r="BPS10" s="131"/>
      <c r="BPT10" s="131"/>
      <c r="BPU10" s="131"/>
      <c r="BPV10" s="131"/>
      <c r="BPW10" s="131"/>
      <c r="BPX10" s="131"/>
      <c r="BPY10" s="131"/>
      <c r="BPZ10" s="131"/>
      <c r="BQA10" s="131"/>
      <c r="BQB10" s="131"/>
      <c r="BQC10" s="131"/>
      <c r="BQD10" s="131"/>
      <c r="BQE10" s="131"/>
      <c r="BQF10" s="131"/>
      <c r="BQG10" s="131"/>
      <c r="BQH10" s="131"/>
      <c r="BQI10" s="131"/>
      <c r="BQJ10" s="131"/>
      <c r="BQK10" s="131"/>
      <c r="BQL10" s="131"/>
      <c r="BQM10" s="131"/>
      <c r="BQN10" s="131"/>
      <c r="BQO10" s="131"/>
      <c r="BQP10" s="131"/>
      <c r="BQQ10" s="131"/>
      <c r="BQR10" s="131"/>
      <c r="BQS10" s="131"/>
      <c r="BQT10" s="131"/>
      <c r="BQU10" s="131"/>
      <c r="BQV10" s="131"/>
      <c r="BQW10" s="131"/>
      <c r="BQX10" s="131"/>
      <c r="BQY10" s="131"/>
      <c r="BQZ10" s="131"/>
      <c r="BRA10" s="131"/>
      <c r="BRB10" s="131"/>
      <c r="BRC10" s="131"/>
      <c r="BRD10" s="131"/>
      <c r="BRE10" s="131"/>
      <c r="BRF10" s="131"/>
      <c r="BRG10" s="131"/>
      <c r="BRH10" s="131"/>
      <c r="BRI10" s="131"/>
      <c r="BRJ10" s="131"/>
      <c r="BRK10" s="131"/>
      <c r="BRL10" s="131"/>
      <c r="BRM10" s="131"/>
      <c r="BRN10" s="131"/>
      <c r="BRO10" s="131"/>
      <c r="BRP10" s="131"/>
      <c r="BRQ10" s="131"/>
      <c r="BRR10" s="131"/>
      <c r="BRS10" s="131"/>
      <c r="BRT10" s="131"/>
      <c r="BRU10" s="131"/>
      <c r="BRV10" s="131"/>
      <c r="BRW10" s="131"/>
      <c r="BRX10" s="131"/>
      <c r="BRY10" s="131"/>
      <c r="BRZ10" s="131"/>
      <c r="BSA10" s="131"/>
      <c r="BSB10" s="131"/>
      <c r="BSC10" s="131"/>
      <c r="BSD10" s="131"/>
      <c r="BSE10" s="131"/>
      <c r="BSF10" s="131"/>
      <c r="BSG10" s="131"/>
      <c r="BSH10" s="131"/>
      <c r="BSI10" s="131"/>
      <c r="BSJ10" s="131"/>
      <c r="BSK10" s="131"/>
      <c r="BSL10" s="131"/>
      <c r="BSM10" s="131"/>
      <c r="BSN10" s="131"/>
      <c r="BSO10" s="131"/>
      <c r="BSP10" s="131"/>
      <c r="BSQ10" s="131"/>
      <c r="BSR10" s="131"/>
      <c r="BSS10" s="131"/>
      <c r="BST10" s="131"/>
      <c r="BSU10" s="131"/>
      <c r="BSV10" s="131"/>
      <c r="BSW10" s="131"/>
      <c r="BSX10" s="131"/>
      <c r="BSY10" s="131"/>
      <c r="BSZ10" s="131"/>
      <c r="BTA10" s="131"/>
      <c r="BTB10" s="131"/>
      <c r="BTC10" s="131"/>
      <c r="BTD10" s="131"/>
      <c r="BTE10" s="131"/>
      <c r="BTF10" s="131"/>
      <c r="BTG10" s="131"/>
      <c r="BTH10" s="131"/>
      <c r="BTI10" s="131"/>
      <c r="BTJ10" s="131"/>
      <c r="BTK10" s="131"/>
      <c r="BTL10" s="131"/>
      <c r="BTM10" s="131"/>
      <c r="BTN10" s="131"/>
      <c r="BTO10" s="131"/>
      <c r="BTP10" s="131"/>
      <c r="BTQ10" s="131"/>
      <c r="BTR10" s="131"/>
      <c r="BTS10" s="131"/>
      <c r="BTT10" s="131"/>
      <c r="BTU10" s="131"/>
      <c r="BTV10" s="131"/>
      <c r="BTW10" s="131"/>
      <c r="BTX10" s="131"/>
      <c r="BTY10" s="131"/>
      <c r="BTZ10" s="131"/>
      <c r="BUA10" s="131"/>
      <c r="BUB10" s="131"/>
      <c r="BUC10" s="131"/>
      <c r="BUD10" s="131"/>
      <c r="BUE10" s="131"/>
      <c r="BUF10" s="131"/>
      <c r="BUG10" s="131"/>
      <c r="BUH10" s="131"/>
      <c r="BUI10" s="131"/>
      <c r="BUJ10" s="131"/>
      <c r="BUK10" s="131"/>
      <c r="BUL10" s="131"/>
      <c r="BUM10" s="131"/>
      <c r="BUN10" s="131"/>
      <c r="BUO10" s="131"/>
      <c r="BUP10" s="131"/>
      <c r="BUQ10" s="131"/>
      <c r="BUR10" s="131"/>
      <c r="BUS10" s="131"/>
      <c r="BUT10" s="131"/>
      <c r="BUU10" s="131"/>
      <c r="BUV10" s="131"/>
      <c r="BUW10" s="131"/>
      <c r="BUX10" s="131"/>
      <c r="BUY10" s="131"/>
      <c r="BUZ10" s="131"/>
      <c r="BVA10" s="131"/>
      <c r="BVB10" s="131"/>
      <c r="BVC10" s="131"/>
      <c r="BVD10" s="131"/>
      <c r="BVE10" s="131"/>
      <c r="BVF10" s="131"/>
      <c r="BVG10" s="131"/>
      <c r="BVH10" s="131"/>
      <c r="BVI10" s="131"/>
      <c r="BVJ10" s="131"/>
      <c r="BVK10" s="131"/>
      <c r="BVL10" s="131"/>
      <c r="BVM10" s="131"/>
      <c r="BVN10" s="131"/>
      <c r="BVO10" s="131"/>
      <c r="BVP10" s="131"/>
      <c r="BVQ10" s="131"/>
      <c r="BVR10" s="131"/>
      <c r="BVS10" s="131"/>
      <c r="BVT10" s="131"/>
      <c r="BVU10" s="131"/>
      <c r="BVV10" s="131"/>
      <c r="BVW10" s="131"/>
      <c r="BVX10" s="131"/>
      <c r="BVY10" s="131"/>
      <c r="BVZ10" s="131"/>
      <c r="BWA10" s="131"/>
      <c r="BWB10" s="131"/>
      <c r="BWC10" s="131"/>
      <c r="BWD10" s="131"/>
      <c r="BWE10" s="131"/>
      <c r="BWF10" s="131"/>
      <c r="BWG10" s="131"/>
      <c r="BWH10" s="131"/>
      <c r="BWI10" s="131"/>
      <c r="BWJ10" s="131"/>
      <c r="BWK10" s="131"/>
      <c r="BWL10" s="131"/>
      <c r="BWM10" s="131"/>
      <c r="BWN10" s="131"/>
      <c r="BWO10" s="131"/>
      <c r="BWP10" s="131"/>
      <c r="BWQ10" s="131"/>
      <c r="BWR10" s="131"/>
      <c r="BWS10" s="131"/>
      <c r="BWT10" s="131"/>
      <c r="BWU10" s="131"/>
      <c r="BWV10" s="131"/>
      <c r="BWW10" s="131"/>
      <c r="BWX10" s="131"/>
      <c r="BWY10" s="131"/>
      <c r="BWZ10" s="131"/>
      <c r="BXA10" s="131"/>
      <c r="BXB10" s="131"/>
      <c r="BXC10" s="131"/>
      <c r="BXD10" s="131"/>
      <c r="BXE10" s="131"/>
      <c r="BXF10" s="131"/>
      <c r="BXG10" s="131"/>
      <c r="BXH10" s="131"/>
      <c r="BXI10" s="131"/>
      <c r="BXJ10" s="131"/>
      <c r="BXK10" s="131"/>
      <c r="BXL10" s="131"/>
      <c r="BXM10" s="131"/>
      <c r="BXN10" s="131"/>
      <c r="BXO10" s="131"/>
      <c r="BXP10" s="131"/>
      <c r="BXQ10" s="131"/>
      <c r="BXR10" s="131"/>
      <c r="BXS10" s="131"/>
      <c r="BXT10" s="131"/>
      <c r="BXU10" s="131"/>
      <c r="BXV10" s="131"/>
      <c r="BXW10" s="131"/>
      <c r="BXX10" s="131"/>
      <c r="BXY10" s="131"/>
      <c r="BXZ10" s="131"/>
      <c r="BYA10" s="131"/>
      <c r="BYB10" s="131"/>
      <c r="BYC10" s="131"/>
      <c r="BYD10" s="131"/>
      <c r="BYE10" s="131"/>
      <c r="BYF10" s="131"/>
      <c r="BYG10" s="131"/>
      <c r="BYH10" s="131"/>
      <c r="BYI10" s="131"/>
      <c r="BYJ10" s="131"/>
      <c r="BYK10" s="131"/>
      <c r="BYL10" s="131"/>
      <c r="BYM10" s="131"/>
      <c r="BYN10" s="131"/>
      <c r="BYO10" s="131"/>
      <c r="BYP10" s="131"/>
      <c r="BYQ10" s="131"/>
      <c r="BYR10" s="131"/>
      <c r="BYS10" s="131"/>
      <c r="BYT10" s="131"/>
      <c r="BYU10" s="131"/>
      <c r="BYV10" s="131"/>
      <c r="BYW10" s="131"/>
      <c r="BYX10" s="131"/>
      <c r="BYY10" s="131"/>
      <c r="BYZ10" s="131"/>
      <c r="BZA10" s="131"/>
      <c r="BZB10" s="131"/>
      <c r="BZC10" s="131"/>
      <c r="BZD10" s="131"/>
      <c r="BZE10" s="131"/>
      <c r="BZF10" s="131"/>
      <c r="BZG10" s="131"/>
      <c r="BZH10" s="131"/>
      <c r="BZI10" s="131"/>
      <c r="BZV10" s="131"/>
      <c r="BZW10" s="131"/>
      <c r="BZX10" s="131"/>
      <c r="BZY10" s="131"/>
      <c r="BZZ10" s="131"/>
      <c r="CAA10" s="131"/>
      <c r="CAB10" s="131"/>
      <c r="CAC10" s="131"/>
      <c r="CAD10" s="131"/>
      <c r="CAE10" s="131"/>
      <c r="CAF10" s="131"/>
      <c r="CAG10" s="131"/>
      <c r="CAH10" s="131"/>
      <c r="CAI10" s="131"/>
      <c r="CAJ10" s="131"/>
      <c r="CAK10" s="131"/>
      <c r="CAL10" s="131"/>
      <c r="CAM10" s="131"/>
      <c r="CAN10" s="131"/>
      <c r="CAO10" s="131"/>
      <c r="CAP10" s="131"/>
      <c r="CAQ10" s="131"/>
      <c r="CAR10" s="131"/>
      <c r="CAS10" s="131"/>
      <c r="CAT10" s="131"/>
      <c r="CAU10" s="131"/>
      <c r="CAV10" s="131"/>
      <c r="CAW10" s="131"/>
      <c r="CAX10" s="131"/>
      <c r="CAY10" s="131"/>
      <c r="CAZ10" s="131"/>
      <c r="CBA10" s="131"/>
      <c r="CBB10" s="131"/>
      <c r="CBC10" s="131"/>
      <c r="CBD10" s="131"/>
      <c r="CBE10" s="131"/>
      <c r="CBF10" s="131"/>
      <c r="CBG10" s="131"/>
      <c r="CBH10" s="131"/>
      <c r="CBI10" s="131"/>
      <c r="CBJ10" s="131"/>
      <c r="CBK10" s="131"/>
      <c r="CBL10" s="131"/>
      <c r="CBM10" s="131"/>
      <c r="CBN10" s="131"/>
      <c r="CBO10" s="131"/>
      <c r="CBP10" s="131"/>
      <c r="CBQ10" s="131"/>
      <c r="CBR10" s="131"/>
      <c r="CBS10" s="131"/>
      <c r="CBT10" s="131"/>
      <c r="CBU10" s="131"/>
      <c r="CBV10" s="131"/>
      <c r="CBW10" s="131"/>
      <c r="CBX10" s="131"/>
      <c r="CBY10" s="131"/>
      <c r="CBZ10" s="131"/>
      <c r="CCA10" s="131"/>
      <c r="CCB10" s="131"/>
      <c r="CCC10" s="131"/>
      <c r="CCD10" s="131"/>
      <c r="CCE10" s="131"/>
      <c r="CCF10" s="131"/>
      <c r="CCG10" s="131"/>
      <c r="CCH10" s="131"/>
      <c r="CCI10" s="131"/>
      <c r="CCJ10" s="131"/>
      <c r="CCK10" s="131"/>
      <c r="CCL10" s="131"/>
      <c r="CCM10" s="131"/>
      <c r="CCN10" s="131"/>
      <c r="CCO10" s="131"/>
      <c r="CCP10" s="131"/>
      <c r="CCQ10" s="131"/>
      <c r="CCR10" s="131"/>
      <c r="CCS10" s="131"/>
      <c r="CCT10" s="131"/>
      <c r="CCU10" s="131"/>
      <c r="CCV10" s="131"/>
      <c r="CCW10" s="131"/>
      <c r="CCX10" s="131"/>
      <c r="CCY10" s="131"/>
      <c r="CCZ10" s="131"/>
      <c r="CDA10" s="131"/>
      <c r="CDB10" s="131"/>
      <c r="CDC10" s="131"/>
      <c r="CDD10" s="131"/>
      <c r="CDE10" s="131"/>
      <c r="CDF10" s="131"/>
      <c r="CDG10" s="131"/>
      <c r="CDH10" s="131"/>
      <c r="CDI10" s="131"/>
      <c r="CDJ10" s="131"/>
      <c r="CDK10" s="131"/>
      <c r="CDL10" s="131"/>
      <c r="CDM10" s="131"/>
      <c r="CDN10" s="131"/>
      <c r="CDO10" s="131"/>
      <c r="CDP10" s="131"/>
      <c r="CDQ10" s="131"/>
      <c r="CDR10" s="131"/>
      <c r="CDS10" s="131"/>
      <c r="CDT10" s="131"/>
      <c r="CDU10" s="131"/>
      <c r="CDV10" s="131"/>
      <c r="CDW10" s="131"/>
      <c r="CDX10" s="131"/>
      <c r="CDY10" s="131"/>
      <c r="CDZ10" s="131"/>
      <c r="CEA10" s="131"/>
      <c r="CEB10" s="131"/>
      <c r="CEC10" s="131"/>
      <c r="CED10" s="131"/>
      <c r="CEE10" s="131"/>
      <c r="CEF10" s="131"/>
      <c r="CEG10" s="131"/>
      <c r="CEH10" s="131"/>
      <c r="CEI10" s="131"/>
      <c r="CEJ10" s="131"/>
      <c r="CEK10" s="131"/>
      <c r="CEL10" s="131"/>
      <c r="CEM10" s="131"/>
      <c r="CEN10" s="131"/>
      <c r="CEO10" s="131"/>
      <c r="CEP10" s="131"/>
      <c r="CEQ10" s="131"/>
      <c r="CER10" s="131"/>
      <c r="CES10" s="131"/>
      <c r="CET10" s="131"/>
      <c r="CEU10" s="131"/>
      <c r="CEV10" s="131"/>
      <c r="CEW10" s="131"/>
      <c r="CEX10" s="131"/>
      <c r="CEY10" s="131"/>
      <c r="CEZ10" s="131"/>
      <c r="CFA10" s="131"/>
      <c r="CFB10" s="131"/>
      <c r="CFC10" s="131"/>
      <c r="CFD10" s="131"/>
      <c r="CFE10" s="131"/>
      <c r="CFF10" s="131"/>
      <c r="CFG10" s="131"/>
      <c r="CFH10" s="131"/>
      <c r="CFI10" s="131"/>
      <c r="CFJ10" s="131"/>
      <c r="CFK10" s="131"/>
      <c r="CFL10" s="131"/>
      <c r="CFM10" s="131"/>
      <c r="CFN10" s="131"/>
      <c r="CFO10" s="131"/>
      <c r="CFP10" s="131"/>
      <c r="CFQ10" s="131"/>
      <c r="CFR10" s="131"/>
      <c r="CFS10" s="131"/>
      <c r="CFT10" s="131"/>
      <c r="CFU10" s="131"/>
      <c r="CFV10" s="131"/>
      <c r="CFW10" s="131"/>
      <c r="CFX10" s="131"/>
      <c r="CFY10" s="131"/>
      <c r="CFZ10" s="131"/>
      <c r="CGA10" s="131"/>
      <c r="CGB10" s="131"/>
      <c r="CGC10" s="131"/>
      <c r="CGD10" s="131"/>
      <c r="CGE10" s="131"/>
      <c r="CGF10" s="131"/>
      <c r="CGG10" s="131"/>
      <c r="CGH10" s="131"/>
      <c r="CGI10" s="131"/>
      <c r="CGJ10" s="131"/>
      <c r="CGK10" s="131"/>
      <c r="CGL10" s="131"/>
      <c r="CGM10" s="131"/>
      <c r="CGN10" s="131"/>
      <c r="CGO10" s="131"/>
      <c r="CGP10" s="131"/>
      <c r="CGQ10" s="131"/>
      <c r="CGR10" s="131"/>
      <c r="CGS10" s="131"/>
      <c r="CGT10" s="131"/>
      <c r="CGU10" s="131"/>
      <c r="CGV10" s="131"/>
      <c r="CGW10" s="131"/>
      <c r="CGX10" s="131"/>
      <c r="CGY10" s="131"/>
      <c r="CGZ10" s="131"/>
      <c r="CHA10" s="131"/>
      <c r="CHB10" s="131"/>
      <c r="CHC10" s="131"/>
      <c r="CHD10" s="131"/>
      <c r="CHE10" s="131"/>
      <c r="CHF10" s="131"/>
      <c r="CHG10" s="131"/>
      <c r="CHH10" s="131"/>
      <c r="CHI10" s="131"/>
      <c r="CHJ10" s="131"/>
      <c r="CHK10" s="131"/>
      <c r="CHL10" s="131"/>
      <c r="CHM10" s="131"/>
      <c r="CHN10" s="131"/>
      <c r="CHO10" s="131"/>
      <c r="CHP10" s="131"/>
      <c r="CHQ10" s="131"/>
      <c r="CHR10" s="131"/>
      <c r="CHS10" s="131"/>
      <c r="CHT10" s="131"/>
      <c r="CHU10" s="131"/>
      <c r="CHV10" s="131"/>
      <c r="CHW10" s="131"/>
      <c r="CHX10" s="131"/>
      <c r="CHY10" s="131"/>
      <c r="CHZ10" s="131"/>
      <c r="CIA10" s="131"/>
      <c r="CIB10" s="131"/>
      <c r="CIC10" s="131"/>
      <c r="CID10" s="131"/>
      <c r="CIE10" s="131"/>
      <c r="CIF10" s="131"/>
      <c r="CIG10" s="131"/>
      <c r="CIH10" s="131"/>
      <c r="CII10" s="131"/>
      <c r="CIJ10" s="131"/>
      <c r="CIK10" s="131"/>
      <c r="CIL10" s="131"/>
      <c r="CIM10" s="131"/>
      <c r="CIN10" s="131"/>
      <c r="CIO10" s="131"/>
      <c r="CIP10" s="131"/>
      <c r="CIQ10" s="131"/>
      <c r="CIR10" s="131"/>
      <c r="CIS10" s="131"/>
      <c r="CIT10" s="131"/>
      <c r="CIU10" s="131"/>
      <c r="CIV10" s="131"/>
      <c r="CIW10" s="131"/>
      <c r="CIX10" s="131"/>
      <c r="CIY10" s="131"/>
      <c r="CIZ10" s="131"/>
      <c r="CJA10" s="131"/>
      <c r="CJB10" s="131"/>
      <c r="CJC10" s="131"/>
      <c r="CJD10" s="131"/>
      <c r="CJE10" s="131"/>
      <c r="CJF10" s="131"/>
      <c r="CJG10" s="131"/>
      <c r="CJH10" s="131"/>
      <c r="CJI10" s="131"/>
      <c r="CJJ10" s="131"/>
      <c r="CJK10" s="131"/>
      <c r="CJL10" s="131"/>
      <c r="CJM10" s="131"/>
      <c r="CJN10" s="131"/>
      <c r="CJO10" s="131"/>
      <c r="CJP10" s="131"/>
      <c r="CJQ10" s="131"/>
      <c r="CJR10" s="131"/>
      <c r="CJS10" s="131"/>
      <c r="CJT10" s="131"/>
      <c r="CJU10" s="131"/>
      <c r="CJV10" s="131"/>
      <c r="CJW10" s="131"/>
      <c r="CJX10" s="131"/>
      <c r="CJY10" s="131"/>
      <c r="CJZ10" s="131"/>
      <c r="CKA10" s="131"/>
      <c r="CKB10" s="131"/>
      <c r="CKC10" s="131"/>
      <c r="CKD10" s="131"/>
      <c r="CKE10" s="131"/>
      <c r="CKF10" s="131"/>
      <c r="CKG10" s="131"/>
      <c r="CKH10" s="131"/>
      <c r="CKI10" s="131"/>
      <c r="CKJ10" s="131"/>
      <c r="CKK10" s="131"/>
      <c r="CKL10" s="131"/>
      <c r="CKM10" s="131"/>
      <c r="CKN10" s="131"/>
      <c r="CKO10" s="131"/>
      <c r="CKP10" s="131"/>
      <c r="CKQ10" s="131"/>
      <c r="CKR10" s="131"/>
      <c r="CKS10" s="131"/>
      <c r="CKT10" s="131"/>
      <c r="CKU10" s="131"/>
      <c r="CKV10" s="131"/>
      <c r="CKW10" s="131"/>
      <c r="CKX10" s="131"/>
      <c r="CKY10" s="131"/>
      <c r="CKZ10" s="131"/>
      <c r="CLA10" s="131"/>
      <c r="CLB10" s="131"/>
      <c r="CLC10" s="131"/>
      <c r="CLD10" s="131"/>
      <c r="CLE10" s="131"/>
      <c r="CLF10" s="131"/>
      <c r="CLG10" s="131"/>
      <c r="CLH10" s="131"/>
      <c r="CLI10" s="131"/>
      <c r="CLJ10" s="131"/>
      <c r="CLK10" s="131"/>
      <c r="CLL10" s="131"/>
      <c r="CLM10" s="131"/>
      <c r="CLN10" s="131"/>
      <c r="CLO10" s="131"/>
      <c r="CLP10" s="131"/>
      <c r="CLQ10" s="131"/>
      <c r="CLR10" s="131"/>
      <c r="CLS10" s="131"/>
      <c r="CLT10" s="131"/>
      <c r="CLU10" s="131"/>
      <c r="CLV10" s="131"/>
      <c r="CLW10" s="131"/>
      <c r="CLX10" s="131"/>
      <c r="CLY10" s="131"/>
      <c r="CLZ10" s="131"/>
      <c r="CMA10" s="131"/>
      <c r="CMB10" s="131"/>
      <c r="CMC10" s="131"/>
      <c r="CMD10" s="131"/>
      <c r="CME10" s="131"/>
      <c r="CMF10" s="131"/>
      <c r="CMG10" s="131"/>
      <c r="CMH10" s="131"/>
      <c r="CMI10" s="131"/>
      <c r="CMJ10" s="131"/>
      <c r="CMK10" s="131"/>
      <c r="CML10" s="131"/>
      <c r="CMM10" s="131"/>
      <c r="CMN10" s="131"/>
      <c r="CMO10" s="131"/>
      <c r="CMP10" s="131"/>
      <c r="CMQ10" s="131"/>
      <c r="CMR10" s="131"/>
      <c r="CMS10" s="131"/>
      <c r="CMT10" s="131"/>
      <c r="CMU10" s="131"/>
      <c r="CMV10" s="131"/>
      <c r="CMW10" s="131"/>
      <c r="CMX10" s="131"/>
      <c r="CMY10" s="131"/>
      <c r="CMZ10" s="131"/>
      <c r="CNA10" s="131"/>
      <c r="CNB10" s="131"/>
      <c r="CNC10" s="131"/>
      <c r="CND10" s="131"/>
      <c r="CNE10" s="131"/>
      <c r="CNF10" s="131"/>
      <c r="CNG10" s="131"/>
      <c r="CNH10" s="131"/>
      <c r="CNI10" s="131"/>
      <c r="CNJ10" s="131"/>
      <c r="CNK10" s="131"/>
      <c r="CNL10" s="131"/>
      <c r="CNM10" s="131"/>
      <c r="CNN10" s="131"/>
      <c r="CNO10" s="131"/>
      <c r="CNP10" s="131"/>
      <c r="CNQ10" s="131"/>
      <c r="CNR10" s="131"/>
      <c r="CNS10" s="131"/>
      <c r="CNT10" s="131"/>
      <c r="CNU10" s="131"/>
      <c r="CNV10" s="131"/>
      <c r="CNW10" s="131"/>
      <c r="CNX10" s="131"/>
      <c r="CNY10" s="131"/>
      <c r="CNZ10" s="131"/>
      <c r="COA10" s="131"/>
      <c r="COB10" s="131"/>
      <c r="COC10" s="131"/>
      <c r="COD10" s="131"/>
      <c r="COE10" s="131"/>
      <c r="COF10" s="131"/>
      <c r="COG10" s="131"/>
      <c r="COH10" s="131"/>
      <c r="COI10" s="131"/>
      <c r="COJ10" s="131"/>
      <c r="COK10" s="131"/>
      <c r="COL10" s="131"/>
      <c r="COM10" s="131"/>
      <c r="CON10" s="131"/>
      <c r="COO10" s="131"/>
      <c r="COP10" s="131"/>
      <c r="COQ10" s="131"/>
      <c r="COR10" s="131"/>
      <c r="COS10" s="131"/>
      <c r="COT10" s="131"/>
      <c r="COU10" s="131"/>
      <c r="COV10" s="131"/>
      <c r="COW10" s="131"/>
      <c r="COX10" s="131"/>
      <c r="COY10" s="131"/>
      <c r="COZ10" s="131"/>
      <c r="CPA10" s="131"/>
      <c r="CPB10" s="131"/>
      <c r="CPC10" s="131"/>
      <c r="CPD10" s="131"/>
      <c r="CPE10" s="131"/>
      <c r="CPF10" s="131"/>
      <c r="CPG10" s="131"/>
      <c r="CPH10" s="131"/>
      <c r="CPI10" s="131"/>
      <c r="CPJ10" s="131"/>
      <c r="CPK10" s="131"/>
      <c r="CPL10" s="131"/>
      <c r="CPM10" s="131"/>
      <c r="CPN10" s="131"/>
      <c r="CPO10" s="131"/>
      <c r="CPP10" s="131"/>
      <c r="CPQ10" s="131"/>
      <c r="CPR10" s="131"/>
      <c r="CPS10" s="131"/>
      <c r="CPT10" s="131"/>
      <c r="CPU10" s="131"/>
      <c r="CPV10" s="131"/>
      <c r="CPW10" s="131"/>
      <c r="CPX10" s="131"/>
      <c r="CPY10" s="131"/>
      <c r="CPZ10" s="131"/>
      <c r="CQA10" s="131"/>
      <c r="CQB10" s="131"/>
      <c r="CQC10" s="131"/>
      <c r="CQD10" s="131"/>
      <c r="CQE10" s="131"/>
      <c r="CQF10" s="131"/>
      <c r="CQG10" s="131"/>
      <c r="CQH10" s="131"/>
      <c r="CQI10" s="131"/>
      <c r="CQJ10" s="131"/>
      <c r="CQK10" s="131"/>
      <c r="CQL10" s="131"/>
      <c r="CQM10" s="131"/>
      <c r="CQN10" s="131"/>
      <c r="CQO10" s="131"/>
      <c r="CQP10" s="131"/>
      <c r="CQQ10" s="131"/>
      <c r="CQR10" s="131"/>
      <c r="CQS10" s="131"/>
      <c r="CQT10" s="131"/>
      <c r="CQU10" s="131"/>
      <c r="CQV10" s="131"/>
      <c r="CQW10" s="131"/>
      <c r="CQX10" s="131"/>
      <c r="CQY10" s="131"/>
      <c r="CQZ10" s="131"/>
      <c r="CRA10" s="131"/>
      <c r="CRB10" s="131"/>
      <c r="CRC10" s="131"/>
      <c r="CRD10" s="131"/>
      <c r="CRE10" s="131"/>
      <c r="CRF10" s="131"/>
      <c r="CRG10" s="131"/>
      <c r="CRH10" s="131"/>
      <c r="CRI10" s="131"/>
      <c r="CRJ10" s="131"/>
      <c r="CRK10" s="131"/>
      <c r="CRL10" s="131"/>
      <c r="CRM10" s="131"/>
      <c r="CRN10" s="131"/>
      <c r="CRO10" s="131"/>
      <c r="CRP10" s="131"/>
      <c r="CRQ10" s="131"/>
      <c r="CRR10" s="131"/>
      <c r="CRS10" s="131"/>
      <c r="CRT10" s="131"/>
      <c r="CRU10" s="131"/>
      <c r="CRV10" s="131"/>
      <c r="CRW10" s="131"/>
      <c r="CRX10" s="131"/>
      <c r="CRY10" s="131"/>
      <c r="CRZ10" s="131"/>
      <c r="CSA10" s="131"/>
      <c r="CSB10" s="131"/>
      <c r="CSC10" s="131"/>
      <c r="CSD10" s="131"/>
      <c r="CSE10" s="131"/>
      <c r="CSF10" s="131"/>
      <c r="CSG10" s="131"/>
      <c r="CSH10" s="131"/>
      <c r="CSI10" s="131"/>
      <c r="CSJ10" s="131"/>
      <c r="CSK10" s="131"/>
      <c r="CSL10" s="131"/>
      <c r="CSM10" s="131"/>
      <c r="CSN10" s="131"/>
      <c r="CSO10" s="131"/>
      <c r="CSP10" s="131"/>
      <c r="CSQ10" s="131"/>
      <c r="CSR10" s="131"/>
      <c r="CSS10" s="131"/>
      <c r="CST10" s="131"/>
      <c r="CSU10" s="131"/>
      <c r="CSV10" s="131"/>
      <c r="CSW10" s="131"/>
      <c r="CSX10" s="131"/>
      <c r="CSY10" s="131"/>
      <c r="CSZ10" s="131"/>
      <c r="CTA10" s="131"/>
      <c r="CTB10" s="131"/>
      <c r="CTC10" s="131"/>
      <c r="CTD10" s="131"/>
      <c r="CTE10" s="131"/>
      <c r="CTF10" s="131"/>
      <c r="CTG10" s="131"/>
      <c r="CTH10" s="131"/>
      <c r="CTI10" s="131"/>
      <c r="CTJ10" s="131"/>
      <c r="CTK10" s="131"/>
      <c r="CTL10" s="131"/>
      <c r="CTM10" s="131"/>
      <c r="CTN10" s="131"/>
      <c r="CTO10" s="131"/>
      <c r="CTP10" s="131"/>
      <c r="CTQ10" s="131"/>
      <c r="CTR10" s="131"/>
      <c r="CTS10" s="131"/>
      <c r="CTT10" s="131"/>
      <c r="CTU10" s="131"/>
      <c r="CTV10" s="131"/>
      <c r="CTW10" s="131"/>
      <c r="CTX10" s="131"/>
      <c r="CTY10" s="131"/>
      <c r="CTZ10" s="131"/>
      <c r="CUA10" s="131"/>
      <c r="CUB10" s="131"/>
      <c r="CUC10" s="131"/>
      <c r="CUD10" s="131"/>
      <c r="CUE10" s="131"/>
      <c r="CUF10" s="131"/>
      <c r="CUG10" s="131"/>
      <c r="CUH10" s="131"/>
      <c r="CUI10" s="131"/>
      <c r="CUJ10" s="131"/>
      <c r="CUK10" s="131"/>
      <c r="CUL10" s="131"/>
      <c r="CUM10" s="131"/>
      <c r="CUN10" s="131"/>
      <c r="CUO10" s="131"/>
      <c r="CUP10" s="131"/>
      <c r="CUQ10" s="131"/>
      <c r="CUR10" s="131"/>
      <c r="CUS10" s="131"/>
      <c r="CUT10" s="131"/>
      <c r="CUU10" s="131"/>
      <c r="CUV10" s="131"/>
      <c r="CUW10" s="131"/>
      <c r="CUX10" s="131"/>
      <c r="CUY10" s="131"/>
      <c r="CUZ10" s="131"/>
      <c r="CVA10" s="131"/>
      <c r="CVB10" s="131"/>
      <c r="CVC10" s="131"/>
      <c r="CVD10" s="131"/>
      <c r="CVE10" s="131"/>
      <c r="CVF10" s="131"/>
      <c r="CVG10" s="131"/>
      <c r="CVH10" s="131"/>
      <c r="CVI10" s="131"/>
      <c r="CVJ10" s="131"/>
      <c r="CVK10" s="131"/>
      <c r="CVL10" s="131"/>
      <c r="CVM10" s="131"/>
      <c r="CVN10" s="131"/>
      <c r="CVO10" s="131"/>
      <c r="CVP10" s="131"/>
      <c r="CVQ10" s="131"/>
      <c r="CVR10" s="131"/>
      <c r="CVS10" s="131"/>
      <c r="CVT10" s="131"/>
      <c r="CVU10" s="131"/>
      <c r="CVV10" s="131"/>
      <c r="CVW10" s="131"/>
      <c r="CVX10" s="131"/>
      <c r="CVY10" s="131"/>
      <c r="CVZ10" s="131"/>
      <c r="CWA10" s="131"/>
      <c r="CWB10" s="131"/>
      <c r="CWC10" s="131"/>
      <c r="CWD10" s="131"/>
      <c r="CWE10" s="131"/>
      <c r="CWF10" s="131"/>
      <c r="CWG10" s="131"/>
      <c r="CWH10" s="131"/>
      <c r="CWI10" s="131"/>
      <c r="CWJ10" s="131"/>
      <c r="CWK10" s="131"/>
      <c r="CWL10" s="131"/>
      <c r="CWM10" s="131"/>
      <c r="CWN10" s="131"/>
      <c r="CWO10" s="131"/>
      <c r="CWP10" s="131"/>
      <c r="CWQ10" s="131"/>
      <c r="CWR10" s="131"/>
      <c r="CWS10" s="131"/>
      <c r="CWT10" s="131"/>
      <c r="CWU10" s="131"/>
      <c r="CWV10" s="131"/>
      <c r="CWW10" s="131"/>
      <c r="CWX10" s="131"/>
      <c r="CWY10" s="131"/>
      <c r="CWZ10" s="131"/>
      <c r="CXA10" s="131"/>
      <c r="CXB10" s="131"/>
      <c r="CXC10" s="131"/>
      <c r="CXD10" s="131"/>
      <c r="CXE10" s="131"/>
      <c r="CXF10" s="131"/>
      <c r="CXG10" s="131"/>
      <c r="CXH10" s="131"/>
      <c r="CXI10" s="131"/>
      <c r="CXJ10" s="131"/>
      <c r="CXK10" s="131"/>
      <c r="CXL10" s="131"/>
      <c r="CXM10" s="131"/>
      <c r="CXN10" s="131"/>
      <c r="CXO10" s="131"/>
      <c r="CXP10" s="131"/>
      <c r="CXQ10" s="131"/>
      <c r="CXR10" s="131"/>
      <c r="CXS10" s="131"/>
      <c r="CXT10" s="131"/>
      <c r="CXU10" s="131"/>
      <c r="CXV10" s="131"/>
      <c r="CXW10" s="131"/>
      <c r="CXX10" s="131"/>
      <c r="CXY10" s="131"/>
      <c r="CXZ10" s="131"/>
      <c r="CYA10" s="131"/>
      <c r="CYB10" s="131"/>
      <c r="CYC10" s="131"/>
      <c r="CYD10" s="131"/>
      <c r="CYE10" s="131"/>
      <c r="CYF10" s="131"/>
      <c r="CYG10" s="131"/>
      <c r="CYH10" s="131"/>
      <c r="CYI10" s="131"/>
      <c r="CYJ10" s="131"/>
      <c r="CYK10" s="131"/>
      <c r="CYL10" s="131"/>
      <c r="CYM10" s="131"/>
      <c r="CYN10" s="131"/>
      <c r="CYO10" s="131"/>
      <c r="CYP10" s="131"/>
      <c r="CYQ10" s="131"/>
      <c r="CYR10" s="131"/>
      <c r="CYS10" s="131"/>
      <c r="CYT10" s="131"/>
      <c r="CYU10" s="131"/>
      <c r="CYV10" s="131"/>
      <c r="CYW10" s="131"/>
      <c r="CYX10" s="131"/>
      <c r="CYY10" s="131"/>
      <c r="CYZ10" s="131"/>
      <c r="CZA10" s="131"/>
      <c r="CZB10" s="131"/>
      <c r="CZC10" s="131"/>
      <c r="CZD10" s="131"/>
      <c r="CZE10" s="131"/>
      <c r="CZF10" s="131"/>
      <c r="CZG10" s="131"/>
      <c r="CZH10" s="131"/>
      <c r="CZI10" s="131"/>
      <c r="CZJ10" s="131"/>
      <c r="CZK10" s="131"/>
      <c r="CZL10" s="131"/>
      <c r="CZM10" s="131"/>
      <c r="CZN10" s="131"/>
      <c r="CZO10" s="131"/>
      <c r="CZP10" s="131"/>
      <c r="CZQ10" s="131"/>
      <c r="CZR10" s="131"/>
      <c r="CZS10" s="131"/>
      <c r="CZT10" s="131"/>
      <c r="CZU10" s="131"/>
      <c r="CZV10" s="131"/>
      <c r="CZW10" s="131"/>
      <c r="CZX10" s="131"/>
      <c r="CZY10" s="131"/>
      <c r="CZZ10" s="131"/>
      <c r="DAA10" s="131"/>
      <c r="DAB10" s="131"/>
      <c r="DAC10" s="131"/>
      <c r="DAD10" s="131"/>
      <c r="DAE10" s="131"/>
      <c r="DAF10" s="131"/>
      <c r="DAG10" s="131"/>
      <c r="DAH10" s="131"/>
      <c r="DAI10" s="131"/>
      <c r="DAJ10" s="131"/>
      <c r="DAK10" s="131"/>
      <c r="DAL10" s="131"/>
      <c r="DAM10" s="131"/>
      <c r="DAN10" s="131"/>
      <c r="DAO10" s="131"/>
      <c r="DAP10" s="131"/>
      <c r="DAQ10" s="131"/>
      <c r="DAR10" s="131"/>
      <c r="DAS10" s="131"/>
      <c r="DAT10" s="131"/>
      <c r="DAU10" s="131"/>
      <c r="DAV10" s="131"/>
      <c r="DAW10" s="131"/>
      <c r="DAX10" s="131"/>
      <c r="DAY10" s="131"/>
      <c r="DAZ10" s="131"/>
      <c r="DBA10" s="131"/>
      <c r="DBB10" s="131"/>
      <c r="DBC10" s="131"/>
      <c r="DBD10" s="131"/>
      <c r="DBE10" s="131"/>
      <c r="DBF10" s="131"/>
      <c r="DBG10" s="131"/>
      <c r="DBH10" s="131"/>
      <c r="DBI10" s="131"/>
      <c r="DBJ10" s="131"/>
      <c r="DBK10" s="131"/>
      <c r="DBL10" s="131"/>
      <c r="DBM10" s="131"/>
      <c r="DBN10" s="131"/>
      <c r="DBO10" s="131"/>
      <c r="DBP10" s="131"/>
      <c r="DBQ10" s="131"/>
      <c r="DBR10" s="131"/>
      <c r="DBS10" s="131"/>
      <c r="DBT10" s="131"/>
      <c r="DBU10" s="131"/>
      <c r="DBV10" s="131"/>
      <c r="DBW10" s="131"/>
      <c r="DBX10" s="131"/>
      <c r="DBY10" s="131"/>
      <c r="DBZ10" s="131"/>
      <c r="DCA10" s="131"/>
      <c r="DCB10" s="131"/>
      <c r="DCC10" s="131"/>
      <c r="DCD10" s="131"/>
      <c r="DCE10" s="131"/>
      <c r="DCF10" s="131"/>
      <c r="DCG10" s="131"/>
      <c r="DCH10" s="131"/>
      <c r="DCI10" s="131"/>
      <c r="DCJ10" s="131"/>
      <c r="DCK10" s="131"/>
      <c r="DCL10" s="131"/>
      <c r="DCM10" s="131"/>
      <c r="DCN10" s="131"/>
      <c r="DCO10" s="131"/>
      <c r="DCP10" s="131"/>
      <c r="DCQ10" s="131"/>
      <c r="DCR10" s="131"/>
      <c r="DCS10" s="131"/>
      <c r="DCT10" s="131"/>
      <c r="DCU10" s="131"/>
      <c r="DCV10" s="131"/>
      <c r="DCW10" s="131"/>
      <c r="DCX10" s="131"/>
      <c r="DCY10" s="131"/>
      <c r="DCZ10" s="131"/>
      <c r="DDA10" s="131"/>
      <c r="DDB10" s="131"/>
      <c r="DDC10" s="131"/>
      <c r="DDD10" s="131"/>
      <c r="DDE10" s="131"/>
      <c r="DDF10" s="131"/>
      <c r="DDG10" s="131"/>
      <c r="DDH10" s="131"/>
      <c r="DDI10" s="131"/>
      <c r="DDJ10" s="131"/>
      <c r="DDK10" s="131"/>
      <c r="DDL10" s="131"/>
      <c r="DDM10" s="131"/>
      <c r="DDN10" s="131"/>
      <c r="DDO10" s="131"/>
      <c r="DDP10" s="131"/>
      <c r="DDQ10" s="131"/>
      <c r="DDR10" s="131"/>
      <c r="DDS10" s="131"/>
      <c r="DDT10" s="131"/>
      <c r="DDU10" s="131"/>
      <c r="DDV10" s="131"/>
      <c r="DDW10" s="131"/>
      <c r="DDX10" s="131"/>
      <c r="DDY10" s="131"/>
      <c r="DDZ10" s="131"/>
      <c r="DEA10" s="131"/>
      <c r="DEB10" s="131"/>
      <c r="DEC10" s="131"/>
      <c r="DED10" s="131"/>
      <c r="DEE10" s="131"/>
      <c r="DEF10" s="131"/>
      <c r="DEG10" s="131"/>
      <c r="DEH10" s="131"/>
      <c r="DEI10" s="131"/>
      <c r="DEJ10" s="131"/>
      <c r="DEK10" s="131"/>
      <c r="DEL10" s="131"/>
      <c r="DEM10" s="131"/>
      <c r="DEN10" s="131"/>
      <c r="DEO10" s="131"/>
      <c r="DEP10" s="131"/>
      <c r="DEQ10" s="131"/>
      <c r="DER10" s="131"/>
      <c r="DES10" s="131"/>
      <c r="DET10" s="131"/>
      <c r="DEU10" s="131"/>
      <c r="DEV10" s="131"/>
      <c r="DEW10" s="131"/>
      <c r="DEX10" s="131"/>
      <c r="DEY10" s="131"/>
      <c r="DEZ10" s="131"/>
      <c r="DFA10" s="131"/>
      <c r="DFB10" s="131"/>
      <c r="DFC10" s="131"/>
      <c r="DFD10" s="131"/>
      <c r="DFE10" s="131"/>
      <c r="DFF10" s="131"/>
      <c r="DFG10" s="131"/>
      <c r="DFH10" s="131"/>
      <c r="DFI10" s="131"/>
      <c r="DFJ10" s="131"/>
      <c r="DFK10" s="131"/>
      <c r="DFL10" s="131"/>
      <c r="DFM10" s="131"/>
      <c r="DFN10" s="131"/>
      <c r="DFO10" s="131"/>
      <c r="DFP10" s="131"/>
      <c r="DFQ10" s="131"/>
      <c r="DFR10" s="131"/>
      <c r="DFS10" s="131"/>
      <c r="DFT10" s="131"/>
      <c r="DFU10" s="131"/>
      <c r="DFV10" s="131"/>
      <c r="DFW10" s="131"/>
      <c r="DFX10" s="131"/>
      <c r="DFY10" s="131"/>
      <c r="DFZ10" s="131"/>
      <c r="DGA10" s="131"/>
      <c r="DGB10" s="131"/>
      <c r="DGC10" s="131"/>
      <c r="DGD10" s="131"/>
      <c r="DGE10" s="131"/>
      <c r="DGF10" s="131"/>
      <c r="DGG10" s="131"/>
      <c r="DGH10" s="131"/>
      <c r="DGI10" s="131"/>
      <c r="DGJ10" s="131"/>
      <c r="DGK10" s="131"/>
      <c r="DGL10" s="131"/>
      <c r="DGM10" s="131"/>
      <c r="DGN10" s="131"/>
      <c r="DGO10" s="131"/>
      <c r="DGP10" s="131"/>
      <c r="DGQ10" s="131"/>
      <c r="DGR10" s="131"/>
      <c r="DGS10" s="131"/>
      <c r="DGT10" s="131"/>
      <c r="DGU10" s="131"/>
      <c r="DGV10" s="131"/>
      <c r="DGW10" s="131"/>
      <c r="DGX10" s="131"/>
      <c r="DGY10" s="131"/>
      <c r="DGZ10" s="131"/>
      <c r="DHA10" s="131"/>
      <c r="DHB10" s="131"/>
      <c r="DHC10" s="131"/>
      <c r="DHD10" s="131"/>
      <c r="DHE10" s="131"/>
      <c r="DHF10" s="131"/>
      <c r="DHG10" s="131"/>
      <c r="DHH10" s="131"/>
      <c r="DHI10" s="131"/>
      <c r="DHJ10" s="131"/>
      <c r="DHK10" s="131"/>
      <c r="DHL10" s="131"/>
      <c r="DHM10" s="131"/>
      <c r="DHN10" s="131"/>
      <c r="DHO10" s="131"/>
      <c r="DHP10" s="131"/>
      <c r="DHQ10" s="131"/>
      <c r="DHR10" s="131"/>
      <c r="DHS10" s="131"/>
      <c r="DHT10" s="131"/>
      <c r="DHU10" s="131"/>
      <c r="DHV10" s="131"/>
      <c r="DHW10" s="131"/>
      <c r="DHX10" s="131"/>
      <c r="DHY10" s="131"/>
      <c r="DHZ10" s="131"/>
      <c r="DIA10" s="131"/>
      <c r="DIB10" s="131"/>
      <c r="DIC10" s="131"/>
      <c r="DID10" s="131"/>
      <c r="DIE10" s="131"/>
      <c r="DIF10" s="131"/>
      <c r="DIG10" s="131"/>
      <c r="DIH10" s="131"/>
      <c r="DII10" s="131"/>
      <c r="DIJ10" s="131"/>
      <c r="DIK10" s="131"/>
      <c r="DIL10" s="131"/>
      <c r="DIM10" s="131"/>
      <c r="DIN10" s="131"/>
      <c r="DIO10" s="131"/>
      <c r="DIP10" s="131"/>
      <c r="DIQ10" s="131"/>
      <c r="DIR10" s="131"/>
      <c r="DIS10" s="131"/>
      <c r="DIT10" s="131"/>
      <c r="DIU10" s="131"/>
      <c r="DIV10" s="131"/>
      <c r="DIW10" s="131"/>
      <c r="DIX10" s="131"/>
      <c r="DIY10" s="131"/>
      <c r="DIZ10" s="131"/>
      <c r="DJA10" s="131"/>
      <c r="DJB10" s="131"/>
      <c r="DJC10" s="131"/>
      <c r="DJD10" s="131"/>
      <c r="DJE10" s="131"/>
      <c r="DJF10" s="131"/>
      <c r="DJG10" s="131"/>
      <c r="DJH10" s="131"/>
      <c r="DJI10" s="131"/>
      <c r="DJJ10" s="131"/>
      <c r="DJK10" s="131"/>
      <c r="DJL10" s="131"/>
      <c r="DJM10" s="131"/>
      <c r="DJN10" s="131"/>
      <c r="DJO10" s="131"/>
      <c r="DJP10" s="131"/>
      <c r="DJQ10" s="131"/>
      <c r="DJR10" s="131"/>
      <c r="DJS10" s="131"/>
      <c r="DJT10" s="131"/>
      <c r="DJU10" s="131"/>
      <c r="DJV10" s="131"/>
      <c r="DJW10" s="131"/>
      <c r="DJX10" s="131"/>
      <c r="DJY10" s="131"/>
      <c r="DJZ10" s="131"/>
      <c r="DKA10" s="131"/>
      <c r="DKB10" s="131"/>
      <c r="DKC10" s="131"/>
      <c r="DKD10" s="131"/>
      <c r="DKE10" s="131"/>
      <c r="DKF10" s="131"/>
      <c r="DKG10" s="131"/>
      <c r="DKH10" s="131"/>
      <c r="DKI10" s="131"/>
      <c r="DKJ10" s="131"/>
      <c r="DKK10" s="131"/>
      <c r="DKL10" s="131"/>
      <c r="DKM10" s="131"/>
      <c r="DKN10" s="131"/>
      <c r="DKO10" s="131"/>
      <c r="DKP10" s="131"/>
      <c r="DKQ10" s="131"/>
      <c r="DKR10" s="131"/>
      <c r="DKS10" s="131"/>
      <c r="DKT10" s="131"/>
      <c r="DKU10" s="131"/>
      <c r="DKV10" s="131"/>
      <c r="DKW10" s="131"/>
      <c r="DKX10" s="131"/>
      <c r="DKY10" s="131"/>
      <c r="DKZ10" s="131"/>
      <c r="DLA10" s="131"/>
      <c r="DLB10" s="131"/>
      <c r="DLC10" s="131"/>
      <c r="DLD10" s="131"/>
      <c r="DLE10" s="131"/>
      <c r="DLF10" s="131"/>
      <c r="DLG10" s="131"/>
      <c r="DLH10" s="131"/>
      <c r="DLI10" s="131"/>
      <c r="DLJ10" s="131"/>
      <c r="DLK10" s="131"/>
      <c r="DLL10" s="131"/>
      <c r="DLM10" s="131"/>
      <c r="DLN10" s="131"/>
      <c r="DLO10" s="131"/>
      <c r="DLP10" s="131"/>
      <c r="DLQ10" s="131"/>
      <c r="DLR10" s="131"/>
      <c r="DLS10" s="131"/>
      <c r="DLT10" s="131"/>
      <c r="DLU10" s="131"/>
      <c r="DLV10" s="131"/>
      <c r="DLW10" s="131"/>
      <c r="DLX10" s="131"/>
      <c r="DLY10" s="131"/>
      <c r="DLZ10" s="131"/>
      <c r="DMA10" s="131"/>
      <c r="DMB10" s="131"/>
      <c r="DMC10" s="131"/>
      <c r="DMD10" s="131"/>
      <c r="DME10" s="131"/>
      <c r="DMF10" s="131"/>
      <c r="DMG10" s="131"/>
      <c r="DMH10" s="131"/>
      <c r="DMI10" s="131"/>
      <c r="DMJ10" s="131"/>
      <c r="DMK10" s="131"/>
      <c r="DML10" s="131"/>
      <c r="DMM10" s="131"/>
      <c r="DMN10" s="131"/>
      <c r="DMO10" s="131"/>
      <c r="DMP10" s="131"/>
      <c r="DMQ10" s="131"/>
      <c r="DMR10" s="131"/>
      <c r="DMS10" s="131"/>
      <c r="DNF10" s="131"/>
      <c r="DNG10" s="131"/>
      <c r="DNH10" s="131"/>
      <c r="DNI10" s="131"/>
      <c r="DNJ10" s="131"/>
      <c r="DNK10" s="131"/>
      <c r="DNL10" s="131"/>
      <c r="DNM10" s="131"/>
      <c r="DNN10" s="131"/>
      <c r="DNO10" s="131"/>
      <c r="DNP10" s="131"/>
      <c r="DNQ10" s="131"/>
      <c r="DNR10" s="131"/>
      <c r="DNS10" s="131"/>
      <c r="DNT10" s="131"/>
      <c r="DNU10" s="131"/>
      <c r="DNV10" s="131"/>
      <c r="DNW10" s="131"/>
      <c r="DNX10" s="131"/>
      <c r="DNY10" s="131"/>
      <c r="DNZ10" s="131"/>
      <c r="DOA10" s="131"/>
      <c r="DOB10" s="131"/>
      <c r="DOC10" s="131"/>
      <c r="DOD10" s="131"/>
      <c r="DOE10" s="131"/>
      <c r="DOF10" s="131"/>
      <c r="DOG10" s="131"/>
      <c r="DOH10" s="131"/>
      <c r="DOI10" s="131"/>
      <c r="DOJ10" s="131"/>
      <c r="DOK10" s="131"/>
      <c r="DOL10" s="131"/>
      <c r="DOM10" s="131"/>
      <c r="DON10" s="131"/>
      <c r="DOO10" s="131"/>
      <c r="DOP10" s="131"/>
      <c r="DOQ10" s="131"/>
      <c r="DOR10" s="131"/>
      <c r="DOS10" s="131"/>
      <c r="DOT10" s="131"/>
      <c r="DOU10" s="131"/>
      <c r="DOV10" s="131"/>
      <c r="DOW10" s="131"/>
      <c r="DOX10" s="131"/>
      <c r="DOY10" s="131"/>
      <c r="DOZ10" s="131"/>
      <c r="DPA10" s="131"/>
      <c r="DPB10" s="131"/>
      <c r="DPC10" s="131"/>
      <c r="DPD10" s="131"/>
      <c r="DPE10" s="131"/>
      <c r="DPF10" s="131"/>
      <c r="DPG10" s="131"/>
      <c r="DPH10" s="131"/>
      <c r="DPI10" s="131"/>
      <c r="DPJ10" s="131"/>
      <c r="DPK10" s="131"/>
      <c r="DPL10" s="131"/>
      <c r="DPM10" s="131"/>
      <c r="DPN10" s="131"/>
      <c r="DPO10" s="131"/>
      <c r="DPP10" s="131"/>
      <c r="DPQ10" s="131"/>
      <c r="DPR10" s="131"/>
      <c r="DPS10" s="131"/>
      <c r="DPT10" s="131"/>
      <c r="DPU10" s="131"/>
      <c r="DPV10" s="131"/>
      <c r="DPW10" s="131"/>
      <c r="DPX10" s="131"/>
      <c r="DPY10" s="131"/>
      <c r="DPZ10" s="131"/>
      <c r="DQA10" s="131"/>
      <c r="DQB10" s="131"/>
      <c r="DQC10" s="131"/>
      <c r="DQD10" s="131"/>
      <c r="DQE10" s="131"/>
      <c r="DQF10" s="131"/>
      <c r="DQG10" s="131"/>
      <c r="DQH10" s="131"/>
      <c r="DQI10" s="131"/>
      <c r="DQJ10" s="131"/>
      <c r="DQK10" s="131"/>
      <c r="DQL10" s="131"/>
      <c r="DQM10" s="131"/>
      <c r="DQN10" s="131"/>
      <c r="DQO10" s="131"/>
      <c r="DQP10" s="131"/>
      <c r="DQQ10" s="131"/>
      <c r="DQR10" s="131"/>
      <c r="DQS10" s="131"/>
      <c r="DQT10" s="131"/>
      <c r="DQU10" s="131"/>
      <c r="DQV10" s="131"/>
      <c r="DQW10" s="131"/>
      <c r="DQX10" s="131"/>
      <c r="DQY10" s="131"/>
      <c r="DQZ10" s="131"/>
      <c r="DRA10" s="131"/>
      <c r="DRB10" s="131"/>
      <c r="DRC10" s="131"/>
      <c r="DRD10" s="131"/>
      <c r="DRE10" s="131"/>
      <c r="DRF10" s="131"/>
      <c r="DRG10" s="131"/>
      <c r="DRH10" s="131"/>
      <c r="DRI10" s="131"/>
      <c r="DRJ10" s="131"/>
      <c r="DRK10" s="131"/>
      <c r="DRL10" s="131"/>
      <c r="DRM10" s="131"/>
      <c r="DRN10" s="131"/>
      <c r="DRO10" s="131"/>
      <c r="DRP10" s="131"/>
      <c r="DRQ10" s="131"/>
      <c r="DRR10" s="131"/>
      <c r="DRS10" s="131"/>
      <c r="DRT10" s="131"/>
      <c r="DRU10" s="131"/>
      <c r="DRV10" s="131"/>
      <c r="DRW10" s="131"/>
      <c r="DRX10" s="131"/>
      <c r="DRY10" s="131"/>
      <c r="DRZ10" s="131"/>
      <c r="DSA10" s="131"/>
      <c r="DSB10" s="131"/>
      <c r="DSC10" s="131"/>
      <c r="DSD10" s="131"/>
      <c r="DSE10" s="131"/>
      <c r="DSF10" s="131"/>
      <c r="DSG10" s="131"/>
      <c r="DSH10" s="131"/>
      <c r="DSI10" s="131"/>
      <c r="DSJ10" s="131"/>
      <c r="DSK10" s="131"/>
      <c r="DSL10" s="131"/>
      <c r="DSM10" s="131"/>
      <c r="DSN10" s="131"/>
      <c r="DSO10" s="131"/>
      <c r="DSP10" s="131"/>
      <c r="DSQ10" s="131"/>
      <c r="DSR10" s="131"/>
      <c r="DSS10" s="131"/>
      <c r="DST10" s="131"/>
      <c r="DSU10" s="131"/>
      <c r="DSV10" s="131"/>
      <c r="DSW10" s="131"/>
      <c r="DSX10" s="131"/>
      <c r="DSY10" s="131"/>
      <c r="DSZ10" s="131"/>
      <c r="DTA10" s="131"/>
      <c r="DTB10" s="131"/>
      <c r="DTC10" s="131"/>
      <c r="DTD10" s="131"/>
      <c r="DTE10" s="131"/>
      <c r="DTF10" s="131"/>
      <c r="DTG10" s="131"/>
      <c r="DTH10" s="131"/>
      <c r="DTI10" s="131"/>
      <c r="DTJ10" s="131"/>
      <c r="DTK10" s="131"/>
      <c r="DTL10" s="131"/>
      <c r="DTM10" s="131"/>
      <c r="DTN10" s="131"/>
      <c r="DTO10" s="131"/>
      <c r="DTP10" s="131"/>
      <c r="DTQ10" s="131"/>
      <c r="DTR10" s="131"/>
      <c r="DTS10" s="131"/>
      <c r="DTT10" s="131"/>
      <c r="DTU10" s="131"/>
      <c r="DTV10" s="131"/>
      <c r="DTW10" s="131"/>
      <c r="DTX10" s="131"/>
      <c r="DTY10" s="131"/>
      <c r="DTZ10" s="131"/>
      <c r="DUA10" s="131"/>
      <c r="DUB10" s="131"/>
      <c r="DUC10" s="131"/>
      <c r="DUD10" s="131"/>
      <c r="DUE10" s="131"/>
      <c r="DUF10" s="131"/>
      <c r="DUG10" s="131"/>
      <c r="DUH10" s="131"/>
      <c r="DUI10" s="131"/>
      <c r="DUJ10" s="131"/>
      <c r="DUK10" s="131"/>
      <c r="DUL10" s="131"/>
      <c r="DUM10" s="131"/>
      <c r="DUN10" s="131"/>
      <c r="DUO10" s="131"/>
      <c r="DUP10" s="131"/>
      <c r="DUQ10" s="131"/>
      <c r="DUR10" s="131"/>
      <c r="DUS10" s="131"/>
      <c r="DUT10" s="131"/>
      <c r="DUU10" s="131"/>
      <c r="DUV10" s="131"/>
      <c r="DUW10" s="131"/>
      <c r="DUX10" s="131"/>
      <c r="DUY10" s="131"/>
      <c r="DUZ10" s="131"/>
      <c r="DVA10" s="131"/>
      <c r="DVB10" s="131"/>
      <c r="DVC10" s="131"/>
      <c r="DVD10" s="131"/>
      <c r="DVE10" s="131"/>
      <c r="DVF10" s="131"/>
      <c r="DVG10" s="131"/>
      <c r="DVH10" s="131"/>
      <c r="DVI10" s="131"/>
      <c r="DVJ10" s="131"/>
      <c r="DVK10" s="131"/>
      <c r="DVL10" s="131"/>
      <c r="DVM10" s="131"/>
      <c r="DVN10" s="131"/>
      <c r="DVO10" s="131"/>
      <c r="DVP10" s="131"/>
      <c r="DVQ10" s="131"/>
      <c r="DVR10" s="131"/>
      <c r="DVS10" s="131"/>
      <c r="DVT10" s="131"/>
      <c r="DVU10" s="131"/>
      <c r="DVV10" s="131"/>
      <c r="DVW10" s="131"/>
      <c r="DVX10" s="131"/>
      <c r="DVY10" s="131"/>
      <c r="DVZ10" s="131"/>
      <c r="DWA10" s="131"/>
      <c r="DWB10" s="131"/>
      <c r="DWC10" s="131"/>
      <c r="DWD10" s="131"/>
      <c r="DWE10" s="131"/>
      <c r="DWF10" s="131"/>
      <c r="DWG10" s="131"/>
      <c r="DWH10" s="131"/>
      <c r="DWI10" s="131"/>
      <c r="DWJ10" s="131"/>
      <c r="DWK10" s="131"/>
      <c r="DWL10" s="131"/>
      <c r="DWM10" s="131"/>
      <c r="DWN10" s="131"/>
      <c r="DWO10" s="131"/>
      <c r="DWP10" s="131"/>
      <c r="DWQ10" s="131"/>
      <c r="DWR10" s="131"/>
      <c r="DWS10" s="131"/>
      <c r="DWT10" s="131"/>
      <c r="DWU10" s="131"/>
      <c r="DWV10" s="131"/>
      <c r="DWW10" s="131"/>
      <c r="DWX10" s="131"/>
      <c r="DWY10" s="131"/>
      <c r="DWZ10" s="131"/>
      <c r="DXA10" s="131"/>
      <c r="DXB10" s="131"/>
      <c r="DXC10" s="131"/>
      <c r="DXD10" s="131"/>
      <c r="DXE10" s="131"/>
      <c r="DXF10" s="131"/>
      <c r="DXG10" s="131"/>
      <c r="DXH10" s="131"/>
      <c r="DXI10" s="131"/>
      <c r="DXJ10" s="131"/>
      <c r="DXK10" s="131"/>
      <c r="DXL10" s="131"/>
      <c r="DXM10" s="131"/>
      <c r="DXN10" s="131"/>
      <c r="DXO10" s="131"/>
      <c r="DXP10" s="131"/>
      <c r="DXQ10" s="131"/>
      <c r="DXR10" s="131"/>
      <c r="DXS10" s="131"/>
      <c r="DXT10" s="131"/>
      <c r="DXU10" s="131"/>
      <c r="DXV10" s="131"/>
      <c r="DXW10" s="131"/>
      <c r="DXX10" s="131"/>
      <c r="DXY10" s="131"/>
      <c r="DXZ10" s="131"/>
      <c r="DYA10" s="131"/>
      <c r="DYB10" s="131"/>
      <c r="DYC10" s="131"/>
      <c r="DYD10" s="131"/>
      <c r="DYE10" s="131"/>
      <c r="DYF10" s="131"/>
      <c r="DYG10" s="131"/>
      <c r="DYH10" s="131"/>
      <c r="DYI10" s="131"/>
      <c r="DYJ10" s="131"/>
      <c r="DYK10" s="131"/>
      <c r="DYL10" s="131"/>
      <c r="DYM10" s="131"/>
      <c r="DYN10" s="131"/>
      <c r="DYO10" s="131"/>
      <c r="DYP10" s="131"/>
      <c r="DYQ10" s="131"/>
      <c r="DYR10" s="131"/>
      <c r="DYS10" s="131"/>
      <c r="DYT10" s="131"/>
      <c r="DYU10" s="131"/>
      <c r="DYV10" s="131"/>
      <c r="DYW10" s="131"/>
      <c r="DYX10" s="131"/>
      <c r="DYY10" s="131"/>
      <c r="DYZ10" s="131"/>
      <c r="DZA10" s="131"/>
      <c r="DZB10" s="131"/>
      <c r="DZC10" s="131"/>
      <c r="DZD10" s="131"/>
      <c r="DZE10" s="131"/>
      <c r="DZF10" s="131"/>
      <c r="DZG10" s="131"/>
      <c r="DZH10" s="131"/>
      <c r="DZI10" s="131"/>
      <c r="DZJ10" s="131"/>
      <c r="DZK10" s="131"/>
      <c r="DZL10" s="131"/>
      <c r="DZM10" s="131"/>
      <c r="DZN10" s="131"/>
      <c r="DZO10" s="131"/>
      <c r="DZP10" s="131"/>
      <c r="DZQ10" s="131"/>
      <c r="DZR10" s="131"/>
      <c r="DZS10" s="131"/>
      <c r="DZT10" s="131"/>
      <c r="DZU10" s="131"/>
      <c r="DZV10" s="131"/>
      <c r="DZW10" s="131"/>
      <c r="DZX10" s="131"/>
      <c r="DZY10" s="131"/>
      <c r="DZZ10" s="131"/>
      <c r="EAA10" s="131"/>
      <c r="EAB10" s="131"/>
      <c r="EAC10" s="131"/>
      <c r="EAD10" s="131"/>
      <c r="EAE10" s="131"/>
      <c r="EAF10" s="131"/>
      <c r="EAG10" s="131"/>
      <c r="EAH10" s="131"/>
      <c r="EAI10" s="131"/>
      <c r="EAJ10" s="131"/>
      <c r="EAK10" s="131"/>
      <c r="EAL10" s="131"/>
      <c r="EAM10" s="131"/>
      <c r="EAN10" s="131"/>
      <c r="EAO10" s="131"/>
      <c r="EAP10" s="131"/>
      <c r="EAQ10" s="131"/>
      <c r="EAR10" s="131"/>
      <c r="EAS10" s="131"/>
      <c r="EAT10" s="131"/>
      <c r="EAU10" s="131"/>
      <c r="EAV10" s="131"/>
      <c r="EAW10" s="131"/>
      <c r="EAX10" s="131"/>
      <c r="EAY10" s="131"/>
      <c r="EAZ10" s="131"/>
      <c r="EBA10" s="131"/>
      <c r="EBB10" s="131"/>
      <c r="EBC10" s="131"/>
      <c r="EBD10" s="131"/>
      <c r="EBE10" s="131"/>
      <c r="EBF10" s="131"/>
      <c r="EBG10" s="131"/>
      <c r="EBH10" s="131"/>
      <c r="EBI10" s="131"/>
      <c r="EBJ10" s="131"/>
      <c r="EBK10" s="131"/>
      <c r="EBL10" s="131"/>
      <c r="EBM10" s="131"/>
      <c r="EBN10" s="131"/>
      <c r="EBO10" s="131"/>
      <c r="EBP10" s="131"/>
      <c r="EBQ10" s="131"/>
      <c r="EBR10" s="131"/>
      <c r="EBS10" s="131"/>
      <c r="EBT10" s="131"/>
      <c r="EBU10" s="131"/>
      <c r="EBV10" s="131"/>
      <c r="EBW10" s="131"/>
      <c r="EBX10" s="131"/>
      <c r="EBY10" s="131"/>
      <c r="EBZ10" s="131"/>
      <c r="ECA10" s="131"/>
      <c r="ECB10" s="131"/>
      <c r="ECC10" s="131"/>
      <c r="ECD10" s="131"/>
      <c r="ECE10" s="131"/>
      <c r="ECF10" s="131"/>
      <c r="ECG10" s="131"/>
      <c r="ECH10" s="131"/>
      <c r="ECI10" s="131"/>
      <c r="ECJ10" s="131"/>
      <c r="ECK10" s="131"/>
      <c r="ECL10" s="131"/>
      <c r="ECM10" s="131"/>
      <c r="ECN10" s="131"/>
      <c r="ECO10" s="131"/>
      <c r="ECP10" s="131"/>
      <c r="ECQ10" s="131"/>
      <c r="ECR10" s="131"/>
      <c r="ECS10" s="131"/>
      <c r="ECT10" s="131"/>
      <c r="ECU10" s="131"/>
      <c r="ECV10" s="131"/>
      <c r="ECW10" s="131"/>
      <c r="ECX10" s="131"/>
      <c r="ECY10" s="131"/>
      <c r="ECZ10" s="131"/>
      <c r="EDA10" s="131"/>
      <c r="EDB10" s="131"/>
      <c r="EDC10" s="131"/>
      <c r="EDD10" s="131"/>
      <c r="EDE10" s="131"/>
      <c r="EDF10" s="131"/>
      <c r="EDG10" s="131"/>
      <c r="EDH10" s="131"/>
      <c r="EDI10" s="131"/>
      <c r="EDJ10" s="131"/>
      <c r="EDK10" s="131"/>
      <c r="EDL10" s="131"/>
      <c r="EDM10" s="131"/>
      <c r="EDN10" s="131"/>
      <c r="EDO10" s="131"/>
      <c r="EDP10" s="131"/>
      <c r="EDQ10" s="131"/>
      <c r="EDR10" s="131"/>
      <c r="EDS10" s="131"/>
      <c r="EDT10" s="131"/>
      <c r="EDU10" s="131"/>
      <c r="EDV10" s="131"/>
      <c r="EDW10" s="131"/>
      <c r="EDX10" s="131"/>
      <c r="EDY10" s="131"/>
      <c r="EDZ10" s="131"/>
      <c r="EEA10" s="131"/>
      <c r="EEB10" s="131"/>
      <c r="EEC10" s="131"/>
      <c r="EED10" s="131"/>
      <c r="EEE10" s="131"/>
      <c r="EEF10" s="131"/>
      <c r="EEG10" s="131"/>
      <c r="EEH10" s="131"/>
      <c r="EEI10" s="131"/>
      <c r="EEJ10" s="131"/>
      <c r="EEK10" s="131"/>
      <c r="EEL10" s="131"/>
      <c r="EEM10" s="131"/>
      <c r="EEN10" s="131"/>
      <c r="EEO10" s="131"/>
      <c r="EEP10" s="131"/>
      <c r="EEQ10" s="131"/>
      <c r="EER10" s="131"/>
      <c r="EES10" s="131"/>
      <c r="EET10" s="131"/>
      <c r="EEU10" s="131"/>
      <c r="EEV10" s="131"/>
      <c r="EEW10" s="131"/>
      <c r="EEX10" s="131"/>
      <c r="EEY10" s="131"/>
      <c r="EEZ10" s="131"/>
      <c r="EFA10" s="131"/>
      <c r="EFB10" s="131"/>
      <c r="EFC10" s="131"/>
      <c r="EFD10" s="131"/>
      <c r="EFE10" s="131"/>
      <c r="EFF10" s="131"/>
      <c r="EFG10" s="131"/>
      <c r="EFH10" s="131"/>
      <c r="EFI10" s="131"/>
      <c r="EFJ10" s="131"/>
      <c r="EFK10" s="131"/>
      <c r="EFL10" s="131"/>
      <c r="EFM10" s="131"/>
      <c r="EFN10" s="131"/>
      <c r="EFO10" s="131"/>
      <c r="EFP10" s="131"/>
      <c r="EFQ10" s="131"/>
      <c r="EFR10" s="131"/>
      <c r="EFS10" s="131"/>
      <c r="EFT10" s="131"/>
      <c r="EFU10" s="131"/>
      <c r="EFV10" s="131"/>
      <c r="EFW10" s="131"/>
      <c r="EFX10" s="131"/>
      <c r="EFY10" s="131"/>
      <c r="EFZ10" s="131"/>
      <c r="EGA10" s="131"/>
      <c r="EGB10" s="131"/>
      <c r="EGC10" s="131"/>
      <c r="EGD10" s="131"/>
      <c r="EGE10" s="131"/>
      <c r="EGF10" s="131"/>
      <c r="EGG10" s="131"/>
      <c r="EGH10" s="131"/>
      <c r="EGI10" s="131"/>
      <c r="EGJ10" s="131"/>
      <c r="EGK10" s="131"/>
      <c r="EGL10" s="131"/>
      <c r="EGM10" s="131"/>
      <c r="EGN10" s="131"/>
      <c r="EGO10" s="131"/>
      <c r="EGP10" s="131"/>
      <c r="EGQ10" s="131"/>
      <c r="EGR10" s="131"/>
      <c r="EGS10" s="131"/>
      <c r="EGT10" s="131"/>
      <c r="EGU10" s="131"/>
      <c r="EGV10" s="131"/>
      <c r="EGW10" s="131"/>
      <c r="EGX10" s="131"/>
      <c r="EGY10" s="131"/>
      <c r="EGZ10" s="131"/>
      <c r="EHA10" s="131"/>
      <c r="EHB10" s="131"/>
      <c r="EHC10" s="131"/>
      <c r="EHD10" s="131"/>
      <c r="EHE10" s="131"/>
      <c r="EHF10" s="131"/>
      <c r="EHG10" s="131"/>
      <c r="EHH10" s="131"/>
      <c r="EHI10" s="131"/>
      <c r="EHJ10" s="131"/>
      <c r="EHK10" s="131"/>
      <c r="EHL10" s="131"/>
      <c r="EHM10" s="131"/>
      <c r="EHN10" s="131"/>
      <c r="EHO10" s="131"/>
      <c r="EHP10" s="131"/>
      <c r="EHQ10" s="131"/>
      <c r="EHR10" s="131"/>
      <c r="EHS10" s="131"/>
      <c r="EHT10" s="131"/>
      <c r="EHU10" s="131"/>
      <c r="EHV10" s="131"/>
      <c r="EHW10" s="131"/>
      <c r="EHX10" s="131"/>
      <c r="EHY10" s="131"/>
      <c r="EHZ10" s="131"/>
      <c r="EIA10" s="131"/>
      <c r="EIB10" s="131"/>
      <c r="EIC10" s="131"/>
      <c r="EID10" s="131"/>
      <c r="EIE10" s="131"/>
      <c r="EIF10" s="131"/>
      <c r="EIG10" s="131"/>
      <c r="EIH10" s="131"/>
      <c r="EII10" s="131"/>
      <c r="EIJ10" s="131"/>
      <c r="EIK10" s="131"/>
      <c r="EIL10" s="131"/>
      <c r="EIM10" s="131"/>
      <c r="EIN10" s="131"/>
      <c r="EIO10" s="131"/>
      <c r="EIP10" s="131"/>
      <c r="EIQ10" s="131"/>
      <c r="EIR10" s="131"/>
      <c r="EIS10" s="131"/>
      <c r="EIT10" s="131"/>
      <c r="EIU10" s="131"/>
      <c r="EIV10" s="131"/>
      <c r="EIW10" s="131"/>
      <c r="EIX10" s="131"/>
      <c r="EIY10" s="131"/>
      <c r="EIZ10" s="131"/>
      <c r="EJA10" s="131"/>
      <c r="EJB10" s="131"/>
      <c r="EJC10" s="131"/>
      <c r="EJD10" s="131"/>
      <c r="EJE10" s="131"/>
      <c r="EJF10" s="131"/>
      <c r="EJG10" s="131"/>
      <c r="EJH10" s="131"/>
      <c r="EJI10" s="131"/>
      <c r="EJJ10" s="131"/>
      <c r="EJK10" s="131"/>
      <c r="EJL10" s="131"/>
      <c r="EJM10" s="131"/>
      <c r="EJN10" s="131"/>
      <c r="EJO10" s="131"/>
      <c r="EJP10" s="131"/>
      <c r="EJQ10" s="131"/>
      <c r="EJR10" s="131"/>
      <c r="EJS10" s="131"/>
      <c r="EJT10" s="131"/>
      <c r="EJU10" s="131"/>
      <c r="EJV10" s="131"/>
      <c r="EJW10" s="131"/>
      <c r="EJX10" s="131"/>
      <c r="EJY10" s="131"/>
      <c r="EJZ10" s="131"/>
      <c r="EKA10" s="131"/>
      <c r="EKB10" s="131"/>
      <c r="EKC10" s="131"/>
      <c r="EKD10" s="131"/>
      <c r="EKE10" s="131"/>
      <c r="EKF10" s="131"/>
      <c r="EKG10" s="131"/>
      <c r="EKH10" s="131"/>
      <c r="EKI10" s="131"/>
      <c r="EKJ10" s="131"/>
      <c r="EKK10" s="131"/>
      <c r="EKL10" s="131"/>
      <c r="EKM10" s="131"/>
      <c r="EKN10" s="131"/>
      <c r="EKO10" s="131"/>
      <c r="EKP10" s="131"/>
      <c r="EKQ10" s="131"/>
      <c r="EKR10" s="131"/>
      <c r="EKS10" s="131"/>
      <c r="EKT10" s="131"/>
      <c r="EKU10" s="131"/>
      <c r="EKV10" s="131"/>
      <c r="EKW10" s="131"/>
      <c r="EKX10" s="131"/>
      <c r="EKY10" s="131"/>
      <c r="EKZ10" s="131"/>
      <c r="ELA10" s="131"/>
      <c r="ELB10" s="131"/>
      <c r="ELC10" s="131"/>
      <c r="ELD10" s="131"/>
      <c r="ELE10" s="131"/>
      <c r="ELF10" s="131"/>
      <c r="ELG10" s="131"/>
      <c r="ELH10" s="131"/>
      <c r="ELI10" s="131"/>
      <c r="ELJ10" s="131"/>
      <c r="ELK10" s="131"/>
      <c r="ELL10" s="131"/>
      <c r="ELM10" s="131"/>
      <c r="ELN10" s="131"/>
      <c r="ELO10" s="131"/>
      <c r="ELP10" s="131"/>
      <c r="ELQ10" s="131"/>
      <c r="ELR10" s="131"/>
      <c r="ELS10" s="131"/>
      <c r="ELT10" s="131"/>
      <c r="ELU10" s="131"/>
      <c r="ELV10" s="131"/>
      <c r="ELW10" s="131"/>
      <c r="ELX10" s="131"/>
      <c r="ELY10" s="131"/>
      <c r="ELZ10" s="131"/>
      <c r="EMA10" s="131"/>
      <c r="EMB10" s="131"/>
      <c r="EMC10" s="131"/>
      <c r="EMD10" s="131"/>
      <c r="EME10" s="131"/>
      <c r="EMF10" s="131"/>
      <c r="EMG10" s="131"/>
      <c r="EMH10" s="131"/>
      <c r="EMI10" s="131"/>
      <c r="EMJ10" s="131"/>
      <c r="EMK10" s="131"/>
      <c r="EML10" s="131"/>
      <c r="EMM10" s="131"/>
      <c r="EMN10" s="131"/>
      <c r="EMO10" s="131"/>
      <c r="EMP10" s="131"/>
      <c r="EMQ10" s="131"/>
      <c r="EMR10" s="131"/>
      <c r="EMS10" s="131"/>
      <c r="EMT10" s="131"/>
      <c r="EMU10" s="131"/>
      <c r="EMV10" s="131"/>
      <c r="EMW10" s="131"/>
      <c r="EMX10" s="131"/>
      <c r="EMY10" s="131"/>
      <c r="EMZ10" s="131"/>
      <c r="ENA10" s="131"/>
      <c r="ENB10" s="131"/>
      <c r="ENC10" s="131"/>
      <c r="END10" s="131"/>
      <c r="ENE10" s="131"/>
      <c r="ENF10" s="131"/>
      <c r="ENG10" s="131"/>
      <c r="ENH10" s="131"/>
      <c r="ENI10" s="131"/>
      <c r="ENJ10" s="131"/>
      <c r="ENK10" s="131"/>
      <c r="ENL10" s="131"/>
      <c r="ENM10" s="131"/>
      <c r="ENN10" s="131"/>
      <c r="ENO10" s="131"/>
      <c r="ENP10" s="131"/>
      <c r="ENQ10" s="131"/>
      <c r="ENR10" s="131"/>
      <c r="ENS10" s="131"/>
      <c r="ENT10" s="131"/>
      <c r="ENU10" s="131"/>
      <c r="ENV10" s="131"/>
      <c r="ENW10" s="131"/>
      <c r="ENX10" s="131"/>
      <c r="ENY10" s="131"/>
      <c r="ENZ10" s="131"/>
      <c r="EOA10" s="131"/>
      <c r="EOB10" s="131"/>
      <c r="EOC10" s="131"/>
      <c r="EOD10" s="131"/>
      <c r="EOE10" s="131"/>
      <c r="EOF10" s="131"/>
      <c r="EOG10" s="131"/>
      <c r="EOH10" s="131"/>
      <c r="EOI10" s="131"/>
      <c r="EOJ10" s="131"/>
      <c r="EOK10" s="131"/>
      <c r="EOL10" s="131"/>
      <c r="EOM10" s="131"/>
      <c r="EON10" s="131"/>
      <c r="EOO10" s="131"/>
      <c r="EOP10" s="131"/>
      <c r="EOQ10" s="131"/>
      <c r="EOR10" s="131"/>
      <c r="EOS10" s="131"/>
      <c r="EOT10" s="131"/>
      <c r="EOU10" s="131"/>
      <c r="EOV10" s="131"/>
      <c r="EOW10" s="131"/>
      <c r="EOX10" s="131"/>
      <c r="EOY10" s="131"/>
      <c r="EOZ10" s="131"/>
      <c r="EPA10" s="131"/>
      <c r="EPB10" s="131"/>
      <c r="EPC10" s="131"/>
      <c r="EPD10" s="131"/>
      <c r="EPE10" s="131"/>
      <c r="EPF10" s="131"/>
      <c r="EPG10" s="131"/>
      <c r="EPH10" s="131"/>
      <c r="EPI10" s="131"/>
      <c r="EPJ10" s="131"/>
      <c r="EPK10" s="131"/>
      <c r="EPL10" s="131"/>
      <c r="EPM10" s="131"/>
      <c r="EPN10" s="131"/>
      <c r="EPO10" s="131"/>
      <c r="EPP10" s="131"/>
      <c r="EPQ10" s="131"/>
      <c r="EPR10" s="131"/>
      <c r="EPS10" s="131"/>
      <c r="EPT10" s="131"/>
      <c r="EPU10" s="131"/>
      <c r="EPV10" s="131"/>
      <c r="EPW10" s="131"/>
      <c r="EPX10" s="131"/>
      <c r="EPY10" s="131"/>
      <c r="EPZ10" s="131"/>
      <c r="EQA10" s="131"/>
      <c r="EQB10" s="131"/>
      <c r="EQC10" s="131"/>
      <c r="EQD10" s="131"/>
      <c r="EQE10" s="131"/>
      <c r="EQF10" s="131"/>
      <c r="EQG10" s="131"/>
      <c r="EQH10" s="131"/>
      <c r="EQI10" s="131"/>
      <c r="EQJ10" s="131"/>
      <c r="EQK10" s="131"/>
      <c r="EQL10" s="131"/>
      <c r="EQM10" s="131"/>
      <c r="EQN10" s="131"/>
      <c r="EQO10" s="131"/>
      <c r="EQP10" s="131"/>
      <c r="EQQ10" s="131"/>
      <c r="EQR10" s="131"/>
      <c r="EQS10" s="131"/>
      <c r="EQT10" s="131"/>
      <c r="EQU10" s="131"/>
      <c r="EQV10" s="131"/>
      <c r="EQW10" s="131"/>
      <c r="EQX10" s="131"/>
      <c r="EQY10" s="131"/>
      <c r="EQZ10" s="131"/>
      <c r="ERA10" s="131"/>
      <c r="ERB10" s="131"/>
      <c r="ERC10" s="131"/>
      <c r="ERD10" s="131"/>
      <c r="ERE10" s="131"/>
      <c r="ERF10" s="131"/>
      <c r="ERG10" s="131"/>
      <c r="ERH10" s="131"/>
      <c r="ERI10" s="131"/>
      <c r="ERJ10" s="131"/>
      <c r="ERK10" s="131"/>
      <c r="ERL10" s="131"/>
      <c r="ERM10" s="131"/>
      <c r="ERN10" s="131"/>
      <c r="ERO10" s="131"/>
      <c r="ERP10" s="131"/>
      <c r="ERQ10" s="131"/>
      <c r="ERR10" s="131"/>
      <c r="ERS10" s="131"/>
      <c r="ERT10" s="131"/>
      <c r="ERU10" s="131"/>
      <c r="ERV10" s="131"/>
      <c r="ERW10" s="131"/>
      <c r="ERX10" s="131"/>
      <c r="ERY10" s="131"/>
      <c r="ERZ10" s="131"/>
      <c r="ESA10" s="131"/>
      <c r="ESB10" s="131"/>
      <c r="ESC10" s="131"/>
      <c r="ESD10" s="131"/>
      <c r="ESE10" s="131"/>
      <c r="ESF10" s="131"/>
      <c r="ESG10" s="131"/>
      <c r="ESH10" s="131"/>
      <c r="ESI10" s="131"/>
      <c r="ESJ10" s="131"/>
      <c r="ESK10" s="131"/>
      <c r="ESL10" s="131"/>
      <c r="ESM10" s="131"/>
      <c r="ESN10" s="131"/>
      <c r="ESO10" s="131"/>
      <c r="ESP10" s="131"/>
      <c r="ESQ10" s="131"/>
      <c r="ESR10" s="131"/>
      <c r="ESS10" s="131"/>
      <c r="EST10" s="131"/>
      <c r="ESU10" s="131"/>
      <c r="ESV10" s="131"/>
      <c r="ESW10" s="131"/>
      <c r="ESX10" s="131"/>
      <c r="ESY10" s="131"/>
      <c r="ESZ10" s="131"/>
      <c r="ETA10" s="131"/>
      <c r="ETB10" s="131"/>
      <c r="ETC10" s="131"/>
      <c r="ETD10" s="131"/>
      <c r="ETE10" s="131"/>
      <c r="ETF10" s="131"/>
      <c r="ETG10" s="131"/>
      <c r="ETH10" s="131"/>
      <c r="ETI10" s="131"/>
      <c r="ETJ10" s="131"/>
      <c r="ETK10" s="131"/>
      <c r="ETL10" s="131"/>
      <c r="ETM10" s="131"/>
      <c r="ETN10" s="131"/>
      <c r="ETO10" s="131"/>
      <c r="ETP10" s="131"/>
      <c r="ETQ10" s="131"/>
      <c r="ETR10" s="131"/>
      <c r="ETS10" s="131"/>
      <c r="ETT10" s="131"/>
      <c r="ETU10" s="131"/>
      <c r="ETV10" s="131"/>
      <c r="ETW10" s="131"/>
      <c r="ETX10" s="131"/>
      <c r="ETY10" s="131"/>
      <c r="ETZ10" s="131"/>
      <c r="EUA10" s="131"/>
      <c r="EUB10" s="131"/>
      <c r="EUC10" s="131"/>
      <c r="EUD10" s="131"/>
      <c r="EUE10" s="131"/>
      <c r="EUF10" s="131"/>
      <c r="EUG10" s="131"/>
      <c r="EUH10" s="131"/>
      <c r="EUI10" s="131"/>
      <c r="EUJ10" s="131"/>
      <c r="EUK10" s="131"/>
      <c r="EUL10" s="131"/>
      <c r="EUM10" s="131"/>
      <c r="EUN10" s="131"/>
      <c r="EUO10" s="131"/>
      <c r="EUP10" s="131"/>
      <c r="EUQ10" s="131"/>
      <c r="EUR10" s="131"/>
      <c r="EUS10" s="131"/>
      <c r="EUT10" s="131"/>
      <c r="EUU10" s="131"/>
      <c r="EUV10" s="131"/>
      <c r="EUW10" s="131"/>
      <c r="EUX10" s="131"/>
      <c r="EUY10" s="131"/>
      <c r="EUZ10" s="131"/>
      <c r="EVA10" s="131"/>
      <c r="EVB10" s="131"/>
      <c r="EVC10" s="131"/>
      <c r="EVD10" s="131"/>
      <c r="EVE10" s="131"/>
      <c r="EVF10" s="131"/>
      <c r="EVG10" s="131"/>
      <c r="EVH10" s="131"/>
      <c r="EVI10" s="131"/>
      <c r="EVJ10" s="131"/>
      <c r="EVK10" s="131"/>
      <c r="EVL10" s="131"/>
      <c r="EVM10" s="131"/>
      <c r="EVN10" s="131"/>
      <c r="EVO10" s="131"/>
      <c r="EVP10" s="131"/>
      <c r="EVQ10" s="131"/>
      <c r="EVR10" s="131"/>
      <c r="EVS10" s="131"/>
      <c r="EVT10" s="131"/>
      <c r="EVU10" s="131"/>
      <c r="EVV10" s="131"/>
      <c r="EVW10" s="131"/>
      <c r="EVX10" s="131"/>
      <c r="EVY10" s="131"/>
      <c r="EVZ10" s="131"/>
      <c r="EWA10" s="131"/>
      <c r="EWB10" s="131"/>
      <c r="EWC10" s="131"/>
      <c r="EWD10" s="131"/>
      <c r="EWE10" s="131"/>
      <c r="EWF10" s="131"/>
      <c r="EWG10" s="131"/>
      <c r="EWH10" s="131"/>
      <c r="EWI10" s="131"/>
      <c r="EWJ10" s="131"/>
      <c r="EWK10" s="131"/>
      <c r="EWL10" s="131"/>
      <c r="EWM10" s="131"/>
      <c r="EWN10" s="131"/>
      <c r="EWO10" s="131"/>
      <c r="EWP10" s="131"/>
      <c r="EWQ10" s="131"/>
      <c r="EWR10" s="131"/>
      <c r="EWS10" s="131"/>
      <c r="EWT10" s="131"/>
      <c r="EWU10" s="131"/>
      <c r="EWV10" s="131"/>
      <c r="EWW10" s="131"/>
      <c r="EWX10" s="131"/>
      <c r="EWY10" s="131"/>
      <c r="EWZ10" s="131"/>
      <c r="EXA10" s="131"/>
      <c r="EXB10" s="131"/>
      <c r="EXC10" s="131"/>
      <c r="EXD10" s="131"/>
      <c r="EXE10" s="131"/>
      <c r="EXF10" s="131"/>
      <c r="EXG10" s="131"/>
      <c r="EXH10" s="131"/>
      <c r="EXI10" s="131"/>
      <c r="EXJ10" s="131"/>
      <c r="EXK10" s="131"/>
      <c r="EXL10" s="131"/>
      <c r="EXM10" s="131"/>
      <c r="EXN10" s="131"/>
      <c r="EXO10" s="131"/>
      <c r="EXP10" s="131"/>
      <c r="EXQ10" s="131"/>
      <c r="EXR10" s="131"/>
      <c r="EXS10" s="131"/>
      <c r="EXT10" s="131"/>
      <c r="EXU10" s="131"/>
      <c r="EXV10" s="131"/>
      <c r="EXW10" s="131"/>
      <c r="EXX10" s="131"/>
      <c r="EXY10" s="131"/>
      <c r="EXZ10" s="131"/>
      <c r="EYA10" s="131"/>
      <c r="EYB10" s="131"/>
      <c r="EYC10" s="131"/>
      <c r="EYD10" s="131"/>
      <c r="EYE10" s="131"/>
      <c r="EYF10" s="131"/>
      <c r="EYG10" s="131"/>
      <c r="EYH10" s="131"/>
      <c r="EYI10" s="131"/>
      <c r="EYJ10" s="131"/>
      <c r="EYK10" s="131"/>
      <c r="EYL10" s="131"/>
      <c r="EYM10" s="131"/>
      <c r="EYN10" s="131"/>
      <c r="EYO10" s="131"/>
      <c r="EYP10" s="131"/>
      <c r="EYQ10" s="131"/>
      <c r="EYR10" s="131"/>
      <c r="EYS10" s="131"/>
      <c r="EYT10" s="131"/>
      <c r="EYU10" s="131"/>
      <c r="EYV10" s="131"/>
      <c r="EYW10" s="131"/>
      <c r="EYX10" s="131"/>
      <c r="EYY10" s="131"/>
      <c r="EYZ10" s="131"/>
      <c r="EZA10" s="131"/>
      <c r="EZB10" s="131"/>
      <c r="EZC10" s="131"/>
      <c r="EZD10" s="131"/>
      <c r="EZE10" s="131"/>
      <c r="EZF10" s="131"/>
      <c r="EZG10" s="131"/>
      <c r="EZH10" s="131"/>
      <c r="EZI10" s="131"/>
      <c r="EZJ10" s="131"/>
      <c r="EZK10" s="131"/>
      <c r="EZL10" s="131"/>
      <c r="EZM10" s="131"/>
      <c r="EZN10" s="131"/>
      <c r="EZO10" s="131"/>
      <c r="EZP10" s="131"/>
      <c r="EZQ10" s="131"/>
      <c r="EZR10" s="131"/>
      <c r="EZS10" s="131"/>
      <c r="EZT10" s="131"/>
      <c r="EZU10" s="131"/>
      <c r="EZV10" s="131"/>
      <c r="EZW10" s="131"/>
      <c r="EZX10" s="131"/>
      <c r="EZY10" s="131"/>
      <c r="EZZ10" s="131"/>
      <c r="FAA10" s="131"/>
      <c r="FAB10" s="131"/>
      <c r="FAC10" s="131"/>
      <c r="FAP10" s="131"/>
      <c r="FAQ10" s="131"/>
      <c r="FAR10" s="131"/>
      <c r="FAS10" s="131"/>
      <c r="FAT10" s="131"/>
      <c r="FAU10" s="131"/>
      <c r="FAV10" s="131"/>
      <c r="FAW10" s="131"/>
      <c r="FAX10" s="131"/>
      <c r="FAY10" s="131"/>
      <c r="FAZ10" s="131"/>
      <c r="FBA10" s="131"/>
      <c r="FBB10" s="131"/>
      <c r="FBC10" s="131"/>
      <c r="FBD10" s="131"/>
      <c r="FBE10" s="131"/>
      <c r="FBF10" s="131"/>
      <c r="FBG10" s="131"/>
      <c r="FBH10" s="131"/>
      <c r="FBI10" s="131"/>
      <c r="FBJ10" s="131"/>
      <c r="FBK10" s="131"/>
      <c r="FBL10" s="131"/>
      <c r="FBM10" s="131"/>
      <c r="FBN10" s="131"/>
      <c r="FBO10" s="131"/>
      <c r="FBP10" s="131"/>
      <c r="FBQ10" s="131"/>
      <c r="FBR10" s="131"/>
      <c r="FBS10" s="131"/>
      <c r="FBT10" s="131"/>
      <c r="FBU10" s="131"/>
      <c r="FBV10" s="131"/>
      <c r="FBW10" s="131"/>
      <c r="FBX10" s="131"/>
      <c r="FBY10" s="131"/>
      <c r="FBZ10" s="131"/>
      <c r="FCA10" s="131"/>
      <c r="FCB10" s="131"/>
      <c r="FCC10" s="131"/>
      <c r="FCD10" s="131"/>
      <c r="FCE10" s="131"/>
      <c r="FCF10" s="131"/>
      <c r="FCG10" s="131"/>
      <c r="FCH10" s="131"/>
      <c r="FCI10" s="131"/>
      <c r="FCJ10" s="131"/>
      <c r="FCK10" s="131"/>
      <c r="FCL10" s="131"/>
      <c r="FCM10" s="131"/>
      <c r="FCN10" s="131"/>
      <c r="FCO10" s="131"/>
      <c r="FCP10" s="131"/>
      <c r="FCQ10" s="131"/>
      <c r="FCR10" s="131"/>
      <c r="FCS10" s="131"/>
      <c r="FCT10" s="131"/>
      <c r="FCU10" s="131"/>
      <c r="FCV10" s="131"/>
      <c r="FCW10" s="131"/>
      <c r="FCX10" s="131"/>
      <c r="FCY10" s="131"/>
      <c r="FCZ10" s="131"/>
      <c r="FDA10" s="131"/>
      <c r="FDB10" s="131"/>
      <c r="FDC10" s="131"/>
      <c r="FDD10" s="131"/>
      <c r="FDE10" s="131"/>
      <c r="FDF10" s="131"/>
      <c r="FDG10" s="131"/>
      <c r="FDH10" s="131"/>
      <c r="FDI10" s="131"/>
      <c r="FDJ10" s="131"/>
      <c r="FDK10" s="131"/>
      <c r="FDL10" s="131"/>
      <c r="FDM10" s="131"/>
      <c r="FDN10" s="131"/>
      <c r="FDO10" s="131"/>
      <c r="FDP10" s="131"/>
      <c r="FDQ10" s="131"/>
      <c r="FDR10" s="131"/>
      <c r="FDS10" s="131"/>
      <c r="FDT10" s="131"/>
      <c r="FDU10" s="131"/>
      <c r="FDV10" s="131"/>
      <c r="FDW10" s="131"/>
      <c r="FDX10" s="131"/>
      <c r="FDY10" s="131"/>
      <c r="FDZ10" s="131"/>
      <c r="FEA10" s="131"/>
      <c r="FEB10" s="131"/>
      <c r="FEC10" s="131"/>
      <c r="FED10" s="131"/>
      <c r="FEE10" s="131"/>
      <c r="FEF10" s="131"/>
      <c r="FEG10" s="131"/>
      <c r="FEH10" s="131"/>
      <c r="FEI10" s="131"/>
      <c r="FEJ10" s="131"/>
      <c r="FEK10" s="131"/>
      <c r="FEL10" s="131"/>
      <c r="FEM10" s="131"/>
      <c r="FEN10" s="131"/>
      <c r="FEO10" s="131"/>
      <c r="FEP10" s="131"/>
      <c r="FEQ10" s="131"/>
      <c r="FER10" s="131"/>
      <c r="FES10" s="131"/>
      <c r="FET10" s="131"/>
      <c r="FEU10" s="131"/>
      <c r="FEV10" s="131"/>
      <c r="FEW10" s="131"/>
      <c r="FEX10" s="131"/>
      <c r="FEY10" s="131"/>
      <c r="FEZ10" s="131"/>
      <c r="FFA10" s="131"/>
      <c r="FFB10" s="131"/>
      <c r="FFC10" s="131"/>
      <c r="FFD10" s="131"/>
      <c r="FFE10" s="131"/>
      <c r="FFF10" s="131"/>
      <c r="FFG10" s="131"/>
      <c r="FFH10" s="131"/>
      <c r="FFI10" s="131"/>
      <c r="FFJ10" s="131"/>
      <c r="FFK10" s="131"/>
      <c r="FFL10" s="131"/>
      <c r="FFM10" s="131"/>
      <c r="FFN10" s="131"/>
      <c r="FFO10" s="131"/>
      <c r="FFP10" s="131"/>
      <c r="FFQ10" s="131"/>
      <c r="FFR10" s="131"/>
      <c r="FFS10" s="131"/>
      <c r="FFT10" s="131"/>
      <c r="FFU10" s="131"/>
      <c r="FFV10" s="131"/>
      <c r="FFW10" s="131"/>
      <c r="FFX10" s="131"/>
      <c r="FFY10" s="131"/>
      <c r="FFZ10" s="131"/>
      <c r="FGA10" s="131"/>
      <c r="FGB10" s="131"/>
      <c r="FGC10" s="131"/>
      <c r="FGD10" s="131"/>
      <c r="FGE10" s="131"/>
      <c r="FGF10" s="131"/>
      <c r="FGG10" s="131"/>
      <c r="FGH10" s="131"/>
      <c r="FGI10" s="131"/>
      <c r="FGJ10" s="131"/>
      <c r="FGK10" s="131"/>
      <c r="FGL10" s="131"/>
      <c r="FGM10" s="131"/>
      <c r="FGN10" s="131"/>
      <c r="FGO10" s="131"/>
      <c r="FGP10" s="131"/>
      <c r="FGQ10" s="131"/>
      <c r="FGR10" s="131"/>
      <c r="FGS10" s="131"/>
      <c r="FGT10" s="131"/>
      <c r="FGU10" s="131"/>
      <c r="FGV10" s="131"/>
      <c r="FGW10" s="131"/>
      <c r="FGX10" s="131"/>
      <c r="FGY10" s="131"/>
      <c r="FGZ10" s="131"/>
      <c r="FHA10" s="131"/>
      <c r="FHB10" s="131"/>
      <c r="FHC10" s="131"/>
      <c r="FHD10" s="131"/>
      <c r="FHE10" s="131"/>
      <c r="FHF10" s="131"/>
      <c r="FHG10" s="131"/>
      <c r="FHH10" s="131"/>
      <c r="FHI10" s="131"/>
      <c r="FHJ10" s="131"/>
      <c r="FHK10" s="131"/>
      <c r="FHL10" s="131"/>
      <c r="FHM10" s="131"/>
      <c r="FHN10" s="131"/>
      <c r="FHO10" s="131"/>
      <c r="FHP10" s="131"/>
      <c r="FHQ10" s="131"/>
      <c r="FHR10" s="131"/>
      <c r="FHS10" s="131"/>
      <c r="FHT10" s="131"/>
      <c r="FHU10" s="131"/>
      <c r="FHV10" s="131"/>
      <c r="FHW10" s="131"/>
      <c r="FHX10" s="131"/>
      <c r="FHY10" s="131"/>
      <c r="FHZ10" s="131"/>
      <c r="FIA10" s="131"/>
      <c r="FIB10" s="131"/>
      <c r="FIC10" s="131"/>
      <c r="FID10" s="131"/>
      <c r="FIE10" s="131"/>
      <c r="FIF10" s="131"/>
      <c r="FIG10" s="131"/>
      <c r="FIH10" s="131"/>
      <c r="FII10" s="131"/>
      <c r="FIJ10" s="131"/>
      <c r="FIK10" s="131"/>
      <c r="FIL10" s="131"/>
      <c r="FIM10" s="131"/>
      <c r="FIN10" s="131"/>
      <c r="FIO10" s="131"/>
      <c r="FIP10" s="131"/>
      <c r="FIQ10" s="131"/>
      <c r="FIR10" s="131"/>
      <c r="FIS10" s="131"/>
      <c r="FIT10" s="131"/>
      <c r="FIU10" s="131"/>
      <c r="FIV10" s="131"/>
      <c r="FIW10" s="131"/>
      <c r="FIX10" s="131"/>
      <c r="FIY10" s="131"/>
      <c r="FIZ10" s="131"/>
      <c r="FJA10" s="131"/>
      <c r="FJB10" s="131"/>
      <c r="FJC10" s="131"/>
      <c r="FJD10" s="131"/>
      <c r="FJE10" s="131"/>
      <c r="FJF10" s="131"/>
      <c r="FJG10" s="131"/>
      <c r="FJH10" s="131"/>
      <c r="FJI10" s="131"/>
      <c r="FJJ10" s="131"/>
      <c r="FJK10" s="131"/>
      <c r="FJL10" s="131"/>
      <c r="FJM10" s="131"/>
      <c r="FJN10" s="131"/>
      <c r="FJO10" s="131"/>
      <c r="FJP10" s="131"/>
      <c r="FJQ10" s="131"/>
      <c r="FJR10" s="131"/>
      <c r="FJS10" s="131"/>
      <c r="FJT10" s="131"/>
      <c r="FJU10" s="131"/>
      <c r="FJV10" s="131"/>
      <c r="FJW10" s="131"/>
      <c r="FJX10" s="131"/>
      <c r="FJY10" s="131"/>
      <c r="FJZ10" s="131"/>
      <c r="FKA10" s="131"/>
      <c r="FKB10" s="131"/>
      <c r="FKC10" s="131"/>
      <c r="FKD10" s="131"/>
      <c r="FKE10" s="131"/>
      <c r="FKF10" s="131"/>
      <c r="FKG10" s="131"/>
      <c r="FKH10" s="131"/>
      <c r="FKI10" s="131"/>
      <c r="FKJ10" s="131"/>
      <c r="FKK10" s="131"/>
      <c r="FKL10" s="131"/>
      <c r="FKM10" s="131"/>
      <c r="FKN10" s="131"/>
      <c r="FKO10" s="131"/>
      <c r="FKP10" s="131"/>
      <c r="FKQ10" s="131"/>
      <c r="FKR10" s="131"/>
      <c r="FKS10" s="131"/>
      <c r="FKT10" s="131"/>
      <c r="FKU10" s="131"/>
      <c r="FKV10" s="131"/>
      <c r="FKW10" s="131"/>
      <c r="FKX10" s="131"/>
      <c r="FKY10" s="131"/>
      <c r="FKZ10" s="131"/>
      <c r="FLA10" s="131"/>
      <c r="FLB10" s="131"/>
      <c r="FLC10" s="131"/>
      <c r="FLD10" s="131"/>
      <c r="FLE10" s="131"/>
      <c r="FLF10" s="131"/>
      <c r="FLG10" s="131"/>
      <c r="FLH10" s="131"/>
      <c r="FLI10" s="131"/>
      <c r="FLJ10" s="131"/>
      <c r="FLK10" s="131"/>
      <c r="FLL10" s="131"/>
      <c r="FLM10" s="131"/>
      <c r="FLN10" s="131"/>
      <c r="FLO10" s="131"/>
      <c r="FLP10" s="131"/>
      <c r="FLQ10" s="131"/>
      <c r="FLR10" s="131"/>
      <c r="FLS10" s="131"/>
      <c r="FLT10" s="131"/>
      <c r="FLU10" s="131"/>
      <c r="FLV10" s="131"/>
      <c r="FLW10" s="131"/>
      <c r="FLX10" s="131"/>
      <c r="FLY10" s="131"/>
      <c r="FLZ10" s="131"/>
      <c r="FMA10" s="131"/>
      <c r="FMB10" s="131"/>
      <c r="FMC10" s="131"/>
      <c r="FMD10" s="131"/>
      <c r="FME10" s="131"/>
      <c r="FMF10" s="131"/>
      <c r="FMG10" s="131"/>
      <c r="FMH10" s="131"/>
      <c r="FMI10" s="131"/>
      <c r="FMJ10" s="131"/>
      <c r="FMK10" s="131"/>
      <c r="FML10" s="131"/>
      <c r="FMM10" s="131"/>
      <c r="FMN10" s="131"/>
      <c r="FMO10" s="131"/>
      <c r="FMP10" s="131"/>
      <c r="FMQ10" s="131"/>
      <c r="FMR10" s="131"/>
      <c r="FMS10" s="131"/>
      <c r="FMT10" s="131"/>
      <c r="FMU10" s="131"/>
      <c r="FMV10" s="131"/>
      <c r="FMW10" s="131"/>
      <c r="FMX10" s="131"/>
      <c r="FMY10" s="131"/>
      <c r="FMZ10" s="131"/>
      <c r="FNA10" s="131"/>
      <c r="FNB10" s="131"/>
      <c r="FNC10" s="131"/>
      <c r="FND10" s="131"/>
      <c r="FNE10" s="131"/>
      <c r="FNF10" s="131"/>
      <c r="FNG10" s="131"/>
      <c r="FNH10" s="131"/>
      <c r="FNI10" s="131"/>
      <c r="FNJ10" s="131"/>
      <c r="FNK10" s="131"/>
      <c r="FNL10" s="131"/>
      <c r="FNM10" s="131"/>
      <c r="FNN10" s="131"/>
      <c r="FNO10" s="131"/>
      <c r="FNP10" s="131"/>
      <c r="FNQ10" s="131"/>
      <c r="FNR10" s="131"/>
      <c r="FNS10" s="131"/>
      <c r="FNT10" s="131"/>
      <c r="FNU10" s="131"/>
      <c r="FNV10" s="131"/>
      <c r="FNW10" s="131"/>
      <c r="FNX10" s="131"/>
      <c r="FNY10" s="131"/>
      <c r="FNZ10" s="131"/>
      <c r="FOA10" s="131"/>
      <c r="FOB10" s="131"/>
      <c r="FOC10" s="131"/>
      <c r="FOD10" s="131"/>
      <c r="FOE10" s="131"/>
      <c r="FOF10" s="131"/>
      <c r="FOG10" s="131"/>
      <c r="FOH10" s="131"/>
      <c r="FOI10" s="131"/>
      <c r="FOJ10" s="131"/>
      <c r="FOK10" s="131"/>
      <c r="FOL10" s="131"/>
      <c r="FOM10" s="131"/>
      <c r="FON10" s="131"/>
      <c r="FOO10" s="131"/>
      <c r="FOP10" s="131"/>
      <c r="FOQ10" s="131"/>
      <c r="FOR10" s="131"/>
      <c r="FOS10" s="131"/>
      <c r="FOT10" s="131"/>
      <c r="FOU10" s="131"/>
      <c r="FOV10" s="131"/>
      <c r="FOW10" s="131"/>
      <c r="FOX10" s="131"/>
      <c r="FOY10" s="131"/>
      <c r="FOZ10" s="131"/>
      <c r="FPA10" s="131"/>
      <c r="FPB10" s="131"/>
      <c r="FPC10" s="131"/>
      <c r="FPD10" s="131"/>
      <c r="FPE10" s="131"/>
      <c r="FPF10" s="131"/>
      <c r="FPG10" s="131"/>
      <c r="FPH10" s="131"/>
      <c r="FPI10" s="131"/>
      <c r="FPJ10" s="131"/>
      <c r="FPK10" s="131"/>
      <c r="FPL10" s="131"/>
      <c r="FPM10" s="131"/>
      <c r="FPN10" s="131"/>
      <c r="FPO10" s="131"/>
      <c r="FPP10" s="131"/>
      <c r="FPQ10" s="131"/>
      <c r="FPR10" s="131"/>
      <c r="FPS10" s="131"/>
      <c r="FPT10" s="131"/>
      <c r="FPU10" s="131"/>
      <c r="FPV10" s="131"/>
      <c r="FPW10" s="131"/>
      <c r="FPX10" s="131"/>
      <c r="FPY10" s="131"/>
      <c r="FPZ10" s="131"/>
      <c r="FQA10" s="131"/>
      <c r="FQB10" s="131"/>
      <c r="FQC10" s="131"/>
      <c r="FQD10" s="131"/>
      <c r="FQE10" s="131"/>
      <c r="FQF10" s="131"/>
      <c r="FQG10" s="131"/>
      <c r="FQH10" s="131"/>
      <c r="FQI10" s="131"/>
      <c r="FQJ10" s="131"/>
      <c r="FQK10" s="131"/>
      <c r="FQL10" s="131"/>
      <c r="FQM10" s="131"/>
      <c r="FQN10" s="131"/>
      <c r="FQO10" s="131"/>
      <c r="FQP10" s="131"/>
      <c r="FQQ10" s="131"/>
      <c r="FQR10" s="131"/>
      <c r="FQS10" s="131"/>
      <c r="FQT10" s="131"/>
      <c r="FQU10" s="131"/>
      <c r="FQV10" s="131"/>
      <c r="FQW10" s="131"/>
      <c r="FQX10" s="131"/>
      <c r="FQY10" s="131"/>
      <c r="FQZ10" s="131"/>
      <c r="FRA10" s="131"/>
      <c r="FRB10" s="131"/>
      <c r="FRC10" s="131"/>
      <c r="FRD10" s="131"/>
      <c r="FRE10" s="131"/>
      <c r="FRF10" s="131"/>
      <c r="FRG10" s="131"/>
      <c r="FRH10" s="131"/>
      <c r="FRI10" s="131"/>
      <c r="FRJ10" s="131"/>
      <c r="FRK10" s="131"/>
      <c r="FRL10" s="131"/>
      <c r="FRM10" s="131"/>
      <c r="FRN10" s="131"/>
      <c r="FRO10" s="131"/>
      <c r="FRP10" s="131"/>
      <c r="FRQ10" s="131"/>
      <c r="FRR10" s="131"/>
      <c r="FRS10" s="131"/>
      <c r="FRT10" s="131"/>
      <c r="FRU10" s="131"/>
      <c r="FRV10" s="131"/>
      <c r="FRW10" s="131"/>
      <c r="FRX10" s="131"/>
      <c r="FRY10" s="131"/>
      <c r="FRZ10" s="131"/>
      <c r="FSA10" s="131"/>
      <c r="FSB10" s="131"/>
      <c r="FSC10" s="131"/>
      <c r="FSD10" s="131"/>
      <c r="FSE10" s="131"/>
      <c r="FSF10" s="131"/>
      <c r="FSG10" s="131"/>
      <c r="FSH10" s="131"/>
      <c r="FSI10" s="131"/>
      <c r="FSJ10" s="131"/>
      <c r="FSK10" s="131"/>
      <c r="FSL10" s="131"/>
      <c r="FSM10" s="131"/>
      <c r="FSN10" s="131"/>
      <c r="FSO10" s="131"/>
      <c r="FSP10" s="131"/>
      <c r="FSQ10" s="131"/>
      <c r="FSR10" s="131"/>
      <c r="FSS10" s="131"/>
      <c r="FST10" s="131"/>
      <c r="FSU10" s="131"/>
      <c r="FSV10" s="131"/>
      <c r="FSW10" s="131"/>
      <c r="FSX10" s="131"/>
      <c r="FSY10" s="131"/>
      <c r="FSZ10" s="131"/>
      <c r="FTA10" s="131"/>
      <c r="FTB10" s="131"/>
      <c r="FTC10" s="131"/>
      <c r="FTD10" s="131"/>
      <c r="FTE10" s="131"/>
      <c r="FTF10" s="131"/>
      <c r="FTG10" s="131"/>
      <c r="FTH10" s="131"/>
      <c r="FTI10" s="131"/>
      <c r="FTJ10" s="131"/>
      <c r="FTK10" s="131"/>
      <c r="FTL10" s="131"/>
      <c r="FTM10" s="131"/>
      <c r="FTN10" s="131"/>
      <c r="FTO10" s="131"/>
      <c r="FTP10" s="131"/>
      <c r="FTQ10" s="131"/>
      <c r="FTR10" s="131"/>
      <c r="FTS10" s="131"/>
      <c r="FTT10" s="131"/>
      <c r="FTU10" s="131"/>
      <c r="FTV10" s="131"/>
      <c r="FTW10" s="131"/>
      <c r="FTX10" s="131"/>
      <c r="FTY10" s="131"/>
      <c r="FTZ10" s="131"/>
      <c r="FUA10" s="131"/>
      <c r="FUB10" s="131"/>
      <c r="FUC10" s="131"/>
      <c r="FUD10" s="131"/>
      <c r="FUE10" s="131"/>
      <c r="FUF10" s="131"/>
      <c r="FUG10" s="131"/>
      <c r="FUH10" s="131"/>
      <c r="FUI10" s="131"/>
      <c r="FUJ10" s="131"/>
      <c r="FUK10" s="131"/>
      <c r="FUL10" s="131"/>
      <c r="FUM10" s="131"/>
      <c r="FUN10" s="131"/>
      <c r="FUO10" s="131"/>
      <c r="FUP10" s="131"/>
      <c r="FUQ10" s="131"/>
      <c r="FUR10" s="131"/>
      <c r="FUS10" s="131"/>
      <c r="FUT10" s="131"/>
      <c r="FUU10" s="131"/>
      <c r="FUV10" s="131"/>
      <c r="FUW10" s="131"/>
      <c r="FUX10" s="131"/>
      <c r="FUY10" s="131"/>
      <c r="FUZ10" s="131"/>
      <c r="FVA10" s="131"/>
      <c r="FVB10" s="131"/>
      <c r="FVC10" s="131"/>
      <c r="FVD10" s="131"/>
      <c r="FVE10" s="131"/>
      <c r="FVF10" s="131"/>
      <c r="FVG10" s="131"/>
      <c r="FVH10" s="131"/>
      <c r="FVI10" s="131"/>
      <c r="FVJ10" s="131"/>
      <c r="FVK10" s="131"/>
      <c r="FVL10" s="131"/>
      <c r="FVM10" s="131"/>
      <c r="FVN10" s="131"/>
      <c r="FVO10" s="131"/>
      <c r="FVP10" s="131"/>
      <c r="FVQ10" s="131"/>
      <c r="FVR10" s="131"/>
      <c r="FVS10" s="131"/>
      <c r="FVT10" s="131"/>
      <c r="FVU10" s="131"/>
      <c r="FVV10" s="131"/>
      <c r="FVW10" s="131"/>
      <c r="FVX10" s="131"/>
      <c r="FVY10" s="131"/>
      <c r="FVZ10" s="131"/>
      <c r="FWA10" s="131"/>
      <c r="FWB10" s="131"/>
      <c r="FWC10" s="131"/>
      <c r="FWD10" s="131"/>
      <c r="FWE10" s="131"/>
      <c r="FWF10" s="131"/>
      <c r="FWG10" s="131"/>
      <c r="FWH10" s="131"/>
      <c r="FWI10" s="131"/>
      <c r="FWJ10" s="131"/>
      <c r="FWK10" s="131"/>
      <c r="FWL10" s="131"/>
      <c r="FWM10" s="131"/>
      <c r="FWN10" s="131"/>
      <c r="FWO10" s="131"/>
      <c r="FWP10" s="131"/>
      <c r="FWQ10" s="131"/>
      <c r="FWR10" s="131"/>
      <c r="FWS10" s="131"/>
      <c r="FWT10" s="131"/>
      <c r="FWU10" s="131"/>
      <c r="FWV10" s="131"/>
      <c r="FWW10" s="131"/>
      <c r="FWX10" s="131"/>
      <c r="FWY10" s="131"/>
      <c r="FWZ10" s="131"/>
      <c r="FXA10" s="131"/>
      <c r="FXB10" s="131"/>
      <c r="FXC10" s="131"/>
      <c r="FXD10" s="131"/>
      <c r="FXE10" s="131"/>
      <c r="FXF10" s="131"/>
      <c r="FXG10" s="131"/>
      <c r="FXH10" s="131"/>
      <c r="FXI10" s="131"/>
      <c r="FXJ10" s="131"/>
      <c r="FXK10" s="131"/>
      <c r="FXL10" s="131"/>
      <c r="FXM10" s="131"/>
      <c r="FXN10" s="131"/>
      <c r="FXO10" s="131"/>
      <c r="FXP10" s="131"/>
      <c r="FXQ10" s="131"/>
      <c r="FXR10" s="131"/>
      <c r="FXS10" s="131"/>
      <c r="FXT10" s="131"/>
      <c r="FXU10" s="131"/>
      <c r="FXV10" s="131"/>
      <c r="FXW10" s="131"/>
      <c r="FXX10" s="131"/>
      <c r="FXY10" s="131"/>
      <c r="FXZ10" s="131"/>
      <c r="FYA10" s="131"/>
      <c r="FYB10" s="131"/>
      <c r="FYC10" s="131"/>
      <c r="FYD10" s="131"/>
      <c r="FYE10" s="131"/>
      <c r="FYF10" s="131"/>
      <c r="FYG10" s="131"/>
      <c r="FYH10" s="131"/>
      <c r="FYI10" s="131"/>
      <c r="FYJ10" s="131"/>
      <c r="FYK10" s="131"/>
      <c r="FYL10" s="131"/>
      <c r="FYM10" s="131"/>
      <c r="FYN10" s="131"/>
      <c r="FYO10" s="131"/>
      <c r="FYP10" s="131"/>
      <c r="FYQ10" s="131"/>
      <c r="FYR10" s="131"/>
      <c r="FYS10" s="131"/>
      <c r="FYT10" s="131"/>
      <c r="FYU10" s="131"/>
      <c r="FYV10" s="131"/>
      <c r="FYW10" s="131"/>
      <c r="FYX10" s="131"/>
      <c r="FYY10" s="131"/>
      <c r="FYZ10" s="131"/>
      <c r="FZA10" s="131"/>
      <c r="FZB10" s="131"/>
      <c r="FZC10" s="131"/>
      <c r="FZD10" s="131"/>
      <c r="FZE10" s="131"/>
      <c r="FZF10" s="131"/>
      <c r="FZG10" s="131"/>
      <c r="FZH10" s="131"/>
      <c r="FZI10" s="131"/>
      <c r="FZJ10" s="131"/>
      <c r="FZK10" s="131"/>
      <c r="FZL10" s="131"/>
      <c r="FZM10" s="131"/>
      <c r="FZN10" s="131"/>
      <c r="FZO10" s="131"/>
      <c r="FZP10" s="131"/>
      <c r="FZQ10" s="131"/>
      <c r="FZR10" s="131"/>
      <c r="FZS10" s="131"/>
      <c r="FZT10" s="131"/>
      <c r="FZU10" s="131"/>
      <c r="FZV10" s="131"/>
      <c r="FZW10" s="131"/>
      <c r="FZX10" s="131"/>
      <c r="FZY10" s="131"/>
      <c r="FZZ10" s="131"/>
      <c r="GAA10" s="131"/>
      <c r="GAB10" s="131"/>
      <c r="GAC10" s="131"/>
      <c r="GAD10" s="131"/>
      <c r="GAE10" s="131"/>
      <c r="GAF10" s="131"/>
      <c r="GAG10" s="131"/>
      <c r="GAH10" s="131"/>
      <c r="GAI10" s="131"/>
      <c r="GAJ10" s="131"/>
      <c r="GAK10" s="131"/>
      <c r="GAL10" s="131"/>
      <c r="GAM10" s="131"/>
      <c r="GAN10" s="131"/>
      <c r="GAO10" s="131"/>
      <c r="GAP10" s="131"/>
      <c r="GAQ10" s="131"/>
      <c r="GAR10" s="131"/>
      <c r="GAS10" s="131"/>
      <c r="GAT10" s="131"/>
      <c r="GAU10" s="131"/>
      <c r="GAV10" s="131"/>
      <c r="GAW10" s="131"/>
      <c r="GAX10" s="131"/>
      <c r="GAY10" s="131"/>
      <c r="GAZ10" s="131"/>
      <c r="GBA10" s="131"/>
      <c r="GBB10" s="131"/>
      <c r="GBC10" s="131"/>
      <c r="GBD10" s="131"/>
      <c r="GBE10" s="131"/>
      <c r="GBF10" s="131"/>
      <c r="GBG10" s="131"/>
      <c r="GBH10" s="131"/>
      <c r="GBI10" s="131"/>
      <c r="GBJ10" s="131"/>
      <c r="GBK10" s="131"/>
      <c r="GBL10" s="131"/>
      <c r="GBM10" s="131"/>
      <c r="GBN10" s="131"/>
      <c r="GBO10" s="131"/>
      <c r="GBP10" s="131"/>
      <c r="GBQ10" s="131"/>
      <c r="GBR10" s="131"/>
      <c r="GBS10" s="131"/>
      <c r="GBT10" s="131"/>
      <c r="GBU10" s="131"/>
      <c r="GBV10" s="131"/>
      <c r="GBW10" s="131"/>
      <c r="GBX10" s="131"/>
      <c r="GBY10" s="131"/>
      <c r="GBZ10" s="131"/>
      <c r="GCA10" s="131"/>
      <c r="GCB10" s="131"/>
      <c r="GCC10" s="131"/>
      <c r="GCD10" s="131"/>
      <c r="GCE10" s="131"/>
      <c r="GCF10" s="131"/>
      <c r="GCG10" s="131"/>
      <c r="GCH10" s="131"/>
      <c r="GCI10" s="131"/>
      <c r="GCJ10" s="131"/>
      <c r="GCK10" s="131"/>
      <c r="GCL10" s="131"/>
      <c r="GCM10" s="131"/>
      <c r="GCN10" s="131"/>
      <c r="GCO10" s="131"/>
      <c r="GCP10" s="131"/>
      <c r="GCQ10" s="131"/>
      <c r="GCR10" s="131"/>
      <c r="GCS10" s="131"/>
      <c r="GCT10" s="131"/>
      <c r="GCU10" s="131"/>
      <c r="GCV10" s="131"/>
      <c r="GCW10" s="131"/>
      <c r="GCX10" s="131"/>
      <c r="GCY10" s="131"/>
      <c r="GCZ10" s="131"/>
      <c r="GDA10" s="131"/>
      <c r="GDB10" s="131"/>
      <c r="GDC10" s="131"/>
      <c r="GDD10" s="131"/>
      <c r="GDE10" s="131"/>
      <c r="GDF10" s="131"/>
      <c r="GDG10" s="131"/>
      <c r="GDH10" s="131"/>
      <c r="GDI10" s="131"/>
      <c r="GDJ10" s="131"/>
      <c r="GDK10" s="131"/>
      <c r="GDL10" s="131"/>
      <c r="GDM10" s="131"/>
      <c r="GDN10" s="131"/>
      <c r="GDO10" s="131"/>
      <c r="GDP10" s="131"/>
      <c r="GDQ10" s="131"/>
      <c r="GDR10" s="131"/>
      <c r="GDS10" s="131"/>
      <c r="GDT10" s="131"/>
      <c r="GDU10" s="131"/>
      <c r="GDV10" s="131"/>
      <c r="GDW10" s="131"/>
      <c r="GDX10" s="131"/>
      <c r="GDY10" s="131"/>
      <c r="GDZ10" s="131"/>
      <c r="GEA10" s="131"/>
      <c r="GEB10" s="131"/>
      <c r="GEC10" s="131"/>
      <c r="GED10" s="131"/>
      <c r="GEE10" s="131"/>
      <c r="GEF10" s="131"/>
      <c r="GEG10" s="131"/>
      <c r="GEH10" s="131"/>
      <c r="GEI10" s="131"/>
      <c r="GEJ10" s="131"/>
      <c r="GEK10" s="131"/>
      <c r="GEL10" s="131"/>
      <c r="GEM10" s="131"/>
      <c r="GEN10" s="131"/>
      <c r="GEO10" s="131"/>
      <c r="GEP10" s="131"/>
      <c r="GEQ10" s="131"/>
      <c r="GER10" s="131"/>
      <c r="GES10" s="131"/>
      <c r="GET10" s="131"/>
      <c r="GEU10" s="131"/>
      <c r="GEV10" s="131"/>
      <c r="GEW10" s="131"/>
      <c r="GEX10" s="131"/>
      <c r="GEY10" s="131"/>
      <c r="GEZ10" s="131"/>
      <c r="GFA10" s="131"/>
      <c r="GFB10" s="131"/>
      <c r="GFC10" s="131"/>
      <c r="GFD10" s="131"/>
      <c r="GFE10" s="131"/>
      <c r="GFF10" s="131"/>
      <c r="GFG10" s="131"/>
      <c r="GFH10" s="131"/>
      <c r="GFI10" s="131"/>
      <c r="GFJ10" s="131"/>
      <c r="GFK10" s="131"/>
      <c r="GFL10" s="131"/>
      <c r="GFM10" s="131"/>
      <c r="GFN10" s="131"/>
      <c r="GFO10" s="131"/>
      <c r="GFP10" s="131"/>
      <c r="GFQ10" s="131"/>
      <c r="GFR10" s="131"/>
      <c r="GFS10" s="131"/>
      <c r="GFT10" s="131"/>
      <c r="GFU10" s="131"/>
      <c r="GFV10" s="131"/>
      <c r="GFW10" s="131"/>
      <c r="GFX10" s="131"/>
      <c r="GFY10" s="131"/>
      <c r="GFZ10" s="131"/>
      <c r="GGA10" s="131"/>
      <c r="GGB10" s="131"/>
      <c r="GGC10" s="131"/>
      <c r="GGD10" s="131"/>
      <c r="GGE10" s="131"/>
      <c r="GGF10" s="131"/>
      <c r="GGG10" s="131"/>
      <c r="GGH10" s="131"/>
      <c r="GGI10" s="131"/>
      <c r="GGJ10" s="131"/>
      <c r="GGK10" s="131"/>
      <c r="GGL10" s="131"/>
      <c r="GGM10" s="131"/>
      <c r="GGN10" s="131"/>
      <c r="GGO10" s="131"/>
      <c r="GGP10" s="131"/>
      <c r="GGQ10" s="131"/>
      <c r="GGR10" s="131"/>
      <c r="GGS10" s="131"/>
      <c r="GGT10" s="131"/>
      <c r="GGU10" s="131"/>
      <c r="GGV10" s="131"/>
      <c r="GGW10" s="131"/>
      <c r="GGX10" s="131"/>
      <c r="GGY10" s="131"/>
      <c r="GGZ10" s="131"/>
      <c r="GHA10" s="131"/>
      <c r="GHB10" s="131"/>
      <c r="GHC10" s="131"/>
      <c r="GHD10" s="131"/>
      <c r="GHE10" s="131"/>
      <c r="GHF10" s="131"/>
      <c r="GHG10" s="131"/>
      <c r="GHH10" s="131"/>
      <c r="GHI10" s="131"/>
      <c r="GHJ10" s="131"/>
      <c r="GHK10" s="131"/>
      <c r="GHL10" s="131"/>
      <c r="GHM10" s="131"/>
      <c r="GHN10" s="131"/>
      <c r="GHO10" s="131"/>
      <c r="GHP10" s="131"/>
      <c r="GHQ10" s="131"/>
      <c r="GHR10" s="131"/>
      <c r="GHS10" s="131"/>
      <c r="GHT10" s="131"/>
      <c r="GHU10" s="131"/>
      <c r="GHV10" s="131"/>
      <c r="GHW10" s="131"/>
      <c r="GHX10" s="131"/>
      <c r="GHY10" s="131"/>
      <c r="GHZ10" s="131"/>
      <c r="GIA10" s="131"/>
      <c r="GIB10" s="131"/>
      <c r="GIC10" s="131"/>
      <c r="GID10" s="131"/>
      <c r="GIE10" s="131"/>
      <c r="GIF10" s="131"/>
      <c r="GIG10" s="131"/>
      <c r="GIH10" s="131"/>
      <c r="GII10" s="131"/>
      <c r="GIJ10" s="131"/>
      <c r="GIK10" s="131"/>
      <c r="GIL10" s="131"/>
      <c r="GIM10" s="131"/>
      <c r="GIN10" s="131"/>
      <c r="GIO10" s="131"/>
      <c r="GIP10" s="131"/>
      <c r="GIQ10" s="131"/>
      <c r="GIR10" s="131"/>
      <c r="GIS10" s="131"/>
      <c r="GIT10" s="131"/>
      <c r="GIU10" s="131"/>
      <c r="GIV10" s="131"/>
      <c r="GIW10" s="131"/>
      <c r="GIX10" s="131"/>
      <c r="GIY10" s="131"/>
      <c r="GIZ10" s="131"/>
      <c r="GJA10" s="131"/>
      <c r="GJB10" s="131"/>
      <c r="GJC10" s="131"/>
      <c r="GJD10" s="131"/>
      <c r="GJE10" s="131"/>
      <c r="GJF10" s="131"/>
      <c r="GJG10" s="131"/>
      <c r="GJH10" s="131"/>
      <c r="GJI10" s="131"/>
      <c r="GJJ10" s="131"/>
      <c r="GJK10" s="131"/>
      <c r="GJL10" s="131"/>
      <c r="GJM10" s="131"/>
      <c r="GJN10" s="131"/>
      <c r="GJO10" s="131"/>
      <c r="GJP10" s="131"/>
      <c r="GJQ10" s="131"/>
      <c r="GJR10" s="131"/>
      <c r="GJS10" s="131"/>
      <c r="GJT10" s="131"/>
      <c r="GJU10" s="131"/>
      <c r="GJV10" s="131"/>
      <c r="GJW10" s="131"/>
      <c r="GJX10" s="131"/>
      <c r="GJY10" s="131"/>
      <c r="GJZ10" s="131"/>
      <c r="GKA10" s="131"/>
      <c r="GKB10" s="131"/>
      <c r="GKC10" s="131"/>
      <c r="GKD10" s="131"/>
      <c r="GKE10" s="131"/>
      <c r="GKF10" s="131"/>
      <c r="GKG10" s="131"/>
      <c r="GKH10" s="131"/>
      <c r="GKI10" s="131"/>
      <c r="GKJ10" s="131"/>
      <c r="GKK10" s="131"/>
      <c r="GKL10" s="131"/>
      <c r="GKM10" s="131"/>
      <c r="GKN10" s="131"/>
      <c r="GKO10" s="131"/>
      <c r="GKP10" s="131"/>
      <c r="GKQ10" s="131"/>
      <c r="GKR10" s="131"/>
      <c r="GKS10" s="131"/>
      <c r="GKT10" s="131"/>
      <c r="GKU10" s="131"/>
      <c r="GKV10" s="131"/>
      <c r="GKW10" s="131"/>
      <c r="GKX10" s="131"/>
      <c r="GKY10" s="131"/>
      <c r="GKZ10" s="131"/>
      <c r="GLA10" s="131"/>
      <c r="GLB10" s="131"/>
      <c r="GLC10" s="131"/>
      <c r="GLD10" s="131"/>
      <c r="GLE10" s="131"/>
      <c r="GLF10" s="131"/>
      <c r="GLG10" s="131"/>
      <c r="GLH10" s="131"/>
      <c r="GLI10" s="131"/>
      <c r="GLJ10" s="131"/>
      <c r="GLK10" s="131"/>
      <c r="GLL10" s="131"/>
      <c r="GLM10" s="131"/>
      <c r="GLN10" s="131"/>
      <c r="GLO10" s="131"/>
      <c r="GLP10" s="131"/>
      <c r="GLQ10" s="131"/>
      <c r="GLR10" s="131"/>
      <c r="GLS10" s="131"/>
      <c r="GLT10" s="131"/>
      <c r="GLU10" s="131"/>
      <c r="GLV10" s="131"/>
      <c r="GLW10" s="131"/>
      <c r="GLX10" s="131"/>
      <c r="GLY10" s="131"/>
      <c r="GLZ10" s="131"/>
      <c r="GMA10" s="131"/>
      <c r="GMB10" s="131"/>
      <c r="GMC10" s="131"/>
      <c r="GMD10" s="131"/>
      <c r="GME10" s="131"/>
      <c r="GMF10" s="131"/>
      <c r="GMG10" s="131"/>
      <c r="GMH10" s="131"/>
      <c r="GMI10" s="131"/>
      <c r="GMJ10" s="131"/>
      <c r="GMK10" s="131"/>
      <c r="GML10" s="131"/>
      <c r="GMM10" s="131"/>
      <c r="GMN10" s="131"/>
      <c r="GMO10" s="131"/>
      <c r="GMP10" s="131"/>
      <c r="GMQ10" s="131"/>
      <c r="GMR10" s="131"/>
      <c r="GMS10" s="131"/>
      <c r="GMT10" s="131"/>
      <c r="GMU10" s="131"/>
      <c r="GMV10" s="131"/>
      <c r="GMW10" s="131"/>
      <c r="GMX10" s="131"/>
      <c r="GMY10" s="131"/>
      <c r="GMZ10" s="131"/>
      <c r="GNA10" s="131"/>
      <c r="GNB10" s="131"/>
      <c r="GNC10" s="131"/>
      <c r="GND10" s="131"/>
      <c r="GNE10" s="131"/>
      <c r="GNF10" s="131"/>
      <c r="GNG10" s="131"/>
      <c r="GNH10" s="131"/>
      <c r="GNI10" s="131"/>
      <c r="GNJ10" s="131"/>
      <c r="GNK10" s="131"/>
      <c r="GNL10" s="131"/>
      <c r="GNM10" s="131"/>
      <c r="GNZ10" s="131"/>
      <c r="GOA10" s="131"/>
      <c r="GOB10" s="131"/>
      <c r="GOC10" s="131"/>
      <c r="GOD10" s="131"/>
      <c r="GOE10" s="131"/>
      <c r="GOF10" s="131"/>
      <c r="GOG10" s="131"/>
      <c r="GOH10" s="131"/>
      <c r="GOI10" s="131"/>
      <c r="GOJ10" s="131"/>
      <c r="GOK10" s="131"/>
      <c r="GOL10" s="131"/>
      <c r="GOM10" s="131"/>
      <c r="GON10" s="131"/>
      <c r="GOO10" s="131"/>
      <c r="GOP10" s="131"/>
      <c r="GOQ10" s="131"/>
      <c r="GOR10" s="131"/>
      <c r="GOS10" s="131"/>
      <c r="GOT10" s="131"/>
      <c r="GOU10" s="131"/>
      <c r="GOV10" s="131"/>
      <c r="GOW10" s="131"/>
      <c r="GOX10" s="131"/>
      <c r="GOY10" s="131"/>
      <c r="GOZ10" s="131"/>
      <c r="GPA10" s="131"/>
      <c r="GPB10" s="131"/>
      <c r="GPC10" s="131"/>
      <c r="GPD10" s="131"/>
      <c r="GPE10" s="131"/>
      <c r="GPF10" s="131"/>
      <c r="GPG10" s="131"/>
      <c r="GPH10" s="131"/>
      <c r="GPI10" s="131"/>
      <c r="GPJ10" s="131"/>
      <c r="GPK10" s="131"/>
      <c r="GPL10" s="131"/>
      <c r="GPM10" s="131"/>
      <c r="GPN10" s="131"/>
      <c r="GPO10" s="131"/>
      <c r="GPP10" s="131"/>
      <c r="GPQ10" s="131"/>
      <c r="GPR10" s="131"/>
      <c r="GPS10" s="131"/>
      <c r="GPT10" s="131"/>
      <c r="GPU10" s="131"/>
      <c r="GPV10" s="131"/>
      <c r="GPW10" s="131"/>
      <c r="GPX10" s="131"/>
      <c r="GPY10" s="131"/>
      <c r="GPZ10" s="131"/>
      <c r="GQA10" s="131"/>
      <c r="GQB10" s="131"/>
      <c r="GQC10" s="131"/>
      <c r="GQD10" s="131"/>
      <c r="GQE10" s="131"/>
      <c r="GQF10" s="131"/>
      <c r="GQG10" s="131"/>
      <c r="GQH10" s="131"/>
      <c r="GQI10" s="131"/>
      <c r="GQJ10" s="131"/>
      <c r="GQK10" s="131"/>
      <c r="GQL10" s="131"/>
      <c r="GQM10" s="131"/>
      <c r="GQN10" s="131"/>
      <c r="GQO10" s="131"/>
      <c r="GQP10" s="131"/>
      <c r="GQQ10" s="131"/>
      <c r="GQR10" s="131"/>
      <c r="GQS10" s="131"/>
      <c r="GQT10" s="131"/>
      <c r="GQU10" s="131"/>
      <c r="GQV10" s="131"/>
      <c r="GQW10" s="131"/>
      <c r="GQX10" s="131"/>
      <c r="GQY10" s="131"/>
      <c r="GQZ10" s="131"/>
      <c r="GRA10" s="131"/>
      <c r="GRB10" s="131"/>
      <c r="GRC10" s="131"/>
      <c r="GRD10" s="131"/>
      <c r="GRE10" s="131"/>
      <c r="GRF10" s="131"/>
      <c r="GRG10" s="131"/>
      <c r="GRH10" s="131"/>
      <c r="GRI10" s="131"/>
      <c r="GRJ10" s="131"/>
      <c r="GRK10" s="131"/>
      <c r="GRL10" s="131"/>
      <c r="GRM10" s="131"/>
      <c r="GRN10" s="131"/>
      <c r="GRO10" s="131"/>
      <c r="GRP10" s="131"/>
      <c r="GRQ10" s="131"/>
      <c r="GRR10" s="131"/>
      <c r="GRS10" s="131"/>
      <c r="GRT10" s="131"/>
      <c r="GRU10" s="131"/>
      <c r="GRV10" s="131"/>
      <c r="GRW10" s="131"/>
      <c r="GRX10" s="131"/>
      <c r="GRY10" s="131"/>
      <c r="GRZ10" s="131"/>
      <c r="GSA10" s="131"/>
      <c r="GSB10" s="131"/>
      <c r="GSC10" s="131"/>
      <c r="GSD10" s="131"/>
      <c r="GSE10" s="131"/>
      <c r="GSF10" s="131"/>
      <c r="GSG10" s="131"/>
      <c r="GSH10" s="131"/>
      <c r="GSI10" s="131"/>
      <c r="GSJ10" s="131"/>
      <c r="GSK10" s="131"/>
      <c r="GSL10" s="131"/>
      <c r="GSM10" s="131"/>
      <c r="GSN10" s="131"/>
      <c r="GSO10" s="131"/>
      <c r="GSP10" s="131"/>
      <c r="GSQ10" s="131"/>
      <c r="GSR10" s="131"/>
      <c r="GSS10" s="131"/>
      <c r="GST10" s="131"/>
      <c r="GSU10" s="131"/>
      <c r="GSV10" s="131"/>
      <c r="GSW10" s="131"/>
      <c r="GSX10" s="131"/>
      <c r="GSY10" s="131"/>
      <c r="GSZ10" s="131"/>
      <c r="GTA10" s="131"/>
      <c r="GTB10" s="131"/>
      <c r="GTC10" s="131"/>
      <c r="GTD10" s="131"/>
      <c r="GTE10" s="131"/>
      <c r="GTF10" s="131"/>
      <c r="GTG10" s="131"/>
      <c r="GTH10" s="131"/>
      <c r="GTI10" s="131"/>
      <c r="GTJ10" s="131"/>
      <c r="GTK10" s="131"/>
      <c r="GTL10" s="131"/>
      <c r="GTM10" s="131"/>
      <c r="GTN10" s="131"/>
      <c r="GTO10" s="131"/>
      <c r="GTP10" s="131"/>
      <c r="GTQ10" s="131"/>
      <c r="GTR10" s="131"/>
      <c r="GTS10" s="131"/>
      <c r="GTT10" s="131"/>
      <c r="GTU10" s="131"/>
      <c r="GTV10" s="131"/>
      <c r="GTW10" s="131"/>
      <c r="GTX10" s="131"/>
      <c r="GTY10" s="131"/>
      <c r="GTZ10" s="131"/>
      <c r="GUA10" s="131"/>
      <c r="GUB10" s="131"/>
      <c r="GUC10" s="131"/>
      <c r="GUD10" s="131"/>
      <c r="GUE10" s="131"/>
      <c r="GUF10" s="131"/>
      <c r="GUG10" s="131"/>
      <c r="GUH10" s="131"/>
      <c r="GUI10" s="131"/>
      <c r="GUJ10" s="131"/>
      <c r="GUK10" s="131"/>
      <c r="GUL10" s="131"/>
      <c r="GUM10" s="131"/>
      <c r="GUN10" s="131"/>
      <c r="GUO10" s="131"/>
      <c r="GUP10" s="131"/>
      <c r="GUQ10" s="131"/>
      <c r="GUR10" s="131"/>
      <c r="GUS10" s="131"/>
      <c r="GUT10" s="131"/>
      <c r="GUU10" s="131"/>
      <c r="GUV10" s="131"/>
      <c r="GUW10" s="131"/>
      <c r="GUX10" s="131"/>
      <c r="GUY10" s="131"/>
      <c r="GUZ10" s="131"/>
      <c r="GVA10" s="131"/>
      <c r="GVB10" s="131"/>
      <c r="GVC10" s="131"/>
      <c r="GVD10" s="131"/>
      <c r="GVE10" s="131"/>
      <c r="GVF10" s="131"/>
      <c r="GVG10" s="131"/>
      <c r="GVH10" s="131"/>
      <c r="GVI10" s="131"/>
      <c r="GVJ10" s="131"/>
      <c r="GVK10" s="131"/>
      <c r="GVL10" s="131"/>
      <c r="GVM10" s="131"/>
      <c r="GVN10" s="131"/>
      <c r="GVO10" s="131"/>
      <c r="GVP10" s="131"/>
      <c r="GVQ10" s="131"/>
      <c r="GVR10" s="131"/>
      <c r="GVS10" s="131"/>
      <c r="GVT10" s="131"/>
      <c r="GVU10" s="131"/>
      <c r="GVV10" s="131"/>
      <c r="GVW10" s="131"/>
      <c r="GVX10" s="131"/>
      <c r="GVY10" s="131"/>
      <c r="GVZ10" s="131"/>
      <c r="GWA10" s="131"/>
      <c r="GWB10" s="131"/>
      <c r="GWC10" s="131"/>
      <c r="GWD10" s="131"/>
      <c r="GWE10" s="131"/>
      <c r="GWF10" s="131"/>
      <c r="GWG10" s="131"/>
      <c r="GWH10" s="131"/>
      <c r="GWI10" s="131"/>
      <c r="GWJ10" s="131"/>
      <c r="GWK10" s="131"/>
      <c r="GWL10" s="131"/>
      <c r="GWM10" s="131"/>
      <c r="GWN10" s="131"/>
      <c r="GWO10" s="131"/>
      <c r="GWP10" s="131"/>
      <c r="GWQ10" s="131"/>
      <c r="GWR10" s="131"/>
      <c r="GWS10" s="131"/>
      <c r="GWT10" s="131"/>
      <c r="GWU10" s="131"/>
      <c r="GWV10" s="131"/>
      <c r="GWW10" s="131"/>
      <c r="GWX10" s="131"/>
      <c r="GWY10" s="131"/>
      <c r="GWZ10" s="131"/>
      <c r="GXA10" s="131"/>
      <c r="GXB10" s="131"/>
      <c r="GXC10" s="131"/>
      <c r="GXD10" s="131"/>
      <c r="GXE10" s="131"/>
      <c r="GXF10" s="131"/>
      <c r="GXG10" s="131"/>
      <c r="GXH10" s="131"/>
      <c r="GXI10" s="131"/>
      <c r="GXJ10" s="131"/>
      <c r="GXK10" s="131"/>
      <c r="GXL10" s="131"/>
      <c r="GXM10" s="131"/>
      <c r="GXN10" s="131"/>
      <c r="GXO10" s="131"/>
      <c r="GXP10" s="131"/>
      <c r="GXQ10" s="131"/>
      <c r="GXR10" s="131"/>
      <c r="GXS10" s="131"/>
      <c r="GXT10" s="131"/>
      <c r="GXU10" s="131"/>
      <c r="GXV10" s="131"/>
      <c r="GXW10" s="131"/>
      <c r="GXX10" s="131"/>
      <c r="GXY10" s="131"/>
      <c r="GXZ10" s="131"/>
      <c r="GYA10" s="131"/>
      <c r="GYB10" s="131"/>
      <c r="GYC10" s="131"/>
      <c r="GYD10" s="131"/>
      <c r="GYE10" s="131"/>
      <c r="GYF10" s="131"/>
      <c r="GYG10" s="131"/>
      <c r="GYH10" s="131"/>
      <c r="GYI10" s="131"/>
      <c r="GYJ10" s="131"/>
      <c r="GYK10" s="131"/>
      <c r="GYL10" s="131"/>
      <c r="GYM10" s="131"/>
      <c r="GYN10" s="131"/>
      <c r="GYO10" s="131"/>
      <c r="GYP10" s="131"/>
      <c r="GYQ10" s="131"/>
      <c r="GYR10" s="131"/>
      <c r="GYS10" s="131"/>
      <c r="GYT10" s="131"/>
      <c r="GYU10" s="131"/>
      <c r="GYV10" s="131"/>
      <c r="GYW10" s="131"/>
      <c r="GYX10" s="131"/>
      <c r="GYY10" s="131"/>
      <c r="GYZ10" s="131"/>
      <c r="GZA10" s="131"/>
      <c r="GZB10" s="131"/>
      <c r="GZC10" s="131"/>
      <c r="GZD10" s="131"/>
      <c r="GZE10" s="131"/>
      <c r="GZF10" s="131"/>
      <c r="GZG10" s="131"/>
      <c r="GZH10" s="131"/>
      <c r="GZI10" s="131"/>
      <c r="GZJ10" s="131"/>
      <c r="GZK10" s="131"/>
      <c r="GZL10" s="131"/>
      <c r="GZM10" s="131"/>
      <c r="GZN10" s="131"/>
      <c r="GZO10" s="131"/>
      <c r="GZP10" s="131"/>
      <c r="GZQ10" s="131"/>
      <c r="GZR10" s="131"/>
      <c r="GZS10" s="131"/>
      <c r="GZT10" s="131"/>
      <c r="GZU10" s="131"/>
      <c r="GZV10" s="131"/>
      <c r="GZW10" s="131"/>
      <c r="GZX10" s="131"/>
      <c r="GZY10" s="131"/>
      <c r="GZZ10" s="131"/>
      <c r="HAA10" s="131"/>
      <c r="HAB10" s="131"/>
      <c r="HAC10" s="131"/>
      <c r="HAD10" s="131"/>
      <c r="HAE10" s="131"/>
      <c r="HAF10" s="131"/>
      <c r="HAG10" s="131"/>
      <c r="HAH10" s="131"/>
      <c r="HAI10" s="131"/>
      <c r="HAJ10" s="131"/>
      <c r="HAK10" s="131"/>
      <c r="HAL10" s="131"/>
      <c r="HAM10" s="131"/>
      <c r="HAN10" s="131"/>
      <c r="HAO10" s="131"/>
      <c r="HAP10" s="131"/>
      <c r="HAQ10" s="131"/>
      <c r="HAR10" s="131"/>
      <c r="HAS10" s="131"/>
      <c r="HAT10" s="131"/>
      <c r="HAU10" s="131"/>
      <c r="HAV10" s="131"/>
      <c r="HAW10" s="131"/>
      <c r="HAX10" s="131"/>
      <c r="HAY10" s="131"/>
      <c r="HAZ10" s="131"/>
      <c r="HBA10" s="131"/>
      <c r="HBB10" s="131"/>
      <c r="HBC10" s="131"/>
      <c r="HBD10" s="131"/>
      <c r="HBE10" s="131"/>
      <c r="HBF10" s="131"/>
      <c r="HBG10" s="131"/>
      <c r="HBH10" s="131"/>
      <c r="HBI10" s="131"/>
      <c r="HBJ10" s="131"/>
      <c r="HBK10" s="131"/>
      <c r="HBL10" s="131"/>
      <c r="HBM10" s="131"/>
      <c r="HBN10" s="131"/>
      <c r="HBO10" s="131"/>
      <c r="HBP10" s="131"/>
      <c r="HBQ10" s="131"/>
      <c r="HBR10" s="131"/>
      <c r="HBS10" s="131"/>
      <c r="HBT10" s="131"/>
      <c r="HBU10" s="131"/>
      <c r="HBV10" s="131"/>
      <c r="HBW10" s="131"/>
      <c r="HBX10" s="131"/>
      <c r="HBY10" s="131"/>
      <c r="HBZ10" s="131"/>
      <c r="HCA10" s="131"/>
      <c r="HCB10" s="131"/>
      <c r="HCC10" s="131"/>
      <c r="HCD10" s="131"/>
      <c r="HCE10" s="131"/>
      <c r="HCF10" s="131"/>
      <c r="HCG10" s="131"/>
      <c r="HCH10" s="131"/>
      <c r="HCI10" s="131"/>
      <c r="HCJ10" s="131"/>
      <c r="HCK10" s="131"/>
      <c r="HCL10" s="131"/>
      <c r="HCM10" s="131"/>
      <c r="HCN10" s="131"/>
      <c r="HCO10" s="131"/>
      <c r="HCP10" s="131"/>
      <c r="HCQ10" s="131"/>
      <c r="HCR10" s="131"/>
      <c r="HCS10" s="131"/>
      <c r="HCT10" s="131"/>
      <c r="HCU10" s="131"/>
      <c r="HCV10" s="131"/>
      <c r="HCW10" s="131"/>
      <c r="HCX10" s="131"/>
      <c r="HCY10" s="131"/>
      <c r="HCZ10" s="131"/>
      <c r="HDA10" s="131"/>
      <c r="HDB10" s="131"/>
      <c r="HDC10" s="131"/>
      <c r="HDD10" s="131"/>
      <c r="HDE10" s="131"/>
      <c r="HDF10" s="131"/>
      <c r="HDG10" s="131"/>
      <c r="HDH10" s="131"/>
      <c r="HDI10" s="131"/>
      <c r="HDJ10" s="131"/>
      <c r="HDK10" s="131"/>
      <c r="HDL10" s="131"/>
      <c r="HDM10" s="131"/>
      <c r="HDN10" s="131"/>
      <c r="HDO10" s="131"/>
      <c r="HDP10" s="131"/>
      <c r="HDQ10" s="131"/>
      <c r="HDR10" s="131"/>
      <c r="HDS10" s="131"/>
      <c r="HDT10" s="131"/>
      <c r="HDU10" s="131"/>
      <c r="HDV10" s="131"/>
      <c r="HDW10" s="131"/>
      <c r="HDX10" s="131"/>
      <c r="HDY10" s="131"/>
      <c r="HDZ10" s="131"/>
      <c r="HEA10" s="131"/>
      <c r="HEB10" s="131"/>
      <c r="HEC10" s="131"/>
      <c r="HED10" s="131"/>
      <c r="HEE10" s="131"/>
      <c r="HEF10" s="131"/>
      <c r="HEG10" s="131"/>
      <c r="HEH10" s="131"/>
      <c r="HEI10" s="131"/>
      <c r="HEJ10" s="131"/>
      <c r="HEK10" s="131"/>
      <c r="HEL10" s="131"/>
      <c r="HEM10" s="131"/>
      <c r="HEN10" s="131"/>
      <c r="HEO10" s="131"/>
      <c r="HEP10" s="131"/>
      <c r="HEQ10" s="131"/>
      <c r="HER10" s="131"/>
      <c r="HES10" s="131"/>
      <c r="HET10" s="131"/>
      <c r="HEU10" s="131"/>
      <c r="HEV10" s="131"/>
      <c r="HEW10" s="131"/>
      <c r="HEX10" s="131"/>
      <c r="HEY10" s="131"/>
      <c r="HEZ10" s="131"/>
      <c r="HFA10" s="131"/>
      <c r="HFB10" s="131"/>
      <c r="HFC10" s="131"/>
      <c r="HFD10" s="131"/>
      <c r="HFE10" s="131"/>
      <c r="HFF10" s="131"/>
      <c r="HFG10" s="131"/>
      <c r="HFH10" s="131"/>
      <c r="HFI10" s="131"/>
      <c r="HFJ10" s="131"/>
      <c r="HFK10" s="131"/>
      <c r="HFL10" s="131"/>
      <c r="HFM10" s="131"/>
      <c r="HFN10" s="131"/>
      <c r="HFO10" s="131"/>
      <c r="HFP10" s="131"/>
      <c r="HFQ10" s="131"/>
      <c r="HFR10" s="131"/>
      <c r="HFS10" s="131"/>
      <c r="HFT10" s="131"/>
      <c r="HFU10" s="131"/>
      <c r="HFV10" s="131"/>
      <c r="HFW10" s="131"/>
      <c r="HFX10" s="131"/>
      <c r="HFY10" s="131"/>
      <c r="HFZ10" s="131"/>
      <c r="HGA10" s="131"/>
      <c r="HGB10" s="131"/>
      <c r="HGC10" s="131"/>
      <c r="HGD10" s="131"/>
      <c r="HGE10" s="131"/>
      <c r="HGF10" s="131"/>
      <c r="HGG10" s="131"/>
      <c r="HGH10" s="131"/>
      <c r="HGI10" s="131"/>
      <c r="HGJ10" s="131"/>
      <c r="HGK10" s="131"/>
      <c r="HGL10" s="131"/>
      <c r="HGM10" s="131"/>
      <c r="HGN10" s="131"/>
      <c r="HGO10" s="131"/>
      <c r="HGP10" s="131"/>
      <c r="HGQ10" s="131"/>
      <c r="HGR10" s="131"/>
      <c r="HGS10" s="131"/>
      <c r="HGT10" s="131"/>
      <c r="HGU10" s="131"/>
      <c r="HGV10" s="131"/>
      <c r="HGW10" s="131"/>
      <c r="HGX10" s="131"/>
      <c r="HGY10" s="131"/>
      <c r="HGZ10" s="131"/>
      <c r="HHA10" s="131"/>
      <c r="HHB10" s="131"/>
      <c r="HHC10" s="131"/>
      <c r="HHD10" s="131"/>
      <c r="HHE10" s="131"/>
      <c r="HHF10" s="131"/>
      <c r="HHG10" s="131"/>
      <c r="HHH10" s="131"/>
      <c r="HHI10" s="131"/>
      <c r="HHJ10" s="131"/>
      <c r="HHK10" s="131"/>
      <c r="HHL10" s="131"/>
      <c r="HHM10" s="131"/>
      <c r="HHN10" s="131"/>
      <c r="HHO10" s="131"/>
      <c r="HHP10" s="131"/>
      <c r="HHQ10" s="131"/>
      <c r="HHR10" s="131"/>
      <c r="HHS10" s="131"/>
      <c r="HHT10" s="131"/>
      <c r="HHU10" s="131"/>
      <c r="HHV10" s="131"/>
      <c r="HHW10" s="131"/>
      <c r="HHX10" s="131"/>
      <c r="HHY10" s="131"/>
      <c r="HHZ10" s="131"/>
      <c r="HIA10" s="131"/>
      <c r="HIB10" s="131"/>
      <c r="HIC10" s="131"/>
      <c r="HID10" s="131"/>
      <c r="HIE10" s="131"/>
      <c r="HIF10" s="131"/>
      <c r="HIG10" s="131"/>
      <c r="HIH10" s="131"/>
      <c r="HII10" s="131"/>
      <c r="HIJ10" s="131"/>
      <c r="HIK10" s="131"/>
      <c r="HIL10" s="131"/>
      <c r="HIM10" s="131"/>
      <c r="HIN10" s="131"/>
      <c r="HIO10" s="131"/>
      <c r="HIP10" s="131"/>
      <c r="HIQ10" s="131"/>
      <c r="HIR10" s="131"/>
      <c r="HIS10" s="131"/>
      <c r="HIT10" s="131"/>
      <c r="HIU10" s="131"/>
      <c r="HIV10" s="131"/>
      <c r="HIW10" s="131"/>
      <c r="HIX10" s="131"/>
      <c r="HIY10" s="131"/>
      <c r="HIZ10" s="131"/>
      <c r="HJA10" s="131"/>
      <c r="HJB10" s="131"/>
      <c r="HJC10" s="131"/>
      <c r="HJD10" s="131"/>
      <c r="HJE10" s="131"/>
      <c r="HJF10" s="131"/>
      <c r="HJG10" s="131"/>
      <c r="HJH10" s="131"/>
      <c r="HJI10" s="131"/>
      <c r="HJJ10" s="131"/>
      <c r="HJK10" s="131"/>
      <c r="HJL10" s="131"/>
      <c r="HJM10" s="131"/>
      <c r="HJN10" s="131"/>
      <c r="HJO10" s="131"/>
      <c r="HJP10" s="131"/>
      <c r="HJQ10" s="131"/>
      <c r="HJR10" s="131"/>
      <c r="HJS10" s="131"/>
      <c r="HJT10" s="131"/>
      <c r="HJU10" s="131"/>
      <c r="HJV10" s="131"/>
      <c r="HJW10" s="131"/>
      <c r="HJX10" s="131"/>
      <c r="HJY10" s="131"/>
      <c r="HJZ10" s="131"/>
      <c r="HKA10" s="131"/>
      <c r="HKB10" s="131"/>
      <c r="HKC10" s="131"/>
      <c r="HKD10" s="131"/>
      <c r="HKE10" s="131"/>
      <c r="HKF10" s="131"/>
      <c r="HKG10" s="131"/>
      <c r="HKH10" s="131"/>
      <c r="HKI10" s="131"/>
      <c r="HKJ10" s="131"/>
      <c r="HKK10" s="131"/>
      <c r="HKL10" s="131"/>
      <c r="HKM10" s="131"/>
      <c r="HKN10" s="131"/>
      <c r="HKO10" s="131"/>
      <c r="HKP10" s="131"/>
      <c r="HKQ10" s="131"/>
      <c r="HKR10" s="131"/>
      <c r="HKS10" s="131"/>
      <c r="HKT10" s="131"/>
      <c r="HKU10" s="131"/>
      <c r="HKV10" s="131"/>
      <c r="HKW10" s="131"/>
      <c r="HKX10" s="131"/>
      <c r="HKY10" s="131"/>
      <c r="HKZ10" s="131"/>
      <c r="HLA10" s="131"/>
      <c r="HLB10" s="131"/>
      <c r="HLC10" s="131"/>
      <c r="HLD10" s="131"/>
      <c r="HLE10" s="131"/>
      <c r="HLF10" s="131"/>
      <c r="HLG10" s="131"/>
      <c r="HLH10" s="131"/>
      <c r="HLI10" s="131"/>
      <c r="HLJ10" s="131"/>
      <c r="HLK10" s="131"/>
      <c r="HLL10" s="131"/>
      <c r="HLM10" s="131"/>
      <c r="HLN10" s="131"/>
      <c r="HLO10" s="131"/>
      <c r="HLP10" s="131"/>
      <c r="HLQ10" s="131"/>
      <c r="HLR10" s="131"/>
      <c r="HLS10" s="131"/>
      <c r="HLT10" s="131"/>
      <c r="HLU10" s="131"/>
      <c r="HLV10" s="131"/>
      <c r="HLW10" s="131"/>
      <c r="HLX10" s="131"/>
      <c r="HLY10" s="131"/>
      <c r="HLZ10" s="131"/>
      <c r="HMA10" s="131"/>
      <c r="HMB10" s="131"/>
      <c r="HMC10" s="131"/>
      <c r="HMD10" s="131"/>
      <c r="HME10" s="131"/>
      <c r="HMF10" s="131"/>
      <c r="HMG10" s="131"/>
      <c r="HMH10" s="131"/>
      <c r="HMI10" s="131"/>
      <c r="HMJ10" s="131"/>
      <c r="HMK10" s="131"/>
      <c r="HML10" s="131"/>
      <c r="HMM10" s="131"/>
      <c r="HMN10" s="131"/>
      <c r="HMO10" s="131"/>
      <c r="HMP10" s="131"/>
      <c r="HMQ10" s="131"/>
      <c r="HMR10" s="131"/>
      <c r="HMS10" s="131"/>
      <c r="HMT10" s="131"/>
      <c r="HMU10" s="131"/>
      <c r="HMV10" s="131"/>
      <c r="HMW10" s="131"/>
      <c r="HMX10" s="131"/>
      <c r="HMY10" s="131"/>
      <c r="HMZ10" s="131"/>
      <c r="HNA10" s="131"/>
      <c r="HNB10" s="131"/>
      <c r="HNC10" s="131"/>
      <c r="HND10" s="131"/>
      <c r="HNE10" s="131"/>
      <c r="HNF10" s="131"/>
      <c r="HNG10" s="131"/>
      <c r="HNH10" s="131"/>
      <c r="HNI10" s="131"/>
      <c r="HNJ10" s="131"/>
      <c r="HNK10" s="131"/>
      <c r="HNL10" s="131"/>
      <c r="HNM10" s="131"/>
      <c r="HNN10" s="131"/>
      <c r="HNO10" s="131"/>
      <c r="HNP10" s="131"/>
      <c r="HNQ10" s="131"/>
      <c r="HNR10" s="131"/>
      <c r="HNS10" s="131"/>
      <c r="HNT10" s="131"/>
      <c r="HNU10" s="131"/>
      <c r="HNV10" s="131"/>
      <c r="HNW10" s="131"/>
      <c r="HNX10" s="131"/>
      <c r="HNY10" s="131"/>
      <c r="HNZ10" s="131"/>
      <c r="HOA10" s="131"/>
      <c r="HOB10" s="131"/>
      <c r="HOC10" s="131"/>
      <c r="HOD10" s="131"/>
      <c r="HOE10" s="131"/>
      <c r="HOF10" s="131"/>
      <c r="HOG10" s="131"/>
      <c r="HOH10" s="131"/>
      <c r="HOI10" s="131"/>
      <c r="HOJ10" s="131"/>
      <c r="HOK10" s="131"/>
      <c r="HOL10" s="131"/>
      <c r="HOM10" s="131"/>
      <c r="HON10" s="131"/>
      <c r="HOO10" s="131"/>
      <c r="HOP10" s="131"/>
      <c r="HOQ10" s="131"/>
      <c r="HOR10" s="131"/>
      <c r="HOS10" s="131"/>
      <c r="HOT10" s="131"/>
      <c r="HOU10" s="131"/>
      <c r="HOV10" s="131"/>
      <c r="HOW10" s="131"/>
      <c r="HOX10" s="131"/>
      <c r="HOY10" s="131"/>
      <c r="HOZ10" s="131"/>
      <c r="HPA10" s="131"/>
      <c r="HPB10" s="131"/>
      <c r="HPC10" s="131"/>
      <c r="HPD10" s="131"/>
      <c r="HPE10" s="131"/>
      <c r="HPF10" s="131"/>
      <c r="HPG10" s="131"/>
      <c r="HPH10" s="131"/>
      <c r="HPI10" s="131"/>
      <c r="HPJ10" s="131"/>
      <c r="HPK10" s="131"/>
      <c r="HPL10" s="131"/>
      <c r="HPM10" s="131"/>
      <c r="HPN10" s="131"/>
      <c r="HPO10" s="131"/>
      <c r="HPP10" s="131"/>
      <c r="HPQ10" s="131"/>
      <c r="HPR10" s="131"/>
      <c r="HPS10" s="131"/>
      <c r="HPT10" s="131"/>
      <c r="HPU10" s="131"/>
      <c r="HPV10" s="131"/>
      <c r="HPW10" s="131"/>
      <c r="HPX10" s="131"/>
      <c r="HPY10" s="131"/>
      <c r="HPZ10" s="131"/>
      <c r="HQA10" s="131"/>
      <c r="HQB10" s="131"/>
      <c r="HQC10" s="131"/>
      <c r="HQD10" s="131"/>
      <c r="HQE10" s="131"/>
      <c r="HQF10" s="131"/>
      <c r="HQG10" s="131"/>
      <c r="HQH10" s="131"/>
      <c r="HQI10" s="131"/>
      <c r="HQJ10" s="131"/>
      <c r="HQK10" s="131"/>
      <c r="HQL10" s="131"/>
      <c r="HQM10" s="131"/>
      <c r="HQN10" s="131"/>
      <c r="HQO10" s="131"/>
      <c r="HQP10" s="131"/>
      <c r="HQQ10" s="131"/>
      <c r="HQR10" s="131"/>
      <c r="HQS10" s="131"/>
      <c r="HQT10" s="131"/>
      <c r="HQU10" s="131"/>
      <c r="HQV10" s="131"/>
      <c r="HQW10" s="131"/>
      <c r="HQX10" s="131"/>
      <c r="HQY10" s="131"/>
      <c r="HQZ10" s="131"/>
      <c r="HRA10" s="131"/>
      <c r="HRB10" s="131"/>
      <c r="HRC10" s="131"/>
      <c r="HRD10" s="131"/>
      <c r="HRE10" s="131"/>
      <c r="HRF10" s="131"/>
      <c r="HRG10" s="131"/>
      <c r="HRH10" s="131"/>
      <c r="HRI10" s="131"/>
      <c r="HRJ10" s="131"/>
      <c r="HRK10" s="131"/>
      <c r="HRL10" s="131"/>
      <c r="HRM10" s="131"/>
      <c r="HRN10" s="131"/>
      <c r="HRO10" s="131"/>
      <c r="HRP10" s="131"/>
      <c r="HRQ10" s="131"/>
      <c r="HRR10" s="131"/>
      <c r="HRS10" s="131"/>
      <c r="HRT10" s="131"/>
      <c r="HRU10" s="131"/>
      <c r="HRV10" s="131"/>
      <c r="HRW10" s="131"/>
      <c r="HRX10" s="131"/>
      <c r="HRY10" s="131"/>
      <c r="HRZ10" s="131"/>
      <c r="HSA10" s="131"/>
      <c r="HSB10" s="131"/>
      <c r="HSC10" s="131"/>
      <c r="HSD10" s="131"/>
      <c r="HSE10" s="131"/>
      <c r="HSF10" s="131"/>
      <c r="HSG10" s="131"/>
      <c r="HSH10" s="131"/>
      <c r="HSI10" s="131"/>
      <c r="HSJ10" s="131"/>
      <c r="HSK10" s="131"/>
      <c r="HSL10" s="131"/>
      <c r="HSM10" s="131"/>
      <c r="HSN10" s="131"/>
      <c r="HSO10" s="131"/>
      <c r="HSP10" s="131"/>
      <c r="HSQ10" s="131"/>
      <c r="HSR10" s="131"/>
      <c r="HSS10" s="131"/>
      <c r="HST10" s="131"/>
      <c r="HSU10" s="131"/>
      <c r="HSV10" s="131"/>
      <c r="HSW10" s="131"/>
      <c r="HSX10" s="131"/>
      <c r="HSY10" s="131"/>
      <c r="HSZ10" s="131"/>
      <c r="HTA10" s="131"/>
      <c r="HTB10" s="131"/>
      <c r="HTC10" s="131"/>
      <c r="HTD10" s="131"/>
      <c r="HTE10" s="131"/>
      <c r="HTF10" s="131"/>
      <c r="HTG10" s="131"/>
      <c r="HTH10" s="131"/>
      <c r="HTI10" s="131"/>
      <c r="HTJ10" s="131"/>
      <c r="HTK10" s="131"/>
      <c r="HTL10" s="131"/>
      <c r="HTM10" s="131"/>
      <c r="HTN10" s="131"/>
      <c r="HTO10" s="131"/>
      <c r="HTP10" s="131"/>
      <c r="HTQ10" s="131"/>
      <c r="HTR10" s="131"/>
      <c r="HTS10" s="131"/>
      <c r="HTT10" s="131"/>
      <c r="HTU10" s="131"/>
      <c r="HTV10" s="131"/>
      <c r="HTW10" s="131"/>
      <c r="HTX10" s="131"/>
      <c r="HTY10" s="131"/>
      <c r="HTZ10" s="131"/>
      <c r="HUA10" s="131"/>
      <c r="HUB10" s="131"/>
      <c r="HUC10" s="131"/>
      <c r="HUD10" s="131"/>
      <c r="HUE10" s="131"/>
      <c r="HUF10" s="131"/>
      <c r="HUG10" s="131"/>
      <c r="HUH10" s="131"/>
      <c r="HUI10" s="131"/>
      <c r="HUJ10" s="131"/>
      <c r="HUK10" s="131"/>
      <c r="HUL10" s="131"/>
      <c r="HUM10" s="131"/>
      <c r="HUN10" s="131"/>
      <c r="HUO10" s="131"/>
      <c r="HUP10" s="131"/>
      <c r="HUQ10" s="131"/>
      <c r="HUR10" s="131"/>
      <c r="HUS10" s="131"/>
      <c r="HUT10" s="131"/>
      <c r="HUU10" s="131"/>
      <c r="HUV10" s="131"/>
      <c r="HUW10" s="131"/>
      <c r="HUX10" s="131"/>
      <c r="HUY10" s="131"/>
      <c r="HUZ10" s="131"/>
      <c r="HVA10" s="131"/>
      <c r="HVB10" s="131"/>
      <c r="HVC10" s="131"/>
      <c r="HVD10" s="131"/>
      <c r="HVE10" s="131"/>
      <c r="HVF10" s="131"/>
      <c r="HVG10" s="131"/>
      <c r="HVH10" s="131"/>
      <c r="HVI10" s="131"/>
      <c r="HVJ10" s="131"/>
      <c r="HVK10" s="131"/>
      <c r="HVL10" s="131"/>
      <c r="HVM10" s="131"/>
      <c r="HVN10" s="131"/>
      <c r="HVO10" s="131"/>
      <c r="HVP10" s="131"/>
      <c r="HVQ10" s="131"/>
      <c r="HVR10" s="131"/>
      <c r="HVS10" s="131"/>
      <c r="HVT10" s="131"/>
      <c r="HVU10" s="131"/>
      <c r="HVV10" s="131"/>
      <c r="HVW10" s="131"/>
      <c r="HVX10" s="131"/>
      <c r="HVY10" s="131"/>
      <c r="HVZ10" s="131"/>
      <c r="HWA10" s="131"/>
      <c r="HWB10" s="131"/>
      <c r="HWC10" s="131"/>
      <c r="HWD10" s="131"/>
      <c r="HWE10" s="131"/>
      <c r="HWF10" s="131"/>
      <c r="HWG10" s="131"/>
      <c r="HWH10" s="131"/>
      <c r="HWI10" s="131"/>
      <c r="HWJ10" s="131"/>
      <c r="HWK10" s="131"/>
      <c r="HWL10" s="131"/>
      <c r="HWM10" s="131"/>
      <c r="HWN10" s="131"/>
      <c r="HWO10" s="131"/>
      <c r="HWP10" s="131"/>
      <c r="HWQ10" s="131"/>
      <c r="HWR10" s="131"/>
      <c r="HWS10" s="131"/>
      <c r="HWT10" s="131"/>
      <c r="HWU10" s="131"/>
      <c r="HWV10" s="131"/>
      <c r="HWW10" s="131"/>
      <c r="HWX10" s="131"/>
      <c r="HWY10" s="131"/>
      <c r="HWZ10" s="131"/>
      <c r="HXA10" s="131"/>
      <c r="HXB10" s="131"/>
      <c r="HXC10" s="131"/>
      <c r="HXD10" s="131"/>
      <c r="HXE10" s="131"/>
      <c r="HXF10" s="131"/>
      <c r="HXG10" s="131"/>
      <c r="HXH10" s="131"/>
      <c r="HXI10" s="131"/>
      <c r="HXJ10" s="131"/>
      <c r="HXK10" s="131"/>
      <c r="HXL10" s="131"/>
      <c r="HXM10" s="131"/>
      <c r="HXN10" s="131"/>
      <c r="HXO10" s="131"/>
      <c r="HXP10" s="131"/>
      <c r="HXQ10" s="131"/>
      <c r="HXR10" s="131"/>
      <c r="HXS10" s="131"/>
      <c r="HXT10" s="131"/>
      <c r="HXU10" s="131"/>
      <c r="HXV10" s="131"/>
      <c r="HXW10" s="131"/>
      <c r="HXX10" s="131"/>
      <c r="HXY10" s="131"/>
      <c r="HXZ10" s="131"/>
      <c r="HYA10" s="131"/>
      <c r="HYB10" s="131"/>
      <c r="HYC10" s="131"/>
      <c r="HYD10" s="131"/>
      <c r="HYE10" s="131"/>
      <c r="HYF10" s="131"/>
      <c r="HYG10" s="131"/>
      <c r="HYH10" s="131"/>
      <c r="HYI10" s="131"/>
      <c r="HYJ10" s="131"/>
      <c r="HYK10" s="131"/>
      <c r="HYL10" s="131"/>
      <c r="HYM10" s="131"/>
      <c r="HYN10" s="131"/>
      <c r="HYO10" s="131"/>
      <c r="HYP10" s="131"/>
      <c r="HYQ10" s="131"/>
      <c r="HYR10" s="131"/>
      <c r="HYS10" s="131"/>
      <c r="HYT10" s="131"/>
      <c r="HYU10" s="131"/>
      <c r="HYV10" s="131"/>
      <c r="HYW10" s="131"/>
      <c r="HYX10" s="131"/>
      <c r="HYY10" s="131"/>
      <c r="HYZ10" s="131"/>
      <c r="HZA10" s="131"/>
      <c r="HZB10" s="131"/>
      <c r="HZC10" s="131"/>
      <c r="HZD10" s="131"/>
      <c r="HZE10" s="131"/>
      <c r="HZF10" s="131"/>
      <c r="HZG10" s="131"/>
      <c r="HZH10" s="131"/>
      <c r="HZI10" s="131"/>
      <c r="HZJ10" s="131"/>
      <c r="HZK10" s="131"/>
      <c r="HZL10" s="131"/>
      <c r="HZM10" s="131"/>
      <c r="HZN10" s="131"/>
      <c r="HZO10" s="131"/>
      <c r="HZP10" s="131"/>
      <c r="HZQ10" s="131"/>
      <c r="HZR10" s="131"/>
      <c r="HZS10" s="131"/>
      <c r="HZT10" s="131"/>
      <c r="HZU10" s="131"/>
      <c r="HZV10" s="131"/>
      <c r="HZW10" s="131"/>
      <c r="HZX10" s="131"/>
      <c r="HZY10" s="131"/>
      <c r="HZZ10" s="131"/>
      <c r="IAA10" s="131"/>
      <c r="IAB10" s="131"/>
      <c r="IAC10" s="131"/>
      <c r="IAD10" s="131"/>
      <c r="IAE10" s="131"/>
      <c r="IAF10" s="131"/>
      <c r="IAG10" s="131"/>
      <c r="IAH10" s="131"/>
      <c r="IAI10" s="131"/>
      <c r="IAJ10" s="131"/>
      <c r="IAK10" s="131"/>
      <c r="IAL10" s="131"/>
      <c r="IAM10" s="131"/>
      <c r="IAN10" s="131"/>
      <c r="IAO10" s="131"/>
      <c r="IAP10" s="131"/>
      <c r="IAQ10" s="131"/>
      <c r="IAR10" s="131"/>
      <c r="IAS10" s="131"/>
      <c r="IAT10" s="131"/>
      <c r="IAU10" s="131"/>
      <c r="IAV10" s="131"/>
      <c r="IAW10" s="131"/>
      <c r="IBJ10" s="131"/>
      <c r="IBK10" s="131"/>
      <c r="IBL10" s="131"/>
      <c r="IBM10" s="131"/>
      <c r="IBN10" s="131"/>
      <c r="IBO10" s="131"/>
      <c r="IBP10" s="131"/>
      <c r="IBQ10" s="131"/>
      <c r="IBR10" s="131"/>
      <c r="IBS10" s="131"/>
      <c r="IBT10" s="131"/>
      <c r="IBU10" s="131"/>
      <c r="IBV10" s="131"/>
      <c r="IBW10" s="131"/>
      <c r="IBX10" s="131"/>
      <c r="IBY10" s="131"/>
      <c r="IBZ10" s="131"/>
      <c r="ICA10" s="131"/>
      <c r="ICB10" s="131"/>
      <c r="ICC10" s="131"/>
      <c r="ICD10" s="131"/>
      <c r="ICE10" s="131"/>
      <c r="ICF10" s="131"/>
      <c r="ICG10" s="131"/>
      <c r="ICH10" s="131"/>
      <c r="ICI10" s="131"/>
      <c r="ICJ10" s="131"/>
      <c r="ICK10" s="131"/>
      <c r="ICL10" s="131"/>
      <c r="ICM10" s="131"/>
      <c r="ICN10" s="131"/>
      <c r="ICO10" s="131"/>
      <c r="ICP10" s="131"/>
      <c r="ICQ10" s="131"/>
      <c r="ICR10" s="131"/>
      <c r="ICS10" s="131"/>
      <c r="ICT10" s="131"/>
      <c r="ICU10" s="131"/>
      <c r="ICV10" s="131"/>
      <c r="ICW10" s="131"/>
      <c r="ICX10" s="131"/>
      <c r="ICY10" s="131"/>
      <c r="ICZ10" s="131"/>
      <c r="IDA10" s="131"/>
      <c r="IDB10" s="131"/>
      <c r="IDC10" s="131"/>
      <c r="IDD10" s="131"/>
      <c r="IDE10" s="131"/>
      <c r="IDF10" s="131"/>
      <c r="IDG10" s="131"/>
      <c r="IDH10" s="131"/>
      <c r="IDI10" s="131"/>
      <c r="IDJ10" s="131"/>
      <c r="IDK10" s="131"/>
      <c r="IDL10" s="131"/>
      <c r="IDM10" s="131"/>
      <c r="IDN10" s="131"/>
      <c r="IDO10" s="131"/>
      <c r="IDP10" s="131"/>
      <c r="IDQ10" s="131"/>
      <c r="IDR10" s="131"/>
      <c r="IDS10" s="131"/>
      <c r="IDT10" s="131"/>
      <c r="IDU10" s="131"/>
      <c r="IDV10" s="131"/>
      <c r="IDW10" s="131"/>
      <c r="IDX10" s="131"/>
      <c r="IDY10" s="131"/>
      <c r="IDZ10" s="131"/>
      <c r="IEA10" s="131"/>
      <c r="IEB10" s="131"/>
      <c r="IEC10" s="131"/>
      <c r="IED10" s="131"/>
      <c r="IEE10" s="131"/>
      <c r="IEF10" s="131"/>
      <c r="IEG10" s="131"/>
      <c r="IEH10" s="131"/>
      <c r="IEI10" s="131"/>
      <c r="IEJ10" s="131"/>
      <c r="IEK10" s="131"/>
      <c r="IEL10" s="131"/>
      <c r="IEM10" s="131"/>
      <c r="IEN10" s="131"/>
      <c r="IEO10" s="131"/>
      <c r="IEP10" s="131"/>
      <c r="IEQ10" s="131"/>
      <c r="IER10" s="131"/>
      <c r="IES10" s="131"/>
      <c r="IET10" s="131"/>
      <c r="IEU10" s="131"/>
      <c r="IEV10" s="131"/>
      <c r="IEW10" s="131"/>
      <c r="IEX10" s="131"/>
      <c r="IEY10" s="131"/>
      <c r="IEZ10" s="131"/>
      <c r="IFA10" s="131"/>
      <c r="IFB10" s="131"/>
      <c r="IFC10" s="131"/>
      <c r="IFD10" s="131"/>
      <c r="IFE10" s="131"/>
      <c r="IFF10" s="131"/>
      <c r="IFG10" s="131"/>
      <c r="IFH10" s="131"/>
      <c r="IFI10" s="131"/>
      <c r="IFJ10" s="131"/>
      <c r="IFK10" s="131"/>
      <c r="IFL10" s="131"/>
      <c r="IFM10" s="131"/>
      <c r="IFN10" s="131"/>
      <c r="IFO10" s="131"/>
      <c r="IFP10" s="131"/>
      <c r="IFQ10" s="131"/>
      <c r="IFR10" s="131"/>
      <c r="IFS10" s="131"/>
      <c r="IFT10" s="131"/>
      <c r="IFU10" s="131"/>
      <c r="IFV10" s="131"/>
      <c r="IFW10" s="131"/>
      <c r="IFX10" s="131"/>
      <c r="IFY10" s="131"/>
      <c r="IFZ10" s="131"/>
      <c r="IGA10" s="131"/>
      <c r="IGB10" s="131"/>
      <c r="IGC10" s="131"/>
      <c r="IGD10" s="131"/>
      <c r="IGE10" s="131"/>
      <c r="IGF10" s="131"/>
      <c r="IGG10" s="131"/>
      <c r="IGH10" s="131"/>
      <c r="IGI10" s="131"/>
      <c r="IGJ10" s="131"/>
      <c r="IGK10" s="131"/>
      <c r="IGL10" s="131"/>
      <c r="IGM10" s="131"/>
      <c r="IGN10" s="131"/>
      <c r="IGO10" s="131"/>
      <c r="IGP10" s="131"/>
      <c r="IGQ10" s="131"/>
      <c r="IGR10" s="131"/>
      <c r="IGS10" s="131"/>
      <c r="IGT10" s="131"/>
      <c r="IGU10" s="131"/>
      <c r="IGV10" s="131"/>
      <c r="IGW10" s="131"/>
      <c r="IGX10" s="131"/>
      <c r="IGY10" s="131"/>
      <c r="IGZ10" s="131"/>
      <c r="IHA10" s="131"/>
      <c r="IHB10" s="131"/>
      <c r="IHC10" s="131"/>
      <c r="IHD10" s="131"/>
      <c r="IHE10" s="131"/>
      <c r="IHF10" s="131"/>
      <c r="IHG10" s="131"/>
      <c r="IHH10" s="131"/>
      <c r="IHI10" s="131"/>
      <c r="IHJ10" s="131"/>
      <c r="IHK10" s="131"/>
      <c r="IHL10" s="131"/>
      <c r="IHM10" s="131"/>
      <c r="IHN10" s="131"/>
      <c r="IHO10" s="131"/>
      <c r="IHP10" s="131"/>
      <c r="IHQ10" s="131"/>
      <c r="IHR10" s="131"/>
      <c r="IHS10" s="131"/>
      <c r="IHT10" s="131"/>
      <c r="IHU10" s="131"/>
      <c r="IHV10" s="131"/>
      <c r="IHW10" s="131"/>
      <c r="IHX10" s="131"/>
      <c r="IHY10" s="131"/>
      <c r="IHZ10" s="131"/>
      <c r="IIA10" s="131"/>
      <c r="IIB10" s="131"/>
      <c r="IIC10" s="131"/>
      <c r="IID10" s="131"/>
      <c r="IIE10" s="131"/>
      <c r="IIF10" s="131"/>
      <c r="IIG10" s="131"/>
      <c r="IIH10" s="131"/>
      <c r="III10" s="131"/>
      <c r="IIJ10" s="131"/>
      <c r="IIK10" s="131"/>
      <c r="IIL10" s="131"/>
      <c r="IIM10" s="131"/>
      <c r="IIN10" s="131"/>
      <c r="IIO10" s="131"/>
      <c r="IIP10" s="131"/>
      <c r="IIQ10" s="131"/>
      <c r="IIR10" s="131"/>
      <c r="IIS10" s="131"/>
      <c r="IIT10" s="131"/>
      <c r="IIU10" s="131"/>
      <c r="IIV10" s="131"/>
      <c r="IIW10" s="131"/>
      <c r="IIX10" s="131"/>
      <c r="IIY10" s="131"/>
      <c r="IIZ10" s="131"/>
      <c r="IJA10" s="131"/>
      <c r="IJB10" s="131"/>
      <c r="IJC10" s="131"/>
      <c r="IJD10" s="131"/>
      <c r="IJE10" s="131"/>
      <c r="IJF10" s="131"/>
      <c r="IJG10" s="131"/>
      <c r="IJH10" s="131"/>
      <c r="IJI10" s="131"/>
      <c r="IJJ10" s="131"/>
      <c r="IJK10" s="131"/>
      <c r="IJL10" s="131"/>
      <c r="IJM10" s="131"/>
      <c r="IJN10" s="131"/>
      <c r="IJO10" s="131"/>
      <c r="IJP10" s="131"/>
      <c r="IJQ10" s="131"/>
      <c r="IJR10" s="131"/>
      <c r="IJS10" s="131"/>
      <c r="IJT10" s="131"/>
      <c r="IJU10" s="131"/>
      <c r="IJV10" s="131"/>
      <c r="IJW10" s="131"/>
      <c r="IJX10" s="131"/>
      <c r="IJY10" s="131"/>
      <c r="IJZ10" s="131"/>
      <c r="IKA10" s="131"/>
      <c r="IKB10" s="131"/>
      <c r="IKC10" s="131"/>
      <c r="IKD10" s="131"/>
      <c r="IKE10" s="131"/>
      <c r="IKF10" s="131"/>
      <c r="IKG10" s="131"/>
      <c r="IKH10" s="131"/>
      <c r="IKI10" s="131"/>
      <c r="IKJ10" s="131"/>
      <c r="IKK10" s="131"/>
      <c r="IKL10" s="131"/>
      <c r="IKM10" s="131"/>
      <c r="IKN10" s="131"/>
      <c r="IKO10" s="131"/>
      <c r="IKP10" s="131"/>
      <c r="IKQ10" s="131"/>
      <c r="IKR10" s="131"/>
      <c r="IKS10" s="131"/>
      <c r="IKT10" s="131"/>
      <c r="IKU10" s="131"/>
      <c r="IKV10" s="131"/>
      <c r="IKW10" s="131"/>
      <c r="IKX10" s="131"/>
      <c r="IKY10" s="131"/>
      <c r="IKZ10" s="131"/>
      <c r="ILA10" s="131"/>
      <c r="ILB10" s="131"/>
      <c r="ILC10" s="131"/>
      <c r="ILD10" s="131"/>
      <c r="ILE10" s="131"/>
      <c r="ILF10" s="131"/>
      <c r="ILG10" s="131"/>
      <c r="ILH10" s="131"/>
      <c r="ILI10" s="131"/>
      <c r="ILJ10" s="131"/>
      <c r="ILK10" s="131"/>
      <c r="ILL10" s="131"/>
      <c r="ILM10" s="131"/>
      <c r="ILN10" s="131"/>
      <c r="ILO10" s="131"/>
      <c r="ILP10" s="131"/>
      <c r="ILQ10" s="131"/>
      <c r="ILR10" s="131"/>
      <c r="ILS10" s="131"/>
      <c r="ILT10" s="131"/>
      <c r="ILU10" s="131"/>
      <c r="ILV10" s="131"/>
      <c r="ILW10" s="131"/>
      <c r="ILX10" s="131"/>
      <c r="ILY10" s="131"/>
      <c r="ILZ10" s="131"/>
      <c r="IMA10" s="131"/>
      <c r="IMB10" s="131"/>
      <c r="IMC10" s="131"/>
      <c r="IMD10" s="131"/>
      <c r="IME10" s="131"/>
      <c r="IMF10" s="131"/>
      <c r="IMG10" s="131"/>
      <c r="IMH10" s="131"/>
      <c r="IMI10" s="131"/>
      <c r="IMJ10" s="131"/>
      <c r="IMK10" s="131"/>
      <c r="IML10" s="131"/>
      <c r="IMM10" s="131"/>
      <c r="IMN10" s="131"/>
      <c r="IMO10" s="131"/>
      <c r="IMP10" s="131"/>
      <c r="IMQ10" s="131"/>
      <c r="IMR10" s="131"/>
      <c r="IMS10" s="131"/>
      <c r="IMT10" s="131"/>
      <c r="IMU10" s="131"/>
      <c r="IMV10" s="131"/>
      <c r="IMW10" s="131"/>
      <c r="IMX10" s="131"/>
      <c r="IMY10" s="131"/>
      <c r="IMZ10" s="131"/>
      <c r="INA10" s="131"/>
      <c r="INB10" s="131"/>
      <c r="INC10" s="131"/>
      <c r="IND10" s="131"/>
      <c r="INE10" s="131"/>
      <c r="INF10" s="131"/>
      <c r="ING10" s="131"/>
      <c r="INH10" s="131"/>
      <c r="INI10" s="131"/>
      <c r="INJ10" s="131"/>
      <c r="INK10" s="131"/>
      <c r="INL10" s="131"/>
      <c r="INM10" s="131"/>
      <c r="INN10" s="131"/>
      <c r="INO10" s="131"/>
      <c r="INP10" s="131"/>
      <c r="INQ10" s="131"/>
      <c r="INR10" s="131"/>
      <c r="INS10" s="131"/>
      <c r="INT10" s="131"/>
      <c r="INU10" s="131"/>
      <c r="INV10" s="131"/>
      <c r="INW10" s="131"/>
      <c r="INX10" s="131"/>
      <c r="INY10" s="131"/>
      <c r="INZ10" s="131"/>
      <c r="IOA10" s="131"/>
      <c r="IOB10" s="131"/>
      <c r="IOC10" s="131"/>
      <c r="IOD10" s="131"/>
      <c r="IOE10" s="131"/>
      <c r="IOF10" s="131"/>
      <c r="IOG10" s="131"/>
      <c r="IOH10" s="131"/>
      <c r="IOI10" s="131"/>
      <c r="IOJ10" s="131"/>
      <c r="IOK10" s="131"/>
      <c r="IOL10" s="131"/>
      <c r="IOM10" s="131"/>
      <c r="ION10" s="131"/>
      <c r="IOO10" s="131"/>
      <c r="IOP10" s="131"/>
      <c r="IOQ10" s="131"/>
      <c r="IOR10" s="131"/>
      <c r="IOS10" s="131"/>
      <c r="IOT10" s="131"/>
      <c r="IOU10" s="131"/>
      <c r="IOV10" s="131"/>
      <c r="IOW10" s="131"/>
      <c r="IOX10" s="131"/>
      <c r="IOY10" s="131"/>
      <c r="IOZ10" s="131"/>
      <c r="IPA10" s="131"/>
      <c r="IPB10" s="131"/>
      <c r="IPC10" s="131"/>
      <c r="IPD10" s="131"/>
      <c r="IPE10" s="131"/>
      <c r="IPF10" s="131"/>
      <c r="IPG10" s="131"/>
      <c r="IPH10" s="131"/>
      <c r="IPI10" s="131"/>
      <c r="IPJ10" s="131"/>
      <c r="IPK10" s="131"/>
      <c r="IPL10" s="131"/>
      <c r="IPM10" s="131"/>
      <c r="IPN10" s="131"/>
      <c r="IPO10" s="131"/>
      <c r="IPP10" s="131"/>
      <c r="IPQ10" s="131"/>
      <c r="IPR10" s="131"/>
      <c r="IPS10" s="131"/>
      <c r="IPT10" s="131"/>
      <c r="IPU10" s="131"/>
      <c r="IPV10" s="131"/>
      <c r="IPW10" s="131"/>
      <c r="IPX10" s="131"/>
      <c r="IPY10" s="131"/>
      <c r="IPZ10" s="131"/>
      <c r="IQA10" s="131"/>
      <c r="IQB10" s="131"/>
      <c r="IQC10" s="131"/>
      <c r="IQD10" s="131"/>
      <c r="IQE10" s="131"/>
      <c r="IQF10" s="131"/>
      <c r="IQG10" s="131"/>
      <c r="IQH10" s="131"/>
      <c r="IQI10" s="131"/>
      <c r="IQJ10" s="131"/>
      <c r="IQK10" s="131"/>
      <c r="IQL10" s="131"/>
      <c r="IQM10" s="131"/>
      <c r="IQN10" s="131"/>
      <c r="IQO10" s="131"/>
      <c r="IQP10" s="131"/>
      <c r="IQQ10" s="131"/>
      <c r="IQR10" s="131"/>
      <c r="IQS10" s="131"/>
      <c r="IQT10" s="131"/>
      <c r="IQU10" s="131"/>
      <c r="IQV10" s="131"/>
      <c r="IQW10" s="131"/>
      <c r="IQX10" s="131"/>
      <c r="IQY10" s="131"/>
      <c r="IQZ10" s="131"/>
      <c r="IRA10" s="131"/>
      <c r="IRB10" s="131"/>
      <c r="IRC10" s="131"/>
      <c r="IRD10" s="131"/>
      <c r="IRE10" s="131"/>
      <c r="IRF10" s="131"/>
      <c r="IRG10" s="131"/>
      <c r="IRH10" s="131"/>
      <c r="IRI10" s="131"/>
      <c r="IRJ10" s="131"/>
      <c r="IRK10" s="131"/>
      <c r="IRL10" s="131"/>
      <c r="IRM10" s="131"/>
      <c r="IRN10" s="131"/>
      <c r="IRO10" s="131"/>
      <c r="IRP10" s="131"/>
      <c r="IRQ10" s="131"/>
      <c r="IRR10" s="131"/>
      <c r="IRS10" s="131"/>
      <c r="IRT10" s="131"/>
      <c r="IRU10" s="131"/>
      <c r="IRV10" s="131"/>
      <c r="IRW10" s="131"/>
      <c r="IRX10" s="131"/>
      <c r="IRY10" s="131"/>
      <c r="IRZ10" s="131"/>
      <c r="ISA10" s="131"/>
      <c r="ISB10" s="131"/>
      <c r="ISC10" s="131"/>
      <c r="ISD10" s="131"/>
      <c r="ISE10" s="131"/>
      <c r="ISF10" s="131"/>
      <c r="ISG10" s="131"/>
      <c r="ISH10" s="131"/>
      <c r="ISI10" s="131"/>
      <c r="ISJ10" s="131"/>
      <c r="ISK10" s="131"/>
      <c r="ISL10" s="131"/>
      <c r="ISM10" s="131"/>
      <c r="ISN10" s="131"/>
      <c r="ISO10" s="131"/>
      <c r="ISP10" s="131"/>
      <c r="ISQ10" s="131"/>
      <c r="ISR10" s="131"/>
      <c r="ISS10" s="131"/>
      <c r="IST10" s="131"/>
      <c r="ISU10" s="131"/>
      <c r="ISV10" s="131"/>
      <c r="ISW10" s="131"/>
      <c r="ISX10" s="131"/>
      <c r="ISY10" s="131"/>
      <c r="ISZ10" s="131"/>
      <c r="ITA10" s="131"/>
      <c r="ITB10" s="131"/>
      <c r="ITC10" s="131"/>
      <c r="ITD10" s="131"/>
      <c r="ITE10" s="131"/>
      <c r="ITF10" s="131"/>
      <c r="ITG10" s="131"/>
      <c r="ITH10" s="131"/>
      <c r="ITI10" s="131"/>
      <c r="ITJ10" s="131"/>
      <c r="ITK10" s="131"/>
      <c r="ITL10" s="131"/>
      <c r="ITM10" s="131"/>
      <c r="ITN10" s="131"/>
      <c r="ITO10" s="131"/>
      <c r="ITP10" s="131"/>
      <c r="ITQ10" s="131"/>
      <c r="ITR10" s="131"/>
      <c r="ITS10" s="131"/>
      <c r="ITT10" s="131"/>
      <c r="ITU10" s="131"/>
      <c r="ITV10" s="131"/>
      <c r="ITW10" s="131"/>
      <c r="ITX10" s="131"/>
      <c r="ITY10" s="131"/>
      <c r="ITZ10" s="131"/>
      <c r="IUA10" s="131"/>
      <c r="IUB10" s="131"/>
      <c r="IUC10" s="131"/>
      <c r="IUD10" s="131"/>
      <c r="IUE10" s="131"/>
      <c r="IUF10" s="131"/>
      <c r="IUG10" s="131"/>
      <c r="IUH10" s="131"/>
      <c r="IUI10" s="131"/>
      <c r="IUJ10" s="131"/>
      <c r="IUK10" s="131"/>
      <c r="IUL10" s="131"/>
      <c r="IUM10" s="131"/>
      <c r="IUN10" s="131"/>
      <c r="IUO10" s="131"/>
      <c r="IUP10" s="131"/>
      <c r="IUQ10" s="131"/>
      <c r="IUR10" s="131"/>
      <c r="IUS10" s="131"/>
      <c r="IUT10" s="131"/>
      <c r="IUU10" s="131"/>
      <c r="IUV10" s="131"/>
      <c r="IUW10" s="131"/>
      <c r="IUX10" s="131"/>
      <c r="IUY10" s="131"/>
      <c r="IUZ10" s="131"/>
      <c r="IVA10" s="131"/>
      <c r="IVB10" s="131"/>
      <c r="IVC10" s="131"/>
      <c r="IVD10" s="131"/>
      <c r="IVE10" s="131"/>
      <c r="IVF10" s="131"/>
      <c r="IVG10" s="131"/>
      <c r="IVH10" s="131"/>
      <c r="IVI10" s="131"/>
      <c r="IVJ10" s="131"/>
      <c r="IVK10" s="131"/>
      <c r="IVL10" s="131"/>
      <c r="IVM10" s="131"/>
      <c r="IVN10" s="131"/>
      <c r="IVO10" s="131"/>
      <c r="IVP10" s="131"/>
      <c r="IVQ10" s="131"/>
      <c r="IVR10" s="131"/>
      <c r="IVS10" s="131"/>
      <c r="IVT10" s="131"/>
      <c r="IVU10" s="131"/>
      <c r="IVV10" s="131"/>
      <c r="IVW10" s="131"/>
      <c r="IVX10" s="131"/>
      <c r="IVY10" s="131"/>
      <c r="IVZ10" s="131"/>
      <c r="IWA10" s="131"/>
      <c r="IWB10" s="131"/>
      <c r="IWC10" s="131"/>
      <c r="IWD10" s="131"/>
      <c r="IWE10" s="131"/>
      <c r="IWF10" s="131"/>
      <c r="IWG10" s="131"/>
      <c r="IWH10" s="131"/>
      <c r="IWI10" s="131"/>
      <c r="IWJ10" s="131"/>
      <c r="IWK10" s="131"/>
      <c r="IWL10" s="131"/>
      <c r="IWM10" s="131"/>
      <c r="IWN10" s="131"/>
      <c r="IWO10" s="131"/>
      <c r="IWP10" s="131"/>
      <c r="IWQ10" s="131"/>
      <c r="IWR10" s="131"/>
      <c r="IWS10" s="131"/>
      <c r="IWT10" s="131"/>
      <c r="IWU10" s="131"/>
      <c r="IWV10" s="131"/>
      <c r="IWW10" s="131"/>
      <c r="IWX10" s="131"/>
      <c r="IWY10" s="131"/>
      <c r="IWZ10" s="131"/>
      <c r="IXA10" s="131"/>
      <c r="IXB10" s="131"/>
      <c r="IXC10" s="131"/>
      <c r="IXD10" s="131"/>
      <c r="IXE10" s="131"/>
      <c r="IXF10" s="131"/>
      <c r="IXG10" s="131"/>
      <c r="IXH10" s="131"/>
      <c r="IXI10" s="131"/>
      <c r="IXJ10" s="131"/>
      <c r="IXK10" s="131"/>
      <c r="IXL10" s="131"/>
      <c r="IXM10" s="131"/>
      <c r="IXN10" s="131"/>
      <c r="IXO10" s="131"/>
      <c r="IXP10" s="131"/>
      <c r="IXQ10" s="131"/>
      <c r="IXR10" s="131"/>
      <c r="IXS10" s="131"/>
      <c r="IXT10" s="131"/>
      <c r="IXU10" s="131"/>
      <c r="IXV10" s="131"/>
      <c r="IXW10" s="131"/>
      <c r="IXX10" s="131"/>
      <c r="IXY10" s="131"/>
      <c r="IXZ10" s="131"/>
      <c r="IYA10" s="131"/>
      <c r="IYB10" s="131"/>
      <c r="IYC10" s="131"/>
      <c r="IYD10" s="131"/>
      <c r="IYE10" s="131"/>
      <c r="IYF10" s="131"/>
      <c r="IYG10" s="131"/>
      <c r="IYH10" s="131"/>
      <c r="IYI10" s="131"/>
      <c r="IYJ10" s="131"/>
      <c r="IYK10" s="131"/>
      <c r="IYL10" s="131"/>
      <c r="IYM10" s="131"/>
      <c r="IYN10" s="131"/>
      <c r="IYO10" s="131"/>
      <c r="IYP10" s="131"/>
      <c r="IYQ10" s="131"/>
      <c r="IYR10" s="131"/>
      <c r="IYS10" s="131"/>
      <c r="IYT10" s="131"/>
      <c r="IYU10" s="131"/>
      <c r="IYV10" s="131"/>
      <c r="IYW10" s="131"/>
      <c r="IYX10" s="131"/>
      <c r="IYY10" s="131"/>
      <c r="IYZ10" s="131"/>
      <c r="IZA10" s="131"/>
      <c r="IZB10" s="131"/>
      <c r="IZC10" s="131"/>
      <c r="IZD10" s="131"/>
      <c r="IZE10" s="131"/>
      <c r="IZF10" s="131"/>
      <c r="IZG10" s="131"/>
      <c r="IZH10" s="131"/>
      <c r="IZI10" s="131"/>
      <c r="IZJ10" s="131"/>
      <c r="IZK10" s="131"/>
      <c r="IZL10" s="131"/>
      <c r="IZM10" s="131"/>
      <c r="IZN10" s="131"/>
      <c r="IZO10" s="131"/>
      <c r="IZP10" s="131"/>
      <c r="IZQ10" s="131"/>
      <c r="IZR10" s="131"/>
      <c r="IZS10" s="131"/>
      <c r="IZT10" s="131"/>
      <c r="IZU10" s="131"/>
      <c r="IZV10" s="131"/>
      <c r="IZW10" s="131"/>
      <c r="IZX10" s="131"/>
      <c r="IZY10" s="131"/>
      <c r="IZZ10" s="131"/>
      <c r="JAA10" s="131"/>
      <c r="JAB10" s="131"/>
      <c r="JAC10" s="131"/>
      <c r="JAD10" s="131"/>
      <c r="JAE10" s="131"/>
      <c r="JAF10" s="131"/>
      <c r="JAG10" s="131"/>
      <c r="JAH10" s="131"/>
      <c r="JAI10" s="131"/>
      <c r="JAJ10" s="131"/>
      <c r="JAK10" s="131"/>
      <c r="JAL10" s="131"/>
      <c r="JAM10" s="131"/>
      <c r="JAN10" s="131"/>
      <c r="JAO10" s="131"/>
      <c r="JAP10" s="131"/>
      <c r="JAQ10" s="131"/>
      <c r="JAR10" s="131"/>
      <c r="JAS10" s="131"/>
      <c r="JAT10" s="131"/>
      <c r="JAU10" s="131"/>
      <c r="JAV10" s="131"/>
      <c r="JAW10" s="131"/>
      <c r="JAX10" s="131"/>
      <c r="JAY10" s="131"/>
      <c r="JAZ10" s="131"/>
      <c r="JBA10" s="131"/>
      <c r="JBB10" s="131"/>
      <c r="JBC10" s="131"/>
      <c r="JBD10" s="131"/>
      <c r="JBE10" s="131"/>
      <c r="JBF10" s="131"/>
      <c r="JBG10" s="131"/>
      <c r="JBH10" s="131"/>
      <c r="JBI10" s="131"/>
      <c r="JBJ10" s="131"/>
      <c r="JBK10" s="131"/>
      <c r="JBL10" s="131"/>
      <c r="JBM10" s="131"/>
      <c r="JBN10" s="131"/>
      <c r="JBO10" s="131"/>
      <c r="JBP10" s="131"/>
      <c r="JBQ10" s="131"/>
      <c r="JBR10" s="131"/>
      <c r="JBS10" s="131"/>
      <c r="JBT10" s="131"/>
      <c r="JBU10" s="131"/>
      <c r="JBV10" s="131"/>
      <c r="JBW10" s="131"/>
      <c r="JBX10" s="131"/>
      <c r="JBY10" s="131"/>
      <c r="JBZ10" s="131"/>
      <c r="JCA10" s="131"/>
      <c r="JCB10" s="131"/>
      <c r="JCC10" s="131"/>
      <c r="JCD10" s="131"/>
      <c r="JCE10" s="131"/>
      <c r="JCF10" s="131"/>
      <c r="JCG10" s="131"/>
      <c r="JCH10" s="131"/>
      <c r="JCI10" s="131"/>
      <c r="JCJ10" s="131"/>
      <c r="JCK10" s="131"/>
      <c r="JCL10" s="131"/>
      <c r="JCM10" s="131"/>
      <c r="JCN10" s="131"/>
      <c r="JCO10" s="131"/>
      <c r="JCP10" s="131"/>
      <c r="JCQ10" s="131"/>
      <c r="JCR10" s="131"/>
      <c r="JCS10" s="131"/>
      <c r="JCT10" s="131"/>
      <c r="JCU10" s="131"/>
      <c r="JCV10" s="131"/>
      <c r="JCW10" s="131"/>
      <c r="JCX10" s="131"/>
      <c r="JCY10" s="131"/>
      <c r="JCZ10" s="131"/>
      <c r="JDA10" s="131"/>
      <c r="JDB10" s="131"/>
      <c r="JDC10" s="131"/>
      <c r="JDD10" s="131"/>
      <c r="JDE10" s="131"/>
      <c r="JDF10" s="131"/>
      <c r="JDG10" s="131"/>
      <c r="JDH10" s="131"/>
      <c r="JDI10" s="131"/>
      <c r="JDJ10" s="131"/>
      <c r="JDK10" s="131"/>
      <c r="JDL10" s="131"/>
      <c r="JDM10" s="131"/>
      <c r="JDN10" s="131"/>
      <c r="JDO10" s="131"/>
      <c r="JDP10" s="131"/>
      <c r="JDQ10" s="131"/>
      <c r="JDR10" s="131"/>
      <c r="JDS10" s="131"/>
      <c r="JDT10" s="131"/>
      <c r="JDU10" s="131"/>
      <c r="JDV10" s="131"/>
      <c r="JDW10" s="131"/>
      <c r="JDX10" s="131"/>
      <c r="JDY10" s="131"/>
      <c r="JDZ10" s="131"/>
      <c r="JEA10" s="131"/>
      <c r="JEB10" s="131"/>
      <c r="JEC10" s="131"/>
      <c r="JED10" s="131"/>
      <c r="JEE10" s="131"/>
      <c r="JEF10" s="131"/>
      <c r="JEG10" s="131"/>
      <c r="JEH10" s="131"/>
      <c r="JEI10" s="131"/>
      <c r="JEJ10" s="131"/>
      <c r="JEK10" s="131"/>
      <c r="JEL10" s="131"/>
      <c r="JEM10" s="131"/>
      <c r="JEN10" s="131"/>
      <c r="JEO10" s="131"/>
      <c r="JEP10" s="131"/>
      <c r="JEQ10" s="131"/>
      <c r="JER10" s="131"/>
      <c r="JES10" s="131"/>
      <c r="JET10" s="131"/>
      <c r="JEU10" s="131"/>
      <c r="JEV10" s="131"/>
      <c r="JEW10" s="131"/>
      <c r="JEX10" s="131"/>
      <c r="JEY10" s="131"/>
      <c r="JEZ10" s="131"/>
      <c r="JFA10" s="131"/>
      <c r="JFB10" s="131"/>
      <c r="JFC10" s="131"/>
      <c r="JFD10" s="131"/>
      <c r="JFE10" s="131"/>
      <c r="JFF10" s="131"/>
      <c r="JFG10" s="131"/>
      <c r="JFH10" s="131"/>
      <c r="JFI10" s="131"/>
      <c r="JFJ10" s="131"/>
      <c r="JFK10" s="131"/>
      <c r="JFL10" s="131"/>
      <c r="JFM10" s="131"/>
      <c r="JFN10" s="131"/>
      <c r="JFO10" s="131"/>
      <c r="JFP10" s="131"/>
      <c r="JFQ10" s="131"/>
      <c r="JFR10" s="131"/>
      <c r="JFS10" s="131"/>
      <c r="JFT10" s="131"/>
      <c r="JFU10" s="131"/>
      <c r="JFV10" s="131"/>
      <c r="JFW10" s="131"/>
      <c r="JFX10" s="131"/>
      <c r="JFY10" s="131"/>
      <c r="JFZ10" s="131"/>
      <c r="JGA10" s="131"/>
      <c r="JGB10" s="131"/>
      <c r="JGC10" s="131"/>
      <c r="JGD10" s="131"/>
      <c r="JGE10" s="131"/>
      <c r="JGF10" s="131"/>
      <c r="JGG10" s="131"/>
      <c r="JGH10" s="131"/>
      <c r="JGI10" s="131"/>
      <c r="JGJ10" s="131"/>
      <c r="JGK10" s="131"/>
      <c r="JGL10" s="131"/>
      <c r="JGM10" s="131"/>
      <c r="JGN10" s="131"/>
      <c r="JGO10" s="131"/>
      <c r="JGP10" s="131"/>
      <c r="JGQ10" s="131"/>
      <c r="JGR10" s="131"/>
      <c r="JGS10" s="131"/>
      <c r="JGT10" s="131"/>
      <c r="JGU10" s="131"/>
      <c r="JGV10" s="131"/>
      <c r="JGW10" s="131"/>
      <c r="JGX10" s="131"/>
      <c r="JGY10" s="131"/>
      <c r="JGZ10" s="131"/>
      <c r="JHA10" s="131"/>
      <c r="JHB10" s="131"/>
      <c r="JHC10" s="131"/>
      <c r="JHD10" s="131"/>
      <c r="JHE10" s="131"/>
      <c r="JHF10" s="131"/>
      <c r="JHG10" s="131"/>
      <c r="JHH10" s="131"/>
      <c r="JHI10" s="131"/>
      <c r="JHJ10" s="131"/>
      <c r="JHK10" s="131"/>
      <c r="JHL10" s="131"/>
      <c r="JHM10" s="131"/>
      <c r="JHN10" s="131"/>
      <c r="JHO10" s="131"/>
      <c r="JHP10" s="131"/>
      <c r="JHQ10" s="131"/>
      <c r="JHR10" s="131"/>
      <c r="JHS10" s="131"/>
      <c r="JHT10" s="131"/>
      <c r="JHU10" s="131"/>
      <c r="JHV10" s="131"/>
      <c r="JHW10" s="131"/>
      <c r="JHX10" s="131"/>
      <c r="JHY10" s="131"/>
      <c r="JHZ10" s="131"/>
      <c r="JIA10" s="131"/>
      <c r="JIB10" s="131"/>
      <c r="JIC10" s="131"/>
      <c r="JID10" s="131"/>
      <c r="JIE10" s="131"/>
      <c r="JIF10" s="131"/>
      <c r="JIG10" s="131"/>
      <c r="JIH10" s="131"/>
      <c r="JII10" s="131"/>
      <c r="JIJ10" s="131"/>
      <c r="JIK10" s="131"/>
      <c r="JIL10" s="131"/>
      <c r="JIM10" s="131"/>
      <c r="JIN10" s="131"/>
      <c r="JIO10" s="131"/>
      <c r="JIP10" s="131"/>
      <c r="JIQ10" s="131"/>
      <c r="JIR10" s="131"/>
      <c r="JIS10" s="131"/>
      <c r="JIT10" s="131"/>
      <c r="JIU10" s="131"/>
      <c r="JIV10" s="131"/>
      <c r="JIW10" s="131"/>
      <c r="JIX10" s="131"/>
      <c r="JIY10" s="131"/>
      <c r="JIZ10" s="131"/>
      <c r="JJA10" s="131"/>
      <c r="JJB10" s="131"/>
      <c r="JJC10" s="131"/>
      <c r="JJD10" s="131"/>
      <c r="JJE10" s="131"/>
      <c r="JJF10" s="131"/>
      <c r="JJG10" s="131"/>
      <c r="JJH10" s="131"/>
      <c r="JJI10" s="131"/>
      <c r="JJJ10" s="131"/>
      <c r="JJK10" s="131"/>
      <c r="JJL10" s="131"/>
      <c r="JJM10" s="131"/>
      <c r="JJN10" s="131"/>
      <c r="JJO10" s="131"/>
      <c r="JJP10" s="131"/>
      <c r="JJQ10" s="131"/>
      <c r="JJR10" s="131"/>
      <c r="JJS10" s="131"/>
      <c r="JJT10" s="131"/>
      <c r="JJU10" s="131"/>
      <c r="JJV10" s="131"/>
      <c r="JJW10" s="131"/>
      <c r="JJX10" s="131"/>
      <c r="JJY10" s="131"/>
      <c r="JJZ10" s="131"/>
      <c r="JKA10" s="131"/>
      <c r="JKB10" s="131"/>
      <c r="JKC10" s="131"/>
      <c r="JKD10" s="131"/>
      <c r="JKE10" s="131"/>
      <c r="JKF10" s="131"/>
      <c r="JKG10" s="131"/>
      <c r="JKH10" s="131"/>
      <c r="JKI10" s="131"/>
      <c r="JKJ10" s="131"/>
      <c r="JKK10" s="131"/>
      <c r="JKL10" s="131"/>
      <c r="JKM10" s="131"/>
      <c r="JKN10" s="131"/>
      <c r="JKO10" s="131"/>
      <c r="JKP10" s="131"/>
      <c r="JKQ10" s="131"/>
      <c r="JKR10" s="131"/>
      <c r="JKS10" s="131"/>
      <c r="JKT10" s="131"/>
      <c r="JKU10" s="131"/>
      <c r="JKV10" s="131"/>
      <c r="JKW10" s="131"/>
      <c r="JKX10" s="131"/>
      <c r="JKY10" s="131"/>
      <c r="JKZ10" s="131"/>
      <c r="JLA10" s="131"/>
      <c r="JLB10" s="131"/>
      <c r="JLC10" s="131"/>
      <c r="JLD10" s="131"/>
      <c r="JLE10" s="131"/>
      <c r="JLF10" s="131"/>
      <c r="JLG10" s="131"/>
      <c r="JLH10" s="131"/>
      <c r="JLI10" s="131"/>
      <c r="JLJ10" s="131"/>
      <c r="JLK10" s="131"/>
      <c r="JLL10" s="131"/>
      <c r="JLM10" s="131"/>
      <c r="JLN10" s="131"/>
      <c r="JLO10" s="131"/>
      <c r="JLP10" s="131"/>
      <c r="JLQ10" s="131"/>
      <c r="JLR10" s="131"/>
      <c r="JLS10" s="131"/>
      <c r="JLT10" s="131"/>
      <c r="JLU10" s="131"/>
      <c r="JLV10" s="131"/>
      <c r="JLW10" s="131"/>
      <c r="JLX10" s="131"/>
      <c r="JLY10" s="131"/>
      <c r="JLZ10" s="131"/>
      <c r="JMA10" s="131"/>
      <c r="JMB10" s="131"/>
      <c r="JMC10" s="131"/>
      <c r="JMD10" s="131"/>
      <c r="JME10" s="131"/>
      <c r="JMF10" s="131"/>
      <c r="JMG10" s="131"/>
      <c r="JMH10" s="131"/>
      <c r="JMI10" s="131"/>
      <c r="JMJ10" s="131"/>
      <c r="JMK10" s="131"/>
      <c r="JML10" s="131"/>
      <c r="JMM10" s="131"/>
      <c r="JMN10" s="131"/>
      <c r="JMO10" s="131"/>
      <c r="JMP10" s="131"/>
      <c r="JMQ10" s="131"/>
      <c r="JMR10" s="131"/>
      <c r="JMS10" s="131"/>
      <c r="JMT10" s="131"/>
      <c r="JMU10" s="131"/>
      <c r="JMV10" s="131"/>
      <c r="JMW10" s="131"/>
      <c r="JMX10" s="131"/>
      <c r="JMY10" s="131"/>
      <c r="JMZ10" s="131"/>
      <c r="JNA10" s="131"/>
      <c r="JNB10" s="131"/>
      <c r="JNC10" s="131"/>
      <c r="JND10" s="131"/>
      <c r="JNE10" s="131"/>
      <c r="JNF10" s="131"/>
      <c r="JNG10" s="131"/>
      <c r="JNH10" s="131"/>
      <c r="JNI10" s="131"/>
      <c r="JNJ10" s="131"/>
      <c r="JNK10" s="131"/>
      <c r="JNL10" s="131"/>
      <c r="JNM10" s="131"/>
      <c r="JNN10" s="131"/>
      <c r="JNO10" s="131"/>
      <c r="JNP10" s="131"/>
      <c r="JNQ10" s="131"/>
      <c r="JNR10" s="131"/>
      <c r="JNS10" s="131"/>
      <c r="JNT10" s="131"/>
      <c r="JNU10" s="131"/>
      <c r="JNV10" s="131"/>
      <c r="JNW10" s="131"/>
      <c r="JNX10" s="131"/>
      <c r="JNY10" s="131"/>
      <c r="JNZ10" s="131"/>
      <c r="JOA10" s="131"/>
      <c r="JOB10" s="131"/>
      <c r="JOC10" s="131"/>
      <c r="JOD10" s="131"/>
      <c r="JOE10" s="131"/>
      <c r="JOF10" s="131"/>
      <c r="JOG10" s="131"/>
      <c r="JOT10" s="131"/>
      <c r="JOU10" s="131"/>
      <c r="JOV10" s="131"/>
      <c r="JOW10" s="131"/>
      <c r="JOX10" s="131"/>
      <c r="JOY10" s="131"/>
      <c r="JOZ10" s="131"/>
      <c r="JPA10" s="131"/>
      <c r="JPB10" s="131"/>
      <c r="JPC10" s="131"/>
      <c r="JPD10" s="131"/>
      <c r="JPE10" s="131"/>
      <c r="JPF10" s="131"/>
      <c r="JPG10" s="131"/>
      <c r="JPH10" s="131"/>
      <c r="JPI10" s="131"/>
      <c r="JPJ10" s="131"/>
      <c r="JPK10" s="131"/>
      <c r="JPL10" s="131"/>
      <c r="JPM10" s="131"/>
      <c r="JPN10" s="131"/>
      <c r="JPO10" s="131"/>
      <c r="JPP10" s="131"/>
      <c r="JPQ10" s="131"/>
      <c r="JPR10" s="131"/>
      <c r="JPS10" s="131"/>
      <c r="JPT10" s="131"/>
      <c r="JPU10" s="131"/>
      <c r="JPV10" s="131"/>
      <c r="JPW10" s="131"/>
      <c r="JPX10" s="131"/>
      <c r="JPY10" s="131"/>
      <c r="JPZ10" s="131"/>
      <c r="JQA10" s="131"/>
      <c r="JQB10" s="131"/>
      <c r="JQC10" s="131"/>
      <c r="JQD10" s="131"/>
      <c r="JQE10" s="131"/>
      <c r="JQF10" s="131"/>
      <c r="JQG10" s="131"/>
      <c r="JQH10" s="131"/>
      <c r="JQI10" s="131"/>
      <c r="JQJ10" s="131"/>
      <c r="JQK10" s="131"/>
      <c r="JQL10" s="131"/>
      <c r="JQM10" s="131"/>
      <c r="JQN10" s="131"/>
      <c r="JQO10" s="131"/>
      <c r="JQP10" s="131"/>
      <c r="JQQ10" s="131"/>
      <c r="JQR10" s="131"/>
      <c r="JQS10" s="131"/>
      <c r="JQT10" s="131"/>
      <c r="JQU10" s="131"/>
      <c r="JQV10" s="131"/>
      <c r="JQW10" s="131"/>
      <c r="JQX10" s="131"/>
      <c r="JQY10" s="131"/>
      <c r="JQZ10" s="131"/>
      <c r="JRA10" s="131"/>
      <c r="JRB10" s="131"/>
      <c r="JRC10" s="131"/>
      <c r="JRD10" s="131"/>
      <c r="JRE10" s="131"/>
      <c r="JRF10" s="131"/>
      <c r="JRG10" s="131"/>
      <c r="JRH10" s="131"/>
      <c r="JRI10" s="131"/>
      <c r="JRJ10" s="131"/>
      <c r="JRK10" s="131"/>
      <c r="JRL10" s="131"/>
      <c r="JRM10" s="131"/>
      <c r="JRN10" s="131"/>
      <c r="JRO10" s="131"/>
      <c r="JRP10" s="131"/>
      <c r="JRQ10" s="131"/>
      <c r="JRR10" s="131"/>
      <c r="JRS10" s="131"/>
      <c r="JRT10" s="131"/>
      <c r="JRU10" s="131"/>
      <c r="JRV10" s="131"/>
      <c r="JRW10" s="131"/>
      <c r="JRX10" s="131"/>
      <c r="JRY10" s="131"/>
      <c r="JRZ10" s="131"/>
      <c r="JSA10" s="131"/>
      <c r="JSB10" s="131"/>
      <c r="JSC10" s="131"/>
      <c r="JSD10" s="131"/>
      <c r="JSE10" s="131"/>
      <c r="JSF10" s="131"/>
      <c r="JSG10" s="131"/>
      <c r="JSH10" s="131"/>
      <c r="JSI10" s="131"/>
      <c r="JSJ10" s="131"/>
      <c r="JSK10" s="131"/>
      <c r="JSL10" s="131"/>
      <c r="JSM10" s="131"/>
      <c r="JSN10" s="131"/>
      <c r="JSO10" s="131"/>
      <c r="JSP10" s="131"/>
      <c r="JSQ10" s="131"/>
      <c r="JSR10" s="131"/>
      <c r="JSS10" s="131"/>
      <c r="JST10" s="131"/>
      <c r="JSU10" s="131"/>
      <c r="JSV10" s="131"/>
      <c r="JSW10" s="131"/>
      <c r="JSX10" s="131"/>
      <c r="JSY10" s="131"/>
      <c r="JSZ10" s="131"/>
      <c r="JTA10" s="131"/>
      <c r="JTB10" s="131"/>
      <c r="JTC10" s="131"/>
      <c r="JTD10" s="131"/>
      <c r="JTE10" s="131"/>
      <c r="JTF10" s="131"/>
      <c r="JTG10" s="131"/>
      <c r="JTH10" s="131"/>
      <c r="JTI10" s="131"/>
      <c r="JTJ10" s="131"/>
      <c r="JTK10" s="131"/>
      <c r="JTL10" s="131"/>
      <c r="JTM10" s="131"/>
      <c r="JTN10" s="131"/>
      <c r="JTO10" s="131"/>
      <c r="JTP10" s="131"/>
      <c r="JTQ10" s="131"/>
      <c r="JTR10" s="131"/>
      <c r="JTS10" s="131"/>
      <c r="JTT10" s="131"/>
      <c r="JTU10" s="131"/>
      <c r="JTV10" s="131"/>
      <c r="JTW10" s="131"/>
      <c r="JTX10" s="131"/>
      <c r="JTY10" s="131"/>
      <c r="JTZ10" s="131"/>
      <c r="JUA10" s="131"/>
      <c r="JUB10" s="131"/>
      <c r="JUC10" s="131"/>
      <c r="JUD10" s="131"/>
      <c r="JUE10" s="131"/>
      <c r="JUF10" s="131"/>
      <c r="JUG10" s="131"/>
      <c r="JUH10" s="131"/>
      <c r="JUI10" s="131"/>
      <c r="JUJ10" s="131"/>
      <c r="JUK10" s="131"/>
      <c r="JUL10" s="131"/>
      <c r="JUM10" s="131"/>
      <c r="JUN10" s="131"/>
      <c r="JUO10" s="131"/>
      <c r="JUP10" s="131"/>
      <c r="JUQ10" s="131"/>
      <c r="JUR10" s="131"/>
      <c r="JUS10" s="131"/>
      <c r="JUT10" s="131"/>
      <c r="JUU10" s="131"/>
      <c r="JUV10" s="131"/>
      <c r="JUW10" s="131"/>
      <c r="JUX10" s="131"/>
      <c r="JUY10" s="131"/>
      <c r="JUZ10" s="131"/>
      <c r="JVA10" s="131"/>
      <c r="JVB10" s="131"/>
      <c r="JVC10" s="131"/>
      <c r="JVD10" s="131"/>
      <c r="JVE10" s="131"/>
      <c r="JVF10" s="131"/>
      <c r="JVG10" s="131"/>
      <c r="JVH10" s="131"/>
      <c r="JVI10" s="131"/>
      <c r="JVJ10" s="131"/>
      <c r="JVK10" s="131"/>
      <c r="JVL10" s="131"/>
      <c r="JVM10" s="131"/>
      <c r="JVN10" s="131"/>
      <c r="JVO10" s="131"/>
      <c r="JVP10" s="131"/>
      <c r="JVQ10" s="131"/>
      <c r="JVR10" s="131"/>
      <c r="JVS10" s="131"/>
      <c r="JVT10" s="131"/>
      <c r="JVU10" s="131"/>
      <c r="JVV10" s="131"/>
      <c r="JVW10" s="131"/>
      <c r="JVX10" s="131"/>
      <c r="JVY10" s="131"/>
      <c r="JVZ10" s="131"/>
      <c r="JWA10" s="131"/>
      <c r="JWB10" s="131"/>
      <c r="JWC10" s="131"/>
      <c r="JWD10" s="131"/>
      <c r="JWE10" s="131"/>
      <c r="JWF10" s="131"/>
      <c r="JWG10" s="131"/>
      <c r="JWH10" s="131"/>
      <c r="JWI10" s="131"/>
      <c r="JWJ10" s="131"/>
      <c r="JWK10" s="131"/>
      <c r="JWL10" s="131"/>
      <c r="JWM10" s="131"/>
      <c r="JWN10" s="131"/>
      <c r="JWO10" s="131"/>
      <c r="JWP10" s="131"/>
      <c r="JWQ10" s="131"/>
      <c r="JWR10" s="131"/>
      <c r="JWS10" s="131"/>
      <c r="JWT10" s="131"/>
      <c r="JWU10" s="131"/>
      <c r="JWV10" s="131"/>
      <c r="JWW10" s="131"/>
      <c r="JWX10" s="131"/>
      <c r="JWY10" s="131"/>
      <c r="JWZ10" s="131"/>
      <c r="JXA10" s="131"/>
      <c r="JXB10" s="131"/>
      <c r="JXC10" s="131"/>
      <c r="JXD10" s="131"/>
      <c r="JXE10" s="131"/>
      <c r="JXF10" s="131"/>
      <c r="JXG10" s="131"/>
      <c r="JXH10" s="131"/>
      <c r="JXI10" s="131"/>
      <c r="JXJ10" s="131"/>
      <c r="JXK10" s="131"/>
      <c r="JXL10" s="131"/>
      <c r="JXM10" s="131"/>
      <c r="JXN10" s="131"/>
      <c r="JXO10" s="131"/>
      <c r="JXP10" s="131"/>
      <c r="JXQ10" s="131"/>
      <c r="JXR10" s="131"/>
      <c r="JXS10" s="131"/>
      <c r="JXT10" s="131"/>
      <c r="JXU10" s="131"/>
      <c r="JXV10" s="131"/>
      <c r="JXW10" s="131"/>
      <c r="JXX10" s="131"/>
      <c r="JXY10" s="131"/>
      <c r="JXZ10" s="131"/>
      <c r="JYA10" s="131"/>
      <c r="JYB10" s="131"/>
      <c r="JYC10" s="131"/>
      <c r="JYD10" s="131"/>
      <c r="JYE10" s="131"/>
      <c r="JYF10" s="131"/>
      <c r="JYG10" s="131"/>
      <c r="JYH10" s="131"/>
      <c r="JYI10" s="131"/>
      <c r="JYJ10" s="131"/>
      <c r="JYK10" s="131"/>
      <c r="JYL10" s="131"/>
      <c r="JYM10" s="131"/>
      <c r="JYN10" s="131"/>
      <c r="JYO10" s="131"/>
      <c r="JYP10" s="131"/>
      <c r="JYQ10" s="131"/>
      <c r="JYR10" s="131"/>
      <c r="JYS10" s="131"/>
      <c r="JYT10" s="131"/>
      <c r="JYU10" s="131"/>
      <c r="JYV10" s="131"/>
      <c r="JYW10" s="131"/>
      <c r="JYX10" s="131"/>
      <c r="JYY10" s="131"/>
      <c r="JYZ10" s="131"/>
      <c r="JZA10" s="131"/>
      <c r="JZB10" s="131"/>
      <c r="JZC10" s="131"/>
      <c r="JZD10" s="131"/>
      <c r="JZE10" s="131"/>
      <c r="JZF10" s="131"/>
      <c r="JZG10" s="131"/>
      <c r="JZH10" s="131"/>
      <c r="JZI10" s="131"/>
      <c r="JZJ10" s="131"/>
      <c r="JZK10" s="131"/>
      <c r="JZL10" s="131"/>
      <c r="JZM10" s="131"/>
      <c r="JZN10" s="131"/>
      <c r="JZO10" s="131"/>
      <c r="JZP10" s="131"/>
      <c r="JZQ10" s="131"/>
      <c r="JZR10" s="131"/>
      <c r="JZS10" s="131"/>
      <c r="JZT10" s="131"/>
      <c r="JZU10" s="131"/>
      <c r="JZV10" s="131"/>
      <c r="JZW10" s="131"/>
      <c r="JZX10" s="131"/>
      <c r="JZY10" s="131"/>
      <c r="JZZ10" s="131"/>
      <c r="KAA10" s="131"/>
      <c r="KAB10" s="131"/>
      <c r="KAC10" s="131"/>
      <c r="KAD10" s="131"/>
      <c r="KAE10" s="131"/>
      <c r="KAF10" s="131"/>
      <c r="KAG10" s="131"/>
      <c r="KAH10" s="131"/>
      <c r="KAI10" s="131"/>
      <c r="KAJ10" s="131"/>
      <c r="KAK10" s="131"/>
      <c r="KAL10" s="131"/>
      <c r="KAM10" s="131"/>
      <c r="KAN10" s="131"/>
      <c r="KAO10" s="131"/>
      <c r="KAP10" s="131"/>
      <c r="KAQ10" s="131"/>
      <c r="KAR10" s="131"/>
      <c r="KAS10" s="131"/>
      <c r="KAT10" s="131"/>
      <c r="KAU10" s="131"/>
      <c r="KAV10" s="131"/>
      <c r="KAW10" s="131"/>
      <c r="KAX10" s="131"/>
      <c r="KAY10" s="131"/>
      <c r="KAZ10" s="131"/>
      <c r="KBA10" s="131"/>
      <c r="KBB10" s="131"/>
      <c r="KBC10" s="131"/>
      <c r="KBD10" s="131"/>
      <c r="KBE10" s="131"/>
      <c r="KBF10" s="131"/>
      <c r="KBG10" s="131"/>
      <c r="KBH10" s="131"/>
      <c r="KBI10" s="131"/>
      <c r="KBJ10" s="131"/>
      <c r="KBK10" s="131"/>
      <c r="KBL10" s="131"/>
      <c r="KBM10" s="131"/>
      <c r="KBN10" s="131"/>
      <c r="KBO10" s="131"/>
      <c r="KBP10" s="131"/>
      <c r="KBQ10" s="131"/>
      <c r="KBR10" s="131"/>
      <c r="KBS10" s="131"/>
      <c r="KBT10" s="131"/>
      <c r="KBU10" s="131"/>
      <c r="KBV10" s="131"/>
      <c r="KBW10" s="131"/>
      <c r="KBX10" s="131"/>
      <c r="KBY10" s="131"/>
      <c r="KBZ10" s="131"/>
      <c r="KCA10" s="131"/>
      <c r="KCB10" s="131"/>
      <c r="KCC10" s="131"/>
      <c r="KCD10" s="131"/>
      <c r="KCE10" s="131"/>
      <c r="KCF10" s="131"/>
      <c r="KCG10" s="131"/>
      <c r="KCH10" s="131"/>
      <c r="KCI10" s="131"/>
      <c r="KCJ10" s="131"/>
      <c r="KCK10" s="131"/>
      <c r="KCL10" s="131"/>
      <c r="KCM10" s="131"/>
      <c r="KCN10" s="131"/>
      <c r="KCO10" s="131"/>
      <c r="KCP10" s="131"/>
      <c r="KCQ10" s="131"/>
      <c r="KCR10" s="131"/>
      <c r="KCS10" s="131"/>
      <c r="KCT10" s="131"/>
      <c r="KCU10" s="131"/>
      <c r="KCV10" s="131"/>
      <c r="KCW10" s="131"/>
      <c r="KCX10" s="131"/>
      <c r="KCY10" s="131"/>
      <c r="KCZ10" s="131"/>
      <c r="KDA10" s="131"/>
      <c r="KDB10" s="131"/>
      <c r="KDC10" s="131"/>
      <c r="KDD10" s="131"/>
      <c r="KDE10" s="131"/>
      <c r="KDF10" s="131"/>
      <c r="KDG10" s="131"/>
      <c r="KDH10" s="131"/>
      <c r="KDI10" s="131"/>
      <c r="KDJ10" s="131"/>
      <c r="KDK10" s="131"/>
      <c r="KDL10" s="131"/>
      <c r="KDM10" s="131"/>
      <c r="KDN10" s="131"/>
      <c r="KDO10" s="131"/>
      <c r="KDP10" s="131"/>
      <c r="KDQ10" s="131"/>
      <c r="KDR10" s="131"/>
      <c r="KDS10" s="131"/>
      <c r="KDT10" s="131"/>
      <c r="KDU10" s="131"/>
      <c r="KDV10" s="131"/>
      <c r="KDW10" s="131"/>
      <c r="KDX10" s="131"/>
      <c r="KDY10" s="131"/>
      <c r="KDZ10" s="131"/>
      <c r="KEA10" s="131"/>
      <c r="KEB10" s="131"/>
      <c r="KEC10" s="131"/>
      <c r="KED10" s="131"/>
      <c r="KEE10" s="131"/>
      <c r="KEF10" s="131"/>
      <c r="KEG10" s="131"/>
      <c r="KEH10" s="131"/>
      <c r="KEI10" s="131"/>
      <c r="KEJ10" s="131"/>
      <c r="KEK10" s="131"/>
      <c r="KEL10" s="131"/>
      <c r="KEM10" s="131"/>
      <c r="KEN10" s="131"/>
      <c r="KEO10" s="131"/>
      <c r="KEP10" s="131"/>
      <c r="KEQ10" s="131"/>
      <c r="KER10" s="131"/>
      <c r="KES10" s="131"/>
      <c r="KET10" s="131"/>
      <c r="KEU10" s="131"/>
      <c r="KEV10" s="131"/>
      <c r="KEW10" s="131"/>
      <c r="KEX10" s="131"/>
      <c r="KEY10" s="131"/>
      <c r="KEZ10" s="131"/>
      <c r="KFA10" s="131"/>
      <c r="KFB10" s="131"/>
      <c r="KFC10" s="131"/>
      <c r="KFD10" s="131"/>
      <c r="KFE10" s="131"/>
      <c r="KFF10" s="131"/>
      <c r="KFG10" s="131"/>
      <c r="KFH10" s="131"/>
      <c r="KFI10" s="131"/>
      <c r="KFJ10" s="131"/>
      <c r="KFK10" s="131"/>
      <c r="KFL10" s="131"/>
      <c r="KFM10" s="131"/>
      <c r="KFN10" s="131"/>
      <c r="KFO10" s="131"/>
      <c r="KFP10" s="131"/>
      <c r="KFQ10" s="131"/>
      <c r="KFR10" s="131"/>
      <c r="KFS10" s="131"/>
      <c r="KFT10" s="131"/>
      <c r="KFU10" s="131"/>
      <c r="KFV10" s="131"/>
      <c r="KFW10" s="131"/>
      <c r="KFX10" s="131"/>
      <c r="KFY10" s="131"/>
      <c r="KFZ10" s="131"/>
      <c r="KGA10" s="131"/>
      <c r="KGB10" s="131"/>
      <c r="KGC10" s="131"/>
      <c r="KGD10" s="131"/>
      <c r="KGE10" s="131"/>
      <c r="KGF10" s="131"/>
      <c r="KGG10" s="131"/>
      <c r="KGH10" s="131"/>
      <c r="KGI10" s="131"/>
      <c r="KGJ10" s="131"/>
      <c r="KGK10" s="131"/>
      <c r="KGL10" s="131"/>
      <c r="KGM10" s="131"/>
      <c r="KGN10" s="131"/>
      <c r="KGO10" s="131"/>
      <c r="KGP10" s="131"/>
      <c r="KGQ10" s="131"/>
      <c r="KGR10" s="131"/>
      <c r="KGS10" s="131"/>
      <c r="KGT10" s="131"/>
      <c r="KGU10" s="131"/>
      <c r="KGV10" s="131"/>
      <c r="KGW10" s="131"/>
      <c r="KGX10" s="131"/>
      <c r="KGY10" s="131"/>
      <c r="KGZ10" s="131"/>
      <c r="KHA10" s="131"/>
      <c r="KHB10" s="131"/>
      <c r="KHC10" s="131"/>
      <c r="KHD10" s="131"/>
      <c r="KHE10" s="131"/>
      <c r="KHF10" s="131"/>
      <c r="KHG10" s="131"/>
      <c r="KHH10" s="131"/>
      <c r="KHI10" s="131"/>
      <c r="KHJ10" s="131"/>
      <c r="KHK10" s="131"/>
      <c r="KHL10" s="131"/>
      <c r="KHM10" s="131"/>
      <c r="KHN10" s="131"/>
      <c r="KHO10" s="131"/>
      <c r="KHP10" s="131"/>
      <c r="KHQ10" s="131"/>
      <c r="KHR10" s="131"/>
      <c r="KHS10" s="131"/>
      <c r="KHT10" s="131"/>
      <c r="KHU10" s="131"/>
      <c r="KHV10" s="131"/>
      <c r="KHW10" s="131"/>
      <c r="KHX10" s="131"/>
      <c r="KHY10" s="131"/>
      <c r="KHZ10" s="131"/>
      <c r="KIA10" s="131"/>
      <c r="KIB10" s="131"/>
      <c r="KIC10" s="131"/>
      <c r="KID10" s="131"/>
      <c r="KIE10" s="131"/>
      <c r="KIF10" s="131"/>
      <c r="KIG10" s="131"/>
      <c r="KIH10" s="131"/>
      <c r="KII10" s="131"/>
      <c r="KIJ10" s="131"/>
      <c r="KIK10" s="131"/>
      <c r="KIL10" s="131"/>
      <c r="KIM10" s="131"/>
      <c r="KIN10" s="131"/>
      <c r="KIO10" s="131"/>
      <c r="KIP10" s="131"/>
      <c r="KIQ10" s="131"/>
      <c r="KIR10" s="131"/>
      <c r="KIS10" s="131"/>
      <c r="KIT10" s="131"/>
      <c r="KIU10" s="131"/>
      <c r="KIV10" s="131"/>
      <c r="KIW10" s="131"/>
      <c r="KIX10" s="131"/>
      <c r="KIY10" s="131"/>
      <c r="KIZ10" s="131"/>
      <c r="KJA10" s="131"/>
      <c r="KJB10" s="131"/>
      <c r="KJC10" s="131"/>
      <c r="KJD10" s="131"/>
      <c r="KJE10" s="131"/>
      <c r="KJF10" s="131"/>
      <c r="KJG10" s="131"/>
      <c r="KJH10" s="131"/>
      <c r="KJI10" s="131"/>
      <c r="KJJ10" s="131"/>
      <c r="KJK10" s="131"/>
      <c r="KJL10" s="131"/>
      <c r="KJM10" s="131"/>
      <c r="KJN10" s="131"/>
      <c r="KJO10" s="131"/>
      <c r="KJP10" s="131"/>
      <c r="KJQ10" s="131"/>
      <c r="KJR10" s="131"/>
      <c r="KJS10" s="131"/>
      <c r="KJT10" s="131"/>
      <c r="KJU10" s="131"/>
      <c r="KJV10" s="131"/>
      <c r="KJW10" s="131"/>
      <c r="KJX10" s="131"/>
      <c r="KJY10" s="131"/>
      <c r="KJZ10" s="131"/>
      <c r="KKA10" s="131"/>
      <c r="KKB10" s="131"/>
      <c r="KKC10" s="131"/>
      <c r="KKD10" s="131"/>
      <c r="KKE10" s="131"/>
      <c r="KKF10" s="131"/>
      <c r="KKG10" s="131"/>
      <c r="KKH10" s="131"/>
      <c r="KKI10" s="131"/>
      <c r="KKJ10" s="131"/>
      <c r="KKK10" s="131"/>
      <c r="KKL10" s="131"/>
      <c r="KKM10" s="131"/>
      <c r="KKN10" s="131"/>
      <c r="KKO10" s="131"/>
      <c r="KKP10" s="131"/>
      <c r="KKQ10" s="131"/>
      <c r="KKR10" s="131"/>
      <c r="KKS10" s="131"/>
      <c r="KKT10" s="131"/>
      <c r="KKU10" s="131"/>
      <c r="KKV10" s="131"/>
      <c r="KKW10" s="131"/>
      <c r="KKX10" s="131"/>
      <c r="KKY10" s="131"/>
      <c r="KKZ10" s="131"/>
      <c r="KLA10" s="131"/>
      <c r="KLB10" s="131"/>
      <c r="KLC10" s="131"/>
      <c r="KLD10" s="131"/>
      <c r="KLE10" s="131"/>
      <c r="KLF10" s="131"/>
      <c r="KLG10" s="131"/>
      <c r="KLH10" s="131"/>
      <c r="KLI10" s="131"/>
      <c r="KLJ10" s="131"/>
      <c r="KLK10" s="131"/>
      <c r="KLL10" s="131"/>
      <c r="KLM10" s="131"/>
      <c r="KLN10" s="131"/>
      <c r="KLO10" s="131"/>
      <c r="KLP10" s="131"/>
      <c r="KLQ10" s="131"/>
      <c r="KLR10" s="131"/>
      <c r="KLS10" s="131"/>
      <c r="KLT10" s="131"/>
      <c r="KLU10" s="131"/>
      <c r="KLV10" s="131"/>
      <c r="KLW10" s="131"/>
      <c r="KLX10" s="131"/>
      <c r="KLY10" s="131"/>
      <c r="KLZ10" s="131"/>
      <c r="KMA10" s="131"/>
      <c r="KMB10" s="131"/>
      <c r="KMC10" s="131"/>
      <c r="KMD10" s="131"/>
      <c r="KME10" s="131"/>
      <c r="KMF10" s="131"/>
      <c r="KMG10" s="131"/>
      <c r="KMH10" s="131"/>
      <c r="KMI10" s="131"/>
      <c r="KMJ10" s="131"/>
      <c r="KMK10" s="131"/>
      <c r="KML10" s="131"/>
      <c r="KMM10" s="131"/>
      <c r="KMN10" s="131"/>
      <c r="KMO10" s="131"/>
      <c r="KMP10" s="131"/>
      <c r="KMQ10" s="131"/>
      <c r="KMR10" s="131"/>
      <c r="KMS10" s="131"/>
      <c r="KMT10" s="131"/>
      <c r="KMU10" s="131"/>
      <c r="KMV10" s="131"/>
      <c r="KMW10" s="131"/>
      <c r="KMX10" s="131"/>
      <c r="KMY10" s="131"/>
      <c r="KMZ10" s="131"/>
      <c r="KNA10" s="131"/>
      <c r="KNB10" s="131"/>
      <c r="KNC10" s="131"/>
      <c r="KND10" s="131"/>
      <c r="KNE10" s="131"/>
      <c r="KNF10" s="131"/>
      <c r="KNG10" s="131"/>
      <c r="KNH10" s="131"/>
      <c r="KNI10" s="131"/>
      <c r="KNJ10" s="131"/>
      <c r="KNK10" s="131"/>
      <c r="KNL10" s="131"/>
      <c r="KNM10" s="131"/>
      <c r="KNN10" s="131"/>
      <c r="KNO10" s="131"/>
      <c r="KNP10" s="131"/>
      <c r="KNQ10" s="131"/>
      <c r="KNR10" s="131"/>
      <c r="KNS10" s="131"/>
      <c r="KNT10" s="131"/>
      <c r="KNU10" s="131"/>
      <c r="KNV10" s="131"/>
      <c r="KNW10" s="131"/>
      <c r="KNX10" s="131"/>
      <c r="KNY10" s="131"/>
      <c r="KNZ10" s="131"/>
      <c r="KOA10" s="131"/>
      <c r="KOB10" s="131"/>
      <c r="KOC10" s="131"/>
      <c r="KOD10" s="131"/>
      <c r="KOE10" s="131"/>
      <c r="KOF10" s="131"/>
      <c r="KOG10" s="131"/>
      <c r="KOH10" s="131"/>
      <c r="KOI10" s="131"/>
      <c r="KOJ10" s="131"/>
      <c r="KOK10" s="131"/>
      <c r="KOL10" s="131"/>
      <c r="KOM10" s="131"/>
      <c r="KON10" s="131"/>
      <c r="KOO10" s="131"/>
      <c r="KOP10" s="131"/>
      <c r="KOQ10" s="131"/>
      <c r="KOR10" s="131"/>
      <c r="KOS10" s="131"/>
      <c r="KOT10" s="131"/>
      <c r="KOU10" s="131"/>
      <c r="KOV10" s="131"/>
      <c r="KOW10" s="131"/>
      <c r="KOX10" s="131"/>
      <c r="KOY10" s="131"/>
      <c r="KOZ10" s="131"/>
      <c r="KPA10" s="131"/>
      <c r="KPB10" s="131"/>
      <c r="KPC10" s="131"/>
      <c r="KPD10" s="131"/>
      <c r="KPE10" s="131"/>
      <c r="KPF10" s="131"/>
      <c r="KPG10" s="131"/>
      <c r="KPH10" s="131"/>
      <c r="KPI10" s="131"/>
      <c r="KPJ10" s="131"/>
      <c r="KPK10" s="131"/>
      <c r="KPL10" s="131"/>
      <c r="KPM10" s="131"/>
      <c r="KPN10" s="131"/>
      <c r="KPO10" s="131"/>
      <c r="KPP10" s="131"/>
      <c r="KPQ10" s="131"/>
      <c r="KPR10" s="131"/>
      <c r="KPS10" s="131"/>
      <c r="KPT10" s="131"/>
      <c r="KPU10" s="131"/>
      <c r="KPV10" s="131"/>
      <c r="KPW10" s="131"/>
      <c r="KPX10" s="131"/>
      <c r="KPY10" s="131"/>
      <c r="KPZ10" s="131"/>
      <c r="KQA10" s="131"/>
      <c r="KQB10" s="131"/>
      <c r="KQC10" s="131"/>
      <c r="KQD10" s="131"/>
      <c r="KQE10" s="131"/>
      <c r="KQF10" s="131"/>
      <c r="KQG10" s="131"/>
      <c r="KQH10" s="131"/>
      <c r="KQI10" s="131"/>
      <c r="KQJ10" s="131"/>
      <c r="KQK10" s="131"/>
      <c r="KQL10" s="131"/>
      <c r="KQM10" s="131"/>
      <c r="KQN10" s="131"/>
      <c r="KQO10" s="131"/>
      <c r="KQP10" s="131"/>
      <c r="KQQ10" s="131"/>
      <c r="KQR10" s="131"/>
      <c r="KQS10" s="131"/>
      <c r="KQT10" s="131"/>
      <c r="KQU10" s="131"/>
      <c r="KQV10" s="131"/>
      <c r="KQW10" s="131"/>
      <c r="KQX10" s="131"/>
      <c r="KQY10" s="131"/>
      <c r="KQZ10" s="131"/>
      <c r="KRA10" s="131"/>
      <c r="KRB10" s="131"/>
      <c r="KRC10" s="131"/>
      <c r="KRD10" s="131"/>
      <c r="KRE10" s="131"/>
      <c r="KRF10" s="131"/>
      <c r="KRG10" s="131"/>
      <c r="KRH10" s="131"/>
      <c r="KRI10" s="131"/>
      <c r="KRJ10" s="131"/>
      <c r="KRK10" s="131"/>
      <c r="KRL10" s="131"/>
      <c r="KRM10" s="131"/>
      <c r="KRN10" s="131"/>
      <c r="KRO10" s="131"/>
      <c r="KRP10" s="131"/>
      <c r="KRQ10" s="131"/>
      <c r="KRR10" s="131"/>
      <c r="KRS10" s="131"/>
      <c r="KRT10" s="131"/>
      <c r="KRU10" s="131"/>
      <c r="KRV10" s="131"/>
      <c r="KRW10" s="131"/>
      <c r="KRX10" s="131"/>
      <c r="KRY10" s="131"/>
      <c r="KRZ10" s="131"/>
      <c r="KSA10" s="131"/>
      <c r="KSB10" s="131"/>
      <c r="KSC10" s="131"/>
      <c r="KSD10" s="131"/>
      <c r="KSE10" s="131"/>
      <c r="KSF10" s="131"/>
      <c r="KSG10" s="131"/>
      <c r="KSH10" s="131"/>
      <c r="KSI10" s="131"/>
      <c r="KSJ10" s="131"/>
      <c r="KSK10" s="131"/>
      <c r="KSL10" s="131"/>
      <c r="KSM10" s="131"/>
      <c r="KSN10" s="131"/>
      <c r="KSO10" s="131"/>
      <c r="KSP10" s="131"/>
      <c r="KSQ10" s="131"/>
      <c r="KSR10" s="131"/>
      <c r="KSS10" s="131"/>
      <c r="KST10" s="131"/>
      <c r="KSU10" s="131"/>
      <c r="KSV10" s="131"/>
      <c r="KSW10" s="131"/>
      <c r="KSX10" s="131"/>
      <c r="KSY10" s="131"/>
      <c r="KSZ10" s="131"/>
      <c r="KTA10" s="131"/>
      <c r="KTB10" s="131"/>
      <c r="KTC10" s="131"/>
      <c r="KTD10" s="131"/>
      <c r="KTE10" s="131"/>
      <c r="KTF10" s="131"/>
      <c r="KTG10" s="131"/>
      <c r="KTH10" s="131"/>
      <c r="KTI10" s="131"/>
      <c r="KTJ10" s="131"/>
      <c r="KTK10" s="131"/>
      <c r="KTL10" s="131"/>
      <c r="KTM10" s="131"/>
      <c r="KTN10" s="131"/>
      <c r="KTO10" s="131"/>
      <c r="KTP10" s="131"/>
      <c r="KTQ10" s="131"/>
      <c r="KTR10" s="131"/>
      <c r="KTS10" s="131"/>
      <c r="KTT10" s="131"/>
      <c r="KTU10" s="131"/>
      <c r="KTV10" s="131"/>
      <c r="KTW10" s="131"/>
      <c r="KTX10" s="131"/>
      <c r="KTY10" s="131"/>
      <c r="KTZ10" s="131"/>
      <c r="KUA10" s="131"/>
      <c r="KUB10" s="131"/>
      <c r="KUC10" s="131"/>
      <c r="KUD10" s="131"/>
      <c r="KUE10" s="131"/>
      <c r="KUF10" s="131"/>
      <c r="KUG10" s="131"/>
      <c r="KUH10" s="131"/>
      <c r="KUI10" s="131"/>
      <c r="KUJ10" s="131"/>
      <c r="KUK10" s="131"/>
      <c r="KUL10" s="131"/>
      <c r="KUM10" s="131"/>
      <c r="KUN10" s="131"/>
      <c r="KUO10" s="131"/>
      <c r="KUP10" s="131"/>
      <c r="KUQ10" s="131"/>
      <c r="KUR10" s="131"/>
      <c r="KUS10" s="131"/>
      <c r="KUT10" s="131"/>
      <c r="KUU10" s="131"/>
      <c r="KUV10" s="131"/>
      <c r="KUW10" s="131"/>
      <c r="KUX10" s="131"/>
      <c r="KUY10" s="131"/>
      <c r="KUZ10" s="131"/>
      <c r="KVA10" s="131"/>
      <c r="KVB10" s="131"/>
      <c r="KVC10" s="131"/>
      <c r="KVD10" s="131"/>
      <c r="KVE10" s="131"/>
      <c r="KVF10" s="131"/>
      <c r="KVG10" s="131"/>
      <c r="KVH10" s="131"/>
      <c r="KVI10" s="131"/>
      <c r="KVJ10" s="131"/>
      <c r="KVK10" s="131"/>
      <c r="KVL10" s="131"/>
      <c r="KVM10" s="131"/>
      <c r="KVN10" s="131"/>
      <c r="KVO10" s="131"/>
      <c r="KVP10" s="131"/>
      <c r="KVQ10" s="131"/>
      <c r="KVR10" s="131"/>
      <c r="KVS10" s="131"/>
      <c r="KVT10" s="131"/>
      <c r="KVU10" s="131"/>
      <c r="KVV10" s="131"/>
      <c r="KVW10" s="131"/>
      <c r="KVX10" s="131"/>
      <c r="KVY10" s="131"/>
      <c r="KVZ10" s="131"/>
      <c r="KWA10" s="131"/>
      <c r="KWB10" s="131"/>
      <c r="KWC10" s="131"/>
      <c r="KWD10" s="131"/>
      <c r="KWE10" s="131"/>
      <c r="KWF10" s="131"/>
      <c r="KWG10" s="131"/>
      <c r="KWH10" s="131"/>
      <c r="KWI10" s="131"/>
      <c r="KWJ10" s="131"/>
      <c r="KWK10" s="131"/>
      <c r="KWL10" s="131"/>
      <c r="KWM10" s="131"/>
      <c r="KWN10" s="131"/>
      <c r="KWO10" s="131"/>
      <c r="KWP10" s="131"/>
      <c r="KWQ10" s="131"/>
      <c r="KWR10" s="131"/>
      <c r="KWS10" s="131"/>
      <c r="KWT10" s="131"/>
      <c r="KWU10" s="131"/>
      <c r="KWV10" s="131"/>
      <c r="KWW10" s="131"/>
      <c r="KWX10" s="131"/>
      <c r="KWY10" s="131"/>
      <c r="KWZ10" s="131"/>
      <c r="KXA10" s="131"/>
      <c r="KXB10" s="131"/>
      <c r="KXC10" s="131"/>
      <c r="KXD10" s="131"/>
      <c r="KXE10" s="131"/>
      <c r="KXF10" s="131"/>
      <c r="KXG10" s="131"/>
      <c r="KXH10" s="131"/>
      <c r="KXI10" s="131"/>
      <c r="KXJ10" s="131"/>
      <c r="KXK10" s="131"/>
      <c r="KXL10" s="131"/>
      <c r="KXM10" s="131"/>
      <c r="KXN10" s="131"/>
      <c r="KXO10" s="131"/>
      <c r="KXP10" s="131"/>
      <c r="KXQ10" s="131"/>
      <c r="KXR10" s="131"/>
      <c r="KXS10" s="131"/>
      <c r="KXT10" s="131"/>
      <c r="KXU10" s="131"/>
      <c r="KXV10" s="131"/>
      <c r="KXW10" s="131"/>
      <c r="KXX10" s="131"/>
      <c r="KXY10" s="131"/>
      <c r="KXZ10" s="131"/>
      <c r="KYA10" s="131"/>
      <c r="KYB10" s="131"/>
      <c r="KYC10" s="131"/>
      <c r="KYD10" s="131"/>
      <c r="KYE10" s="131"/>
      <c r="KYF10" s="131"/>
      <c r="KYG10" s="131"/>
      <c r="KYH10" s="131"/>
      <c r="KYI10" s="131"/>
      <c r="KYJ10" s="131"/>
      <c r="KYK10" s="131"/>
      <c r="KYL10" s="131"/>
      <c r="KYM10" s="131"/>
      <c r="KYN10" s="131"/>
      <c r="KYO10" s="131"/>
      <c r="KYP10" s="131"/>
      <c r="KYQ10" s="131"/>
      <c r="KYR10" s="131"/>
      <c r="KYS10" s="131"/>
      <c r="KYT10" s="131"/>
      <c r="KYU10" s="131"/>
      <c r="KYV10" s="131"/>
      <c r="KYW10" s="131"/>
      <c r="KYX10" s="131"/>
      <c r="KYY10" s="131"/>
      <c r="KYZ10" s="131"/>
      <c r="KZA10" s="131"/>
      <c r="KZB10" s="131"/>
      <c r="KZC10" s="131"/>
      <c r="KZD10" s="131"/>
      <c r="KZE10" s="131"/>
      <c r="KZF10" s="131"/>
      <c r="KZG10" s="131"/>
      <c r="KZH10" s="131"/>
      <c r="KZI10" s="131"/>
      <c r="KZJ10" s="131"/>
      <c r="KZK10" s="131"/>
      <c r="KZL10" s="131"/>
      <c r="KZM10" s="131"/>
      <c r="KZN10" s="131"/>
      <c r="KZO10" s="131"/>
      <c r="KZP10" s="131"/>
      <c r="KZQ10" s="131"/>
      <c r="KZR10" s="131"/>
      <c r="KZS10" s="131"/>
      <c r="KZT10" s="131"/>
      <c r="KZU10" s="131"/>
      <c r="KZV10" s="131"/>
      <c r="KZW10" s="131"/>
      <c r="KZX10" s="131"/>
      <c r="KZY10" s="131"/>
      <c r="KZZ10" s="131"/>
      <c r="LAA10" s="131"/>
      <c r="LAB10" s="131"/>
      <c r="LAC10" s="131"/>
      <c r="LAD10" s="131"/>
      <c r="LAE10" s="131"/>
      <c r="LAF10" s="131"/>
      <c r="LAG10" s="131"/>
      <c r="LAH10" s="131"/>
      <c r="LAI10" s="131"/>
      <c r="LAJ10" s="131"/>
      <c r="LAK10" s="131"/>
      <c r="LAL10" s="131"/>
      <c r="LAM10" s="131"/>
      <c r="LAN10" s="131"/>
      <c r="LAO10" s="131"/>
      <c r="LAP10" s="131"/>
      <c r="LAQ10" s="131"/>
      <c r="LAR10" s="131"/>
      <c r="LAS10" s="131"/>
      <c r="LAT10" s="131"/>
      <c r="LAU10" s="131"/>
      <c r="LAV10" s="131"/>
      <c r="LAW10" s="131"/>
      <c r="LAX10" s="131"/>
      <c r="LAY10" s="131"/>
      <c r="LAZ10" s="131"/>
      <c r="LBA10" s="131"/>
      <c r="LBB10" s="131"/>
      <c r="LBC10" s="131"/>
      <c r="LBD10" s="131"/>
      <c r="LBE10" s="131"/>
      <c r="LBF10" s="131"/>
      <c r="LBG10" s="131"/>
      <c r="LBH10" s="131"/>
      <c r="LBI10" s="131"/>
      <c r="LBJ10" s="131"/>
      <c r="LBK10" s="131"/>
      <c r="LBL10" s="131"/>
      <c r="LBM10" s="131"/>
      <c r="LBN10" s="131"/>
      <c r="LBO10" s="131"/>
      <c r="LBP10" s="131"/>
      <c r="LBQ10" s="131"/>
      <c r="LCD10" s="131"/>
      <c r="LCE10" s="131"/>
      <c r="LCF10" s="131"/>
      <c r="LCG10" s="131"/>
      <c r="LCH10" s="131"/>
      <c r="LCI10" s="131"/>
      <c r="LCJ10" s="131"/>
      <c r="LCK10" s="131"/>
      <c r="LCL10" s="131"/>
      <c r="LCM10" s="131"/>
      <c r="LCN10" s="131"/>
      <c r="LCO10" s="131"/>
      <c r="LCP10" s="131"/>
      <c r="LCQ10" s="131"/>
      <c r="LCR10" s="131"/>
      <c r="LCS10" s="131"/>
      <c r="LCT10" s="131"/>
      <c r="LCU10" s="131"/>
      <c r="LCV10" s="131"/>
      <c r="LCW10" s="131"/>
      <c r="LCX10" s="131"/>
      <c r="LCY10" s="131"/>
      <c r="LCZ10" s="131"/>
      <c r="LDA10" s="131"/>
      <c r="LDB10" s="131"/>
      <c r="LDC10" s="131"/>
      <c r="LDD10" s="131"/>
      <c r="LDE10" s="131"/>
      <c r="LDF10" s="131"/>
      <c r="LDG10" s="131"/>
      <c r="LDH10" s="131"/>
      <c r="LDI10" s="131"/>
      <c r="LDJ10" s="131"/>
      <c r="LDK10" s="131"/>
      <c r="LDL10" s="131"/>
      <c r="LDM10" s="131"/>
      <c r="LDN10" s="131"/>
      <c r="LDO10" s="131"/>
      <c r="LDP10" s="131"/>
      <c r="LDQ10" s="131"/>
      <c r="LDR10" s="131"/>
      <c r="LDS10" s="131"/>
      <c r="LDT10" s="131"/>
      <c r="LDU10" s="131"/>
      <c r="LDV10" s="131"/>
      <c r="LDW10" s="131"/>
      <c r="LDX10" s="131"/>
      <c r="LDY10" s="131"/>
      <c r="LDZ10" s="131"/>
      <c r="LEA10" s="131"/>
      <c r="LEB10" s="131"/>
      <c r="LEC10" s="131"/>
      <c r="LED10" s="131"/>
      <c r="LEE10" s="131"/>
      <c r="LEF10" s="131"/>
      <c r="LEG10" s="131"/>
      <c r="LEH10" s="131"/>
      <c r="LEI10" s="131"/>
      <c r="LEJ10" s="131"/>
      <c r="LEK10" s="131"/>
      <c r="LEL10" s="131"/>
      <c r="LEM10" s="131"/>
      <c r="LEN10" s="131"/>
      <c r="LEO10" s="131"/>
      <c r="LEP10" s="131"/>
      <c r="LEQ10" s="131"/>
      <c r="LER10" s="131"/>
      <c r="LES10" s="131"/>
      <c r="LET10" s="131"/>
      <c r="LEU10" s="131"/>
      <c r="LEV10" s="131"/>
      <c r="LEW10" s="131"/>
      <c r="LEX10" s="131"/>
      <c r="LEY10" s="131"/>
      <c r="LEZ10" s="131"/>
      <c r="LFA10" s="131"/>
      <c r="LFB10" s="131"/>
      <c r="LFC10" s="131"/>
      <c r="LFD10" s="131"/>
      <c r="LFE10" s="131"/>
      <c r="LFF10" s="131"/>
      <c r="LFG10" s="131"/>
      <c r="LFH10" s="131"/>
      <c r="LFI10" s="131"/>
      <c r="LFJ10" s="131"/>
      <c r="LFK10" s="131"/>
      <c r="LFL10" s="131"/>
      <c r="LFM10" s="131"/>
      <c r="LFN10" s="131"/>
      <c r="LFO10" s="131"/>
      <c r="LFP10" s="131"/>
      <c r="LFQ10" s="131"/>
      <c r="LFR10" s="131"/>
      <c r="LFS10" s="131"/>
      <c r="LFT10" s="131"/>
      <c r="LFU10" s="131"/>
      <c r="LFV10" s="131"/>
      <c r="LFW10" s="131"/>
      <c r="LFX10" s="131"/>
      <c r="LFY10" s="131"/>
      <c r="LFZ10" s="131"/>
      <c r="LGA10" s="131"/>
      <c r="LGB10" s="131"/>
      <c r="LGC10" s="131"/>
      <c r="LGD10" s="131"/>
      <c r="LGE10" s="131"/>
      <c r="LGF10" s="131"/>
      <c r="LGG10" s="131"/>
      <c r="LGH10" s="131"/>
      <c r="LGI10" s="131"/>
      <c r="LGJ10" s="131"/>
      <c r="LGK10" s="131"/>
      <c r="LGL10" s="131"/>
      <c r="LGM10" s="131"/>
      <c r="LGN10" s="131"/>
      <c r="LGO10" s="131"/>
      <c r="LGP10" s="131"/>
      <c r="LGQ10" s="131"/>
      <c r="LGR10" s="131"/>
      <c r="LGS10" s="131"/>
      <c r="LGT10" s="131"/>
      <c r="LGU10" s="131"/>
      <c r="LGV10" s="131"/>
      <c r="LGW10" s="131"/>
      <c r="LGX10" s="131"/>
      <c r="LGY10" s="131"/>
      <c r="LGZ10" s="131"/>
      <c r="LHA10" s="131"/>
      <c r="LHB10" s="131"/>
      <c r="LHC10" s="131"/>
      <c r="LHD10" s="131"/>
      <c r="LHE10" s="131"/>
      <c r="LHF10" s="131"/>
      <c r="LHG10" s="131"/>
      <c r="LHH10" s="131"/>
      <c r="LHI10" s="131"/>
      <c r="LHJ10" s="131"/>
      <c r="LHK10" s="131"/>
      <c r="LHL10" s="131"/>
      <c r="LHM10" s="131"/>
      <c r="LHN10" s="131"/>
      <c r="LHO10" s="131"/>
      <c r="LHP10" s="131"/>
      <c r="LHQ10" s="131"/>
      <c r="LHR10" s="131"/>
      <c r="LHS10" s="131"/>
      <c r="LHT10" s="131"/>
      <c r="LHU10" s="131"/>
      <c r="LHV10" s="131"/>
      <c r="LHW10" s="131"/>
      <c r="LHX10" s="131"/>
      <c r="LHY10" s="131"/>
      <c r="LHZ10" s="131"/>
      <c r="LIA10" s="131"/>
      <c r="LIB10" s="131"/>
      <c r="LIC10" s="131"/>
      <c r="LID10" s="131"/>
      <c r="LIE10" s="131"/>
      <c r="LIF10" s="131"/>
      <c r="LIG10" s="131"/>
      <c r="LIH10" s="131"/>
      <c r="LII10" s="131"/>
      <c r="LIJ10" s="131"/>
      <c r="LIK10" s="131"/>
      <c r="LIL10" s="131"/>
      <c r="LIM10" s="131"/>
      <c r="LIN10" s="131"/>
      <c r="LIO10" s="131"/>
      <c r="LIP10" s="131"/>
      <c r="LIQ10" s="131"/>
      <c r="LIR10" s="131"/>
      <c r="LIS10" s="131"/>
      <c r="LIT10" s="131"/>
      <c r="LIU10" s="131"/>
      <c r="LIV10" s="131"/>
      <c r="LIW10" s="131"/>
      <c r="LIX10" s="131"/>
      <c r="LIY10" s="131"/>
      <c r="LIZ10" s="131"/>
      <c r="LJA10" s="131"/>
      <c r="LJB10" s="131"/>
      <c r="LJC10" s="131"/>
      <c r="LJD10" s="131"/>
      <c r="LJE10" s="131"/>
      <c r="LJF10" s="131"/>
      <c r="LJG10" s="131"/>
      <c r="LJH10" s="131"/>
      <c r="LJI10" s="131"/>
      <c r="LJJ10" s="131"/>
      <c r="LJK10" s="131"/>
      <c r="LJL10" s="131"/>
      <c r="LJM10" s="131"/>
      <c r="LJN10" s="131"/>
      <c r="LJO10" s="131"/>
      <c r="LJP10" s="131"/>
      <c r="LJQ10" s="131"/>
      <c r="LJR10" s="131"/>
      <c r="LJS10" s="131"/>
      <c r="LJT10" s="131"/>
      <c r="LJU10" s="131"/>
      <c r="LJV10" s="131"/>
      <c r="LJW10" s="131"/>
      <c r="LJX10" s="131"/>
      <c r="LJY10" s="131"/>
      <c r="LJZ10" s="131"/>
      <c r="LKA10" s="131"/>
      <c r="LKB10" s="131"/>
      <c r="LKC10" s="131"/>
      <c r="LKD10" s="131"/>
      <c r="LKE10" s="131"/>
      <c r="LKF10" s="131"/>
      <c r="LKG10" s="131"/>
      <c r="LKH10" s="131"/>
      <c r="LKI10" s="131"/>
      <c r="LKJ10" s="131"/>
      <c r="LKK10" s="131"/>
      <c r="LKL10" s="131"/>
      <c r="LKM10" s="131"/>
      <c r="LKN10" s="131"/>
      <c r="LKO10" s="131"/>
      <c r="LKP10" s="131"/>
      <c r="LKQ10" s="131"/>
      <c r="LKR10" s="131"/>
      <c r="LKS10" s="131"/>
      <c r="LKT10" s="131"/>
      <c r="LKU10" s="131"/>
      <c r="LKV10" s="131"/>
      <c r="LKW10" s="131"/>
      <c r="LKX10" s="131"/>
      <c r="LKY10" s="131"/>
      <c r="LKZ10" s="131"/>
      <c r="LLA10" s="131"/>
      <c r="LLB10" s="131"/>
      <c r="LLC10" s="131"/>
      <c r="LLD10" s="131"/>
      <c r="LLE10" s="131"/>
      <c r="LLF10" s="131"/>
      <c r="LLG10" s="131"/>
      <c r="LLH10" s="131"/>
      <c r="LLI10" s="131"/>
      <c r="LLJ10" s="131"/>
      <c r="LLK10" s="131"/>
      <c r="LLL10" s="131"/>
      <c r="LLM10" s="131"/>
      <c r="LLN10" s="131"/>
      <c r="LLO10" s="131"/>
      <c r="LLP10" s="131"/>
      <c r="LLQ10" s="131"/>
      <c r="LLR10" s="131"/>
      <c r="LLS10" s="131"/>
      <c r="LLT10" s="131"/>
      <c r="LLU10" s="131"/>
      <c r="LLV10" s="131"/>
      <c r="LLW10" s="131"/>
      <c r="LLX10" s="131"/>
      <c r="LLY10" s="131"/>
      <c r="LLZ10" s="131"/>
      <c r="LMA10" s="131"/>
      <c r="LMB10" s="131"/>
      <c r="LMC10" s="131"/>
      <c r="LMD10" s="131"/>
      <c r="LME10" s="131"/>
      <c r="LMF10" s="131"/>
      <c r="LMG10" s="131"/>
      <c r="LMH10" s="131"/>
      <c r="LMI10" s="131"/>
      <c r="LMJ10" s="131"/>
      <c r="LMK10" s="131"/>
      <c r="LML10" s="131"/>
      <c r="LMM10" s="131"/>
      <c r="LMN10" s="131"/>
      <c r="LMO10" s="131"/>
      <c r="LMP10" s="131"/>
      <c r="LMQ10" s="131"/>
      <c r="LMR10" s="131"/>
      <c r="LMS10" s="131"/>
      <c r="LMT10" s="131"/>
      <c r="LMU10" s="131"/>
      <c r="LMV10" s="131"/>
      <c r="LMW10" s="131"/>
      <c r="LMX10" s="131"/>
      <c r="LMY10" s="131"/>
      <c r="LMZ10" s="131"/>
      <c r="LNA10" s="131"/>
      <c r="LNB10" s="131"/>
      <c r="LNC10" s="131"/>
      <c r="LND10" s="131"/>
      <c r="LNE10" s="131"/>
      <c r="LNF10" s="131"/>
      <c r="LNG10" s="131"/>
      <c r="LNH10" s="131"/>
      <c r="LNI10" s="131"/>
      <c r="LNJ10" s="131"/>
      <c r="LNK10" s="131"/>
      <c r="LNL10" s="131"/>
      <c r="LNM10" s="131"/>
      <c r="LNN10" s="131"/>
      <c r="LNO10" s="131"/>
      <c r="LNP10" s="131"/>
      <c r="LNQ10" s="131"/>
      <c r="LNR10" s="131"/>
      <c r="LNS10" s="131"/>
      <c r="LNT10" s="131"/>
      <c r="LNU10" s="131"/>
      <c r="LNV10" s="131"/>
      <c r="LNW10" s="131"/>
      <c r="LNX10" s="131"/>
      <c r="LNY10" s="131"/>
      <c r="LNZ10" s="131"/>
      <c r="LOA10" s="131"/>
      <c r="LOB10" s="131"/>
      <c r="LOC10" s="131"/>
      <c r="LOD10" s="131"/>
      <c r="LOE10" s="131"/>
      <c r="LOF10" s="131"/>
      <c r="LOG10" s="131"/>
      <c r="LOH10" s="131"/>
      <c r="LOI10" s="131"/>
      <c r="LOJ10" s="131"/>
      <c r="LOK10" s="131"/>
      <c r="LOL10" s="131"/>
      <c r="LOM10" s="131"/>
      <c r="LON10" s="131"/>
      <c r="LOO10" s="131"/>
      <c r="LOP10" s="131"/>
      <c r="LOQ10" s="131"/>
      <c r="LOR10" s="131"/>
      <c r="LOS10" s="131"/>
      <c r="LOT10" s="131"/>
      <c r="LOU10" s="131"/>
      <c r="LOV10" s="131"/>
      <c r="LOW10" s="131"/>
      <c r="LOX10" s="131"/>
      <c r="LOY10" s="131"/>
      <c r="LOZ10" s="131"/>
      <c r="LPA10" s="131"/>
      <c r="LPB10" s="131"/>
      <c r="LPC10" s="131"/>
      <c r="LPD10" s="131"/>
      <c r="LPE10" s="131"/>
      <c r="LPF10" s="131"/>
      <c r="LPG10" s="131"/>
      <c r="LPH10" s="131"/>
      <c r="LPI10" s="131"/>
      <c r="LPJ10" s="131"/>
      <c r="LPK10" s="131"/>
      <c r="LPL10" s="131"/>
      <c r="LPM10" s="131"/>
      <c r="LPN10" s="131"/>
      <c r="LPO10" s="131"/>
      <c r="LPP10" s="131"/>
      <c r="LPQ10" s="131"/>
      <c r="LPR10" s="131"/>
      <c r="LPS10" s="131"/>
      <c r="LPT10" s="131"/>
      <c r="LPU10" s="131"/>
      <c r="LPV10" s="131"/>
      <c r="LPW10" s="131"/>
      <c r="LPX10" s="131"/>
      <c r="LPY10" s="131"/>
      <c r="LPZ10" s="131"/>
      <c r="LQA10" s="131"/>
      <c r="LQB10" s="131"/>
      <c r="LQC10" s="131"/>
      <c r="LQD10" s="131"/>
      <c r="LQE10" s="131"/>
      <c r="LQF10" s="131"/>
      <c r="LQG10" s="131"/>
      <c r="LQH10" s="131"/>
      <c r="LQI10" s="131"/>
      <c r="LQJ10" s="131"/>
      <c r="LQK10" s="131"/>
      <c r="LQL10" s="131"/>
      <c r="LQM10" s="131"/>
      <c r="LQN10" s="131"/>
      <c r="LQO10" s="131"/>
      <c r="LQP10" s="131"/>
      <c r="LQQ10" s="131"/>
      <c r="LQR10" s="131"/>
      <c r="LQS10" s="131"/>
      <c r="LQT10" s="131"/>
      <c r="LQU10" s="131"/>
      <c r="LQV10" s="131"/>
      <c r="LQW10" s="131"/>
      <c r="LQX10" s="131"/>
      <c r="LQY10" s="131"/>
      <c r="LQZ10" s="131"/>
      <c r="LRA10" s="131"/>
      <c r="LRB10" s="131"/>
      <c r="LRC10" s="131"/>
      <c r="LRD10" s="131"/>
      <c r="LRE10" s="131"/>
      <c r="LRF10" s="131"/>
      <c r="LRG10" s="131"/>
      <c r="LRH10" s="131"/>
      <c r="LRI10" s="131"/>
      <c r="LRJ10" s="131"/>
      <c r="LRK10" s="131"/>
      <c r="LRL10" s="131"/>
      <c r="LRM10" s="131"/>
      <c r="LRN10" s="131"/>
      <c r="LRO10" s="131"/>
      <c r="LRP10" s="131"/>
      <c r="LRQ10" s="131"/>
      <c r="LRR10" s="131"/>
      <c r="LRS10" s="131"/>
      <c r="LRT10" s="131"/>
      <c r="LRU10" s="131"/>
      <c r="LRV10" s="131"/>
      <c r="LRW10" s="131"/>
      <c r="LRX10" s="131"/>
      <c r="LRY10" s="131"/>
      <c r="LRZ10" s="131"/>
      <c r="LSA10" s="131"/>
      <c r="LSB10" s="131"/>
      <c r="LSC10" s="131"/>
      <c r="LSD10" s="131"/>
      <c r="LSE10" s="131"/>
      <c r="LSF10" s="131"/>
      <c r="LSG10" s="131"/>
      <c r="LSH10" s="131"/>
      <c r="LSI10" s="131"/>
      <c r="LSJ10" s="131"/>
      <c r="LSK10" s="131"/>
      <c r="LSL10" s="131"/>
      <c r="LSM10" s="131"/>
      <c r="LSN10" s="131"/>
      <c r="LSO10" s="131"/>
      <c r="LSP10" s="131"/>
      <c r="LSQ10" s="131"/>
      <c r="LSR10" s="131"/>
      <c r="LSS10" s="131"/>
      <c r="LST10" s="131"/>
      <c r="LSU10" s="131"/>
      <c r="LSV10" s="131"/>
      <c r="LSW10" s="131"/>
      <c r="LSX10" s="131"/>
      <c r="LSY10" s="131"/>
      <c r="LSZ10" s="131"/>
      <c r="LTA10" s="131"/>
      <c r="LTB10" s="131"/>
      <c r="LTC10" s="131"/>
      <c r="LTD10" s="131"/>
      <c r="LTE10" s="131"/>
      <c r="LTF10" s="131"/>
      <c r="LTG10" s="131"/>
      <c r="LTH10" s="131"/>
      <c r="LTI10" s="131"/>
      <c r="LTJ10" s="131"/>
      <c r="LTK10" s="131"/>
      <c r="LTL10" s="131"/>
      <c r="LTM10" s="131"/>
      <c r="LTN10" s="131"/>
      <c r="LTO10" s="131"/>
      <c r="LTP10" s="131"/>
      <c r="LTQ10" s="131"/>
      <c r="LTR10" s="131"/>
      <c r="LTS10" s="131"/>
      <c r="LTT10" s="131"/>
      <c r="LTU10" s="131"/>
      <c r="LTV10" s="131"/>
      <c r="LTW10" s="131"/>
      <c r="LTX10" s="131"/>
      <c r="LTY10" s="131"/>
      <c r="LTZ10" s="131"/>
      <c r="LUA10" s="131"/>
      <c r="LUB10" s="131"/>
      <c r="LUC10" s="131"/>
      <c r="LUD10" s="131"/>
      <c r="LUE10" s="131"/>
      <c r="LUF10" s="131"/>
      <c r="LUG10" s="131"/>
      <c r="LUH10" s="131"/>
      <c r="LUI10" s="131"/>
      <c r="LUJ10" s="131"/>
      <c r="LUK10" s="131"/>
      <c r="LUL10" s="131"/>
      <c r="LUM10" s="131"/>
      <c r="LUN10" s="131"/>
      <c r="LUO10" s="131"/>
      <c r="LUP10" s="131"/>
      <c r="LUQ10" s="131"/>
      <c r="LUR10" s="131"/>
      <c r="LUS10" s="131"/>
      <c r="LUT10" s="131"/>
      <c r="LUU10" s="131"/>
      <c r="LUV10" s="131"/>
      <c r="LUW10" s="131"/>
      <c r="LUX10" s="131"/>
      <c r="LUY10" s="131"/>
      <c r="LUZ10" s="131"/>
      <c r="LVA10" s="131"/>
      <c r="LVB10" s="131"/>
      <c r="LVC10" s="131"/>
      <c r="LVD10" s="131"/>
      <c r="LVE10" s="131"/>
      <c r="LVF10" s="131"/>
      <c r="LVG10" s="131"/>
      <c r="LVH10" s="131"/>
      <c r="LVI10" s="131"/>
      <c r="LVJ10" s="131"/>
      <c r="LVK10" s="131"/>
      <c r="LVL10" s="131"/>
      <c r="LVM10" s="131"/>
      <c r="LVN10" s="131"/>
      <c r="LVO10" s="131"/>
      <c r="LVP10" s="131"/>
      <c r="LVQ10" s="131"/>
      <c r="LVR10" s="131"/>
      <c r="LVS10" s="131"/>
      <c r="LVT10" s="131"/>
      <c r="LVU10" s="131"/>
      <c r="LVV10" s="131"/>
      <c r="LVW10" s="131"/>
      <c r="LVX10" s="131"/>
      <c r="LVY10" s="131"/>
      <c r="LVZ10" s="131"/>
      <c r="LWA10" s="131"/>
      <c r="LWB10" s="131"/>
      <c r="LWC10" s="131"/>
      <c r="LWD10" s="131"/>
      <c r="LWE10" s="131"/>
      <c r="LWF10" s="131"/>
      <c r="LWG10" s="131"/>
      <c r="LWH10" s="131"/>
      <c r="LWI10" s="131"/>
      <c r="LWJ10" s="131"/>
      <c r="LWK10" s="131"/>
      <c r="LWL10" s="131"/>
      <c r="LWM10" s="131"/>
      <c r="LWN10" s="131"/>
      <c r="LWO10" s="131"/>
      <c r="LWP10" s="131"/>
      <c r="LWQ10" s="131"/>
      <c r="LWR10" s="131"/>
      <c r="LWS10" s="131"/>
      <c r="LWT10" s="131"/>
      <c r="LWU10" s="131"/>
      <c r="LWV10" s="131"/>
      <c r="LWW10" s="131"/>
      <c r="LWX10" s="131"/>
      <c r="LWY10" s="131"/>
      <c r="LWZ10" s="131"/>
      <c r="LXA10" s="131"/>
      <c r="LXB10" s="131"/>
      <c r="LXC10" s="131"/>
      <c r="LXD10" s="131"/>
      <c r="LXE10" s="131"/>
      <c r="LXF10" s="131"/>
      <c r="LXG10" s="131"/>
      <c r="LXH10" s="131"/>
      <c r="LXI10" s="131"/>
      <c r="LXJ10" s="131"/>
      <c r="LXK10" s="131"/>
      <c r="LXL10" s="131"/>
      <c r="LXM10" s="131"/>
      <c r="LXN10" s="131"/>
      <c r="LXO10" s="131"/>
      <c r="LXP10" s="131"/>
      <c r="LXQ10" s="131"/>
      <c r="LXR10" s="131"/>
      <c r="LXS10" s="131"/>
      <c r="LXT10" s="131"/>
      <c r="LXU10" s="131"/>
      <c r="LXV10" s="131"/>
      <c r="LXW10" s="131"/>
      <c r="LXX10" s="131"/>
      <c r="LXY10" s="131"/>
      <c r="LXZ10" s="131"/>
      <c r="LYA10" s="131"/>
      <c r="LYB10" s="131"/>
      <c r="LYC10" s="131"/>
      <c r="LYD10" s="131"/>
      <c r="LYE10" s="131"/>
      <c r="LYF10" s="131"/>
      <c r="LYG10" s="131"/>
      <c r="LYH10" s="131"/>
      <c r="LYI10" s="131"/>
      <c r="LYJ10" s="131"/>
      <c r="LYK10" s="131"/>
      <c r="LYL10" s="131"/>
      <c r="LYM10" s="131"/>
      <c r="LYN10" s="131"/>
      <c r="LYO10" s="131"/>
      <c r="LYP10" s="131"/>
      <c r="LYQ10" s="131"/>
      <c r="LYR10" s="131"/>
      <c r="LYS10" s="131"/>
      <c r="LYT10" s="131"/>
      <c r="LYU10" s="131"/>
      <c r="LYV10" s="131"/>
      <c r="LYW10" s="131"/>
      <c r="LYX10" s="131"/>
      <c r="LYY10" s="131"/>
      <c r="LYZ10" s="131"/>
      <c r="LZA10" s="131"/>
      <c r="LZB10" s="131"/>
      <c r="LZC10" s="131"/>
      <c r="LZD10" s="131"/>
      <c r="LZE10" s="131"/>
      <c r="LZF10" s="131"/>
      <c r="LZG10" s="131"/>
      <c r="LZH10" s="131"/>
      <c r="LZI10" s="131"/>
      <c r="LZJ10" s="131"/>
      <c r="LZK10" s="131"/>
      <c r="LZL10" s="131"/>
      <c r="LZM10" s="131"/>
      <c r="LZN10" s="131"/>
      <c r="LZO10" s="131"/>
      <c r="LZP10" s="131"/>
      <c r="LZQ10" s="131"/>
      <c r="LZR10" s="131"/>
      <c r="LZS10" s="131"/>
      <c r="LZT10" s="131"/>
      <c r="LZU10" s="131"/>
      <c r="LZV10" s="131"/>
      <c r="LZW10" s="131"/>
      <c r="LZX10" s="131"/>
      <c r="LZY10" s="131"/>
      <c r="LZZ10" s="131"/>
      <c r="MAA10" s="131"/>
      <c r="MAB10" s="131"/>
      <c r="MAC10" s="131"/>
      <c r="MAD10" s="131"/>
      <c r="MAE10" s="131"/>
      <c r="MAF10" s="131"/>
      <c r="MAG10" s="131"/>
      <c r="MAH10" s="131"/>
      <c r="MAI10" s="131"/>
      <c r="MAJ10" s="131"/>
      <c r="MAK10" s="131"/>
      <c r="MAL10" s="131"/>
      <c r="MAM10" s="131"/>
      <c r="MAN10" s="131"/>
      <c r="MAO10" s="131"/>
      <c r="MAP10" s="131"/>
      <c r="MAQ10" s="131"/>
      <c r="MAR10" s="131"/>
      <c r="MAS10" s="131"/>
      <c r="MAT10" s="131"/>
      <c r="MAU10" s="131"/>
      <c r="MAV10" s="131"/>
      <c r="MAW10" s="131"/>
      <c r="MAX10" s="131"/>
      <c r="MAY10" s="131"/>
      <c r="MAZ10" s="131"/>
      <c r="MBA10" s="131"/>
      <c r="MBB10" s="131"/>
      <c r="MBC10" s="131"/>
      <c r="MBD10" s="131"/>
      <c r="MBE10" s="131"/>
      <c r="MBF10" s="131"/>
      <c r="MBG10" s="131"/>
      <c r="MBH10" s="131"/>
      <c r="MBI10" s="131"/>
      <c r="MBJ10" s="131"/>
      <c r="MBK10" s="131"/>
      <c r="MBL10" s="131"/>
      <c r="MBM10" s="131"/>
      <c r="MBN10" s="131"/>
      <c r="MBO10" s="131"/>
      <c r="MBP10" s="131"/>
      <c r="MBQ10" s="131"/>
      <c r="MBR10" s="131"/>
      <c r="MBS10" s="131"/>
      <c r="MBT10" s="131"/>
      <c r="MBU10" s="131"/>
      <c r="MBV10" s="131"/>
      <c r="MBW10" s="131"/>
      <c r="MBX10" s="131"/>
      <c r="MBY10" s="131"/>
      <c r="MBZ10" s="131"/>
      <c r="MCA10" s="131"/>
      <c r="MCB10" s="131"/>
      <c r="MCC10" s="131"/>
      <c r="MCD10" s="131"/>
      <c r="MCE10" s="131"/>
      <c r="MCF10" s="131"/>
      <c r="MCG10" s="131"/>
      <c r="MCH10" s="131"/>
      <c r="MCI10" s="131"/>
      <c r="MCJ10" s="131"/>
      <c r="MCK10" s="131"/>
      <c r="MCL10" s="131"/>
      <c r="MCM10" s="131"/>
      <c r="MCN10" s="131"/>
      <c r="MCO10" s="131"/>
      <c r="MCP10" s="131"/>
      <c r="MCQ10" s="131"/>
      <c r="MCR10" s="131"/>
      <c r="MCS10" s="131"/>
      <c r="MCT10" s="131"/>
      <c r="MCU10" s="131"/>
      <c r="MCV10" s="131"/>
      <c r="MCW10" s="131"/>
      <c r="MCX10" s="131"/>
      <c r="MCY10" s="131"/>
      <c r="MCZ10" s="131"/>
      <c r="MDA10" s="131"/>
      <c r="MDB10" s="131"/>
      <c r="MDC10" s="131"/>
      <c r="MDD10" s="131"/>
      <c r="MDE10" s="131"/>
      <c r="MDF10" s="131"/>
      <c r="MDG10" s="131"/>
      <c r="MDH10" s="131"/>
      <c r="MDI10" s="131"/>
      <c r="MDJ10" s="131"/>
      <c r="MDK10" s="131"/>
      <c r="MDL10" s="131"/>
      <c r="MDM10" s="131"/>
      <c r="MDN10" s="131"/>
      <c r="MDO10" s="131"/>
      <c r="MDP10" s="131"/>
      <c r="MDQ10" s="131"/>
      <c r="MDR10" s="131"/>
      <c r="MDS10" s="131"/>
      <c r="MDT10" s="131"/>
      <c r="MDU10" s="131"/>
      <c r="MDV10" s="131"/>
      <c r="MDW10" s="131"/>
      <c r="MDX10" s="131"/>
      <c r="MDY10" s="131"/>
      <c r="MDZ10" s="131"/>
      <c r="MEA10" s="131"/>
      <c r="MEB10" s="131"/>
      <c r="MEC10" s="131"/>
      <c r="MED10" s="131"/>
      <c r="MEE10" s="131"/>
      <c r="MEF10" s="131"/>
      <c r="MEG10" s="131"/>
      <c r="MEH10" s="131"/>
      <c r="MEI10" s="131"/>
      <c r="MEJ10" s="131"/>
      <c r="MEK10" s="131"/>
      <c r="MEL10" s="131"/>
      <c r="MEM10" s="131"/>
      <c r="MEN10" s="131"/>
      <c r="MEO10" s="131"/>
      <c r="MEP10" s="131"/>
      <c r="MEQ10" s="131"/>
      <c r="MER10" s="131"/>
      <c r="MES10" s="131"/>
      <c r="MET10" s="131"/>
      <c r="MEU10" s="131"/>
      <c r="MEV10" s="131"/>
      <c r="MEW10" s="131"/>
      <c r="MEX10" s="131"/>
      <c r="MEY10" s="131"/>
      <c r="MEZ10" s="131"/>
      <c r="MFA10" s="131"/>
      <c r="MFB10" s="131"/>
      <c r="MFC10" s="131"/>
      <c r="MFD10" s="131"/>
      <c r="MFE10" s="131"/>
      <c r="MFF10" s="131"/>
      <c r="MFG10" s="131"/>
      <c r="MFH10" s="131"/>
      <c r="MFI10" s="131"/>
      <c r="MFJ10" s="131"/>
      <c r="MFK10" s="131"/>
      <c r="MFL10" s="131"/>
      <c r="MFM10" s="131"/>
      <c r="MFN10" s="131"/>
      <c r="MFO10" s="131"/>
      <c r="MFP10" s="131"/>
      <c r="MFQ10" s="131"/>
      <c r="MFR10" s="131"/>
      <c r="MFS10" s="131"/>
      <c r="MFT10" s="131"/>
      <c r="MFU10" s="131"/>
      <c r="MFV10" s="131"/>
      <c r="MFW10" s="131"/>
      <c r="MFX10" s="131"/>
      <c r="MFY10" s="131"/>
      <c r="MFZ10" s="131"/>
      <c r="MGA10" s="131"/>
      <c r="MGB10" s="131"/>
      <c r="MGC10" s="131"/>
      <c r="MGD10" s="131"/>
      <c r="MGE10" s="131"/>
      <c r="MGF10" s="131"/>
      <c r="MGG10" s="131"/>
      <c r="MGH10" s="131"/>
      <c r="MGI10" s="131"/>
      <c r="MGJ10" s="131"/>
      <c r="MGK10" s="131"/>
      <c r="MGL10" s="131"/>
      <c r="MGM10" s="131"/>
      <c r="MGN10" s="131"/>
      <c r="MGO10" s="131"/>
      <c r="MGP10" s="131"/>
      <c r="MGQ10" s="131"/>
      <c r="MGR10" s="131"/>
      <c r="MGS10" s="131"/>
      <c r="MGT10" s="131"/>
      <c r="MGU10" s="131"/>
      <c r="MGV10" s="131"/>
      <c r="MGW10" s="131"/>
      <c r="MGX10" s="131"/>
      <c r="MGY10" s="131"/>
      <c r="MGZ10" s="131"/>
      <c r="MHA10" s="131"/>
      <c r="MHB10" s="131"/>
      <c r="MHC10" s="131"/>
      <c r="MHD10" s="131"/>
      <c r="MHE10" s="131"/>
      <c r="MHF10" s="131"/>
      <c r="MHG10" s="131"/>
      <c r="MHH10" s="131"/>
      <c r="MHI10" s="131"/>
      <c r="MHJ10" s="131"/>
      <c r="MHK10" s="131"/>
      <c r="MHL10" s="131"/>
      <c r="MHM10" s="131"/>
      <c r="MHN10" s="131"/>
      <c r="MHO10" s="131"/>
      <c r="MHP10" s="131"/>
      <c r="MHQ10" s="131"/>
      <c r="MHR10" s="131"/>
      <c r="MHS10" s="131"/>
      <c r="MHT10" s="131"/>
      <c r="MHU10" s="131"/>
      <c r="MHV10" s="131"/>
      <c r="MHW10" s="131"/>
      <c r="MHX10" s="131"/>
      <c r="MHY10" s="131"/>
      <c r="MHZ10" s="131"/>
      <c r="MIA10" s="131"/>
      <c r="MIB10" s="131"/>
      <c r="MIC10" s="131"/>
      <c r="MID10" s="131"/>
      <c r="MIE10" s="131"/>
      <c r="MIF10" s="131"/>
      <c r="MIG10" s="131"/>
      <c r="MIH10" s="131"/>
      <c r="MII10" s="131"/>
      <c r="MIJ10" s="131"/>
      <c r="MIK10" s="131"/>
      <c r="MIL10" s="131"/>
      <c r="MIM10" s="131"/>
      <c r="MIN10" s="131"/>
      <c r="MIO10" s="131"/>
      <c r="MIP10" s="131"/>
      <c r="MIQ10" s="131"/>
      <c r="MIR10" s="131"/>
      <c r="MIS10" s="131"/>
      <c r="MIT10" s="131"/>
      <c r="MIU10" s="131"/>
      <c r="MIV10" s="131"/>
      <c r="MIW10" s="131"/>
      <c r="MIX10" s="131"/>
      <c r="MIY10" s="131"/>
      <c r="MIZ10" s="131"/>
      <c r="MJA10" s="131"/>
      <c r="MJB10" s="131"/>
      <c r="MJC10" s="131"/>
      <c r="MJD10" s="131"/>
      <c r="MJE10" s="131"/>
      <c r="MJF10" s="131"/>
      <c r="MJG10" s="131"/>
      <c r="MJH10" s="131"/>
      <c r="MJI10" s="131"/>
      <c r="MJJ10" s="131"/>
      <c r="MJK10" s="131"/>
      <c r="MJL10" s="131"/>
      <c r="MJM10" s="131"/>
      <c r="MJN10" s="131"/>
      <c r="MJO10" s="131"/>
      <c r="MJP10" s="131"/>
      <c r="MJQ10" s="131"/>
      <c r="MJR10" s="131"/>
      <c r="MJS10" s="131"/>
      <c r="MJT10" s="131"/>
      <c r="MJU10" s="131"/>
      <c r="MJV10" s="131"/>
      <c r="MJW10" s="131"/>
      <c r="MJX10" s="131"/>
      <c r="MJY10" s="131"/>
      <c r="MJZ10" s="131"/>
      <c r="MKA10" s="131"/>
      <c r="MKB10" s="131"/>
      <c r="MKC10" s="131"/>
      <c r="MKD10" s="131"/>
      <c r="MKE10" s="131"/>
      <c r="MKF10" s="131"/>
      <c r="MKG10" s="131"/>
      <c r="MKH10" s="131"/>
      <c r="MKI10" s="131"/>
      <c r="MKJ10" s="131"/>
      <c r="MKK10" s="131"/>
      <c r="MKL10" s="131"/>
      <c r="MKM10" s="131"/>
      <c r="MKN10" s="131"/>
      <c r="MKO10" s="131"/>
      <c r="MKP10" s="131"/>
      <c r="MKQ10" s="131"/>
      <c r="MKR10" s="131"/>
      <c r="MKS10" s="131"/>
      <c r="MKT10" s="131"/>
      <c r="MKU10" s="131"/>
      <c r="MKV10" s="131"/>
      <c r="MKW10" s="131"/>
      <c r="MKX10" s="131"/>
      <c r="MKY10" s="131"/>
      <c r="MKZ10" s="131"/>
      <c r="MLA10" s="131"/>
      <c r="MLB10" s="131"/>
      <c r="MLC10" s="131"/>
      <c r="MLD10" s="131"/>
      <c r="MLE10" s="131"/>
      <c r="MLF10" s="131"/>
      <c r="MLG10" s="131"/>
      <c r="MLH10" s="131"/>
      <c r="MLI10" s="131"/>
      <c r="MLJ10" s="131"/>
      <c r="MLK10" s="131"/>
      <c r="MLL10" s="131"/>
      <c r="MLM10" s="131"/>
      <c r="MLN10" s="131"/>
      <c r="MLO10" s="131"/>
      <c r="MLP10" s="131"/>
      <c r="MLQ10" s="131"/>
      <c r="MLR10" s="131"/>
      <c r="MLS10" s="131"/>
      <c r="MLT10" s="131"/>
      <c r="MLU10" s="131"/>
      <c r="MLV10" s="131"/>
      <c r="MLW10" s="131"/>
      <c r="MLX10" s="131"/>
      <c r="MLY10" s="131"/>
      <c r="MLZ10" s="131"/>
      <c r="MMA10" s="131"/>
      <c r="MMB10" s="131"/>
      <c r="MMC10" s="131"/>
      <c r="MMD10" s="131"/>
      <c r="MME10" s="131"/>
      <c r="MMF10" s="131"/>
      <c r="MMG10" s="131"/>
      <c r="MMH10" s="131"/>
      <c r="MMI10" s="131"/>
      <c r="MMJ10" s="131"/>
      <c r="MMK10" s="131"/>
      <c r="MML10" s="131"/>
      <c r="MMM10" s="131"/>
      <c r="MMN10" s="131"/>
      <c r="MMO10" s="131"/>
      <c r="MMP10" s="131"/>
      <c r="MMQ10" s="131"/>
      <c r="MMR10" s="131"/>
      <c r="MMS10" s="131"/>
      <c r="MMT10" s="131"/>
      <c r="MMU10" s="131"/>
      <c r="MMV10" s="131"/>
      <c r="MMW10" s="131"/>
      <c r="MMX10" s="131"/>
      <c r="MMY10" s="131"/>
      <c r="MMZ10" s="131"/>
      <c r="MNA10" s="131"/>
      <c r="MNB10" s="131"/>
      <c r="MNC10" s="131"/>
      <c r="MND10" s="131"/>
      <c r="MNE10" s="131"/>
      <c r="MNF10" s="131"/>
      <c r="MNG10" s="131"/>
      <c r="MNH10" s="131"/>
      <c r="MNI10" s="131"/>
      <c r="MNJ10" s="131"/>
      <c r="MNK10" s="131"/>
      <c r="MNL10" s="131"/>
      <c r="MNM10" s="131"/>
      <c r="MNN10" s="131"/>
      <c r="MNO10" s="131"/>
      <c r="MNP10" s="131"/>
      <c r="MNQ10" s="131"/>
      <c r="MNR10" s="131"/>
      <c r="MNS10" s="131"/>
      <c r="MNT10" s="131"/>
      <c r="MNU10" s="131"/>
      <c r="MNV10" s="131"/>
      <c r="MNW10" s="131"/>
      <c r="MNX10" s="131"/>
      <c r="MNY10" s="131"/>
      <c r="MNZ10" s="131"/>
      <c r="MOA10" s="131"/>
      <c r="MOB10" s="131"/>
      <c r="MOC10" s="131"/>
      <c r="MOD10" s="131"/>
      <c r="MOE10" s="131"/>
      <c r="MOF10" s="131"/>
      <c r="MOG10" s="131"/>
      <c r="MOH10" s="131"/>
      <c r="MOI10" s="131"/>
      <c r="MOJ10" s="131"/>
      <c r="MOK10" s="131"/>
      <c r="MOL10" s="131"/>
      <c r="MOM10" s="131"/>
      <c r="MON10" s="131"/>
      <c r="MOO10" s="131"/>
      <c r="MOP10" s="131"/>
      <c r="MOQ10" s="131"/>
      <c r="MOR10" s="131"/>
      <c r="MOS10" s="131"/>
      <c r="MOT10" s="131"/>
      <c r="MOU10" s="131"/>
      <c r="MOV10" s="131"/>
      <c r="MOW10" s="131"/>
      <c r="MOX10" s="131"/>
      <c r="MOY10" s="131"/>
      <c r="MOZ10" s="131"/>
      <c r="MPA10" s="131"/>
      <c r="MPN10" s="131"/>
      <c r="MPO10" s="131"/>
      <c r="MPP10" s="131"/>
      <c r="MPQ10" s="131"/>
      <c r="MPR10" s="131"/>
      <c r="MPS10" s="131"/>
      <c r="MPT10" s="131"/>
      <c r="MPU10" s="131"/>
      <c r="MPV10" s="131"/>
      <c r="MPW10" s="131"/>
      <c r="MPX10" s="131"/>
      <c r="MPY10" s="131"/>
      <c r="MPZ10" s="131"/>
      <c r="MQA10" s="131"/>
      <c r="MQB10" s="131"/>
      <c r="MQC10" s="131"/>
      <c r="MQD10" s="131"/>
      <c r="MQE10" s="131"/>
      <c r="MQF10" s="131"/>
      <c r="MQG10" s="131"/>
      <c r="MQH10" s="131"/>
      <c r="MQI10" s="131"/>
      <c r="MQJ10" s="131"/>
      <c r="MQK10" s="131"/>
      <c r="MQL10" s="131"/>
      <c r="MQM10" s="131"/>
      <c r="MQN10" s="131"/>
      <c r="MQO10" s="131"/>
      <c r="MQP10" s="131"/>
      <c r="MQQ10" s="131"/>
      <c r="MQR10" s="131"/>
      <c r="MQS10" s="131"/>
      <c r="MQT10" s="131"/>
      <c r="MQU10" s="131"/>
      <c r="MQV10" s="131"/>
      <c r="MQW10" s="131"/>
      <c r="MQX10" s="131"/>
      <c r="MQY10" s="131"/>
      <c r="MQZ10" s="131"/>
      <c r="MRA10" s="131"/>
      <c r="MRB10" s="131"/>
      <c r="MRC10" s="131"/>
      <c r="MRD10" s="131"/>
      <c r="MRE10" s="131"/>
      <c r="MRF10" s="131"/>
      <c r="MRG10" s="131"/>
      <c r="MRH10" s="131"/>
      <c r="MRI10" s="131"/>
      <c r="MRJ10" s="131"/>
      <c r="MRK10" s="131"/>
      <c r="MRL10" s="131"/>
      <c r="MRM10" s="131"/>
      <c r="MRN10" s="131"/>
      <c r="MRO10" s="131"/>
      <c r="MRP10" s="131"/>
      <c r="MRQ10" s="131"/>
      <c r="MRR10" s="131"/>
      <c r="MRS10" s="131"/>
      <c r="MRT10" s="131"/>
      <c r="MRU10" s="131"/>
      <c r="MRV10" s="131"/>
      <c r="MRW10" s="131"/>
      <c r="MRX10" s="131"/>
      <c r="MRY10" s="131"/>
      <c r="MRZ10" s="131"/>
      <c r="MSA10" s="131"/>
      <c r="MSB10" s="131"/>
      <c r="MSC10" s="131"/>
      <c r="MSD10" s="131"/>
      <c r="MSE10" s="131"/>
      <c r="MSF10" s="131"/>
      <c r="MSG10" s="131"/>
      <c r="MSH10" s="131"/>
      <c r="MSI10" s="131"/>
      <c r="MSJ10" s="131"/>
      <c r="MSK10" s="131"/>
      <c r="MSL10" s="131"/>
      <c r="MSM10" s="131"/>
      <c r="MSN10" s="131"/>
      <c r="MSO10" s="131"/>
      <c r="MSP10" s="131"/>
      <c r="MSQ10" s="131"/>
      <c r="MSR10" s="131"/>
      <c r="MSS10" s="131"/>
      <c r="MST10" s="131"/>
      <c r="MSU10" s="131"/>
      <c r="MSV10" s="131"/>
      <c r="MSW10" s="131"/>
      <c r="MSX10" s="131"/>
      <c r="MSY10" s="131"/>
      <c r="MSZ10" s="131"/>
      <c r="MTA10" s="131"/>
      <c r="MTB10" s="131"/>
      <c r="MTC10" s="131"/>
      <c r="MTD10" s="131"/>
      <c r="MTE10" s="131"/>
      <c r="MTF10" s="131"/>
      <c r="MTG10" s="131"/>
      <c r="MTH10" s="131"/>
      <c r="MTI10" s="131"/>
      <c r="MTJ10" s="131"/>
      <c r="MTK10" s="131"/>
      <c r="MTL10" s="131"/>
      <c r="MTM10" s="131"/>
      <c r="MTN10" s="131"/>
      <c r="MTO10" s="131"/>
      <c r="MTP10" s="131"/>
      <c r="MTQ10" s="131"/>
      <c r="MTR10" s="131"/>
      <c r="MTS10" s="131"/>
      <c r="MTT10" s="131"/>
      <c r="MTU10" s="131"/>
      <c r="MTV10" s="131"/>
      <c r="MTW10" s="131"/>
      <c r="MTX10" s="131"/>
      <c r="MTY10" s="131"/>
      <c r="MTZ10" s="131"/>
      <c r="MUA10" s="131"/>
      <c r="MUB10" s="131"/>
      <c r="MUC10" s="131"/>
      <c r="MUD10" s="131"/>
      <c r="MUE10" s="131"/>
      <c r="MUF10" s="131"/>
      <c r="MUG10" s="131"/>
      <c r="MUH10" s="131"/>
      <c r="MUI10" s="131"/>
      <c r="MUJ10" s="131"/>
      <c r="MUK10" s="131"/>
      <c r="MUL10" s="131"/>
      <c r="MUM10" s="131"/>
      <c r="MUN10" s="131"/>
      <c r="MUO10" s="131"/>
      <c r="MUP10" s="131"/>
      <c r="MUQ10" s="131"/>
      <c r="MUR10" s="131"/>
      <c r="MUS10" s="131"/>
      <c r="MUT10" s="131"/>
      <c r="MUU10" s="131"/>
      <c r="MUV10" s="131"/>
      <c r="MUW10" s="131"/>
      <c r="MUX10" s="131"/>
      <c r="MUY10" s="131"/>
      <c r="MUZ10" s="131"/>
      <c r="MVA10" s="131"/>
      <c r="MVB10" s="131"/>
      <c r="MVC10" s="131"/>
      <c r="MVD10" s="131"/>
      <c r="MVE10" s="131"/>
      <c r="MVF10" s="131"/>
      <c r="MVG10" s="131"/>
      <c r="MVH10" s="131"/>
      <c r="MVI10" s="131"/>
      <c r="MVJ10" s="131"/>
      <c r="MVK10" s="131"/>
      <c r="MVL10" s="131"/>
      <c r="MVM10" s="131"/>
      <c r="MVN10" s="131"/>
      <c r="MVO10" s="131"/>
      <c r="MVP10" s="131"/>
      <c r="MVQ10" s="131"/>
      <c r="MVR10" s="131"/>
      <c r="MVS10" s="131"/>
      <c r="MVT10" s="131"/>
      <c r="MVU10" s="131"/>
      <c r="MVV10" s="131"/>
      <c r="MVW10" s="131"/>
      <c r="MVX10" s="131"/>
      <c r="MVY10" s="131"/>
      <c r="MVZ10" s="131"/>
      <c r="MWA10" s="131"/>
      <c r="MWB10" s="131"/>
      <c r="MWC10" s="131"/>
      <c r="MWD10" s="131"/>
      <c r="MWE10" s="131"/>
      <c r="MWF10" s="131"/>
      <c r="MWG10" s="131"/>
      <c r="MWH10" s="131"/>
      <c r="MWI10" s="131"/>
      <c r="MWJ10" s="131"/>
      <c r="MWK10" s="131"/>
      <c r="MWL10" s="131"/>
      <c r="MWM10" s="131"/>
      <c r="MWN10" s="131"/>
      <c r="MWO10" s="131"/>
      <c r="MWP10" s="131"/>
      <c r="MWQ10" s="131"/>
      <c r="MWR10" s="131"/>
      <c r="MWS10" s="131"/>
      <c r="MWT10" s="131"/>
      <c r="MWU10" s="131"/>
      <c r="MWV10" s="131"/>
      <c r="MWW10" s="131"/>
      <c r="MWX10" s="131"/>
      <c r="MWY10" s="131"/>
      <c r="MWZ10" s="131"/>
      <c r="MXA10" s="131"/>
      <c r="MXB10" s="131"/>
      <c r="MXC10" s="131"/>
      <c r="MXD10" s="131"/>
      <c r="MXE10" s="131"/>
      <c r="MXF10" s="131"/>
      <c r="MXG10" s="131"/>
      <c r="MXH10" s="131"/>
      <c r="MXI10" s="131"/>
      <c r="MXJ10" s="131"/>
      <c r="MXK10" s="131"/>
      <c r="MXL10" s="131"/>
      <c r="MXM10" s="131"/>
      <c r="MXN10" s="131"/>
      <c r="MXO10" s="131"/>
      <c r="MXP10" s="131"/>
      <c r="MXQ10" s="131"/>
      <c r="MXR10" s="131"/>
      <c r="MXS10" s="131"/>
      <c r="MXT10" s="131"/>
      <c r="MXU10" s="131"/>
      <c r="MXV10" s="131"/>
      <c r="MXW10" s="131"/>
      <c r="MXX10" s="131"/>
      <c r="MXY10" s="131"/>
      <c r="MXZ10" s="131"/>
      <c r="MYA10" s="131"/>
      <c r="MYB10" s="131"/>
      <c r="MYC10" s="131"/>
      <c r="MYD10" s="131"/>
      <c r="MYE10" s="131"/>
      <c r="MYF10" s="131"/>
      <c r="MYG10" s="131"/>
      <c r="MYH10" s="131"/>
      <c r="MYI10" s="131"/>
      <c r="MYJ10" s="131"/>
      <c r="MYK10" s="131"/>
      <c r="MYL10" s="131"/>
      <c r="MYM10" s="131"/>
      <c r="MYN10" s="131"/>
      <c r="MYO10" s="131"/>
      <c r="MYP10" s="131"/>
      <c r="MYQ10" s="131"/>
      <c r="MYR10" s="131"/>
      <c r="MYS10" s="131"/>
      <c r="MYT10" s="131"/>
      <c r="MYU10" s="131"/>
      <c r="MYV10" s="131"/>
      <c r="MYW10" s="131"/>
      <c r="MYX10" s="131"/>
      <c r="MYY10" s="131"/>
      <c r="MYZ10" s="131"/>
      <c r="MZA10" s="131"/>
      <c r="MZB10" s="131"/>
      <c r="MZC10" s="131"/>
      <c r="MZD10" s="131"/>
      <c r="MZE10" s="131"/>
      <c r="MZF10" s="131"/>
      <c r="MZG10" s="131"/>
      <c r="MZH10" s="131"/>
      <c r="MZI10" s="131"/>
      <c r="MZJ10" s="131"/>
      <c r="MZK10" s="131"/>
      <c r="MZL10" s="131"/>
      <c r="MZM10" s="131"/>
      <c r="MZN10" s="131"/>
      <c r="MZO10" s="131"/>
      <c r="MZP10" s="131"/>
      <c r="MZQ10" s="131"/>
      <c r="MZR10" s="131"/>
      <c r="MZS10" s="131"/>
      <c r="MZT10" s="131"/>
      <c r="MZU10" s="131"/>
      <c r="MZV10" s="131"/>
      <c r="MZW10" s="131"/>
      <c r="MZX10" s="131"/>
      <c r="MZY10" s="131"/>
      <c r="MZZ10" s="131"/>
      <c r="NAA10" s="131"/>
      <c r="NAB10" s="131"/>
      <c r="NAC10" s="131"/>
      <c r="NAD10" s="131"/>
      <c r="NAE10" s="131"/>
      <c r="NAF10" s="131"/>
      <c r="NAG10" s="131"/>
      <c r="NAH10" s="131"/>
      <c r="NAI10" s="131"/>
      <c r="NAJ10" s="131"/>
      <c r="NAK10" s="131"/>
      <c r="NAL10" s="131"/>
      <c r="NAM10" s="131"/>
      <c r="NAN10" s="131"/>
      <c r="NAO10" s="131"/>
      <c r="NAP10" s="131"/>
      <c r="NAQ10" s="131"/>
      <c r="NAR10" s="131"/>
      <c r="NAS10" s="131"/>
      <c r="NAT10" s="131"/>
      <c r="NAU10" s="131"/>
      <c r="NAV10" s="131"/>
      <c r="NAW10" s="131"/>
      <c r="NAX10" s="131"/>
      <c r="NAY10" s="131"/>
      <c r="NAZ10" s="131"/>
      <c r="NBA10" s="131"/>
      <c r="NBB10" s="131"/>
      <c r="NBC10" s="131"/>
      <c r="NBD10" s="131"/>
      <c r="NBE10" s="131"/>
      <c r="NBF10" s="131"/>
      <c r="NBG10" s="131"/>
      <c r="NBH10" s="131"/>
      <c r="NBI10" s="131"/>
      <c r="NBJ10" s="131"/>
      <c r="NBK10" s="131"/>
      <c r="NBL10" s="131"/>
      <c r="NBM10" s="131"/>
      <c r="NBN10" s="131"/>
      <c r="NBO10" s="131"/>
      <c r="NBP10" s="131"/>
      <c r="NBQ10" s="131"/>
      <c r="NBR10" s="131"/>
      <c r="NBS10" s="131"/>
      <c r="NBT10" s="131"/>
      <c r="NBU10" s="131"/>
      <c r="NBV10" s="131"/>
      <c r="NBW10" s="131"/>
      <c r="NBX10" s="131"/>
      <c r="NBY10" s="131"/>
      <c r="NBZ10" s="131"/>
      <c r="NCA10" s="131"/>
      <c r="NCB10" s="131"/>
      <c r="NCC10" s="131"/>
      <c r="NCD10" s="131"/>
      <c r="NCE10" s="131"/>
      <c r="NCF10" s="131"/>
      <c r="NCG10" s="131"/>
      <c r="NCH10" s="131"/>
      <c r="NCI10" s="131"/>
      <c r="NCJ10" s="131"/>
      <c r="NCK10" s="131"/>
      <c r="NCL10" s="131"/>
      <c r="NCM10" s="131"/>
      <c r="NCN10" s="131"/>
      <c r="NCO10" s="131"/>
      <c r="NCP10" s="131"/>
      <c r="NCQ10" s="131"/>
      <c r="NCR10" s="131"/>
      <c r="NCS10" s="131"/>
      <c r="NCT10" s="131"/>
      <c r="NCU10" s="131"/>
      <c r="NCV10" s="131"/>
      <c r="NCW10" s="131"/>
      <c r="NCX10" s="131"/>
      <c r="NCY10" s="131"/>
      <c r="NCZ10" s="131"/>
      <c r="NDA10" s="131"/>
      <c r="NDB10" s="131"/>
      <c r="NDC10" s="131"/>
      <c r="NDD10" s="131"/>
      <c r="NDE10" s="131"/>
      <c r="NDF10" s="131"/>
      <c r="NDG10" s="131"/>
      <c r="NDH10" s="131"/>
      <c r="NDI10" s="131"/>
      <c r="NDJ10" s="131"/>
      <c r="NDK10" s="131"/>
      <c r="NDL10" s="131"/>
      <c r="NDM10" s="131"/>
      <c r="NDN10" s="131"/>
      <c r="NDO10" s="131"/>
      <c r="NDP10" s="131"/>
      <c r="NDQ10" s="131"/>
      <c r="NDR10" s="131"/>
      <c r="NDS10" s="131"/>
      <c r="NDT10" s="131"/>
      <c r="NDU10" s="131"/>
      <c r="NDV10" s="131"/>
      <c r="NDW10" s="131"/>
      <c r="NDX10" s="131"/>
      <c r="NDY10" s="131"/>
      <c r="NDZ10" s="131"/>
      <c r="NEA10" s="131"/>
      <c r="NEB10" s="131"/>
      <c r="NEC10" s="131"/>
      <c r="NED10" s="131"/>
      <c r="NEE10" s="131"/>
      <c r="NEF10" s="131"/>
      <c r="NEG10" s="131"/>
      <c r="NEH10" s="131"/>
      <c r="NEI10" s="131"/>
      <c r="NEJ10" s="131"/>
      <c r="NEK10" s="131"/>
      <c r="NEL10" s="131"/>
      <c r="NEM10" s="131"/>
      <c r="NEN10" s="131"/>
      <c r="NEO10" s="131"/>
      <c r="NEP10" s="131"/>
      <c r="NEQ10" s="131"/>
      <c r="NER10" s="131"/>
      <c r="NES10" s="131"/>
      <c r="NET10" s="131"/>
      <c r="NEU10" s="131"/>
      <c r="NEV10" s="131"/>
      <c r="NEW10" s="131"/>
      <c r="NEX10" s="131"/>
      <c r="NEY10" s="131"/>
      <c r="NEZ10" s="131"/>
      <c r="NFA10" s="131"/>
      <c r="NFB10" s="131"/>
      <c r="NFC10" s="131"/>
      <c r="NFD10" s="131"/>
      <c r="NFE10" s="131"/>
      <c r="NFF10" s="131"/>
      <c r="NFG10" s="131"/>
      <c r="NFH10" s="131"/>
      <c r="NFI10" s="131"/>
      <c r="NFJ10" s="131"/>
      <c r="NFK10" s="131"/>
      <c r="NFL10" s="131"/>
      <c r="NFM10" s="131"/>
      <c r="NFN10" s="131"/>
      <c r="NFO10" s="131"/>
      <c r="NFP10" s="131"/>
      <c r="NFQ10" s="131"/>
      <c r="NFR10" s="131"/>
      <c r="NFS10" s="131"/>
      <c r="NFT10" s="131"/>
      <c r="NFU10" s="131"/>
      <c r="NFV10" s="131"/>
      <c r="NFW10" s="131"/>
      <c r="NFX10" s="131"/>
      <c r="NFY10" s="131"/>
      <c r="NFZ10" s="131"/>
      <c r="NGA10" s="131"/>
      <c r="NGB10" s="131"/>
      <c r="NGC10" s="131"/>
      <c r="NGD10" s="131"/>
      <c r="NGE10" s="131"/>
      <c r="NGF10" s="131"/>
      <c r="NGG10" s="131"/>
      <c r="NGH10" s="131"/>
      <c r="NGI10" s="131"/>
      <c r="NGJ10" s="131"/>
      <c r="NGK10" s="131"/>
      <c r="NGL10" s="131"/>
      <c r="NGM10" s="131"/>
      <c r="NGN10" s="131"/>
      <c r="NGO10" s="131"/>
      <c r="NGP10" s="131"/>
      <c r="NGQ10" s="131"/>
      <c r="NGR10" s="131"/>
      <c r="NGS10" s="131"/>
      <c r="NGT10" s="131"/>
      <c r="NGU10" s="131"/>
      <c r="NGV10" s="131"/>
      <c r="NGW10" s="131"/>
      <c r="NGX10" s="131"/>
      <c r="NGY10" s="131"/>
      <c r="NGZ10" s="131"/>
      <c r="NHA10" s="131"/>
      <c r="NHB10" s="131"/>
      <c r="NHC10" s="131"/>
      <c r="NHD10" s="131"/>
      <c r="NHE10" s="131"/>
      <c r="NHF10" s="131"/>
      <c r="NHG10" s="131"/>
      <c r="NHH10" s="131"/>
      <c r="NHI10" s="131"/>
      <c r="NHJ10" s="131"/>
      <c r="NHK10" s="131"/>
      <c r="NHL10" s="131"/>
      <c r="NHM10" s="131"/>
      <c r="NHN10" s="131"/>
      <c r="NHO10" s="131"/>
      <c r="NHP10" s="131"/>
      <c r="NHQ10" s="131"/>
      <c r="NHR10" s="131"/>
      <c r="NHS10" s="131"/>
      <c r="NHT10" s="131"/>
      <c r="NHU10" s="131"/>
      <c r="NHV10" s="131"/>
      <c r="NHW10" s="131"/>
      <c r="NHX10" s="131"/>
      <c r="NHY10" s="131"/>
      <c r="NHZ10" s="131"/>
      <c r="NIA10" s="131"/>
      <c r="NIB10" s="131"/>
      <c r="NIC10" s="131"/>
      <c r="NID10" s="131"/>
      <c r="NIE10" s="131"/>
      <c r="NIF10" s="131"/>
      <c r="NIG10" s="131"/>
      <c r="NIH10" s="131"/>
      <c r="NII10" s="131"/>
      <c r="NIJ10" s="131"/>
      <c r="NIK10" s="131"/>
      <c r="NIL10" s="131"/>
      <c r="NIM10" s="131"/>
      <c r="NIN10" s="131"/>
      <c r="NIO10" s="131"/>
      <c r="NIP10" s="131"/>
      <c r="NIQ10" s="131"/>
      <c r="NIR10" s="131"/>
      <c r="NIS10" s="131"/>
      <c r="NIT10" s="131"/>
      <c r="NIU10" s="131"/>
      <c r="NIV10" s="131"/>
      <c r="NIW10" s="131"/>
      <c r="NIX10" s="131"/>
      <c r="NIY10" s="131"/>
      <c r="NIZ10" s="131"/>
      <c r="NJA10" s="131"/>
      <c r="NJB10" s="131"/>
      <c r="NJC10" s="131"/>
      <c r="NJD10" s="131"/>
      <c r="NJE10" s="131"/>
      <c r="NJF10" s="131"/>
      <c r="NJG10" s="131"/>
      <c r="NJH10" s="131"/>
      <c r="NJI10" s="131"/>
      <c r="NJJ10" s="131"/>
      <c r="NJK10" s="131"/>
      <c r="NJL10" s="131"/>
      <c r="NJM10" s="131"/>
      <c r="NJN10" s="131"/>
      <c r="NJO10" s="131"/>
      <c r="NJP10" s="131"/>
      <c r="NJQ10" s="131"/>
      <c r="NJR10" s="131"/>
      <c r="NJS10" s="131"/>
      <c r="NJT10" s="131"/>
      <c r="NJU10" s="131"/>
      <c r="NJV10" s="131"/>
      <c r="NJW10" s="131"/>
      <c r="NJX10" s="131"/>
      <c r="NJY10" s="131"/>
      <c r="NJZ10" s="131"/>
      <c r="NKA10" s="131"/>
      <c r="NKB10" s="131"/>
      <c r="NKC10" s="131"/>
      <c r="NKD10" s="131"/>
      <c r="NKE10" s="131"/>
      <c r="NKF10" s="131"/>
      <c r="NKG10" s="131"/>
      <c r="NKH10" s="131"/>
      <c r="NKI10" s="131"/>
      <c r="NKJ10" s="131"/>
      <c r="NKK10" s="131"/>
      <c r="NKL10" s="131"/>
      <c r="NKM10" s="131"/>
      <c r="NKN10" s="131"/>
      <c r="NKO10" s="131"/>
      <c r="NKP10" s="131"/>
      <c r="NKQ10" s="131"/>
      <c r="NKR10" s="131"/>
      <c r="NKS10" s="131"/>
      <c r="NKT10" s="131"/>
      <c r="NKU10" s="131"/>
      <c r="NKV10" s="131"/>
      <c r="NKW10" s="131"/>
      <c r="NKX10" s="131"/>
      <c r="NKY10" s="131"/>
      <c r="NKZ10" s="131"/>
      <c r="NLA10" s="131"/>
      <c r="NLB10" s="131"/>
      <c r="NLC10" s="131"/>
      <c r="NLD10" s="131"/>
      <c r="NLE10" s="131"/>
      <c r="NLF10" s="131"/>
      <c r="NLG10" s="131"/>
      <c r="NLH10" s="131"/>
      <c r="NLI10" s="131"/>
      <c r="NLJ10" s="131"/>
      <c r="NLK10" s="131"/>
      <c r="NLL10" s="131"/>
      <c r="NLM10" s="131"/>
      <c r="NLN10" s="131"/>
      <c r="NLO10" s="131"/>
      <c r="NLP10" s="131"/>
      <c r="NLQ10" s="131"/>
      <c r="NLR10" s="131"/>
      <c r="NLS10" s="131"/>
      <c r="NLT10" s="131"/>
      <c r="NLU10" s="131"/>
      <c r="NLV10" s="131"/>
      <c r="NLW10" s="131"/>
      <c r="NLX10" s="131"/>
      <c r="NLY10" s="131"/>
      <c r="NLZ10" s="131"/>
      <c r="NMA10" s="131"/>
      <c r="NMB10" s="131"/>
      <c r="NMC10" s="131"/>
      <c r="NMD10" s="131"/>
      <c r="NME10" s="131"/>
      <c r="NMF10" s="131"/>
      <c r="NMG10" s="131"/>
      <c r="NMH10" s="131"/>
      <c r="NMI10" s="131"/>
      <c r="NMJ10" s="131"/>
      <c r="NMK10" s="131"/>
      <c r="NML10" s="131"/>
      <c r="NMM10" s="131"/>
      <c r="NMN10" s="131"/>
      <c r="NMO10" s="131"/>
      <c r="NMP10" s="131"/>
      <c r="NMQ10" s="131"/>
      <c r="NMR10" s="131"/>
      <c r="NMS10" s="131"/>
      <c r="NMT10" s="131"/>
      <c r="NMU10" s="131"/>
      <c r="NMV10" s="131"/>
      <c r="NMW10" s="131"/>
      <c r="NMX10" s="131"/>
      <c r="NMY10" s="131"/>
      <c r="NMZ10" s="131"/>
      <c r="NNA10" s="131"/>
      <c r="NNB10" s="131"/>
      <c r="NNC10" s="131"/>
      <c r="NND10" s="131"/>
      <c r="NNE10" s="131"/>
      <c r="NNF10" s="131"/>
      <c r="NNG10" s="131"/>
      <c r="NNH10" s="131"/>
      <c r="NNI10" s="131"/>
      <c r="NNJ10" s="131"/>
      <c r="NNK10" s="131"/>
      <c r="NNL10" s="131"/>
      <c r="NNM10" s="131"/>
      <c r="NNN10" s="131"/>
      <c r="NNO10" s="131"/>
      <c r="NNP10" s="131"/>
      <c r="NNQ10" s="131"/>
      <c r="NNR10" s="131"/>
      <c r="NNS10" s="131"/>
      <c r="NNT10" s="131"/>
      <c r="NNU10" s="131"/>
      <c r="NNV10" s="131"/>
      <c r="NNW10" s="131"/>
      <c r="NNX10" s="131"/>
      <c r="NNY10" s="131"/>
      <c r="NNZ10" s="131"/>
      <c r="NOA10" s="131"/>
      <c r="NOB10" s="131"/>
      <c r="NOC10" s="131"/>
      <c r="NOD10" s="131"/>
      <c r="NOE10" s="131"/>
      <c r="NOF10" s="131"/>
      <c r="NOG10" s="131"/>
      <c r="NOH10" s="131"/>
      <c r="NOI10" s="131"/>
      <c r="NOJ10" s="131"/>
      <c r="NOK10" s="131"/>
      <c r="NOL10" s="131"/>
      <c r="NOM10" s="131"/>
      <c r="NON10" s="131"/>
      <c r="NOO10" s="131"/>
      <c r="NOP10" s="131"/>
      <c r="NOQ10" s="131"/>
      <c r="NOR10" s="131"/>
      <c r="NOS10" s="131"/>
      <c r="NOT10" s="131"/>
      <c r="NOU10" s="131"/>
      <c r="NOV10" s="131"/>
      <c r="NOW10" s="131"/>
      <c r="NOX10" s="131"/>
      <c r="NOY10" s="131"/>
      <c r="NOZ10" s="131"/>
      <c r="NPA10" s="131"/>
      <c r="NPB10" s="131"/>
      <c r="NPC10" s="131"/>
      <c r="NPD10" s="131"/>
      <c r="NPE10" s="131"/>
      <c r="NPF10" s="131"/>
      <c r="NPG10" s="131"/>
      <c r="NPH10" s="131"/>
      <c r="NPI10" s="131"/>
      <c r="NPJ10" s="131"/>
      <c r="NPK10" s="131"/>
      <c r="NPL10" s="131"/>
      <c r="NPM10" s="131"/>
      <c r="NPN10" s="131"/>
      <c r="NPO10" s="131"/>
      <c r="NPP10" s="131"/>
      <c r="NPQ10" s="131"/>
      <c r="NPR10" s="131"/>
      <c r="NPS10" s="131"/>
      <c r="NPT10" s="131"/>
      <c r="NPU10" s="131"/>
      <c r="NPV10" s="131"/>
      <c r="NPW10" s="131"/>
      <c r="NPX10" s="131"/>
      <c r="NPY10" s="131"/>
      <c r="NPZ10" s="131"/>
      <c r="NQA10" s="131"/>
      <c r="NQB10" s="131"/>
      <c r="NQC10" s="131"/>
      <c r="NQD10" s="131"/>
      <c r="NQE10" s="131"/>
      <c r="NQF10" s="131"/>
      <c r="NQG10" s="131"/>
      <c r="NQH10" s="131"/>
      <c r="NQI10" s="131"/>
      <c r="NQJ10" s="131"/>
      <c r="NQK10" s="131"/>
      <c r="NQL10" s="131"/>
      <c r="NQM10" s="131"/>
      <c r="NQN10" s="131"/>
      <c r="NQO10" s="131"/>
      <c r="NQP10" s="131"/>
      <c r="NQQ10" s="131"/>
      <c r="NQR10" s="131"/>
      <c r="NQS10" s="131"/>
      <c r="NQT10" s="131"/>
      <c r="NQU10" s="131"/>
      <c r="NQV10" s="131"/>
      <c r="NQW10" s="131"/>
      <c r="NQX10" s="131"/>
      <c r="NQY10" s="131"/>
      <c r="NQZ10" s="131"/>
      <c r="NRA10" s="131"/>
      <c r="NRB10" s="131"/>
      <c r="NRC10" s="131"/>
      <c r="NRD10" s="131"/>
      <c r="NRE10" s="131"/>
      <c r="NRF10" s="131"/>
      <c r="NRG10" s="131"/>
      <c r="NRH10" s="131"/>
      <c r="NRI10" s="131"/>
      <c r="NRJ10" s="131"/>
      <c r="NRK10" s="131"/>
      <c r="NRL10" s="131"/>
      <c r="NRM10" s="131"/>
      <c r="NRN10" s="131"/>
      <c r="NRO10" s="131"/>
      <c r="NRP10" s="131"/>
      <c r="NRQ10" s="131"/>
      <c r="NRR10" s="131"/>
      <c r="NRS10" s="131"/>
      <c r="NRT10" s="131"/>
      <c r="NRU10" s="131"/>
      <c r="NRV10" s="131"/>
      <c r="NRW10" s="131"/>
      <c r="NRX10" s="131"/>
      <c r="NRY10" s="131"/>
      <c r="NRZ10" s="131"/>
      <c r="NSA10" s="131"/>
      <c r="NSB10" s="131"/>
      <c r="NSC10" s="131"/>
      <c r="NSD10" s="131"/>
      <c r="NSE10" s="131"/>
      <c r="NSF10" s="131"/>
      <c r="NSG10" s="131"/>
      <c r="NSH10" s="131"/>
      <c r="NSI10" s="131"/>
      <c r="NSJ10" s="131"/>
      <c r="NSK10" s="131"/>
      <c r="NSL10" s="131"/>
      <c r="NSM10" s="131"/>
      <c r="NSN10" s="131"/>
      <c r="NSO10" s="131"/>
      <c r="NSP10" s="131"/>
      <c r="NSQ10" s="131"/>
      <c r="NSR10" s="131"/>
      <c r="NSS10" s="131"/>
      <c r="NST10" s="131"/>
      <c r="NSU10" s="131"/>
      <c r="NSV10" s="131"/>
      <c r="NSW10" s="131"/>
      <c r="NSX10" s="131"/>
      <c r="NSY10" s="131"/>
      <c r="NSZ10" s="131"/>
      <c r="NTA10" s="131"/>
      <c r="NTB10" s="131"/>
      <c r="NTC10" s="131"/>
      <c r="NTD10" s="131"/>
      <c r="NTE10" s="131"/>
      <c r="NTF10" s="131"/>
      <c r="NTG10" s="131"/>
      <c r="NTH10" s="131"/>
      <c r="NTI10" s="131"/>
      <c r="NTJ10" s="131"/>
      <c r="NTK10" s="131"/>
      <c r="NTL10" s="131"/>
      <c r="NTM10" s="131"/>
      <c r="NTN10" s="131"/>
      <c r="NTO10" s="131"/>
      <c r="NTP10" s="131"/>
      <c r="NTQ10" s="131"/>
      <c r="NTR10" s="131"/>
      <c r="NTS10" s="131"/>
      <c r="NTT10" s="131"/>
      <c r="NTU10" s="131"/>
      <c r="NTV10" s="131"/>
      <c r="NTW10" s="131"/>
      <c r="NTX10" s="131"/>
      <c r="NTY10" s="131"/>
      <c r="NTZ10" s="131"/>
      <c r="NUA10" s="131"/>
      <c r="NUB10" s="131"/>
      <c r="NUC10" s="131"/>
      <c r="NUD10" s="131"/>
      <c r="NUE10" s="131"/>
      <c r="NUF10" s="131"/>
      <c r="NUG10" s="131"/>
      <c r="NUH10" s="131"/>
      <c r="NUI10" s="131"/>
      <c r="NUJ10" s="131"/>
      <c r="NUK10" s="131"/>
      <c r="NUL10" s="131"/>
      <c r="NUM10" s="131"/>
      <c r="NUN10" s="131"/>
      <c r="NUO10" s="131"/>
      <c r="NUP10" s="131"/>
      <c r="NUQ10" s="131"/>
      <c r="NUR10" s="131"/>
      <c r="NUS10" s="131"/>
      <c r="NUT10" s="131"/>
      <c r="NUU10" s="131"/>
      <c r="NUV10" s="131"/>
      <c r="NUW10" s="131"/>
      <c r="NUX10" s="131"/>
      <c r="NUY10" s="131"/>
      <c r="NUZ10" s="131"/>
      <c r="NVA10" s="131"/>
      <c r="NVB10" s="131"/>
      <c r="NVC10" s="131"/>
      <c r="NVD10" s="131"/>
      <c r="NVE10" s="131"/>
      <c r="NVF10" s="131"/>
      <c r="NVG10" s="131"/>
      <c r="NVH10" s="131"/>
      <c r="NVI10" s="131"/>
      <c r="NVJ10" s="131"/>
      <c r="NVK10" s="131"/>
      <c r="NVL10" s="131"/>
      <c r="NVM10" s="131"/>
      <c r="NVN10" s="131"/>
      <c r="NVO10" s="131"/>
      <c r="NVP10" s="131"/>
      <c r="NVQ10" s="131"/>
      <c r="NVR10" s="131"/>
      <c r="NVS10" s="131"/>
      <c r="NVT10" s="131"/>
      <c r="NVU10" s="131"/>
      <c r="NVV10" s="131"/>
      <c r="NVW10" s="131"/>
      <c r="NVX10" s="131"/>
      <c r="NVY10" s="131"/>
      <c r="NVZ10" s="131"/>
      <c r="NWA10" s="131"/>
      <c r="NWB10" s="131"/>
      <c r="NWC10" s="131"/>
      <c r="NWD10" s="131"/>
      <c r="NWE10" s="131"/>
      <c r="NWF10" s="131"/>
      <c r="NWG10" s="131"/>
      <c r="NWH10" s="131"/>
      <c r="NWI10" s="131"/>
      <c r="NWJ10" s="131"/>
      <c r="NWK10" s="131"/>
      <c r="NWL10" s="131"/>
      <c r="NWM10" s="131"/>
      <c r="NWN10" s="131"/>
      <c r="NWO10" s="131"/>
      <c r="NWP10" s="131"/>
      <c r="NWQ10" s="131"/>
      <c r="NWR10" s="131"/>
      <c r="NWS10" s="131"/>
      <c r="NWT10" s="131"/>
      <c r="NWU10" s="131"/>
      <c r="NWV10" s="131"/>
      <c r="NWW10" s="131"/>
      <c r="NWX10" s="131"/>
      <c r="NWY10" s="131"/>
      <c r="NWZ10" s="131"/>
      <c r="NXA10" s="131"/>
      <c r="NXB10" s="131"/>
      <c r="NXC10" s="131"/>
      <c r="NXD10" s="131"/>
      <c r="NXE10" s="131"/>
      <c r="NXF10" s="131"/>
      <c r="NXG10" s="131"/>
      <c r="NXH10" s="131"/>
      <c r="NXI10" s="131"/>
      <c r="NXJ10" s="131"/>
      <c r="NXK10" s="131"/>
      <c r="NXL10" s="131"/>
      <c r="NXM10" s="131"/>
      <c r="NXN10" s="131"/>
      <c r="NXO10" s="131"/>
      <c r="NXP10" s="131"/>
      <c r="NXQ10" s="131"/>
      <c r="NXR10" s="131"/>
      <c r="NXS10" s="131"/>
      <c r="NXT10" s="131"/>
      <c r="NXU10" s="131"/>
      <c r="NXV10" s="131"/>
      <c r="NXW10" s="131"/>
      <c r="NXX10" s="131"/>
      <c r="NXY10" s="131"/>
      <c r="NXZ10" s="131"/>
      <c r="NYA10" s="131"/>
      <c r="NYB10" s="131"/>
      <c r="NYC10" s="131"/>
      <c r="NYD10" s="131"/>
      <c r="NYE10" s="131"/>
      <c r="NYF10" s="131"/>
      <c r="NYG10" s="131"/>
      <c r="NYH10" s="131"/>
      <c r="NYI10" s="131"/>
      <c r="NYJ10" s="131"/>
      <c r="NYK10" s="131"/>
      <c r="NYL10" s="131"/>
      <c r="NYM10" s="131"/>
      <c r="NYN10" s="131"/>
      <c r="NYO10" s="131"/>
      <c r="NYP10" s="131"/>
      <c r="NYQ10" s="131"/>
      <c r="NYR10" s="131"/>
      <c r="NYS10" s="131"/>
      <c r="NYT10" s="131"/>
      <c r="NYU10" s="131"/>
      <c r="NYV10" s="131"/>
      <c r="NYW10" s="131"/>
      <c r="NYX10" s="131"/>
      <c r="NYY10" s="131"/>
      <c r="NYZ10" s="131"/>
      <c r="NZA10" s="131"/>
      <c r="NZB10" s="131"/>
      <c r="NZC10" s="131"/>
      <c r="NZD10" s="131"/>
      <c r="NZE10" s="131"/>
      <c r="NZF10" s="131"/>
      <c r="NZG10" s="131"/>
      <c r="NZH10" s="131"/>
      <c r="NZI10" s="131"/>
      <c r="NZJ10" s="131"/>
      <c r="NZK10" s="131"/>
      <c r="NZL10" s="131"/>
      <c r="NZM10" s="131"/>
      <c r="NZN10" s="131"/>
      <c r="NZO10" s="131"/>
      <c r="NZP10" s="131"/>
      <c r="NZQ10" s="131"/>
      <c r="NZR10" s="131"/>
      <c r="NZS10" s="131"/>
      <c r="NZT10" s="131"/>
      <c r="NZU10" s="131"/>
      <c r="NZV10" s="131"/>
      <c r="NZW10" s="131"/>
      <c r="NZX10" s="131"/>
      <c r="NZY10" s="131"/>
      <c r="NZZ10" s="131"/>
      <c r="OAA10" s="131"/>
      <c r="OAB10" s="131"/>
      <c r="OAC10" s="131"/>
      <c r="OAD10" s="131"/>
      <c r="OAE10" s="131"/>
      <c r="OAF10" s="131"/>
      <c r="OAG10" s="131"/>
      <c r="OAH10" s="131"/>
      <c r="OAI10" s="131"/>
      <c r="OAJ10" s="131"/>
      <c r="OAK10" s="131"/>
      <c r="OAL10" s="131"/>
      <c r="OAM10" s="131"/>
      <c r="OAN10" s="131"/>
      <c r="OAO10" s="131"/>
      <c r="OAP10" s="131"/>
      <c r="OAQ10" s="131"/>
      <c r="OAR10" s="131"/>
      <c r="OAS10" s="131"/>
      <c r="OAT10" s="131"/>
      <c r="OAU10" s="131"/>
      <c r="OAV10" s="131"/>
      <c r="OAW10" s="131"/>
      <c r="OAX10" s="131"/>
      <c r="OAY10" s="131"/>
      <c r="OAZ10" s="131"/>
      <c r="OBA10" s="131"/>
      <c r="OBB10" s="131"/>
      <c r="OBC10" s="131"/>
      <c r="OBD10" s="131"/>
      <c r="OBE10" s="131"/>
      <c r="OBF10" s="131"/>
      <c r="OBG10" s="131"/>
      <c r="OBH10" s="131"/>
      <c r="OBI10" s="131"/>
      <c r="OBJ10" s="131"/>
      <c r="OBK10" s="131"/>
      <c r="OBL10" s="131"/>
      <c r="OBM10" s="131"/>
      <c r="OBN10" s="131"/>
      <c r="OBO10" s="131"/>
      <c r="OBP10" s="131"/>
      <c r="OBQ10" s="131"/>
      <c r="OBR10" s="131"/>
      <c r="OBS10" s="131"/>
      <c r="OBT10" s="131"/>
      <c r="OBU10" s="131"/>
      <c r="OBV10" s="131"/>
      <c r="OBW10" s="131"/>
      <c r="OBX10" s="131"/>
      <c r="OBY10" s="131"/>
      <c r="OBZ10" s="131"/>
      <c r="OCA10" s="131"/>
      <c r="OCB10" s="131"/>
      <c r="OCC10" s="131"/>
      <c r="OCD10" s="131"/>
      <c r="OCE10" s="131"/>
      <c r="OCF10" s="131"/>
      <c r="OCG10" s="131"/>
      <c r="OCH10" s="131"/>
      <c r="OCI10" s="131"/>
      <c r="OCJ10" s="131"/>
      <c r="OCK10" s="131"/>
      <c r="OCX10" s="131"/>
      <c r="OCY10" s="131"/>
      <c r="OCZ10" s="131"/>
      <c r="ODA10" s="131"/>
      <c r="ODB10" s="131"/>
      <c r="ODC10" s="131"/>
      <c r="ODD10" s="131"/>
      <c r="ODE10" s="131"/>
      <c r="ODF10" s="131"/>
      <c r="ODG10" s="131"/>
      <c r="ODH10" s="131"/>
      <c r="ODI10" s="131"/>
      <c r="ODJ10" s="131"/>
      <c r="ODK10" s="131"/>
      <c r="ODL10" s="131"/>
      <c r="ODM10" s="131"/>
      <c r="ODN10" s="131"/>
      <c r="ODO10" s="131"/>
      <c r="ODP10" s="131"/>
      <c r="ODQ10" s="131"/>
      <c r="ODR10" s="131"/>
      <c r="ODS10" s="131"/>
      <c r="ODT10" s="131"/>
      <c r="ODU10" s="131"/>
      <c r="ODV10" s="131"/>
      <c r="ODW10" s="131"/>
      <c r="ODX10" s="131"/>
      <c r="ODY10" s="131"/>
      <c r="ODZ10" s="131"/>
      <c r="OEA10" s="131"/>
      <c r="OEB10" s="131"/>
      <c r="OEC10" s="131"/>
      <c r="OED10" s="131"/>
      <c r="OEE10" s="131"/>
      <c r="OEF10" s="131"/>
      <c r="OEG10" s="131"/>
      <c r="OEH10" s="131"/>
      <c r="OEI10" s="131"/>
      <c r="OEJ10" s="131"/>
      <c r="OEK10" s="131"/>
      <c r="OEL10" s="131"/>
      <c r="OEM10" s="131"/>
      <c r="OEN10" s="131"/>
      <c r="OEO10" s="131"/>
      <c r="OEP10" s="131"/>
      <c r="OEQ10" s="131"/>
      <c r="OER10" s="131"/>
      <c r="OES10" s="131"/>
      <c r="OET10" s="131"/>
      <c r="OEU10" s="131"/>
      <c r="OEV10" s="131"/>
      <c r="OEW10" s="131"/>
      <c r="OEX10" s="131"/>
      <c r="OEY10" s="131"/>
      <c r="OEZ10" s="131"/>
      <c r="OFA10" s="131"/>
      <c r="OFB10" s="131"/>
      <c r="OFC10" s="131"/>
      <c r="OFD10" s="131"/>
      <c r="OFE10" s="131"/>
      <c r="OFF10" s="131"/>
      <c r="OFG10" s="131"/>
      <c r="OFH10" s="131"/>
      <c r="OFI10" s="131"/>
      <c r="OFJ10" s="131"/>
      <c r="OFK10" s="131"/>
      <c r="OFL10" s="131"/>
      <c r="OFM10" s="131"/>
      <c r="OFN10" s="131"/>
      <c r="OFO10" s="131"/>
      <c r="OFP10" s="131"/>
      <c r="OFQ10" s="131"/>
      <c r="OFR10" s="131"/>
      <c r="OFS10" s="131"/>
      <c r="OFT10" s="131"/>
      <c r="OFU10" s="131"/>
      <c r="OFV10" s="131"/>
      <c r="OFW10" s="131"/>
      <c r="OFX10" s="131"/>
      <c r="OFY10" s="131"/>
      <c r="OFZ10" s="131"/>
      <c r="OGA10" s="131"/>
      <c r="OGB10" s="131"/>
      <c r="OGC10" s="131"/>
      <c r="OGD10" s="131"/>
      <c r="OGE10" s="131"/>
      <c r="OGF10" s="131"/>
      <c r="OGG10" s="131"/>
      <c r="OGH10" s="131"/>
      <c r="OGI10" s="131"/>
      <c r="OGJ10" s="131"/>
      <c r="OGK10" s="131"/>
      <c r="OGL10" s="131"/>
      <c r="OGM10" s="131"/>
      <c r="OGN10" s="131"/>
      <c r="OGO10" s="131"/>
      <c r="OGP10" s="131"/>
      <c r="OGQ10" s="131"/>
      <c r="OGR10" s="131"/>
      <c r="OGS10" s="131"/>
      <c r="OGT10" s="131"/>
      <c r="OGU10" s="131"/>
      <c r="OGV10" s="131"/>
      <c r="OGW10" s="131"/>
      <c r="OGX10" s="131"/>
      <c r="OGY10" s="131"/>
      <c r="OGZ10" s="131"/>
      <c r="OHA10" s="131"/>
      <c r="OHB10" s="131"/>
      <c r="OHC10" s="131"/>
      <c r="OHD10" s="131"/>
      <c r="OHE10" s="131"/>
      <c r="OHF10" s="131"/>
      <c r="OHG10" s="131"/>
      <c r="OHH10" s="131"/>
      <c r="OHI10" s="131"/>
      <c r="OHJ10" s="131"/>
      <c r="OHK10" s="131"/>
      <c r="OHL10" s="131"/>
      <c r="OHM10" s="131"/>
      <c r="OHN10" s="131"/>
      <c r="OHO10" s="131"/>
      <c r="OHP10" s="131"/>
      <c r="OHQ10" s="131"/>
      <c r="OHR10" s="131"/>
      <c r="OHS10" s="131"/>
      <c r="OHT10" s="131"/>
      <c r="OHU10" s="131"/>
      <c r="OHV10" s="131"/>
      <c r="OHW10" s="131"/>
      <c r="OHX10" s="131"/>
      <c r="OHY10" s="131"/>
      <c r="OHZ10" s="131"/>
      <c r="OIA10" s="131"/>
      <c r="OIB10" s="131"/>
      <c r="OIC10" s="131"/>
      <c r="OID10" s="131"/>
      <c r="OIE10" s="131"/>
      <c r="OIF10" s="131"/>
      <c r="OIG10" s="131"/>
      <c r="OIH10" s="131"/>
      <c r="OII10" s="131"/>
      <c r="OIJ10" s="131"/>
      <c r="OIK10" s="131"/>
      <c r="OIL10" s="131"/>
      <c r="OIM10" s="131"/>
      <c r="OIN10" s="131"/>
      <c r="OIO10" s="131"/>
      <c r="OIP10" s="131"/>
      <c r="OIQ10" s="131"/>
      <c r="OIR10" s="131"/>
      <c r="OIS10" s="131"/>
      <c r="OIT10" s="131"/>
      <c r="OIU10" s="131"/>
      <c r="OIV10" s="131"/>
      <c r="OIW10" s="131"/>
      <c r="OIX10" s="131"/>
      <c r="OIY10" s="131"/>
      <c r="OIZ10" s="131"/>
      <c r="OJA10" s="131"/>
      <c r="OJB10" s="131"/>
      <c r="OJC10" s="131"/>
      <c r="OJD10" s="131"/>
      <c r="OJE10" s="131"/>
      <c r="OJF10" s="131"/>
      <c r="OJG10" s="131"/>
      <c r="OJH10" s="131"/>
      <c r="OJI10" s="131"/>
      <c r="OJJ10" s="131"/>
      <c r="OJK10" s="131"/>
      <c r="OJL10" s="131"/>
      <c r="OJM10" s="131"/>
      <c r="OJN10" s="131"/>
      <c r="OJO10" s="131"/>
      <c r="OJP10" s="131"/>
      <c r="OJQ10" s="131"/>
      <c r="OJR10" s="131"/>
      <c r="OJS10" s="131"/>
      <c r="OJT10" s="131"/>
      <c r="OJU10" s="131"/>
      <c r="OJV10" s="131"/>
      <c r="OJW10" s="131"/>
      <c r="OJX10" s="131"/>
      <c r="OJY10" s="131"/>
      <c r="OJZ10" s="131"/>
      <c r="OKA10" s="131"/>
      <c r="OKB10" s="131"/>
      <c r="OKC10" s="131"/>
      <c r="OKD10" s="131"/>
      <c r="OKE10" s="131"/>
      <c r="OKF10" s="131"/>
      <c r="OKG10" s="131"/>
      <c r="OKH10" s="131"/>
      <c r="OKI10" s="131"/>
      <c r="OKJ10" s="131"/>
      <c r="OKK10" s="131"/>
      <c r="OKL10" s="131"/>
      <c r="OKM10" s="131"/>
      <c r="OKN10" s="131"/>
      <c r="OKO10" s="131"/>
      <c r="OKP10" s="131"/>
      <c r="OKQ10" s="131"/>
      <c r="OKR10" s="131"/>
      <c r="OKS10" s="131"/>
      <c r="OKT10" s="131"/>
      <c r="OKU10" s="131"/>
      <c r="OKV10" s="131"/>
      <c r="OKW10" s="131"/>
      <c r="OKX10" s="131"/>
      <c r="OKY10" s="131"/>
      <c r="OKZ10" s="131"/>
      <c r="OLA10" s="131"/>
      <c r="OLB10" s="131"/>
      <c r="OLC10" s="131"/>
      <c r="OLD10" s="131"/>
      <c r="OLE10" s="131"/>
      <c r="OLF10" s="131"/>
      <c r="OLG10" s="131"/>
      <c r="OLH10" s="131"/>
      <c r="OLI10" s="131"/>
      <c r="OLJ10" s="131"/>
      <c r="OLK10" s="131"/>
      <c r="OLL10" s="131"/>
      <c r="OLM10" s="131"/>
      <c r="OLN10" s="131"/>
      <c r="OLO10" s="131"/>
      <c r="OLP10" s="131"/>
      <c r="OLQ10" s="131"/>
      <c r="OLR10" s="131"/>
      <c r="OLS10" s="131"/>
      <c r="OLT10" s="131"/>
      <c r="OLU10" s="131"/>
      <c r="OLV10" s="131"/>
      <c r="OLW10" s="131"/>
      <c r="OLX10" s="131"/>
      <c r="OLY10" s="131"/>
      <c r="OLZ10" s="131"/>
      <c r="OMA10" s="131"/>
      <c r="OMB10" s="131"/>
      <c r="OMC10" s="131"/>
      <c r="OMD10" s="131"/>
      <c r="OME10" s="131"/>
      <c r="OMF10" s="131"/>
      <c r="OMG10" s="131"/>
      <c r="OMH10" s="131"/>
      <c r="OMI10" s="131"/>
      <c r="OMJ10" s="131"/>
      <c r="OMK10" s="131"/>
      <c r="OML10" s="131"/>
      <c r="OMM10" s="131"/>
      <c r="OMN10" s="131"/>
      <c r="OMO10" s="131"/>
      <c r="OMP10" s="131"/>
      <c r="OMQ10" s="131"/>
      <c r="OMR10" s="131"/>
      <c r="OMS10" s="131"/>
      <c r="OMT10" s="131"/>
      <c r="OMU10" s="131"/>
      <c r="OMV10" s="131"/>
      <c r="OMW10" s="131"/>
      <c r="OMX10" s="131"/>
      <c r="OMY10" s="131"/>
      <c r="OMZ10" s="131"/>
      <c r="ONA10" s="131"/>
      <c r="ONB10" s="131"/>
      <c r="ONC10" s="131"/>
      <c r="OND10" s="131"/>
      <c r="ONE10" s="131"/>
      <c r="ONF10" s="131"/>
      <c r="ONG10" s="131"/>
      <c r="ONH10" s="131"/>
      <c r="ONI10" s="131"/>
      <c r="ONJ10" s="131"/>
      <c r="ONK10" s="131"/>
      <c r="ONL10" s="131"/>
      <c r="ONM10" s="131"/>
      <c r="ONN10" s="131"/>
      <c r="ONO10" s="131"/>
      <c r="ONP10" s="131"/>
      <c r="ONQ10" s="131"/>
      <c r="ONR10" s="131"/>
      <c r="ONS10" s="131"/>
      <c r="ONT10" s="131"/>
      <c r="ONU10" s="131"/>
      <c r="ONV10" s="131"/>
      <c r="ONW10" s="131"/>
      <c r="ONX10" s="131"/>
      <c r="ONY10" s="131"/>
      <c r="ONZ10" s="131"/>
      <c r="OOA10" s="131"/>
      <c r="OOB10" s="131"/>
      <c r="OOC10" s="131"/>
      <c r="OOD10" s="131"/>
      <c r="OOE10" s="131"/>
      <c r="OOF10" s="131"/>
      <c r="OOG10" s="131"/>
      <c r="OOH10" s="131"/>
      <c r="OOI10" s="131"/>
      <c r="OOJ10" s="131"/>
      <c r="OOK10" s="131"/>
      <c r="OOL10" s="131"/>
      <c r="OOM10" s="131"/>
      <c r="OON10" s="131"/>
      <c r="OOO10" s="131"/>
      <c r="OOP10" s="131"/>
      <c r="OOQ10" s="131"/>
      <c r="OOR10" s="131"/>
      <c r="OOS10" s="131"/>
      <c r="OOT10" s="131"/>
      <c r="OOU10" s="131"/>
      <c r="OOV10" s="131"/>
      <c r="OOW10" s="131"/>
      <c r="OOX10" s="131"/>
      <c r="OOY10" s="131"/>
      <c r="OOZ10" s="131"/>
      <c r="OPA10" s="131"/>
      <c r="OPB10" s="131"/>
      <c r="OPC10" s="131"/>
      <c r="OPD10" s="131"/>
      <c r="OPE10" s="131"/>
      <c r="OPF10" s="131"/>
      <c r="OPG10" s="131"/>
      <c r="OPH10" s="131"/>
      <c r="OPI10" s="131"/>
      <c r="OPJ10" s="131"/>
      <c r="OPK10" s="131"/>
      <c r="OPL10" s="131"/>
      <c r="OPM10" s="131"/>
      <c r="OPN10" s="131"/>
      <c r="OPO10" s="131"/>
      <c r="OPP10" s="131"/>
      <c r="OPQ10" s="131"/>
      <c r="OPR10" s="131"/>
      <c r="OPS10" s="131"/>
      <c r="OPT10" s="131"/>
      <c r="OPU10" s="131"/>
      <c r="OPV10" s="131"/>
      <c r="OPW10" s="131"/>
      <c r="OPX10" s="131"/>
      <c r="OPY10" s="131"/>
      <c r="OPZ10" s="131"/>
      <c r="OQA10" s="131"/>
      <c r="OQB10" s="131"/>
      <c r="OQC10" s="131"/>
      <c r="OQD10" s="131"/>
      <c r="OQE10" s="131"/>
      <c r="OQF10" s="131"/>
      <c r="OQG10" s="131"/>
      <c r="OQH10" s="131"/>
      <c r="OQI10" s="131"/>
      <c r="OQJ10" s="131"/>
      <c r="OQK10" s="131"/>
      <c r="OQL10" s="131"/>
      <c r="OQM10" s="131"/>
      <c r="OQN10" s="131"/>
      <c r="OQO10" s="131"/>
      <c r="OQP10" s="131"/>
      <c r="OQQ10" s="131"/>
      <c r="OQR10" s="131"/>
      <c r="OQS10" s="131"/>
      <c r="OQT10" s="131"/>
      <c r="OQU10" s="131"/>
      <c r="OQV10" s="131"/>
      <c r="OQW10" s="131"/>
      <c r="OQX10" s="131"/>
      <c r="OQY10" s="131"/>
      <c r="OQZ10" s="131"/>
      <c r="ORA10" s="131"/>
      <c r="ORB10" s="131"/>
      <c r="ORC10" s="131"/>
      <c r="ORD10" s="131"/>
      <c r="ORE10" s="131"/>
      <c r="ORF10" s="131"/>
      <c r="ORG10" s="131"/>
      <c r="ORH10" s="131"/>
      <c r="ORI10" s="131"/>
      <c r="ORJ10" s="131"/>
      <c r="ORK10" s="131"/>
      <c r="ORL10" s="131"/>
      <c r="ORM10" s="131"/>
      <c r="ORN10" s="131"/>
      <c r="ORO10" s="131"/>
      <c r="ORP10" s="131"/>
      <c r="ORQ10" s="131"/>
      <c r="ORR10" s="131"/>
      <c r="ORS10" s="131"/>
      <c r="ORT10" s="131"/>
      <c r="ORU10" s="131"/>
      <c r="ORV10" s="131"/>
      <c r="ORW10" s="131"/>
      <c r="ORX10" s="131"/>
      <c r="ORY10" s="131"/>
      <c r="ORZ10" s="131"/>
      <c r="OSA10" s="131"/>
      <c r="OSB10" s="131"/>
      <c r="OSC10" s="131"/>
      <c r="OSD10" s="131"/>
      <c r="OSE10" s="131"/>
      <c r="OSF10" s="131"/>
      <c r="OSG10" s="131"/>
      <c r="OSH10" s="131"/>
      <c r="OSI10" s="131"/>
      <c r="OSJ10" s="131"/>
      <c r="OSK10" s="131"/>
      <c r="OSL10" s="131"/>
      <c r="OSM10" s="131"/>
      <c r="OSN10" s="131"/>
      <c r="OSO10" s="131"/>
      <c r="OSP10" s="131"/>
      <c r="OSQ10" s="131"/>
      <c r="OSR10" s="131"/>
      <c r="OSS10" s="131"/>
      <c r="OST10" s="131"/>
      <c r="OSU10" s="131"/>
      <c r="OSV10" s="131"/>
      <c r="OSW10" s="131"/>
      <c r="OSX10" s="131"/>
      <c r="OSY10" s="131"/>
      <c r="OSZ10" s="131"/>
      <c r="OTA10" s="131"/>
      <c r="OTB10" s="131"/>
      <c r="OTC10" s="131"/>
      <c r="OTD10" s="131"/>
      <c r="OTE10" s="131"/>
      <c r="OTF10" s="131"/>
      <c r="OTG10" s="131"/>
      <c r="OTH10" s="131"/>
      <c r="OTI10" s="131"/>
      <c r="OTJ10" s="131"/>
      <c r="OTK10" s="131"/>
      <c r="OTL10" s="131"/>
      <c r="OTM10" s="131"/>
      <c r="OTN10" s="131"/>
      <c r="OTO10" s="131"/>
      <c r="OTP10" s="131"/>
      <c r="OTQ10" s="131"/>
      <c r="OTR10" s="131"/>
      <c r="OTS10" s="131"/>
      <c r="OTT10" s="131"/>
      <c r="OTU10" s="131"/>
      <c r="OTV10" s="131"/>
      <c r="OTW10" s="131"/>
      <c r="OTX10" s="131"/>
      <c r="OTY10" s="131"/>
      <c r="OTZ10" s="131"/>
      <c r="OUA10" s="131"/>
      <c r="OUB10" s="131"/>
      <c r="OUC10" s="131"/>
      <c r="OUD10" s="131"/>
      <c r="OUE10" s="131"/>
      <c r="OUF10" s="131"/>
      <c r="OUG10" s="131"/>
      <c r="OUH10" s="131"/>
      <c r="OUI10" s="131"/>
      <c r="OUJ10" s="131"/>
      <c r="OUK10" s="131"/>
      <c r="OUL10" s="131"/>
      <c r="OUM10" s="131"/>
      <c r="OUN10" s="131"/>
      <c r="OUO10" s="131"/>
      <c r="OUP10" s="131"/>
      <c r="OUQ10" s="131"/>
      <c r="OUR10" s="131"/>
      <c r="OUS10" s="131"/>
      <c r="OUT10" s="131"/>
      <c r="OUU10" s="131"/>
      <c r="OUV10" s="131"/>
      <c r="OUW10" s="131"/>
      <c r="OUX10" s="131"/>
      <c r="OUY10" s="131"/>
      <c r="OUZ10" s="131"/>
      <c r="OVA10" s="131"/>
      <c r="OVB10" s="131"/>
      <c r="OVC10" s="131"/>
      <c r="OVD10" s="131"/>
      <c r="OVE10" s="131"/>
      <c r="OVF10" s="131"/>
      <c r="OVG10" s="131"/>
      <c r="OVH10" s="131"/>
      <c r="OVI10" s="131"/>
      <c r="OVJ10" s="131"/>
      <c r="OVK10" s="131"/>
      <c r="OVL10" s="131"/>
      <c r="OVM10" s="131"/>
      <c r="OVN10" s="131"/>
      <c r="OVO10" s="131"/>
      <c r="OVP10" s="131"/>
      <c r="OVQ10" s="131"/>
      <c r="OVR10" s="131"/>
      <c r="OVS10" s="131"/>
      <c r="OVT10" s="131"/>
      <c r="OVU10" s="131"/>
      <c r="OVV10" s="131"/>
      <c r="OVW10" s="131"/>
      <c r="OVX10" s="131"/>
      <c r="OVY10" s="131"/>
      <c r="OVZ10" s="131"/>
      <c r="OWA10" s="131"/>
      <c r="OWB10" s="131"/>
      <c r="OWC10" s="131"/>
      <c r="OWD10" s="131"/>
      <c r="OWE10" s="131"/>
      <c r="OWF10" s="131"/>
      <c r="OWG10" s="131"/>
      <c r="OWH10" s="131"/>
      <c r="OWI10" s="131"/>
      <c r="OWJ10" s="131"/>
      <c r="OWK10" s="131"/>
      <c r="OWL10" s="131"/>
      <c r="OWM10" s="131"/>
      <c r="OWN10" s="131"/>
      <c r="OWO10" s="131"/>
      <c r="OWP10" s="131"/>
      <c r="OWQ10" s="131"/>
      <c r="OWR10" s="131"/>
      <c r="OWS10" s="131"/>
      <c r="OWT10" s="131"/>
      <c r="OWU10" s="131"/>
      <c r="OWV10" s="131"/>
      <c r="OWW10" s="131"/>
      <c r="OWX10" s="131"/>
      <c r="OWY10" s="131"/>
      <c r="OWZ10" s="131"/>
      <c r="OXA10" s="131"/>
      <c r="OXB10" s="131"/>
      <c r="OXC10" s="131"/>
      <c r="OXD10" s="131"/>
      <c r="OXE10" s="131"/>
      <c r="OXF10" s="131"/>
      <c r="OXG10" s="131"/>
      <c r="OXH10" s="131"/>
      <c r="OXI10" s="131"/>
      <c r="OXJ10" s="131"/>
      <c r="OXK10" s="131"/>
      <c r="OXL10" s="131"/>
      <c r="OXM10" s="131"/>
      <c r="OXN10" s="131"/>
      <c r="OXO10" s="131"/>
      <c r="OXP10" s="131"/>
      <c r="OXQ10" s="131"/>
      <c r="OXR10" s="131"/>
      <c r="OXS10" s="131"/>
      <c r="OXT10" s="131"/>
      <c r="OXU10" s="131"/>
      <c r="OXV10" s="131"/>
      <c r="OXW10" s="131"/>
      <c r="OXX10" s="131"/>
      <c r="OXY10" s="131"/>
      <c r="OXZ10" s="131"/>
      <c r="OYA10" s="131"/>
      <c r="OYB10" s="131"/>
      <c r="OYC10" s="131"/>
      <c r="OYD10" s="131"/>
      <c r="OYE10" s="131"/>
      <c r="OYF10" s="131"/>
      <c r="OYG10" s="131"/>
      <c r="OYH10" s="131"/>
      <c r="OYI10" s="131"/>
      <c r="OYJ10" s="131"/>
      <c r="OYK10" s="131"/>
      <c r="OYL10" s="131"/>
      <c r="OYM10" s="131"/>
      <c r="OYN10" s="131"/>
      <c r="OYO10" s="131"/>
      <c r="OYP10" s="131"/>
      <c r="OYQ10" s="131"/>
      <c r="OYR10" s="131"/>
      <c r="OYS10" s="131"/>
      <c r="OYT10" s="131"/>
      <c r="OYU10" s="131"/>
      <c r="OYV10" s="131"/>
      <c r="OYW10" s="131"/>
      <c r="OYX10" s="131"/>
      <c r="OYY10" s="131"/>
      <c r="OYZ10" s="131"/>
      <c r="OZA10" s="131"/>
      <c r="OZB10" s="131"/>
      <c r="OZC10" s="131"/>
      <c r="OZD10" s="131"/>
      <c r="OZE10" s="131"/>
      <c r="OZF10" s="131"/>
      <c r="OZG10" s="131"/>
      <c r="OZH10" s="131"/>
      <c r="OZI10" s="131"/>
      <c r="OZJ10" s="131"/>
      <c r="OZK10" s="131"/>
      <c r="OZL10" s="131"/>
      <c r="OZM10" s="131"/>
      <c r="OZN10" s="131"/>
      <c r="OZO10" s="131"/>
      <c r="OZP10" s="131"/>
      <c r="OZQ10" s="131"/>
      <c r="OZR10" s="131"/>
      <c r="OZS10" s="131"/>
      <c r="OZT10" s="131"/>
      <c r="OZU10" s="131"/>
      <c r="OZV10" s="131"/>
      <c r="OZW10" s="131"/>
      <c r="OZX10" s="131"/>
      <c r="OZY10" s="131"/>
      <c r="OZZ10" s="131"/>
      <c r="PAA10" s="131"/>
      <c r="PAB10" s="131"/>
      <c r="PAC10" s="131"/>
      <c r="PAD10" s="131"/>
      <c r="PAE10" s="131"/>
      <c r="PAF10" s="131"/>
      <c r="PAG10" s="131"/>
      <c r="PAH10" s="131"/>
      <c r="PAI10" s="131"/>
      <c r="PAJ10" s="131"/>
      <c r="PAK10" s="131"/>
      <c r="PAL10" s="131"/>
      <c r="PAM10" s="131"/>
      <c r="PAN10" s="131"/>
      <c r="PAO10" s="131"/>
      <c r="PAP10" s="131"/>
      <c r="PAQ10" s="131"/>
      <c r="PAR10" s="131"/>
      <c r="PAS10" s="131"/>
      <c r="PAT10" s="131"/>
      <c r="PAU10" s="131"/>
      <c r="PAV10" s="131"/>
      <c r="PAW10" s="131"/>
      <c r="PAX10" s="131"/>
      <c r="PAY10" s="131"/>
      <c r="PAZ10" s="131"/>
      <c r="PBA10" s="131"/>
      <c r="PBB10" s="131"/>
      <c r="PBC10" s="131"/>
      <c r="PBD10" s="131"/>
      <c r="PBE10" s="131"/>
      <c r="PBF10" s="131"/>
      <c r="PBG10" s="131"/>
      <c r="PBH10" s="131"/>
      <c r="PBI10" s="131"/>
      <c r="PBJ10" s="131"/>
      <c r="PBK10" s="131"/>
      <c r="PBL10" s="131"/>
      <c r="PBM10" s="131"/>
      <c r="PBN10" s="131"/>
      <c r="PBO10" s="131"/>
      <c r="PBP10" s="131"/>
      <c r="PBQ10" s="131"/>
      <c r="PBR10" s="131"/>
      <c r="PBS10" s="131"/>
      <c r="PBT10" s="131"/>
      <c r="PBU10" s="131"/>
      <c r="PBV10" s="131"/>
      <c r="PBW10" s="131"/>
      <c r="PBX10" s="131"/>
      <c r="PBY10" s="131"/>
      <c r="PBZ10" s="131"/>
      <c r="PCA10" s="131"/>
      <c r="PCB10" s="131"/>
      <c r="PCC10" s="131"/>
      <c r="PCD10" s="131"/>
      <c r="PCE10" s="131"/>
      <c r="PCF10" s="131"/>
      <c r="PCG10" s="131"/>
      <c r="PCH10" s="131"/>
      <c r="PCI10" s="131"/>
      <c r="PCJ10" s="131"/>
      <c r="PCK10" s="131"/>
      <c r="PCL10" s="131"/>
      <c r="PCM10" s="131"/>
      <c r="PCN10" s="131"/>
      <c r="PCO10" s="131"/>
      <c r="PCP10" s="131"/>
      <c r="PCQ10" s="131"/>
      <c r="PCR10" s="131"/>
      <c r="PCS10" s="131"/>
      <c r="PCT10" s="131"/>
      <c r="PCU10" s="131"/>
      <c r="PCV10" s="131"/>
      <c r="PCW10" s="131"/>
      <c r="PCX10" s="131"/>
      <c r="PCY10" s="131"/>
      <c r="PCZ10" s="131"/>
      <c r="PDA10" s="131"/>
      <c r="PDB10" s="131"/>
      <c r="PDC10" s="131"/>
      <c r="PDD10" s="131"/>
      <c r="PDE10" s="131"/>
      <c r="PDF10" s="131"/>
      <c r="PDG10" s="131"/>
      <c r="PDH10" s="131"/>
      <c r="PDI10" s="131"/>
      <c r="PDJ10" s="131"/>
      <c r="PDK10" s="131"/>
      <c r="PDL10" s="131"/>
      <c r="PDM10" s="131"/>
      <c r="PDN10" s="131"/>
      <c r="PDO10" s="131"/>
      <c r="PDP10" s="131"/>
      <c r="PDQ10" s="131"/>
      <c r="PDR10" s="131"/>
      <c r="PDS10" s="131"/>
      <c r="PDT10" s="131"/>
      <c r="PDU10" s="131"/>
      <c r="PDV10" s="131"/>
      <c r="PDW10" s="131"/>
      <c r="PDX10" s="131"/>
      <c r="PDY10" s="131"/>
      <c r="PDZ10" s="131"/>
      <c r="PEA10" s="131"/>
      <c r="PEB10" s="131"/>
      <c r="PEC10" s="131"/>
      <c r="PED10" s="131"/>
      <c r="PEE10" s="131"/>
      <c r="PEF10" s="131"/>
      <c r="PEG10" s="131"/>
      <c r="PEH10" s="131"/>
      <c r="PEI10" s="131"/>
      <c r="PEJ10" s="131"/>
      <c r="PEK10" s="131"/>
      <c r="PEL10" s="131"/>
      <c r="PEM10" s="131"/>
      <c r="PEN10" s="131"/>
      <c r="PEO10" s="131"/>
      <c r="PEP10" s="131"/>
      <c r="PEQ10" s="131"/>
      <c r="PER10" s="131"/>
      <c r="PES10" s="131"/>
      <c r="PET10" s="131"/>
      <c r="PEU10" s="131"/>
      <c r="PEV10" s="131"/>
      <c r="PEW10" s="131"/>
      <c r="PEX10" s="131"/>
      <c r="PEY10" s="131"/>
      <c r="PEZ10" s="131"/>
      <c r="PFA10" s="131"/>
      <c r="PFB10" s="131"/>
      <c r="PFC10" s="131"/>
      <c r="PFD10" s="131"/>
      <c r="PFE10" s="131"/>
      <c r="PFF10" s="131"/>
      <c r="PFG10" s="131"/>
      <c r="PFH10" s="131"/>
      <c r="PFI10" s="131"/>
      <c r="PFJ10" s="131"/>
      <c r="PFK10" s="131"/>
      <c r="PFL10" s="131"/>
      <c r="PFM10" s="131"/>
      <c r="PFN10" s="131"/>
      <c r="PFO10" s="131"/>
      <c r="PFP10" s="131"/>
      <c r="PFQ10" s="131"/>
      <c r="PFR10" s="131"/>
      <c r="PFS10" s="131"/>
      <c r="PFT10" s="131"/>
      <c r="PFU10" s="131"/>
      <c r="PFV10" s="131"/>
      <c r="PFW10" s="131"/>
      <c r="PFX10" s="131"/>
      <c r="PFY10" s="131"/>
      <c r="PFZ10" s="131"/>
      <c r="PGA10" s="131"/>
      <c r="PGB10" s="131"/>
      <c r="PGC10" s="131"/>
      <c r="PGD10" s="131"/>
      <c r="PGE10" s="131"/>
      <c r="PGF10" s="131"/>
      <c r="PGG10" s="131"/>
      <c r="PGH10" s="131"/>
      <c r="PGI10" s="131"/>
      <c r="PGJ10" s="131"/>
      <c r="PGK10" s="131"/>
      <c r="PGL10" s="131"/>
      <c r="PGM10" s="131"/>
      <c r="PGN10" s="131"/>
      <c r="PGO10" s="131"/>
      <c r="PGP10" s="131"/>
      <c r="PGQ10" s="131"/>
      <c r="PGR10" s="131"/>
      <c r="PGS10" s="131"/>
      <c r="PGT10" s="131"/>
      <c r="PGU10" s="131"/>
      <c r="PGV10" s="131"/>
      <c r="PGW10" s="131"/>
      <c r="PGX10" s="131"/>
      <c r="PGY10" s="131"/>
      <c r="PGZ10" s="131"/>
      <c r="PHA10" s="131"/>
      <c r="PHB10" s="131"/>
      <c r="PHC10" s="131"/>
      <c r="PHD10" s="131"/>
      <c r="PHE10" s="131"/>
      <c r="PHF10" s="131"/>
      <c r="PHG10" s="131"/>
      <c r="PHH10" s="131"/>
      <c r="PHI10" s="131"/>
      <c r="PHJ10" s="131"/>
      <c r="PHK10" s="131"/>
      <c r="PHL10" s="131"/>
      <c r="PHM10" s="131"/>
      <c r="PHN10" s="131"/>
      <c r="PHO10" s="131"/>
      <c r="PHP10" s="131"/>
      <c r="PHQ10" s="131"/>
      <c r="PHR10" s="131"/>
      <c r="PHS10" s="131"/>
      <c r="PHT10" s="131"/>
      <c r="PHU10" s="131"/>
      <c r="PHV10" s="131"/>
      <c r="PHW10" s="131"/>
      <c r="PHX10" s="131"/>
      <c r="PHY10" s="131"/>
      <c r="PHZ10" s="131"/>
      <c r="PIA10" s="131"/>
      <c r="PIB10" s="131"/>
      <c r="PIC10" s="131"/>
      <c r="PID10" s="131"/>
      <c r="PIE10" s="131"/>
      <c r="PIF10" s="131"/>
      <c r="PIG10" s="131"/>
      <c r="PIH10" s="131"/>
      <c r="PII10" s="131"/>
      <c r="PIJ10" s="131"/>
      <c r="PIK10" s="131"/>
      <c r="PIL10" s="131"/>
      <c r="PIM10" s="131"/>
      <c r="PIN10" s="131"/>
      <c r="PIO10" s="131"/>
      <c r="PIP10" s="131"/>
      <c r="PIQ10" s="131"/>
      <c r="PIR10" s="131"/>
      <c r="PIS10" s="131"/>
      <c r="PIT10" s="131"/>
      <c r="PIU10" s="131"/>
      <c r="PIV10" s="131"/>
      <c r="PIW10" s="131"/>
      <c r="PIX10" s="131"/>
      <c r="PIY10" s="131"/>
      <c r="PIZ10" s="131"/>
      <c r="PJA10" s="131"/>
      <c r="PJB10" s="131"/>
      <c r="PJC10" s="131"/>
      <c r="PJD10" s="131"/>
      <c r="PJE10" s="131"/>
      <c r="PJF10" s="131"/>
      <c r="PJG10" s="131"/>
      <c r="PJH10" s="131"/>
      <c r="PJI10" s="131"/>
      <c r="PJJ10" s="131"/>
      <c r="PJK10" s="131"/>
      <c r="PJL10" s="131"/>
      <c r="PJM10" s="131"/>
      <c r="PJN10" s="131"/>
      <c r="PJO10" s="131"/>
      <c r="PJP10" s="131"/>
      <c r="PJQ10" s="131"/>
      <c r="PJR10" s="131"/>
      <c r="PJS10" s="131"/>
      <c r="PJT10" s="131"/>
      <c r="PJU10" s="131"/>
      <c r="PJV10" s="131"/>
      <c r="PJW10" s="131"/>
      <c r="PJX10" s="131"/>
      <c r="PJY10" s="131"/>
      <c r="PJZ10" s="131"/>
      <c r="PKA10" s="131"/>
      <c r="PKB10" s="131"/>
      <c r="PKC10" s="131"/>
      <c r="PKD10" s="131"/>
      <c r="PKE10" s="131"/>
      <c r="PKF10" s="131"/>
      <c r="PKG10" s="131"/>
      <c r="PKH10" s="131"/>
      <c r="PKI10" s="131"/>
      <c r="PKJ10" s="131"/>
      <c r="PKK10" s="131"/>
      <c r="PKL10" s="131"/>
      <c r="PKM10" s="131"/>
      <c r="PKN10" s="131"/>
      <c r="PKO10" s="131"/>
      <c r="PKP10" s="131"/>
      <c r="PKQ10" s="131"/>
      <c r="PKR10" s="131"/>
      <c r="PKS10" s="131"/>
      <c r="PKT10" s="131"/>
      <c r="PKU10" s="131"/>
      <c r="PKV10" s="131"/>
      <c r="PKW10" s="131"/>
      <c r="PKX10" s="131"/>
      <c r="PKY10" s="131"/>
      <c r="PKZ10" s="131"/>
      <c r="PLA10" s="131"/>
      <c r="PLB10" s="131"/>
      <c r="PLC10" s="131"/>
      <c r="PLD10" s="131"/>
      <c r="PLE10" s="131"/>
      <c r="PLF10" s="131"/>
      <c r="PLG10" s="131"/>
      <c r="PLH10" s="131"/>
      <c r="PLI10" s="131"/>
      <c r="PLJ10" s="131"/>
      <c r="PLK10" s="131"/>
      <c r="PLL10" s="131"/>
      <c r="PLM10" s="131"/>
      <c r="PLN10" s="131"/>
      <c r="PLO10" s="131"/>
      <c r="PLP10" s="131"/>
      <c r="PLQ10" s="131"/>
      <c r="PLR10" s="131"/>
      <c r="PLS10" s="131"/>
      <c r="PLT10" s="131"/>
      <c r="PLU10" s="131"/>
      <c r="PLV10" s="131"/>
      <c r="PLW10" s="131"/>
      <c r="PLX10" s="131"/>
      <c r="PLY10" s="131"/>
      <c r="PLZ10" s="131"/>
      <c r="PMA10" s="131"/>
      <c r="PMB10" s="131"/>
      <c r="PMC10" s="131"/>
      <c r="PMD10" s="131"/>
      <c r="PME10" s="131"/>
      <c r="PMF10" s="131"/>
      <c r="PMG10" s="131"/>
      <c r="PMH10" s="131"/>
      <c r="PMI10" s="131"/>
      <c r="PMJ10" s="131"/>
      <c r="PMK10" s="131"/>
      <c r="PML10" s="131"/>
      <c r="PMM10" s="131"/>
      <c r="PMN10" s="131"/>
      <c r="PMO10" s="131"/>
      <c r="PMP10" s="131"/>
      <c r="PMQ10" s="131"/>
      <c r="PMR10" s="131"/>
      <c r="PMS10" s="131"/>
      <c r="PMT10" s="131"/>
      <c r="PMU10" s="131"/>
      <c r="PMV10" s="131"/>
      <c r="PMW10" s="131"/>
      <c r="PMX10" s="131"/>
      <c r="PMY10" s="131"/>
      <c r="PMZ10" s="131"/>
      <c r="PNA10" s="131"/>
      <c r="PNB10" s="131"/>
      <c r="PNC10" s="131"/>
      <c r="PND10" s="131"/>
      <c r="PNE10" s="131"/>
      <c r="PNF10" s="131"/>
      <c r="PNG10" s="131"/>
      <c r="PNH10" s="131"/>
      <c r="PNI10" s="131"/>
      <c r="PNJ10" s="131"/>
      <c r="PNK10" s="131"/>
      <c r="PNL10" s="131"/>
      <c r="PNM10" s="131"/>
      <c r="PNN10" s="131"/>
      <c r="PNO10" s="131"/>
      <c r="PNP10" s="131"/>
      <c r="PNQ10" s="131"/>
      <c r="PNR10" s="131"/>
      <c r="PNS10" s="131"/>
      <c r="PNT10" s="131"/>
      <c r="PNU10" s="131"/>
      <c r="PNV10" s="131"/>
      <c r="PNW10" s="131"/>
      <c r="PNX10" s="131"/>
      <c r="PNY10" s="131"/>
      <c r="PNZ10" s="131"/>
      <c r="POA10" s="131"/>
      <c r="POB10" s="131"/>
      <c r="POC10" s="131"/>
      <c r="POD10" s="131"/>
      <c r="POE10" s="131"/>
      <c r="POF10" s="131"/>
      <c r="POG10" s="131"/>
      <c r="POH10" s="131"/>
      <c r="POI10" s="131"/>
      <c r="POJ10" s="131"/>
      <c r="POK10" s="131"/>
      <c r="POL10" s="131"/>
      <c r="POM10" s="131"/>
      <c r="PON10" s="131"/>
      <c r="POO10" s="131"/>
    </row>
    <row r="11" spans="1:1013 1026:2037 2050:3061 3074:4085 4098:5109 5122:6133 6146:7157 7170:8181 8194:9205 9218:10229 10242:11221" s="134" customFormat="1" ht="14.95" customHeight="1" thickBot="1" x14ac:dyDescent="0.3">
      <c r="A11" s="309" t="s">
        <v>234</v>
      </c>
      <c r="B11" s="310" t="s">
        <v>104</v>
      </c>
      <c r="C11" s="93" t="s">
        <v>431</v>
      </c>
      <c r="D11" s="94" t="s">
        <v>299</v>
      </c>
      <c r="E11" s="94" t="s">
        <v>34</v>
      </c>
      <c r="F11" s="94">
        <v>16</v>
      </c>
      <c r="G11" s="94">
        <v>17</v>
      </c>
      <c r="H11" s="94">
        <v>0</v>
      </c>
      <c r="I11" s="94">
        <v>1</v>
      </c>
      <c r="J11" s="94">
        <v>1</v>
      </c>
      <c r="K11" s="94">
        <v>1</v>
      </c>
      <c r="L11" s="94">
        <v>0</v>
      </c>
      <c r="M11" s="94">
        <v>3</v>
      </c>
      <c r="N11" s="94">
        <v>0</v>
      </c>
      <c r="O11" s="94">
        <v>0</v>
      </c>
      <c r="P11" s="94">
        <v>0</v>
      </c>
      <c r="Q11" s="94">
        <v>0</v>
      </c>
      <c r="R11" s="94">
        <v>2</v>
      </c>
      <c r="S11" s="311">
        <v>13289</v>
      </c>
      <c r="T11" s="632" t="s">
        <v>564</v>
      </c>
      <c r="U11" s="313" t="s">
        <v>565</v>
      </c>
      <c r="V11" s="311" t="s">
        <v>566</v>
      </c>
      <c r="W11" s="311" t="s">
        <v>568</v>
      </c>
      <c r="X11" s="88" t="s">
        <v>567</v>
      </c>
      <c r="Y11" s="311">
        <v>1</v>
      </c>
      <c r="Z11" s="311">
        <v>0</v>
      </c>
      <c r="AA11" s="311">
        <v>0</v>
      </c>
      <c r="AB11" s="311">
        <v>1</v>
      </c>
      <c r="AC11" s="311">
        <v>1</v>
      </c>
      <c r="AD11" s="311">
        <v>0</v>
      </c>
      <c r="AE11" s="311">
        <v>0</v>
      </c>
      <c r="AF11" s="311">
        <v>1</v>
      </c>
      <c r="AG11" s="311">
        <v>0</v>
      </c>
      <c r="AH11" s="311">
        <v>0</v>
      </c>
      <c r="AI11" s="311">
        <v>0</v>
      </c>
      <c r="AJ11" s="313">
        <v>0</v>
      </c>
      <c r="AK11" s="311">
        <v>0</v>
      </c>
      <c r="AL11" s="311">
        <v>0</v>
      </c>
      <c r="AM11" s="311">
        <v>0</v>
      </c>
      <c r="AN11" s="313">
        <v>0</v>
      </c>
      <c r="AO11" s="133"/>
      <c r="AP11" s="175" t="s">
        <v>75</v>
      </c>
      <c r="AQ11" s="176">
        <f>Bthhisttriesconceded</f>
        <v>1024</v>
      </c>
      <c r="AR11" s="133"/>
      <c r="AS11" s="177" t="s">
        <v>73</v>
      </c>
      <c r="AT11" s="189">
        <f>btheuropeancuphisttriesscored</f>
        <v>230</v>
      </c>
      <c r="AU11" s="179" t="s">
        <v>73</v>
      </c>
      <c r="AV11" s="180">
        <f>bthchampscuphisttriesscored</f>
        <v>66</v>
      </c>
      <c r="AW11" s="181" t="s">
        <v>73</v>
      </c>
      <c r="AX11" s="178">
        <f>bthchallcuphisttriesscored</f>
        <v>262</v>
      </c>
      <c r="AY11" s="182" t="s">
        <v>73</v>
      </c>
      <c r="AZ11" s="183">
        <f t="shared" si="0"/>
        <v>492</v>
      </c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  <c r="BRS11" s="133"/>
      <c r="BRT11" s="133"/>
      <c r="BRU11" s="133"/>
      <c r="BRV11" s="133"/>
      <c r="BRW11" s="133"/>
      <c r="BRX11" s="133"/>
      <c r="BRY11" s="133"/>
      <c r="BRZ11" s="133"/>
      <c r="BSA11" s="133"/>
      <c r="BSB11" s="133"/>
      <c r="BSC11" s="133"/>
      <c r="BSD11" s="133"/>
      <c r="BSE11" s="133"/>
      <c r="BSF11" s="133"/>
      <c r="BSG11" s="133"/>
      <c r="BSH11" s="133"/>
      <c r="BSI11" s="133"/>
      <c r="BSJ11" s="133"/>
      <c r="BSK11" s="133"/>
      <c r="BSL11" s="133"/>
      <c r="BSM11" s="133"/>
      <c r="BSN11" s="133"/>
      <c r="BSO11" s="133"/>
      <c r="BSP11" s="133"/>
      <c r="BSQ11" s="133"/>
      <c r="BSR11" s="133"/>
      <c r="BSS11" s="133"/>
      <c r="BST11" s="133"/>
      <c r="BSU11" s="133"/>
      <c r="BSV11" s="133"/>
      <c r="BSW11" s="133"/>
      <c r="BSX11" s="133"/>
      <c r="BSY11" s="133"/>
      <c r="BSZ11" s="133"/>
      <c r="BTA11" s="133"/>
      <c r="BTB11" s="133"/>
      <c r="BTC11" s="133"/>
      <c r="BTD11" s="133"/>
      <c r="BTE11" s="133"/>
      <c r="BTF11" s="133"/>
      <c r="BTG11" s="133"/>
      <c r="BTH11" s="133"/>
      <c r="BTI11" s="133"/>
      <c r="BTJ11" s="133"/>
      <c r="BTK11" s="133"/>
      <c r="BTL11" s="133"/>
      <c r="BTM11" s="133"/>
      <c r="BTN11" s="133"/>
      <c r="BTO11" s="133"/>
      <c r="BTP11" s="133"/>
      <c r="BTQ11" s="133"/>
      <c r="BTR11" s="133"/>
      <c r="BTS11" s="133"/>
      <c r="BTT11" s="133"/>
      <c r="BTU11" s="133"/>
      <c r="BTV11" s="133"/>
      <c r="BTW11" s="133"/>
      <c r="BTX11" s="133"/>
      <c r="BTY11" s="133"/>
      <c r="BTZ11" s="133"/>
      <c r="BUA11" s="133"/>
      <c r="BUB11" s="133"/>
      <c r="BUC11" s="133"/>
      <c r="BUD11" s="133"/>
      <c r="BUE11" s="133"/>
      <c r="BUF11" s="133"/>
      <c r="BUG11" s="133"/>
      <c r="BUH11" s="133"/>
      <c r="BUI11" s="133"/>
      <c r="BUJ11" s="133"/>
      <c r="BUK11" s="133"/>
      <c r="BUL11" s="133"/>
      <c r="BUM11" s="133"/>
      <c r="BUN11" s="133"/>
      <c r="BUO11" s="133"/>
      <c r="BUP11" s="133"/>
      <c r="BUQ11" s="133"/>
      <c r="BUR11" s="133"/>
      <c r="BUS11" s="133"/>
      <c r="BUT11" s="133"/>
      <c r="BUU11" s="133"/>
      <c r="BUV11" s="133"/>
      <c r="BUW11" s="133"/>
      <c r="BUX11" s="133"/>
      <c r="BUY11" s="133"/>
      <c r="BUZ11" s="133"/>
      <c r="BVA11" s="133"/>
      <c r="BVB11" s="133"/>
      <c r="BVC11" s="133"/>
      <c r="BVD11" s="133"/>
      <c r="BVE11" s="133"/>
      <c r="BVF11" s="133"/>
      <c r="BVG11" s="133"/>
      <c r="BVH11" s="133"/>
      <c r="BVI11" s="133"/>
      <c r="BVJ11" s="133"/>
      <c r="BVK11" s="133"/>
      <c r="BVL11" s="133"/>
      <c r="BVM11" s="133"/>
      <c r="BVN11" s="133"/>
      <c r="BVO11" s="133"/>
      <c r="BVP11" s="133"/>
      <c r="BVQ11" s="133"/>
      <c r="BVR11" s="133"/>
      <c r="BVS11" s="133"/>
      <c r="BVT11" s="133"/>
      <c r="BVU11" s="133"/>
      <c r="BVV11" s="133"/>
      <c r="BVW11" s="133"/>
      <c r="BVX11" s="133"/>
      <c r="BVY11" s="133"/>
      <c r="BVZ11" s="133"/>
      <c r="BWA11" s="133"/>
      <c r="BWB11" s="133"/>
      <c r="BWC11" s="133"/>
      <c r="BWD11" s="133"/>
      <c r="BWE11" s="133"/>
      <c r="BWF11" s="133"/>
      <c r="BWG11" s="133"/>
      <c r="BWH11" s="133"/>
      <c r="BWI11" s="133"/>
      <c r="BWJ11" s="133"/>
      <c r="BWK11" s="133"/>
      <c r="BWL11" s="133"/>
      <c r="BWM11" s="133"/>
      <c r="BWN11" s="133"/>
      <c r="BWO11" s="133"/>
      <c r="BWP11" s="133"/>
      <c r="BWQ11" s="133"/>
      <c r="BWR11" s="133"/>
      <c r="BWS11" s="133"/>
      <c r="BWT11" s="133"/>
      <c r="BWU11" s="133"/>
      <c r="BWV11" s="133"/>
      <c r="BWW11" s="133"/>
      <c r="BWX11" s="133"/>
      <c r="BWY11" s="133"/>
      <c r="BWZ11" s="133"/>
      <c r="BXA11" s="133"/>
      <c r="BXB11" s="133"/>
      <c r="BXC11" s="133"/>
      <c r="BXD11" s="133"/>
      <c r="BXE11" s="133"/>
      <c r="BXF11" s="133"/>
      <c r="BXG11" s="133"/>
      <c r="BXH11" s="133"/>
      <c r="BXI11" s="133"/>
      <c r="BXJ11" s="133"/>
      <c r="BXK11" s="133"/>
      <c r="BXL11" s="133"/>
      <c r="BXM11" s="133"/>
      <c r="BXN11" s="133"/>
      <c r="BXO11" s="133"/>
      <c r="BXP11" s="133"/>
      <c r="BXQ11" s="133"/>
      <c r="BXR11" s="133"/>
      <c r="BXS11" s="133"/>
      <c r="BXT11" s="133"/>
      <c r="BXU11" s="133"/>
      <c r="BXV11" s="133"/>
      <c r="BXW11" s="133"/>
      <c r="BXX11" s="133"/>
      <c r="BXY11" s="133"/>
      <c r="BXZ11" s="133"/>
      <c r="BYA11" s="133"/>
      <c r="BYB11" s="133"/>
      <c r="BYC11" s="133"/>
      <c r="BYD11" s="133"/>
      <c r="BYE11" s="133"/>
      <c r="BYF11" s="133"/>
      <c r="BYG11" s="133"/>
      <c r="BYH11" s="133"/>
      <c r="BYI11" s="133"/>
      <c r="BYJ11" s="133"/>
      <c r="BYK11" s="133"/>
      <c r="BYL11" s="133"/>
      <c r="BYM11" s="133"/>
      <c r="BYN11" s="133"/>
      <c r="BYO11" s="133"/>
      <c r="BYP11" s="133"/>
      <c r="BYQ11" s="133"/>
      <c r="BYR11" s="133"/>
      <c r="BYS11" s="133"/>
      <c r="BYT11" s="133"/>
      <c r="BYU11" s="133"/>
      <c r="BYV11" s="133"/>
      <c r="BYW11" s="133"/>
      <c r="BYX11" s="133"/>
      <c r="BYY11" s="133"/>
      <c r="BYZ11" s="133"/>
      <c r="BZA11" s="133"/>
      <c r="BZB11" s="133"/>
      <c r="BZC11" s="133"/>
      <c r="BZD11" s="133"/>
      <c r="BZE11" s="133"/>
      <c r="BZF11" s="133"/>
      <c r="BZG11" s="133"/>
      <c r="BZH11" s="133"/>
      <c r="BZI11" s="133"/>
      <c r="BZV11" s="133"/>
      <c r="BZW11" s="133"/>
      <c r="BZX11" s="133"/>
      <c r="BZY11" s="133"/>
      <c r="BZZ11" s="133"/>
      <c r="CAA11" s="133"/>
      <c r="CAB11" s="133"/>
      <c r="CAC11" s="133"/>
      <c r="CAD11" s="133"/>
      <c r="CAE11" s="133"/>
      <c r="CAF11" s="133"/>
      <c r="CAG11" s="133"/>
      <c r="CAH11" s="133"/>
      <c r="CAI11" s="133"/>
      <c r="CAJ11" s="133"/>
      <c r="CAK11" s="133"/>
      <c r="CAL11" s="133"/>
      <c r="CAM11" s="133"/>
      <c r="CAN11" s="133"/>
      <c r="CAO11" s="133"/>
      <c r="CAP11" s="133"/>
      <c r="CAQ11" s="133"/>
      <c r="CAR11" s="133"/>
      <c r="CAS11" s="133"/>
      <c r="CAT11" s="133"/>
      <c r="CAU11" s="133"/>
      <c r="CAV11" s="133"/>
      <c r="CAW11" s="133"/>
      <c r="CAX11" s="133"/>
      <c r="CAY11" s="133"/>
      <c r="CAZ11" s="133"/>
      <c r="CBA11" s="133"/>
      <c r="CBB11" s="133"/>
      <c r="CBC11" s="133"/>
      <c r="CBD11" s="133"/>
      <c r="CBE11" s="133"/>
      <c r="CBF11" s="133"/>
      <c r="CBG11" s="133"/>
      <c r="CBH11" s="133"/>
      <c r="CBI11" s="133"/>
      <c r="CBJ11" s="133"/>
      <c r="CBK11" s="133"/>
      <c r="CBL11" s="133"/>
      <c r="CBM11" s="133"/>
      <c r="CBN11" s="133"/>
      <c r="CBO11" s="133"/>
      <c r="CBP11" s="133"/>
      <c r="CBQ11" s="133"/>
      <c r="CBR11" s="133"/>
      <c r="CBS11" s="133"/>
      <c r="CBT11" s="133"/>
      <c r="CBU11" s="133"/>
      <c r="CBV11" s="133"/>
      <c r="CBW11" s="133"/>
      <c r="CBX11" s="133"/>
      <c r="CBY11" s="133"/>
      <c r="CBZ11" s="133"/>
      <c r="CCA11" s="133"/>
      <c r="CCB11" s="133"/>
      <c r="CCC11" s="133"/>
      <c r="CCD11" s="133"/>
      <c r="CCE11" s="133"/>
      <c r="CCF11" s="133"/>
      <c r="CCG11" s="133"/>
      <c r="CCH11" s="133"/>
      <c r="CCI11" s="133"/>
      <c r="CCJ11" s="133"/>
      <c r="CCK11" s="133"/>
      <c r="CCL11" s="133"/>
      <c r="CCM11" s="133"/>
      <c r="CCN11" s="133"/>
      <c r="CCO11" s="133"/>
      <c r="CCP11" s="133"/>
      <c r="CCQ11" s="133"/>
      <c r="CCR11" s="133"/>
      <c r="CCS11" s="133"/>
      <c r="CCT11" s="133"/>
      <c r="CCU11" s="133"/>
      <c r="CCV11" s="133"/>
      <c r="CCW11" s="133"/>
      <c r="CCX11" s="133"/>
      <c r="CCY11" s="133"/>
      <c r="CCZ11" s="133"/>
      <c r="CDA11" s="133"/>
      <c r="CDB11" s="133"/>
      <c r="CDC11" s="133"/>
      <c r="CDD11" s="133"/>
      <c r="CDE11" s="133"/>
      <c r="CDF11" s="133"/>
      <c r="CDG11" s="133"/>
      <c r="CDH11" s="133"/>
      <c r="CDI11" s="133"/>
      <c r="CDJ11" s="133"/>
      <c r="CDK11" s="133"/>
      <c r="CDL11" s="133"/>
      <c r="CDM11" s="133"/>
      <c r="CDN11" s="133"/>
      <c r="CDO11" s="133"/>
      <c r="CDP11" s="133"/>
      <c r="CDQ11" s="133"/>
      <c r="CDR11" s="133"/>
      <c r="CDS11" s="133"/>
      <c r="CDT11" s="133"/>
      <c r="CDU11" s="133"/>
      <c r="CDV11" s="133"/>
      <c r="CDW11" s="133"/>
      <c r="CDX11" s="133"/>
      <c r="CDY11" s="133"/>
      <c r="CDZ11" s="133"/>
      <c r="CEA11" s="133"/>
      <c r="CEB11" s="133"/>
      <c r="CEC11" s="133"/>
      <c r="CED11" s="133"/>
      <c r="CEE11" s="133"/>
      <c r="CEF11" s="133"/>
      <c r="CEG11" s="133"/>
      <c r="CEH11" s="133"/>
      <c r="CEI11" s="133"/>
      <c r="CEJ11" s="133"/>
      <c r="CEK11" s="133"/>
      <c r="CEL11" s="133"/>
      <c r="CEM11" s="133"/>
      <c r="CEN11" s="133"/>
      <c r="CEO11" s="133"/>
      <c r="CEP11" s="133"/>
      <c r="CEQ11" s="133"/>
      <c r="CER11" s="133"/>
      <c r="CES11" s="133"/>
      <c r="CET11" s="133"/>
      <c r="CEU11" s="133"/>
      <c r="CEV11" s="133"/>
      <c r="CEW11" s="133"/>
      <c r="CEX11" s="133"/>
      <c r="CEY11" s="133"/>
      <c r="CEZ11" s="133"/>
      <c r="CFA11" s="133"/>
      <c r="CFB11" s="133"/>
      <c r="CFC11" s="133"/>
      <c r="CFD11" s="133"/>
      <c r="CFE11" s="133"/>
      <c r="CFF11" s="133"/>
      <c r="CFG11" s="133"/>
      <c r="CFH11" s="133"/>
      <c r="CFI11" s="133"/>
      <c r="CFJ11" s="133"/>
      <c r="CFK11" s="133"/>
      <c r="CFL11" s="133"/>
      <c r="CFM11" s="133"/>
      <c r="CFN11" s="133"/>
      <c r="CFO11" s="133"/>
      <c r="CFP11" s="133"/>
      <c r="CFQ11" s="133"/>
      <c r="CFR11" s="133"/>
      <c r="CFS11" s="133"/>
      <c r="CFT11" s="133"/>
      <c r="CFU11" s="133"/>
      <c r="CFV11" s="133"/>
      <c r="CFW11" s="133"/>
      <c r="CFX11" s="133"/>
      <c r="CFY11" s="133"/>
      <c r="CFZ11" s="133"/>
      <c r="CGA11" s="133"/>
      <c r="CGB11" s="133"/>
      <c r="CGC11" s="133"/>
      <c r="CGD11" s="133"/>
      <c r="CGE11" s="133"/>
      <c r="CGF11" s="133"/>
      <c r="CGG11" s="133"/>
      <c r="CGH11" s="133"/>
      <c r="CGI11" s="133"/>
      <c r="CGJ11" s="133"/>
      <c r="CGK11" s="133"/>
      <c r="CGL11" s="133"/>
      <c r="CGM11" s="133"/>
      <c r="CGN11" s="133"/>
      <c r="CGO11" s="133"/>
      <c r="CGP11" s="133"/>
      <c r="CGQ11" s="133"/>
      <c r="CGR11" s="133"/>
      <c r="CGS11" s="133"/>
      <c r="CGT11" s="133"/>
      <c r="CGU11" s="133"/>
      <c r="CGV11" s="133"/>
      <c r="CGW11" s="133"/>
      <c r="CGX11" s="133"/>
      <c r="CGY11" s="133"/>
      <c r="CGZ11" s="133"/>
      <c r="CHA11" s="133"/>
      <c r="CHB11" s="133"/>
      <c r="CHC11" s="133"/>
      <c r="CHD11" s="133"/>
      <c r="CHE11" s="133"/>
      <c r="CHF11" s="133"/>
      <c r="CHG11" s="133"/>
      <c r="CHH11" s="133"/>
      <c r="CHI11" s="133"/>
      <c r="CHJ11" s="133"/>
      <c r="CHK11" s="133"/>
      <c r="CHL11" s="133"/>
      <c r="CHM11" s="133"/>
      <c r="CHN11" s="133"/>
      <c r="CHO11" s="133"/>
      <c r="CHP11" s="133"/>
      <c r="CHQ11" s="133"/>
      <c r="CHR11" s="133"/>
      <c r="CHS11" s="133"/>
      <c r="CHT11" s="133"/>
      <c r="CHU11" s="133"/>
      <c r="CHV11" s="133"/>
      <c r="CHW11" s="133"/>
      <c r="CHX11" s="133"/>
      <c r="CHY11" s="133"/>
      <c r="CHZ11" s="133"/>
      <c r="CIA11" s="133"/>
      <c r="CIB11" s="133"/>
      <c r="CIC11" s="133"/>
      <c r="CID11" s="133"/>
      <c r="CIE11" s="133"/>
      <c r="CIF11" s="133"/>
      <c r="CIG11" s="133"/>
      <c r="CIH11" s="133"/>
      <c r="CII11" s="133"/>
      <c r="CIJ11" s="133"/>
      <c r="CIK11" s="133"/>
      <c r="CIL11" s="133"/>
      <c r="CIM11" s="133"/>
      <c r="CIN11" s="133"/>
      <c r="CIO11" s="133"/>
      <c r="CIP11" s="133"/>
      <c r="CIQ11" s="133"/>
      <c r="CIR11" s="133"/>
      <c r="CIS11" s="133"/>
      <c r="CIT11" s="133"/>
      <c r="CIU11" s="133"/>
      <c r="CIV11" s="133"/>
      <c r="CIW11" s="133"/>
      <c r="CIX11" s="133"/>
      <c r="CIY11" s="133"/>
      <c r="CIZ11" s="133"/>
      <c r="CJA11" s="133"/>
      <c r="CJB11" s="133"/>
      <c r="CJC11" s="133"/>
      <c r="CJD11" s="133"/>
      <c r="CJE11" s="133"/>
      <c r="CJF11" s="133"/>
      <c r="CJG11" s="133"/>
      <c r="CJH11" s="133"/>
      <c r="CJI11" s="133"/>
      <c r="CJJ11" s="133"/>
      <c r="CJK11" s="133"/>
      <c r="CJL11" s="133"/>
      <c r="CJM11" s="133"/>
      <c r="CJN11" s="133"/>
      <c r="CJO11" s="133"/>
      <c r="CJP11" s="133"/>
      <c r="CJQ11" s="133"/>
      <c r="CJR11" s="133"/>
      <c r="CJS11" s="133"/>
      <c r="CJT11" s="133"/>
      <c r="CJU11" s="133"/>
      <c r="CJV11" s="133"/>
      <c r="CJW11" s="133"/>
      <c r="CJX11" s="133"/>
      <c r="CJY11" s="133"/>
      <c r="CJZ11" s="133"/>
      <c r="CKA11" s="133"/>
      <c r="CKB11" s="133"/>
      <c r="CKC11" s="133"/>
      <c r="CKD11" s="133"/>
      <c r="CKE11" s="133"/>
      <c r="CKF11" s="133"/>
      <c r="CKG11" s="133"/>
      <c r="CKH11" s="133"/>
      <c r="CKI11" s="133"/>
      <c r="CKJ11" s="133"/>
      <c r="CKK11" s="133"/>
      <c r="CKL11" s="133"/>
      <c r="CKM11" s="133"/>
      <c r="CKN11" s="133"/>
      <c r="CKO11" s="133"/>
      <c r="CKP11" s="133"/>
      <c r="CKQ11" s="133"/>
      <c r="CKR11" s="133"/>
      <c r="CKS11" s="133"/>
      <c r="CKT11" s="133"/>
      <c r="CKU11" s="133"/>
      <c r="CKV11" s="133"/>
      <c r="CKW11" s="133"/>
      <c r="CKX11" s="133"/>
      <c r="CKY11" s="133"/>
      <c r="CKZ11" s="133"/>
      <c r="CLA11" s="133"/>
      <c r="CLB11" s="133"/>
      <c r="CLC11" s="133"/>
      <c r="CLD11" s="133"/>
      <c r="CLE11" s="133"/>
      <c r="CLF11" s="133"/>
      <c r="CLG11" s="133"/>
      <c r="CLH11" s="133"/>
      <c r="CLI11" s="133"/>
      <c r="CLJ11" s="133"/>
      <c r="CLK11" s="133"/>
      <c r="CLL11" s="133"/>
      <c r="CLM11" s="133"/>
      <c r="CLN11" s="133"/>
      <c r="CLO11" s="133"/>
      <c r="CLP11" s="133"/>
      <c r="CLQ11" s="133"/>
      <c r="CLR11" s="133"/>
      <c r="CLS11" s="133"/>
      <c r="CLT11" s="133"/>
      <c r="CLU11" s="133"/>
      <c r="CLV11" s="133"/>
      <c r="CLW11" s="133"/>
      <c r="CLX11" s="133"/>
      <c r="CLY11" s="133"/>
      <c r="CLZ11" s="133"/>
      <c r="CMA11" s="133"/>
      <c r="CMB11" s="133"/>
      <c r="CMC11" s="133"/>
      <c r="CMD11" s="133"/>
      <c r="CME11" s="133"/>
      <c r="CMF11" s="133"/>
      <c r="CMG11" s="133"/>
      <c r="CMH11" s="133"/>
      <c r="CMI11" s="133"/>
      <c r="CMJ11" s="133"/>
      <c r="CMK11" s="133"/>
      <c r="CML11" s="133"/>
      <c r="CMM11" s="133"/>
      <c r="CMN11" s="133"/>
      <c r="CMO11" s="133"/>
      <c r="CMP11" s="133"/>
      <c r="CMQ11" s="133"/>
      <c r="CMR11" s="133"/>
      <c r="CMS11" s="133"/>
      <c r="CMT11" s="133"/>
      <c r="CMU11" s="133"/>
      <c r="CMV11" s="133"/>
      <c r="CMW11" s="133"/>
      <c r="CMX11" s="133"/>
      <c r="CMY11" s="133"/>
      <c r="CMZ11" s="133"/>
      <c r="CNA11" s="133"/>
      <c r="CNB11" s="133"/>
      <c r="CNC11" s="133"/>
      <c r="CND11" s="133"/>
      <c r="CNE11" s="133"/>
      <c r="CNF11" s="133"/>
      <c r="CNG11" s="133"/>
      <c r="CNH11" s="133"/>
      <c r="CNI11" s="133"/>
      <c r="CNJ11" s="133"/>
      <c r="CNK11" s="133"/>
      <c r="CNL11" s="133"/>
      <c r="CNM11" s="133"/>
      <c r="CNN11" s="133"/>
      <c r="CNO11" s="133"/>
      <c r="CNP11" s="133"/>
      <c r="CNQ11" s="133"/>
      <c r="CNR11" s="133"/>
      <c r="CNS11" s="133"/>
      <c r="CNT11" s="133"/>
      <c r="CNU11" s="133"/>
      <c r="CNV11" s="133"/>
      <c r="CNW11" s="133"/>
      <c r="CNX11" s="133"/>
      <c r="CNY11" s="133"/>
      <c r="CNZ11" s="133"/>
      <c r="COA11" s="133"/>
      <c r="COB11" s="133"/>
      <c r="COC11" s="133"/>
      <c r="COD11" s="133"/>
      <c r="COE11" s="133"/>
      <c r="COF11" s="133"/>
      <c r="COG11" s="133"/>
      <c r="COH11" s="133"/>
      <c r="COI11" s="133"/>
      <c r="COJ11" s="133"/>
      <c r="COK11" s="133"/>
      <c r="COL11" s="133"/>
      <c r="COM11" s="133"/>
      <c r="CON11" s="133"/>
      <c r="COO11" s="133"/>
      <c r="COP11" s="133"/>
      <c r="COQ11" s="133"/>
      <c r="COR11" s="133"/>
      <c r="COS11" s="133"/>
      <c r="COT11" s="133"/>
      <c r="COU11" s="133"/>
      <c r="COV11" s="133"/>
      <c r="COW11" s="133"/>
      <c r="COX11" s="133"/>
      <c r="COY11" s="133"/>
      <c r="COZ11" s="133"/>
      <c r="CPA11" s="133"/>
      <c r="CPB11" s="133"/>
      <c r="CPC11" s="133"/>
      <c r="CPD11" s="133"/>
      <c r="CPE11" s="133"/>
      <c r="CPF11" s="133"/>
      <c r="CPG11" s="133"/>
      <c r="CPH11" s="133"/>
      <c r="CPI11" s="133"/>
      <c r="CPJ11" s="133"/>
      <c r="CPK11" s="133"/>
      <c r="CPL11" s="133"/>
      <c r="CPM11" s="133"/>
      <c r="CPN11" s="133"/>
      <c r="CPO11" s="133"/>
      <c r="CPP11" s="133"/>
      <c r="CPQ11" s="133"/>
      <c r="CPR11" s="133"/>
      <c r="CPS11" s="133"/>
      <c r="CPT11" s="133"/>
      <c r="CPU11" s="133"/>
      <c r="CPV11" s="133"/>
      <c r="CPW11" s="133"/>
      <c r="CPX11" s="133"/>
      <c r="CPY11" s="133"/>
      <c r="CPZ11" s="133"/>
      <c r="CQA11" s="133"/>
      <c r="CQB11" s="133"/>
      <c r="CQC11" s="133"/>
      <c r="CQD11" s="133"/>
      <c r="CQE11" s="133"/>
      <c r="CQF11" s="133"/>
      <c r="CQG11" s="133"/>
      <c r="CQH11" s="133"/>
      <c r="CQI11" s="133"/>
      <c r="CQJ11" s="133"/>
      <c r="CQK11" s="133"/>
      <c r="CQL11" s="133"/>
      <c r="CQM11" s="133"/>
      <c r="CQN11" s="133"/>
      <c r="CQO11" s="133"/>
      <c r="CQP11" s="133"/>
      <c r="CQQ11" s="133"/>
      <c r="CQR11" s="133"/>
      <c r="CQS11" s="133"/>
      <c r="CQT11" s="133"/>
      <c r="CQU11" s="133"/>
      <c r="CQV11" s="133"/>
      <c r="CQW11" s="133"/>
      <c r="CQX11" s="133"/>
      <c r="CQY11" s="133"/>
      <c r="CQZ11" s="133"/>
      <c r="CRA11" s="133"/>
      <c r="CRB11" s="133"/>
      <c r="CRC11" s="133"/>
      <c r="CRD11" s="133"/>
      <c r="CRE11" s="133"/>
      <c r="CRF11" s="133"/>
      <c r="CRG11" s="133"/>
      <c r="CRH11" s="133"/>
      <c r="CRI11" s="133"/>
      <c r="CRJ11" s="133"/>
      <c r="CRK11" s="133"/>
      <c r="CRL11" s="133"/>
      <c r="CRM11" s="133"/>
      <c r="CRN11" s="133"/>
      <c r="CRO11" s="133"/>
      <c r="CRP11" s="133"/>
      <c r="CRQ11" s="133"/>
      <c r="CRR11" s="133"/>
      <c r="CRS11" s="133"/>
      <c r="CRT11" s="133"/>
      <c r="CRU11" s="133"/>
      <c r="CRV11" s="133"/>
      <c r="CRW11" s="133"/>
      <c r="CRX11" s="133"/>
      <c r="CRY11" s="133"/>
      <c r="CRZ11" s="133"/>
      <c r="CSA11" s="133"/>
      <c r="CSB11" s="133"/>
      <c r="CSC11" s="133"/>
      <c r="CSD11" s="133"/>
      <c r="CSE11" s="133"/>
      <c r="CSF11" s="133"/>
      <c r="CSG11" s="133"/>
      <c r="CSH11" s="133"/>
      <c r="CSI11" s="133"/>
      <c r="CSJ11" s="133"/>
      <c r="CSK11" s="133"/>
      <c r="CSL11" s="133"/>
      <c r="CSM11" s="133"/>
      <c r="CSN11" s="133"/>
      <c r="CSO11" s="133"/>
      <c r="CSP11" s="133"/>
      <c r="CSQ11" s="133"/>
      <c r="CSR11" s="133"/>
      <c r="CSS11" s="133"/>
      <c r="CST11" s="133"/>
      <c r="CSU11" s="133"/>
      <c r="CSV11" s="133"/>
      <c r="CSW11" s="133"/>
      <c r="CSX11" s="133"/>
      <c r="CSY11" s="133"/>
      <c r="CSZ11" s="133"/>
      <c r="CTA11" s="133"/>
      <c r="CTB11" s="133"/>
      <c r="CTC11" s="133"/>
      <c r="CTD11" s="133"/>
      <c r="CTE11" s="133"/>
      <c r="CTF11" s="133"/>
      <c r="CTG11" s="133"/>
      <c r="CTH11" s="133"/>
      <c r="CTI11" s="133"/>
      <c r="CTJ11" s="133"/>
      <c r="CTK11" s="133"/>
      <c r="CTL11" s="133"/>
      <c r="CTM11" s="133"/>
      <c r="CTN11" s="133"/>
      <c r="CTO11" s="133"/>
      <c r="CTP11" s="133"/>
      <c r="CTQ11" s="133"/>
      <c r="CTR11" s="133"/>
      <c r="CTS11" s="133"/>
      <c r="CTT11" s="133"/>
      <c r="CTU11" s="133"/>
      <c r="CTV11" s="133"/>
      <c r="CTW11" s="133"/>
      <c r="CTX11" s="133"/>
      <c r="CTY11" s="133"/>
      <c r="CTZ11" s="133"/>
      <c r="CUA11" s="133"/>
      <c r="CUB11" s="133"/>
      <c r="CUC11" s="133"/>
      <c r="CUD11" s="133"/>
      <c r="CUE11" s="133"/>
      <c r="CUF11" s="133"/>
      <c r="CUG11" s="133"/>
      <c r="CUH11" s="133"/>
      <c r="CUI11" s="133"/>
      <c r="CUJ11" s="133"/>
      <c r="CUK11" s="133"/>
      <c r="CUL11" s="133"/>
      <c r="CUM11" s="133"/>
      <c r="CUN11" s="133"/>
      <c r="CUO11" s="133"/>
      <c r="CUP11" s="133"/>
      <c r="CUQ11" s="133"/>
      <c r="CUR11" s="133"/>
      <c r="CUS11" s="133"/>
      <c r="CUT11" s="133"/>
      <c r="CUU11" s="133"/>
      <c r="CUV11" s="133"/>
      <c r="CUW11" s="133"/>
      <c r="CUX11" s="133"/>
      <c r="CUY11" s="133"/>
      <c r="CUZ11" s="133"/>
      <c r="CVA11" s="133"/>
      <c r="CVB11" s="133"/>
      <c r="CVC11" s="133"/>
      <c r="CVD11" s="133"/>
      <c r="CVE11" s="133"/>
      <c r="CVF11" s="133"/>
      <c r="CVG11" s="133"/>
      <c r="CVH11" s="133"/>
      <c r="CVI11" s="133"/>
      <c r="CVJ11" s="133"/>
      <c r="CVK11" s="133"/>
      <c r="CVL11" s="133"/>
      <c r="CVM11" s="133"/>
      <c r="CVN11" s="133"/>
      <c r="CVO11" s="133"/>
      <c r="CVP11" s="133"/>
      <c r="CVQ11" s="133"/>
      <c r="CVR11" s="133"/>
      <c r="CVS11" s="133"/>
      <c r="CVT11" s="133"/>
      <c r="CVU11" s="133"/>
      <c r="CVV11" s="133"/>
      <c r="CVW11" s="133"/>
      <c r="CVX11" s="133"/>
      <c r="CVY11" s="133"/>
      <c r="CVZ11" s="133"/>
      <c r="CWA11" s="133"/>
      <c r="CWB11" s="133"/>
      <c r="CWC11" s="133"/>
      <c r="CWD11" s="133"/>
      <c r="CWE11" s="133"/>
      <c r="CWF11" s="133"/>
      <c r="CWG11" s="133"/>
      <c r="CWH11" s="133"/>
      <c r="CWI11" s="133"/>
      <c r="CWJ11" s="133"/>
      <c r="CWK11" s="133"/>
      <c r="CWL11" s="133"/>
      <c r="CWM11" s="133"/>
      <c r="CWN11" s="133"/>
      <c r="CWO11" s="133"/>
      <c r="CWP11" s="133"/>
      <c r="CWQ11" s="133"/>
      <c r="CWR11" s="133"/>
      <c r="CWS11" s="133"/>
      <c r="CWT11" s="133"/>
      <c r="CWU11" s="133"/>
      <c r="CWV11" s="133"/>
      <c r="CWW11" s="133"/>
      <c r="CWX11" s="133"/>
      <c r="CWY11" s="133"/>
      <c r="CWZ11" s="133"/>
      <c r="CXA11" s="133"/>
      <c r="CXB11" s="133"/>
      <c r="CXC11" s="133"/>
      <c r="CXD11" s="133"/>
      <c r="CXE11" s="133"/>
      <c r="CXF11" s="133"/>
      <c r="CXG11" s="133"/>
      <c r="CXH11" s="133"/>
      <c r="CXI11" s="133"/>
      <c r="CXJ11" s="133"/>
      <c r="CXK11" s="133"/>
      <c r="CXL11" s="133"/>
      <c r="CXM11" s="133"/>
      <c r="CXN11" s="133"/>
      <c r="CXO11" s="133"/>
      <c r="CXP11" s="133"/>
      <c r="CXQ11" s="133"/>
      <c r="CXR11" s="133"/>
      <c r="CXS11" s="133"/>
      <c r="CXT11" s="133"/>
      <c r="CXU11" s="133"/>
      <c r="CXV11" s="133"/>
      <c r="CXW11" s="133"/>
      <c r="CXX11" s="133"/>
      <c r="CXY11" s="133"/>
      <c r="CXZ11" s="133"/>
      <c r="CYA11" s="133"/>
      <c r="CYB11" s="133"/>
      <c r="CYC11" s="133"/>
      <c r="CYD11" s="133"/>
      <c r="CYE11" s="133"/>
      <c r="CYF11" s="133"/>
      <c r="CYG11" s="133"/>
      <c r="CYH11" s="133"/>
      <c r="CYI11" s="133"/>
      <c r="CYJ11" s="133"/>
      <c r="CYK11" s="133"/>
      <c r="CYL11" s="133"/>
      <c r="CYM11" s="133"/>
      <c r="CYN11" s="133"/>
      <c r="CYO11" s="133"/>
      <c r="CYP11" s="133"/>
      <c r="CYQ11" s="133"/>
      <c r="CYR11" s="133"/>
      <c r="CYS11" s="133"/>
      <c r="CYT11" s="133"/>
      <c r="CYU11" s="133"/>
      <c r="CYV11" s="133"/>
      <c r="CYW11" s="133"/>
      <c r="CYX11" s="133"/>
      <c r="CYY11" s="133"/>
      <c r="CYZ11" s="133"/>
      <c r="CZA11" s="133"/>
      <c r="CZB11" s="133"/>
      <c r="CZC11" s="133"/>
      <c r="CZD11" s="133"/>
      <c r="CZE11" s="133"/>
      <c r="CZF11" s="133"/>
      <c r="CZG11" s="133"/>
      <c r="CZH11" s="133"/>
      <c r="CZI11" s="133"/>
      <c r="CZJ11" s="133"/>
      <c r="CZK11" s="133"/>
      <c r="CZL11" s="133"/>
      <c r="CZM11" s="133"/>
      <c r="CZN11" s="133"/>
      <c r="CZO11" s="133"/>
      <c r="CZP11" s="133"/>
      <c r="CZQ11" s="133"/>
      <c r="CZR11" s="133"/>
      <c r="CZS11" s="133"/>
      <c r="CZT11" s="133"/>
      <c r="CZU11" s="133"/>
      <c r="CZV11" s="133"/>
      <c r="CZW11" s="133"/>
      <c r="CZX11" s="133"/>
      <c r="CZY11" s="133"/>
      <c r="CZZ11" s="133"/>
      <c r="DAA11" s="133"/>
      <c r="DAB11" s="133"/>
      <c r="DAC11" s="133"/>
      <c r="DAD11" s="133"/>
      <c r="DAE11" s="133"/>
      <c r="DAF11" s="133"/>
      <c r="DAG11" s="133"/>
      <c r="DAH11" s="133"/>
      <c r="DAI11" s="133"/>
      <c r="DAJ11" s="133"/>
      <c r="DAK11" s="133"/>
      <c r="DAL11" s="133"/>
      <c r="DAM11" s="133"/>
      <c r="DAN11" s="133"/>
      <c r="DAO11" s="133"/>
      <c r="DAP11" s="133"/>
      <c r="DAQ11" s="133"/>
      <c r="DAR11" s="133"/>
      <c r="DAS11" s="133"/>
      <c r="DAT11" s="133"/>
      <c r="DAU11" s="133"/>
      <c r="DAV11" s="133"/>
      <c r="DAW11" s="133"/>
      <c r="DAX11" s="133"/>
      <c r="DAY11" s="133"/>
      <c r="DAZ11" s="133"/>
      <c r="DBA11" s="133"/>
      <c r="DBB11" s="133"/>
      <c r="DBC11" s="133"/>
      <c r="DBD11" s="133"/>
      <c r="DBE11" s="133"/>
      <c r="DBF11" s="133"/>
      <c r="DBG11" s="133"/>
      <c r="DBH11" s="133"/>
      <c r="DBI11" s="133"/>
      <c r="DBJ11" s="133"/>
      <c r="DBK11" s="133"/>
      <c r="DBL11" s="133"/>
      <c r="DBM11" s="133"/>
      <c r="DBN11" s="133"/>
      <c r="DBO11" s="133"/>
      <c r="DBP11" s="133"/>
      <c r="DBQ11" s="133"/>
      <c r="DBR11" s="133"/>
      <c r="DBS11" s="133"/>
      <c r="DBT11" s="133"/>
      <c r="DBU11" s="133"/>
      <c r="DBV11" s="133"/>
      <c r="DBW11" s="133"/>
      <c r="DBX11" s="133"/>
      <c r="DBY11" s="133"/>
      <c r="DBZ11" s="133"/>
      <c r="DCA11" s="133"/>
      <c r="DCB11" s="133"/>
      <c r="DCC11" s="133"/>
      <c r="DCD11" s="133"/>
      <c r="DCE11" s="133"/>
      <c r="DCF11" s="133"/>
      <c r="DCG11" s="133"/>
      <c r="DCH11" s="133"/>
      <c r="DCI11" s="133"/>
      <c r="DCJ11" s="133"/>
      <c r="DCK11" s="133"/>
      <c r="DCL11" s="133"/>
      <c r="DCM11" s="133"/>
      <c r="DCN11" s="133"/>
      <c r="DCO11" s="133"/>
      <c r="DCP11" s="133"/>
      <c r="DCQ11" s="133"/>
      <c r="DCR11" s="133"/>
      <c r="DCS11" s="133"/>
      <c r="DCT11" s="133"/>
      <c r="DCU11" s="133"/>
      <c r="DCV11" s="133"/>
      <c r="DCW11" s="133"/>
      <c r="DCX11" s="133"/>
      <c r="DCY11" s="133"/>
      <c r="DCZ11" s="133"/>
      <c r="DDA11" s="133"/>
      <c r="DDB11" s="133"/>
      <c r="DDC11" s="133"/>
      <c r="DDD11" s="133"/>
      <c r="DDE11" s="133"/>
      <c r="DDF11" s="133"/>
      <c r="DDG11" s="133"/>
      <c r="DDH11" s="133"/>
      <c r="DDI11" s="133"/>
      <c r="DDJ11" s="133"/>
      <c r="DDK11" s="133"/>
      <c r="DDL11" s="133"/>
      <c r="DDM11" s="133"/>
      <c r="DDN11" s="133"/>
      <c r="DDO11" s="133"/>
      <c r="DDP11" s="133"/>
      <c r="DDQ11" s="133"/>
      <c r="DDR11" s="133"/>
      <c r="DDS11" s="133"/>
      <c r="DDT11" s="133"/>
      <c r="DDU11" s="133"/>
      <c r="DDV11" s="133"/>
      <c r="DDW11" s="133"/>
      <c r="DDX11" s="133"/>
      <c r="DDY11" s="133"/>
      <c r="DDZ11" s="133"/>
      <c r="DEA11" s="133"/>
      <c r="DEB11" s="133"/>
      <c r="DEC11" s="133"/>
      <c r="DED11" s="133"/>
      <c r="DEE11" s="133"/>
      <c r="DEF11" s="133"/>
      <c r="DEG11" s="133"/>
      <c r="DEH11" s="133"/>
      <c r="DEI11" s="133"/>
      <c r="DEJ11" s="133"/>
      <c r="DEK11" s="133"/>
      <c r="DEL11" s="133"/>
      <c r="DEM11" s="133"/>
      <c r="DEN11" s="133"/>
      <c r="DEO11" s="133"/>
      <c r="DEP11" s="133"/>
      <c r="DEQ11" s="133"/>
      <c r="DER11" s="133"/>
      <c r="DES11" s="133"/>
      <c r="DET11" s="133"/>
      <c r="DEU11" s="133"/>
      <c r="DEV11" s="133"/>
      <c r="DEW11" s="133"/>
      <c r="DEX11" s="133"/>
      <c r="DEY11" s="133"/>
      <c r="DEZ11" s="133"/>
      <c r="DFA11" s="133"/>
      <c r="DFB11" s="133"/>
      <c r="DFC11" s="133"/>
      <c r="DFD11" s="133"/>
      <c r="DFE11" s="133"/>
      <c r="DFF11" s="133"/>
      <c r="DFG11" s="133"/>
      <c r="DFH11" s="133"/>
      <c r="DFI11" s="133"/>
      <c r="DFJ11" s="133"/>
      <c r="DFK11" s="133"/>
      <c r="DFL11" s="133"/>
      <c r="DFM11" s="133"/>
      <c r="DFN11" s="133"/>
      <c r="DFO11" s="133"/>
      <c r="DFP11" s="133"/>
      <c r="DFQ11" s="133"/>
      <c r="DFR11" s="133"/>
      <c r="DFS11" s="133"/>
      <c r="DFT11" s="133"/>
      <c r="DFU11" s="133"/>
      <c r="DFV11" s="133"/>
      <c r="DFW11" s="133"/>
      <c r="DFX11" s="133"/>
      <c r="DFY11" s="133"/>
      <c r="DFZ11" s="133"/>
      <c r="DGA11" s="133"/>
      <c r="DGB11" s="133"/>
      <c r="DGC11" s="133"/>
      <c r="DGD11" s="133"/>
      <c r="DGE11" s="133"/>
      <c r="DGF11" s="133"/>
      <c r="DGG11" s="133"/>
      <c r="DGH11" s="133"/>
      <c r="DGI11" s="133"/>
      <c r="DGJ11" s="133"/>
      <c r="DGK11" s="133"/>
      <c r="DGL11" s="133"/>
      <c r="DGM11" s="133"/>
      <c r="DGN11" s="133"/>
      <c r="DGO11" s="133"/>
      <c r="DGP11" s="133"/>
      <c r="DGQ11" s="133"/>
      <c r="DGR11" s="133"/>
      <c r="DGS11" s="133"/>
      <c r="DGT11" s="133"/>
      <c r="DGU11" s="133"/>
      <c r="DGV11" s="133"/>
      <c r="DGW11" s="133"/>
      <c r="DGX11" s="133"/>
      <c r="DGY11" s="133"/>
      <c r="DGZ11" s="133"/>
      <c r="DHA11" s="133"/>
      <c r="DHB11" s="133"/>
      <c r="DHC11" s="133"/>
      <c r="DHD11" s="133"/>
      <c r="DHE11" s="133"/>
      <c r="DHF11" s="133"/>
      <c r="DHG11" s="133"/>
      <c r="DHH11" s="133"/>
      <c r="DHI11" s="133"/>
      <c r="DHJ11" s="133"/>
      <c r="DHK11" s="133"/>
      <c r="DHL11" s="133"/>
      <c r="DHM11" s="133"/>
      <c r="DHN11" s="133"/>
      <c r="DHO11" s="133"/>
      <c r="DHP11" s="133"/>
      <c r="DHQ11" s="133"/>
      <c r="DHR11" s="133"/>
      <c r="DHS11" s="133"/>
      <c r="DHT11" s="133"/>
      <c r="DHU11" s="133"/>
      <c r="DHV11" s="133"/>
      <c r="DHW11" s="133"/>
      <c r="DHX11" s="133"/>
      <c r="DHY11" s="133"/>
      <c r="DHZ11" s="133"/>
      <c r="DIA11" s="133"/>
      <c r="DIB11" s="133"/>
      <c r="DIC11" s="133"/>
      <c r="DID11" s="133"/>
      <c r="DIE11" s="133"/>
      <c r="DIF11" s="133"/>
      <c r="DIG11" s="133"/>
      <c r="DIH11" s="133"/>
      <c r="DII11" s="133"/>
      <c r="DIJ11" s="133"/>
      <c r="DIK11" s="133"/>
      <c r="DIL11" s="133"/>
      <c r="DIM11" s="133"/>
      <c r="DIN11" s="133"/>
      <c r="DIO11" s="133"/>
      <c r="DIP11" s="133"/>
      <c r="DIQ11" s="133"/>
      <c r="DIR11" s="133"/>
      <c r="DIS11" s="133"/>
      <c r="DIT11" s="133"/>
      <c r="DIU11" s="133"/>
      <c r="DIV11" s="133"/>
      <c r="DIW11" s="133"/>
      <c r="DIX11" s="133"/>
      <c r="DIY11" s="133"/>
      <c r="DIZ11" s="133"/>
      <c r="DJA11" s="133"/>
      <c r="DJB11" s="133"/>
      <c r="DJC11" s="133"/>
      <c r="DJD11" s="133"/>
      <c r="DJE11" s="133"/>
      <c r="DJF11" s="133"/>
      <c r="DJG11" s="133"/>
      <c r="DJH11" s="133"/>
      <c r="DJI11" s="133"/>
      <c r="DJJ11" s="133"/>
      <c r="DJK11" s="133"/>
      <c r="DJL11" s="133"/>
      <c r="DJM11" s="133"/>
      <c r="DJN11" s="133"/>
      <c r="DJO11" s="133"/>
      <c r="DJP11" s="133"/>
      <c r="DJQ11" s="133"/>
      <c r="DJR11" s="133"/>
      <c r="DJS11" s="133"/>
      <c r="DJT11" s="133"/>
      <c r="DJU11" s="133"/>
      <c r="DJV11" s="133"/>
      <c r="DJW11" s="133"/>
      <c r="DJX11" s="133"/>
      <c r="DJY11" s="133"/>
      <c r="DJZ11" s="133"/>
      <c r="DKA11" s="133"/>
      <c r="DKB11" s="133"/>
      <c r="DKC11" s="133"/>
      <c r="DKD11" s="133"/>
      <c r="DKE11" s="133"/>
      <c r="DKF11" s="133"/>
      <c r="DKG11" s="133"/>
      <c r="DKH11" s="133"/>
      <c r="DKI11" s="133"/>
      <c r="DKJ11" s="133"/>
      <c r="DKK11" s="133"/>
      <c r="DKL11" s="133"/>
      <c r="DKM11" s="133"/>
      <c r="DKN11" s="133"/>
      <c r="DKO11" s="133"/>
      <c r="DKP11" s="133"/>
      <c r="DKQ11" s="133"/>
      <c r="DKR11" s="133"/>
      <c r="DKS11" s="133"/>
      <c r="DKT11" s="133"/>
      <c r="DKU11" s="133"/>
      <c r="DKV11" s="133"/>
      <c r="DKW11" s="133"/>
      <c r="DKX11" s="133"/>
      <c r="DKY11" s="133"/>
      <c r="DKZ11" s="133"/>
      <c r="DLA11" s="133"/>
      <c r="DLB11" s="133"/>
      <c r="DLC11" s="133"/>
      <c r="DLD11" s="133"/>
      <c r="DLE11" s="133"/>
      <c r="DLF11" s="133"/>
      <c r="DLG11" s="133"/>
      <c r="DLH11" s="133"/>
      <c r="DLI11" s="133"/>
      <c r="DLJ11" s="133"/>
      <c r="DLK11" s="133"/>
      <c r="DLL11" s="133"/>
      <c r="DLM11" s="133"/>
      <c r="DLN11" s="133"/>
      <c r="DLO11" s="133"/>
      <c r="DLP11" s="133"/>
      <c r="DLQ11" s="133"/>
      <c r="DLR11" s="133"/>
      <c r="DLS11" s="133"/>
      <c r="DLT11" s="133"/>
      <c r="DLU11" s="133"/>
      <c r="DLV11" s="133"/>
      <c r="DLW11" s="133"/>
      <c r="DLX11" s="133"/>
      <c r="DLY11" s="133"/>
      <c r="DLZ11" s="133"/>
      <c r="DMA11" s="133"/>
      <c r="DMB11" s="133"/>
      <c r="DMC11" s="133"/>
      <c r="DMD11" s="133"/>
      <c r="DME11" s="133"/>
      <c r="DMF11" s="133"/>
      <c r="DMG11" s="133"/>
      <c r="DMH11" s="133"/>
      <c r="DMI11" s="133"/>
      <c r="DMJ11" s="133"/>
      <c r="DMK11" s="133"/>
      <c r="DML11" s="133"/>
      <c r="DMM11" s="133"/>
      <c r="DMN11" s="133"/>
      <c r="DMO11" s="133"/>
      <c r="DMP11" s="133"/>
      <c r="DMQ11" s="133"/>
      <c r="DMR11" s="133"/>
      <c r="DMS11" s="133"/>
      <c r="DNF11" s="133"/>
      <c r="DNG11" s="133"/>
      <c r="DNH11" s="133"/>
      <c r="DNI11" s="133"/>
      <c r="DNJ11" s="133"/>
      <c r="DNK11" s="133"/>
      <c r="DNL11" s="133"/>
      <c r="DNM11" s="133"/>
      <c r="DNN11" s="133"/>
      <c r="DNO11" s="133"/>
      <c r="DNP11" s="133"/>
      <c r="DNQ11" s="133"/>
      <c r="DNR11" s="133"/>
      <c r="DNS11" s="133"/>
      <c r="DNT11" s="133"/>
      <c r="DNU11" s="133"/>
      <c r="DNV11" s="133"/>
      <c r="DNW11" s="133"/>
      <c r="DNX11" s="133"/>
      <c r="DNY11" s="133"/>
      <c r="DNZ11" s="133"/>
      <c r="DOA11" s="133"/>
      <c r="DOB11" s="133"/>
      <c r="DOC11" s="133"/>
      <c r="DOD11" s="133"/>
      <c r="DOE11" s="133"/>
      <c r="DOF11" s="133"/>
      <c r="DOG11" s="133"/>
      <c r="DOH11" s="133"/>
      <c r="DOI11" s="133"/>
      <c r="DOJ11" s="133"/>
      <c r="DOK11" s="133"/>
      <c r="DOL11" s="133"/>
      <c r="DOM11" s="133"/>
      <c r="DON11" s="133"/>
      <c r="DOO11" s="133"/>
      <c r="DOP11" s="133"/>
      <c r="DOQ11" s="133"/>
      <c r="DOR11" s="133"/>
      <c r="DOS11" s="133"/>
      <c r="DOT11" s="133"/>
      <c r="DOU11" s="133"/>
      <c r="DOV11" s="133"/>
      <c r="DOW11" s="133"/>
      <c r="DOX11" s="133"/>
      <c r="DOY11" s="133"/>
      <c r="DOZ11" s="133"/>
      <c r="DPA11" s="133"/>
      <c r="DPB11" s="133"/>
      <c r="DPC11" s="133"/>
      <c r="DPD11" s="133"/>
      <c r="DPE11" s="133"/>
      <c r="DPF11" s="133"/>
      <c r="DPG11" s="133"/>
      <c r="DPH11" s="133"/>
      <c r="DPI11" s="133"/>
      <c r="DPJ11" s="133"/>
      <c r="DPK11" s="133"/>
      <c r="DPL11" s="133"/>
      <c r="DPM11" s="133"/>
      <c r="DPN11" s="133"/>
      <c r="DPO11" s="133"/>
      <c r="DPP11" s="133"/>
      <c r="DPQ11" s="133"/>
      <c r="DPR11" s="133"/>
      <c r="DPS11" s="133"/>
      <c r="DPT11" s="133"/>
      <c r="DPU11" s="133"/>
      <c r="DPV11" s="133"/>
      <c r="DPW11" s="133"/>
      <c r="DPX11" s="133"/>
      <c r="DPY11" s="133"/>
      <c r="DPZ11" s="133"/>
      <c r="DQA11" s="133"/>
      <c r="DQB11" s="133"/>
      <c r="DQC11" s="133"/>
      <c r="DQD11" s="133"/>
      <c r="DQE11" s="133"/>
      <c r="DQF11" s="133"/>
      <c r="DQG11" s="133"/>
      <c r="DQH11" s="133"/>
      <c r="DQI11" s="133"/>
      <c r="DQJ11" s="133"/>
      <c r="DQK11" s="133"/>
      <c r="DQL11" s="133"/>
      <c r="DQM11" s="133"/>
      <c r="DQN11" s="133"/>
      <c r="DQO11" s="133"/>
      <c r="DQP11" s="133"/>
      <c r="DQQ11" s="133"/>
      <c r="DQR11" s="133"/>
      <c r="DQS11" s="133"/>
      <c r="DQT11" s="133"/>
      <c r="DQU11" s="133"/>
      <c r="DQV11" s="133"/>
      <c r="DQW11" s="133"/>
      <c r="DQX11" s="133"/>
      <c r="DQY11" s="133"/>
      <c r="DQZ11" s="133"/>
      <c r="DRA11" s="133"/>
      <c r="DRB11" s="133"/>
      <c r="DRC11" s="133"/>
      <c r="DRD11" s="133"/>
      <c r="DRE11" s="133"/>
      <c r="DRF11" s="133"/>
      <c r="DRG11" s="133"/>
      <c r="DRH11" s="133"/>
      <c r="DRI11" s="133"/>
      <c r="DRJ11" s="133"/>
      <c r="DRK11" s="133"/>
      <c r="DRL11" s="133"/>
      <c r="DRM11" s="133"/>
      <c r="DRN11" s="133"/>
      <c r="DRO11" s="133"/>
      <c r="DRP11" s="133"/>
      <c r="DRQ11" s="133"/>
      <c r="DRR11" s="133"/>
      <c r="DRS11" s="133"/>
      <c r="DRT11" s="133"/>
      <c r="DRU11" s="133"/>
      <c r="DRV11" s="133"/>
      <c r="DRW11" s="133"/>
      <c r="DRX11" s="133"/>
      <c r="DRY11" s="133"/>
      <c r="DRZ11" s="133"/>
      <c r="DSA11" s="133"/>
      <c r="DSB11" s="133"/>
      <c r="DSC11" s="133"/>
      <c r="DSD11" s="133"/>
      <c r="DSE11" s="133"/>
      <c r="DSF11" s="133"/>
      <c r="DSG11" s="133"/>
      <c r="DSH11" s="133"/>
      <c r="DSI11" s="133"/>
      <c r="DSJ11" s="133"/>
      <c r="DSK11" s="133"/>
      <c r="DSL11" s="133"/>
      <c r="DSM11" s="133"/>
      <c r="DSN11" s="133"/>
      <c r="DSO11" s="133"/>
      <c r="DSP11" s="133"/>
      <c r="DSQ11" s="133"/>
      <c r="DSR11" s="133"/>
      <c r="DSS11" s="133"/>
      <c r="DST11" s="133"/>
      <c r="DSU11" s="133"/>
      <c r="DSV11" s="133"/>
      <c r="DSW11" s="133"/>
      <c r="DSX11" s="133"/>
      <c r="DSY11" s="133"/>
      <c r="DSZ11" s="133"/>
      <c r="DTA11" s="133"/>
      <c r="DTB11" s="133"/>
      <c r="DTC11" s="133"/>
      <c r="DTD11" s="133"/>
      <c r="DTE11" s="133"/>
      <c r="DTF11" s="133"/>
      <c r="DTG11" s="133"/>
      <c r="DTH11" s="133"/>
      <c r="DTI11" s="133"/>
      <c r="DTJ11" s="133"/>
      <c r="DTK11" s="133"/>
      <c r="DTL11" s="133"/>
      <c r="DTM11" s="133"/>
      <c r="DTN11" s="133"/>
      <c r="DTO11" s="133"/>
      <c r="DTP11" s="133"/>
      <c r="DTQ11" s="133"/>
      <c r="DTR11" s="133"/>
      <c r="DTS11" s="133"/>
      <c r="DTT11" s="133"/>
      <c r="DTU11" s="133"/>
      <c r="DTV11" s="133"/>
      <c r="DTW11" s="133"/>
      <c r="DTX11" s="133"/>
      <c r="DTY11" s="133"/>
      <c r="DTZ11" s="133"/>
      <c r="DUA11" s="133"/>
      <c r="DUB11" s="133"/>
      <c r="DUC11" s="133"/>
      <c r="DUD11" s="133"/>
      <c r="DUE11" s="133"/>
      <c r="DUF11" s="133"/>
      <c r="DUG11" s="133"/>
      <c r="DUH11" s="133"/>
      <c r="DUI11" s="133"/>
      <c r="DUJ11" s="133"/>
      <c r="DUK11" s="133"/>
      <c r="DUL11" s="133"/>
      <c r="DUM11" s="133"/>
      <c r="DUN11" s="133"/>
      <c r="DUO11" s="133"/>
      <c r="DUP11" s="133"/>
      <c r="DUQ11" s="133"/>
      <c r="DUR11" s="133"/>
      <c r="DUS11" s="133"/>
      <c r="DUT11" s="133"/>
      <c r="DUU11" s="133"/>
      <c r="DUV11" s="133"/>
      <c r="DUW11" s="133"/>
      <c r="DUX11" s="133"/>
      <c r="DUY11" s="133"/>
      <c r="DUZ11" s="133"/>
      <c r="DVA11" s="133"/>
      <c r="DVB11" s="133"/>
      <c r="DVC11" s="133"/>
      <c r="DVD11" s="133"/>
      <c r="DVE11" s="133"/>
      <c r="DVF11" s="133"/>
      <c r="DVG11" s="133"/>
      <c r="DVH11" s="133"/>
      <c r="DVI11" s="133"/>
      <c r="DVJ11" s="133"/>
      <c r="DVK11" s="133"/>
      <c r="DVL11" s="133"/>
      <c r="DVM11" s="133"/>
      <c r="DVN11" s="133"/>
      <c r="DVO11" s="133"/>
      <c r="DVP11" s="133"/>
      <c r="DVQ11" s="133"/>
      <c r="DVR11" s="133"/>
      <c r="DVS11" s="133"/>
      <c r="DVT11" s="133"/>
      <c r="DVU11" s="133"/>
      <c r="DVV11" s="133"/>
      <c r="DVW11" s="133"/>
      <c r="DVX11" s="133"/>
      <c r="DVY11" s="133"/>
      <c r="DVZ11" s="133"/>
      <c r="DWA11" s="133"/>
      <c r="DWB11" s="133"/>
      <c r="DWC11" s="133"/>
      <c r="DWD11" s="133"/>
      <c r="DWE11" s="133"/>
      <c r="DWF11" s="133"/>
      <c r="DWG11" s="133"/>
      <c r="DWH11" s="133"/>
      <c r="DWI11" s="133"/>
      <c r="DWJ11" s="133"/>
      <c r="DWK11" s="133"/>
      <c r="DWL11" s="133"/>
      <c r="DWM11" s="133"/>
      <c r="DWN11" s="133"/>
      <c r="DWO11" s="133"/>
      <c r="DWP11" s="133"/>
      <c r="DWQ11" s="133"/>
      <c r="DWR11" s="133"/>
      <c r="DWS11" s="133"/>
      <c r="DWT11" s="133"/>
      <c r="DWU11" s="133"/>
      <c r="DWV11" s="133"/>
      <c r="DWW11" s="133"/>
      <c r="DWX11" s="133"/>
      <c r="DWY11" s="133"/>
      <c r="DWZ11" s="133"/>
      <c r="DXA11" s="133"/>
      <c r="DXB11" s="133"/>
      <c r="DXC11" s="133"/>
      <c r="DXD11" s="133"/>
      <c r="DXE11" s="133"/>
      <c r="DXF11" s="133"/>
      <c r="DXG11" s="133"/>
      <c r="DXH11" s="133"/>
      <c r="DXI11" s="133"/>
      <c r="DXJ11" s="133"/>
      <c r="DXK11" s="133"/>
      <c r="DXL11" s="133"/>
      <c r="DXM11" s="133"/>
      <c r="DXN11" s="133"/>
      <c r="DXO11" s="133"/>
      <c r="DXP11" s="133"/>
      <c r="DXQ11" s="133"/>
      <c r="DXR11" s="133"/>
      <c r="DXS11" s="133"/>
      <c r="DXT11" s="133"/>
      <c r="DXU11" s="133"/>
      <c r="DXV11" s="133"/>
      <c r="DXW11" s="133"/>
      <c r="DXX11" s="133"/>
      <c r="DXY11" s="133"/>
      <c r="DXZ11" s="133"/>
      <c r="DYA11" s="133"/>
      <c r="DYB11" s="133"/>
      <c r="DYC11" s="133"/>
      <c r="DYD11" s="133"/>
      <c r="DYE11" s="133"/>
      <c r="DYF11" s="133"/>
      <c r="DYG11" s="133"/>
      <c r="DYH11" s="133"/>
      <c r="DYI11" s="133"/>
      <c r="DYJ11" s="133"/>
      <c r="DYK11" s="133"/>
      <c r="DYL11" s="133"/>
      <c r="DYM11" s="133"/>
      <c r="DYN11" s="133"/>
      <c r="DYO11" s="133"/>
      <c r="DYP11" s="133"/>
      <c r="DYQ11" s="133"/>
      <c r="DYR11" s="133"/>
      <c r="DYS11" s="133"/>
      <c r="DYT11" s="133"/>
      <c r="DYU11" s="133"/>
      <c r="DYV11" s="133"/>
      <c r="DYW11" s="133"/>
      <c r="DYX11" s="133"/>
      <c r="DYY11" s="133"/>
      <c r="DYZ11" s="133"/>
      <c r="DZA11" s="133"/>
      <c r="DZB11" s="133"/>
      <c r="DZC11" s="133"/>
      <c r="DZD11" s="133"/>
      <c r="DZE11" s="133"/>
      <c r="DZF11" s="133"/>
      <c r="DZG11" s="133"/>
      <c r="DZH11" s="133"/>
      <c r="DZI11" s="133"/>
      <c r="DZJ11" s="133"/>
      <c r="DZK11" s="133"/>
      <c r="DZL11" s="133"/>
      <c r="DZM11" s="133"/>
      <c r="DZN11" s="133"/>
      <c r="DZO11" s="133"/>
      <c r="DZP11" s="133"/>
      <c r="DZQ11" s="133"/>
      <c r="DZR11" s="133"/>
      <c r="DZS11" s="133"/>
      <c r="DZT11" s="133"/>
      <c r="DZU11" s="133"/>
      <c r="DZV11" s="133"/>
      <c r="DZW11" s="133"/>
      <c r="DZX11" s="133"/>
      <c r="DZY11" s="133"/>
      <c r="DZZ11" s="133"/>
      <c r="EAA11" s="133"/>
      <c r="EAB11" s="133"/>
      <c r="EAC11" s="133"/>
      <c r="EAD11" s="133"/>
      <c r="EAE11" s="133"/>
      <c r="EAF11" s="133"/>
      <c r="EAG11" s="133"/>
      <c r="EAH11" s="133"/>
      <c r="EAI11" s="133"/>
      <c r="EAJ11" s="133"/>
      <c r="EAK11" s="133"/>
      <c r="EAL11" s="133"/>
      <c r="EAM11" s="133"/>
      <c r="EAN11" s="133"/>
      <c r="EAO11" s="133"/>
      <c r="EAP11" s="133"/>
      <c r="EAQ11" s="133"/>
      <c r="EAR11" s="133"/>
      <c r="EAS11" s="133"/>
      <c r="EAT11" s="133"/>
      <c r="EAU11" s="133"/>
      <c r="EAV11" s="133"/>
      <c r="EAW11" s="133"/>
      <c r="EAX11" s="133"/>
      <c r="EAY11" s="133"/>
      <c r="EAZ11" s="133"/>
      <c r="EBA11" s="133"/>
      <c r="EBB11" s="133"/>
      <c r="EBC11" s="133"/>
      <c r="EBD11" s="133"/>
      <c r="EBE11" s="133"/>
      <c r="EBF11" s="133"/>
      <c r="EBG11" s="133"/>
      <c r="EBH11" s="133"/>
      <c r="EBI11" s="133"/>
      <c r="EBJ11" s="133"/>
      <c r="EBK11" s="133"/>
      <c r="EBL11" s="133"/>
      <c r="EBM11" s="133"/>
      <c r="EBN11" s="133"/>
      <c r="EBO11" s="133"/>
      <c r="EBP11" s="133"/>
      <c r="EBQ11" s="133"/>
      <c r="EBR11" s="133"/>
      <c r="EBS11" s="133"/>
      <c r="EBT11" s="133"/>
      <c r="EBU11" s="133"/>
      <c r="EBV11" s="133"/>
      <c r="EBW11" s="133"/>
      <c r="EBX11" s="133"/>
      <c r="EBY11" s="133"/>
      <c r="EBZ11" s="133"/>
      <c r="ECA11" s="133"/>
      <c r="ECB11" s="133"/>
      <c r="ECC11" s="133"/>
      <c r="ECD11" s="133"/>
      <c r="ECE11" s="133"/>
      <c r="ECF11" s="133"/>
      <c r="ECG11" s="133"/>
      <c r="ECH11" s="133"/>
      <c r="ECI11" s="133"/>
      <c r="ECJ11" s="133"/>
      <c r="ECK11" s="133"/>
      <c r="ECL11" s="133"/>
      <c r="ECM11" s="133"/>
      <c r="ECN11" s="133"/>
      <c r="ECO11" s="133"/>
      <c r="ECP11" s="133"/>
      <c r="ECQ11" s="133"/>
      <c r="ECR11" s="133"/>
      <c r="ECS11" s="133"/>
      <c r="ECT11" s="133"/>
      <c r="ECU11" s="133"/>
      <c r="ECV11" s="133"/>
      <c r="ECW11" s="133"/>
      <c r="ECX11" s="133"/>
      <c r="ECY11" s="133"/>
      <c r="ECZ11" s="133"/>
      <c r="EDA11" s="133"/>
      <c r="EDB11" s="133"/>
      <c r="EDC11" s="133"/>
      <c r="EDD11" s="133"/>
      <c r="EDE11" s="133"/>
      <c r="EDF11" s="133"/>
      <c r="EDG11" s="133"/>
      <c r="EDH11" s="133"/>
      <c r="EDI11" s="133"/>
      <c r="EDJ11" s="133"/>
      <c r="EDK11" s="133"/>
      <c r="EDL11" s="133"/>
      <c r="EDM11" s="133"/>
      <c r="EDN11" s="133"/>
      <c r="EDO11" s="133"/>
      <c r="EDP11" s="133"/>
      <c r="EDQ11" s="133"/>
      <c r="EDR11" s="133"/>
      <c r="EDS11" s="133"/>
      <c r="EDT11" s="133"/>
      <c r="EDU11" s="133"/>
      <c r="EDV11" s="133"/>
      <c r="EDW11" s="133"/>
      <c r="EDX11" s="133"/>
      <c r="EDY11" s="133"/>
      <c r="EDZ11" s="133"/>
      <c r="EEA11" s="133"/>
      <c r="EEB11" s="133"/>
      <c r="EEC11" s="133"/>
      <c r="EED11" s="133"/>
      <c r="EEE11" s="133"/>
      <c r="EEF11" s="133"/>
      <c r="EEG11" s="133"/>
      <c r="EEH11" s="133"/>
      <c r="EEI11" s="133"/>
      <c r="EEJ11" s="133"/>
      <c r="EEK11" s="133"/>
      <c r="EEL11" s="133"/>
      <c r="EEM11" s="133"/>
      <c r="EEN11" s="133"/>
      <c r="EEO11" s="133"/>
      <c r="EEP11" s="133"/>
      <c r="EEQ11" s="133"/>
      <c r="EER11" s="133"/>
      <c r="EES11" s="133"/>
      <c r="EET11" s="133"/>
      <c r="EEU11" s="133"/>
      <c r="EEV11" s="133"/>
      <c r="EEW11" s="133"/>
      <c r="EEX11" s="133"/>
      <c r="EEY11" s="133"/>
      <c r="EEZ11" s="133"/>
      <c r="EFA11" s="133"/>
      <c r="EFB11" s="133"/>
      <c r="EFC11" s="133"/>
      <c r="EFD11" s="133"/>
      <c r="EFE11" s="133"/>
      <c r="EFF11" s="133"/>
      <c r="EFG11" s="133"/>
      <c r="EFH11" s="133"/>
      <c r="EFI11" s="133"/>
      <c r="EFJ11" s="133"/>
      <c r="EFK11" s="133"/>
      <c r="EFL11" s="133"/>
      <c r="EFM11" s="133"/>
      <c r="EFN11" s="133"/>
      <c r="EFO11" s="133"/>
      <c r="EFP11" s="133"/>
      <c r="EFQ11" s="133"/>
      <c r="EFR11" s="133"/>
      <c r="EFS11" s="133"/>
      <c r="EFT11" s="133"/>
      <c r="EFU11" s="133"/>
      <c r="EFV11" s="133"/>
      <c r="EFW11" s="133"/>
      <c r="EFX11" s="133"/>
      <c r="EFY11" s="133"/>
      <c r="EFZ11" s="133"/>
      <c r="EGA11" s="133"/>
      <c r="EGB11" s="133"/>
      <c r="EGC11" s="133"/>
      <c r="EGD11" s="133"/>
      <c r="EGE11" s="133"/>
      <c r="EGF11" s="133"/>
      <c r="EGG11" s="133"/>
      <c r="EGH11" s="133"/>
      <c r="EGI11" s="133"/>
      <c r="EGJ11" s="133"/>
      <c r="EGK11" s="133"/>
      <c r="EGL11" s="133"/>
      <c r="EGM11" s="133"/>
      <c r="EGN11" s="133"/>
      <c r="EGO11" s="133"/>
      <c r="EGP11" s="133"/>
      <c r="EGQ11" s="133"/>
      <c r="EGR11" s="133"/>
      <c r="EGS11" s="133"/>
      <c r="EGT11" s="133"/>
      <c r="EGU11" s="133"/>
      <c r="EGV11" s="133"/>
      <c r="EGW11" s="133"/>
      <c r="EGX11" s="133"/>
      <c r="EGY11" s="133"/>
      <c r="EGZ11" s="133"/>
      <c r="EHA11" s="133"/>
      <c r="EHB11" s="133"/>
      <c r="EHC11" s="133"/>
      <c r="EHD11" s="133"/>
      <c r="EHE11" s="133"/>
      <c r="EHF11" s="133"/>
      <c r="EHG11" s="133"/>
      <c r="EHH11" s="133"/>
      <c r="EHI11" s="133"/>
      <c r="EHJ11" s="133"/>
      <c r="EHK11" s="133"/>
      <c r="EHL11" s="133"/>
      <c r="EHM11" s="133"/>
      <c r="EHN11" s="133"/>
      <c r="EHO11" s="133"/>
      <c r="EHP11" s="133"/>
      <c r="EHQ11" s="133"/>
      <c r="EHR11" s="133"/>
      <c r="EHS11" s="133"/>
      <c r="EHT11" s="133"/>
      <c r="EHU11" s="133"/>
      <c r="EHV11" s="133"/>
      <c r="EHW11" s="133"/>
      <c r="EHX11" s="133"/>
      <c r="EHY11" s="133"/>
      <c r="EHZ11" s="133"/>
      <c r="EIA11" s="133"/>
      <c r="EIB11" s="133"/>
      <c r="EIC11" s="133"/>
      <c r="EID11" s="133"/>
      <c r="EIE11" s="133"/>
      <c r="EIF11" s="133"/>
      <c r="EIG11" s="133"/>
      <c r="EIH11" s="133"/>
      <c r="EII11" s="133"/>
      <c r="EIJ11" s="133"/>
      <c r="EIK11" s="133"/>
      <c r="EIL11" s="133"/>
      <c r="EIM11" s="133"/>
      <c r="EIN11" s="133"/>
      <c r="EIO11" s="133"/>
      <c r="EIP11" s="133"/>
      <c r="EIQ11" s="133"/>
      <c r="EIR11" s="133"/>
      <c r="EIS11" s="133"/>
      <c r="EIT11" s="133"/>
      <c r="EIU11" s="133"/>
      <c r="EIV11" s="133"/>
      <c r="EIW11" s="133"/>
      <c r="EIX11" s="133"/>
      <c r="EIY11" s="133"/>
      <c r="EIZ11" s="133"/>
      <c r="EJA11" s="133"/>
      <c r="EJB11" s="133"/>
      <c r="EJC11" s="133"/>
      <c r="EJD11" s="133"/>
      <c r="EJE11" s="133"/>
      <c r="EJF11" s="133"/>
      <c r="EJG11" s="133"/>
      <c r="EJH11" s="133"/>
      <c r="EJI11" s="133"/>
      <c r="EJJ11" s="133"/>
      <c r="EJK11" s="133"/>
      <c r="EJL11" s="133"/>
      <c r="EJM11" s="133"/>
      <c r="EJN11" s="133"/>
      <c r="EJO11" s="133"/>
      <c r="EJP11" s="133"/>
      <c r="EJQ11" s="133"/>
      <c r="EJR11" s="133"/>
      <c r="EJS11" s="133"/>
      <c r="EJT11" s="133"/>
      <c r="EJU11" s="133"/>
      <c r="EJV11" s="133"/>
      <c r="EJW11" s="133"/>
      <c r="EJX11" s="133"/>
      <c r="EJY11" s="133"/>
      <c r="EJZ11" s="133"/>
      <c r="EKA11" s="133"/>
      <c r="EKB11" s="133"/>
      <c r="EKC11" s="133"/>
      <c r="EKD11" s="133"/>
      <c r="EKE11" s="133"/>
      <c r="EKF11" s="133"/>
      <c r="EKG11" s="133"/>
      <c r="EKH11" s="133"/>
      <c r="EKI11" s="133"/>
      <c r="EKJ11" s="133"/>
      <c r="EKK11" s="133"/>
      <c r="EKL11" s="133"/>
      <c r="EKM11" s="133"/>
      <c r="EKN11" s="133"/>
      <c r="EKO11" s="133"/>
      <c r="EKP11" s="133"/>
      <c r="EKQ11" s="133"/>
      <c r="EKR11" s="133"/>
      <c r="EKS11" s="133"/>
      <c r="EKT11" s="133"/>
      <c r="EKU11" s="133"/>
      <c r="EKV11" s="133"/>
      <c r="EKW11" s="133"/>
      <c r="EKX11" s="133"/>
      <c r="EKY11" s="133"/>
      <c r="EKZ11" s="133"/>
      <c r="ELA11" s="133"/>
      <c r="ELB11" s="133"/>
      <c r="ELC11" s="133"/>
      <c r="ELD11" s="133"/>
      <c r="ELE11" s="133"/>
      <c r="ELF11" s="133"/>
      <c r="ELG11" s="133"/>
      <c r="ELH11" s="133"/>
      <c r="ELI11" s="133"/>
      <c r="ELJ11" s="133"/>
      <c r="ELK11" s="133"/>
      <c r="ELL11" s="133"/>
      <c r="ELM11" s="133"/>
      <c r="ELN11" s="133"/>
      <c r="ELO11" s="133"/>
      <c r="ELP11" s="133"/>
      <c r="ELQ11" s="133"/>
      <c r="ELR11" s="133"/>
      <c r="ELS11" s="133"/>
      <c r="ELT11" s="133"/>
      <c r="ELU11" s="133"/>
      <c r="ELV11" s="133"/>
      <c r="ELW11" s="133"/>
      <c r="ELX11" s="133"/>
      <c r="ELY11" s="133"/>
      <c r="ELZ11" s="133"/>
      <c r="EMA11" s="133"/>
      <c r="EMB11" s="133"/>
      <c r="EMC11" s="133"/>
      <c r="EMD11" s="133"/>
      <c r="EME11" s="133"/>
      <c r="EMF11" s="133"/>
      <c r="EMG11" s="133"/>
      <c r="EMH11" s="133"/>
      <c r="EMI11" s="133"/>
      <c r="EMJ11" s="133"/>
      <c r="EMK11" s="133"/>
      <c r="EML11" s="133"/>
      <c r="EMM11" s="133"/>
      <c r="EMN11" s="133"/>
      <c r="EMO11" s="133"/>
      <c r="EMP11" s="133"/>
      <c r="EMQ11" s="133"/>
      <c r="EMR11" s="133"/>
      <c r="EMS11" s="133"/>
      <c r="EMT11" s="133"/>
      <c r="EMU11" s="133"/>
      <c r="EMV11" s="133"/>
      <c r="EMW11" s="133"/>
      <c r="EMX11" s="133"/>
      <c r="EMY11" s="133"/>
      <c r="EMZ11" s="133"/>
      <c r="ENA11" s="133"/>
      <c r="ENB11" s="133"/>
      <c r="ENC11" s="133"/>
      <c r="END11" s="133"/>
      <c r="ENE11" s="133"/>
      <c r="ENF11" s="133"/>
      <c r="ENG11" s="133"/>
      <c r="ENH11" s="133"/>
      <c r="ENI11" s="133"/>
      <c r="ENJ11" s="133"/>
      <c r="ENK11" s="133"/>
      <c r="ENL11" s="133"/>
      <c r="ENM11" s="133"/>
      <c r="ENN11" s="133"/>
      <c r="ENO11" s="133"/>
      <c r="ENP11" s="133"/>
      <c r="ENQ11" s="133"/>
      <c r="ENR11" s="133"/>
      <c r="ENS11" s="133"/>
      <c r="ENT11" s="133"/>
      <c r="ENU11" s="133"/>
      <c r="ENV11" s="133"/>
      <c r="ENW11" s="133"/>
      <c r="ENX11" s="133"/>
      <c r="ENY11" s="133"/>
      <c r="ENZ11" s="133"/>
      <c r="EOA11" s="133"/>
      <c r="EOB11" s="133"/>
      <c r="EOC11" s="133"/>
      <c r="EOD11" s="133"/>
      <c r="EOE11" s="133"/>
      <c r="EOF11" s="133"/>
      <c r="EOG11" s="133"/>
      <c r="EOH11" s="133"/>
      <c r="EOI11" s="133"/>
      <c r="EOJ11" s="133"/>
      <c r="EOK11" s="133"/>
      <c r="EOL11" s="133"/>
      <c r="EOM11" s="133"/>
      <c r="EON11" s="133"/>
      <c r="EOO11" s="133"/>
      <c r="EOP11" s="133"/>
      <c r="EOQ11" s="133"/>
      <c r="EOR11" s="133"/>
      <c r="EOS11" s="133"/>
      <c r="EOT11" s="133"/>
      <c r="EOU11" s="133"/>
      <c r="EOV11" s="133"/>
      <c r="EOW11" s="133"/>
      <c r="EOX11" s="133"/>
      <c r="EOY11" s="133"/>
      <c r="EOZ11" s="133"/>
      <c r="EPA11" s="133"/>
      <c r="EPB11" s="133"/>
      <c r="EPC11" s="133"/>
      <c r="EPD11" s="133"/>
      <c r="EPE11" s="133"/>
      <c r="EPF11" s="133"/>
      <c r="EPG11" s="133"/>
      <c r="EPH11" s="133"/>
      <c r="EPI11" s="133"/>
      <c r="EPJ11" s="133"/>
      <c r="EPK11" s="133"/>
      <c r="EPL11" s="133"/>
      <c r="EPM11" s="133"/>
      <c r="EPN11" s="133"/>
      <c r="EPO11" s="133"/>
      <c r="EPP11" s="133"/>
      <c r="EPQ11" s="133"/>
      <c r="EPR11" s="133"/>
      <c r="EPS11" s="133"/>
      <c r="EPT11" s="133"/>
      <c r="EPU11" s="133"/>
      <c r="EPV11" s="133"/>
      <c r="EPW11" s="133"/>
      <c r="EPX11" s="133"/>
      <c r="EPY11" s="133"/>
      <c r="EPZ11" s="133"/>
      <c r="EQA11" s="133"/>
      <c r="EQB11" s="133"/>
      <c r="EQC11" s="133"/>
      <c r="EQD11" s="133"/>
      <c r="EQE11" s="133"/>
      <c r="EQF11" s="133"/>
      <c r="EQG11" s="133"/>
      <c r="EQH11" s="133"/>
      <c r="EQI11" s="133"/>
      <c r="EQJ11" s="133"/>
      <c r="EQK11" s="133"/>
      <c r="EQL11" s="133"/>
      <c r="EQM11" s="133"/>
      <c r="EQN11" s="133"/>
      <c r="EQO11" s="133"/>
      <c r="EQP11" s="133"/>
      <c r="EQQ11" s="133"/>
      <c r="EQR11" s="133"/>
      <c r="EQS11" s="133"/>
      <c r="EQT11" s="133"/>
      <c r="EQU11" s="133"/>
      <c r="EQV11" s="133"/>
      <c r="EQW11" s="133"/>
      <c r="EQX11" s="133"/>
      <c r="EQY11" s="133"/>
      <c r="EQZ11" s="133"/>
      <c r="ERA11" s="133"/>
      <c r="ERB11" s="133"/>
      <c r="ERC11" s="133"/>
      <c r="ERD11" s="133"/>
      <c r="ERE11" s="133"/>
      <c r="ERF11" s="133"/>
      <c r="ERG11" s="133"/>
      <c r="ERH11" s="133"/>
      <c r="ERI11" s="133"/>
      <c r="ERJ11" s="133"/>
      <c r="ERK11" s="133"/>
      <c r="ERL11" s="133"/>
      <c r="ERM11" s="133"/>
      <c r="ERN11" s="133"/>
      <c r="ERO11" s="133"/>
      <c r="ERP11" s="133"/>
      <c r="ERQ11" s="133"/>
      <c r="ERR11" s="133"/>
      <c r="ERS11" s="133"/>
      <c r="ERT11" s="133"/>
      <c r="ERU11" s="133"/>
      <c r="ERV11" s="133"/>
      <c r="ERW11" s="133"/>
      <c r="ERX11" s="133"/>
      <c r="ERY11" s="133"/>
      <c r="ERZ11" s="133"/>
      <c r="ESA11" s="133"/>
      <c r="ESB11" s="133"/>
      <c r="ESC11" s="133"/>
      <c r="ESD11" s="133"/>
      <c r="ESE11" s="133"/>
      <c r="ESF11" s="133"/>
      <c r="ESG11" s="133"/>
      <c r="ESH11" s="133"/>
      <c r="ESI11" s="133"/>
      <c r="ESJ11" s="133"/>
      <c r="ESK11" s="133"/>
      <c r="ESL11" s="133"/>
      <c r="ESM11" s="133"/>
      <c r="ESN11" s="133"/>
      <c r="ESO11" s="133"/>
      <c r="ESP11" s="133"/>
      <c r="ESQ11" s="133"/>
      <c r="ESR11" s="133"/>
      <c r="ESS11" s="133"/>
      <c r="EST11" s="133"/>
      <c r="ESU11" s="133"/>
      <c r="ESV11" s="133"/>
      <c r="ESW11" s="133"/>
      <c r="ESX11" s="133"/>
      <c r="ESY11" s="133"/>
      <c r="ESZ11" s="133"/>
      <c r="ETA11" s="133"/>
      <c r="ETB11" s="133"/>
      <c r="ETC11" s="133"/>
      <c r="ETD11" s="133"/>
      <c r="ETE11" s="133"/>
      <c r="ETF11" s="133"/>
      <c r="ETG11" s="133"/>
      <c r="ETH11" s="133"/>
      <c r="ETI11" s="133"/>
      <c r="ETJ11" s="133"/>
      <c r="ETK11" s="133"/>
      <c r="ETL11" s="133"/>
      <c r="ETM11" s="133"/>
      <c r="ETN11" s="133"/>
      <c r="ETO11" s="133"/>
      <c r="ETP11" s="133"/>
      <c r="ETQ11" s="133"/>
      <c r="ETR11" s="133"/>
      <c r="ETS11" s="133"/>
      <c r="ETT11" s="133"/>
      <c r="ETU11" s="133"/>
      <c r="ETV11" s="133"/>
      <c r="ETW11" s="133"/>
      <c r="ETX11" s="133"/>
      <c r="ETY11" s="133"/>
      <c r="ETZ11" s="133"/>
      <c r="EUA11" s="133"/>
      <c r="EUB11" s="133"/>
      <c r="EUC11" s="133"/>
      <c r="EUD11" s="133"/>
      <c r="EUE11" s="133"/>
      <c r="EUF11" s="133"/>
      <c r="EUG11" s="133"/>
      <c r="EUH11" s="133"/>
      <c r="EUI11" s="133"/>
      <c r="EUJ11" s="133"/>
      <c r="EUK11" s="133"/>
      <c r="EUL11" s="133"/>
      <c r="EUM11" s="133"/>
      <c r="EUN11" s="133"/>
      <c r="EUO11" s="133"/>
      <c r="EUP11" s="133"/>
      <c r="EUQ11" s="133"/>
      <c r="EUR11" s="133"/>
      <c r="EUS11" s="133"/>
      <c r="EUT11" s="133"/>
      <c r="EUU11" s="133"/>
      <c r="EUV11" s="133"/>
      <c r="EUW11" s="133"/>
      <c r="EUX11" s="133"/>
      <c r="EUY11" s="133"/>
      <c r="EUZ11" s="133"/>
      <c r="EVA11" s="133"/>
      <c r="EVB11" s="133"/>
      <c r="EVC11" s="133"/>
      <c r="EVD11" s="133"/>
      <c r="EVE11" s="133"/>
      <c r="EVF11" s="133"/>
      <c r="EVG11" s="133"/>
      <c r="EVH11" s="133"/>
      <c r="EVI11" s="133"/>
      <c r="EVJ11" s="133"/>
      <c r="EVK11" s="133"/>
      <c r="EVL11" s="133"/>
      <c r="EVM11" s="133"/>
      <c r="EVN11" s="133"/>
      <c r="EVO11" s="133"/>
      <c r="EVP11" s="133"/>
      <c r="EVQ11" s="133"/>
      <c r="EVR11" s="133"/>
      <c r="EVS11" s="133"/>
      <c r="EVT11" s="133"/>
      <c r="EVU11" s="133"/>
      <c r="EVV11" s="133"/>
      <c r="EVW11" s="133"/>
      <c r="EVX11" s="133"/>
      <c r="EVY11" s="133"/>
      <c r="EVZ11" s="133"/>
      <c r="EWA11" s="133"/>
      <c r="EWB11" s="133"/>
      <c r="EWC11" s="133"/>
      <c r="EWD11" s="133"/>
      <c r="EWE11" s="133"/>
      <c r="EWF11" s="133"/>
      <c r="EWG11" s="133"/>
      <c r="EWH11" s="133"/>
      <c r="EWI11" s="133"/>
      <c r="EWJ11" s="133"/>
      <c r="EWK11" s="133"/>
      <c r="EWL11" s="133"/>
      <c r="EWM11" s="133"/>
      <c r="EWN11" s="133"/>
      <c r="EWO11" s="133"/>
      <c r="EWP11" s="133"/>
      <c r="EWQ11" s="133"/>
      <c r="EWR11" s="133"/>
      <c r="EWS11" s="133"/>
      <c r="EWT11" s="133"/>
      <c r="EWU11" s="133"/>
      <c r="EWV11" s="133"/>
      <c r="EWW11" s="133"/>
      <c r="EWX11" s="133"/>
      <c r="EWY11" s="133"/>
      <c r="EWZ11" s="133"/>
      <c r="EXA11" s="133"/>
      <c r="EXB11" s="133"/>
      <c r="EXC11" s="133"/>
      <c r="EXD11" s="133"/>
      <c r="EXE11" s="133"/>
      <c r="EXF11" s="133"/>
      <c r="EXG11" s="133"/>
      <c r="EXH11" s="133"/>
      <c r="EXI11" s="133"/>
      <c r="EXJ11" s="133"/>
      <c r="EXK11" s="133"/>
      <c r="EXL11" s="133"/>
      <c r="EXM11" s="133"/>
      <c r="EXN11" s="133"/>
      <c r="EXO11" s="133"/>
      <c r="EXP11" s="133"/>
      <c r="EXQ11" s="133"/>
      <c r="EXR11" s="133"/>
      <c r="EXS11" s="133"/>
      <c r="EXT11" s="133"/>
      <c r="EXU11" s="133"/>
      <c r="EXV11" s="133"/>
      <c r="EXW11" s="133"/>
      <c r="EXX11" s="133"/>
      <c r="EXY11" s="133"/>
      <c r="EXZ11" s="133"/>
      <c r="EYA11" s="133"/>
      <c r="EYB11" s="133"/>
      <c r="EYC11" s="133"/>
      <c r="EYD11" s="133"/>
      <c r="EYE11" s="133"/>
      <c r="EYF11" s="133"/>
      <c r="EYG11" s="133"/>
      <c r="EYH11" s="133"/>
      <c r="EYI11" s="133"/>
      <c r="EYJ11" s="133"/>
      <c r="EYK11" s="133"/>
      <c r="EYL11" s="133"/>
      <c r="EYM11" s="133"/>
      <c r="EYN11" s="133"/>
      <c r="EYO11" s="133"/>
      <c r="EYP11" s="133"/>
      <c r="EYQ11" s="133"/>
      <c r="EYR11" s="133"/>
      <c r="EYS11" s="133"/>
      <c r="EYT11" s="133"/>
      <c r="EYU11" s="133"/>
      <c r="EYV11" s="133"/>
      <c r="EYW11" s="133"/>
      <c r="EYX11" s="133"/>
      <c r="EYY11" s="133"/>
      <c r="EYZ11" s="133"/>
      <c r="EZA11" s="133"/>
      <c r="EZB11" s="133"/>
      <c r="EZC11" s="133"/>
      <c r="EZD11" s="133"/>
      <c r="EZE11" s="133"/>
      <c r="EZF11" s="133"/>
      <c r="EZG11" s="133"/>
      <c r="EZH11" s="133"/>
      <c r="EZI11" s="133"/>
      <c r="EZJ11" s="133"/>
      <c r="EZK11" s="133"/>
      <c r="EZL11" s="133"/>
      <c r="EZM11" s="133"/>
      <c r="EZN11" s="133"/>
      <c r="EZO11" s="133"/>
      <c r="EZP11" s="133"/>
      <c r="EZQ11" s="133"/>
      <c r="EZR11" s="133"/>
      <c r="EZS11" s="133"/>
      <c r="EZT11" s="133"/>
      <c r="EZU11" s="133"/>
      <c r="EZV11" s="133"/>
      <c r="EZW11" s="133"/>
      <c r="EZX11" s="133"/>
      <c r="EZY11" s="133"/>
      <c r="EZZ11" s="133"/>
      <c r="FAA11" s="133"/>
      <c r="FAB11" s="133"/>
      <c r="FAC11" s="133"/>
      <c r="FAP11" s="133"/>
      <c r="FAQ11" s="133"/>
      <c r="FAR11" s="133"/>
      <c r="FAS11" s="133"/>
      <c r="FAT11" s="133"/>
      <c r="FAU11" s="133"/>
      <c r="FAV11" s="133"/>
      <c r="FAW11" s="133"/>
      <c r="FAX11" s="133"/>
      <c r="FAY11" s="133"/>
      <c r="FAZ11" s="133"/>
      <c r="FBA11" s="133"/>
      <c r="FBB11" s="133"/>
      <c r="FBC11" s="133"/>
      <c r="FBD11" s="133"/>
      <c r="FBE11" s="133"/>
      <c r="FBF11" s="133"/>
      <c r="FBG11" s="133"/>
      <c r="FBH11" s="133"/>
      <c r="FBI11" s="133"/>
      <c r="FBJ11" s="133"/>
      <c r="FBK11" s="133"/>
      <c r="FBL11" s="133"/>
      <c r="FBM11" s="133"/>
      <c r="FBN11" s="133"/>
      <c r="FBO11" s="133"/>
      <c r="FBP11" s="133"/>
      <c r="FBQ11" s="133"/>
      <c r="FBR11" s="133"/>
      <c r="FBS11" s="133"/>
      <c r="FBT11" s="133"/>
      <c r="FBU11" s="133"/>
      <c r="FBV11" s="133"/>
      <c r="FBW11" s="133"/>
      <c r="FBX11" s="133"/>
      <c r="FBY11" s="133"/>
      <c r="FBZ11" s="133"/>
      <c r="FCA11" s="133"/>
      <c r="FCB11" s="133"/>
      <c r="FCC11" s="133"/>
      <c r="FCD11" s="133"/>
      <c r="FCE11" s="133"/>
      <c r="FCF11" s="133"/>
      <c r="FCG11" s="133"/>
      <c r="FCH11" s="133"/>
      <c r="FCI11" s="133"/>
      <c r="FCJ11" s="133"/>
      <c r="FCK11" s="133"/>
      <c r="FCL11" s="133"/>
      <c r="FCM11" s="133"/>
      <c r="FCN11" s="133"/>
      <c r="FCO11" s="133"/>
      <c r="FCP11" s="133"/>
      <c r="FCQ11" s="133"/>
      <c r="FCR11" s="133"/>
      <c r="FCS11" s="133"/>
      <c r="FCT11" s="133"/>
      <c r="FCU11" s="133"/>
      <c r="FCV11" s="133"/>
      <c r="FCW11" s="133"/>
      <c r="FCX11" s="133"/>
      <c r="FCY11" s="133"/>
      <c r="FCZ11" s="133"/>
      <c r="FDA11" s="133"/>
      <c r="FDB11" s="133"/>
      <c r="FDC11" s="133"/>
      <c r="FDD11" s="133"/>
      <c r="FDE11" s="133"/>
      <c r="FDF11" s="133"/>
      <c r="FDG11" s="133"/>
      <c r="FDH11" s="133"/>
      <c r="FDI11" s="133"/>
      <c r="FDJ11" s="133"/>
      <c r="FDK11" s="133"/>
      <c r="FDL11" s="133"/>
      <c r="FDM11" s="133"/>
      <c r="FDN11" s="133"/>
      <c r="FDO11" s="133"/>
      <c r="FDP11" s="133"/>
      <c r="FDQ11" s="133"/>
      <c r="FDR11" s="133"/>
      <c r="FDS11" s="133"/>
      <c r="FDT11" s="133"/>
      <c r="FDU11" s="133"/>
      <c r="FDV11" s="133"/>
      <c r="FDW11" s="133"/>
      <c r="FDX11" s="133"/>
      <c r="FDY11" s="133"/>
      <c r="FDZ11" s="133"/>
      <c r="FEA11" s="133"/>
      <c r="FEB11" s="133"/>
      <c r="FEC11" s="133"/>
      <c r="FED11" s="133"/>
      <c r="FEE11" s="133"/>
      <c r="FEF11" s="133"/>
      <c r="FEG11" s="133"/>
      <c r="FEH11" s="133"/>
      <c r="FEI11" s="133"/>
      <c r="FEJ11" s="133"/>
      <c r="FEK11" s="133"/>
      <c r="FEL11" s="133"/>
      <c r="FEM11" s="133"/>
      <c r="FEN11" s="133"/>
      <c r="FEO11" s="133"/>
      <c r="FEP11" s="133"/>
      <c r="FEQ11" s="133"/>
      <c r="FER11" s="133"/>
      <c r="FES11" s="133"/>
      <c r="FET11" s="133"/>
      <c r="FEU11" s="133"/>
      <c r="FEV11" s="133"/>
      <c r="FEW11" s="133"/>
      <c r="FEX11" s="133"/>
      <c r="FEY11" s="133"/>
      <c r="FEZ11" s="133"/>
      <c r="FFA11" s="133"/>
      <c r="FFB11" s="133"/>
      <c r="FFC11" s="133"/>
      <c r="FFD11" s="133"/>
      <c r="FFE11" s="133"/>
      <c r="FFF11" s="133"/>
      <c r="FFG11" s="133"/>
      <c r="FFH11" s="133"/>
      <c r="FFI11" s="133"/>
      <c r="FFJ11" s="133"/>
      <c r="FFK11" s="133"/>
      <c r="FFL11" s="133"/>
      <c r="FFM11" s="133"/>
      <c r="FFN11" s="133"/>
      <c r="FFO11" s="133"/>
      <c r="FFP11" s="133"/>
      <c r="FFQ11" s="133"/>
      <c r="FFR11" s="133"/>
      <c r="FFS11" s="133"/>
      <c r="FFT11" s="133"/>
      <c r="FFU11" s="133"/>
      <c r="FFV11" s="133"/>
      <c r="FFW11" s="133"/>
      <c r="FFX11" s="133"/>
      <c r="FFY11" s="133"/>
      <c r="FFZ11" s="133"/>
      <c r="FGA11" s="133"/>
      <c r="FGB11" s="133"/>
      <c r="FGC11" s="133"/>
      <c r="FGD11" s="133"/>
      <c r="FGE11" s="133"/>
      <c r="FGF11" s="133"/>
      <c r="FGG11" s="133"/>
      <c r="FGH11" s="133"/>
      <c r="FGI11" s="133"/>
      <c r="FGJ11" s="133"/>
      <c r="FGK11" s="133"/>
      <c r="FGL11" s="133"/>
      <c r="FGM11" s="133"/>
      <c r="FGN11" s="133"/>
      <c r="FGO11" s="133"/>
      <c r="FGP11" s="133"/>
      <c r="FGQ11" s="133"/>
      <c r="FGR11" s="133"/>
      <c r="FGS11" s="133"/>
      <c r="FGT11" s="133"/>
      <c r="FGU11" s="133"/>
      <c r="FGV11" s="133"/>
      <c r="FGW11" s="133"/>
      <c r="FGX11" s="133"/>
      <c r="FGY11" s="133"/>
      <c r="FGZ11" s="133"/>
      <c r="FHA11" s="133"/>
      <c r="FHB11" s="133"/>
      <c r="FHC11" s="133"/>
      <c r="FHD11" s="133"/>
      <c r="FHE11" s="133"/>
      <c r="FHF11" s="133"/>
      <c r="FHG11" s="133"/>
      <c r="FHH11" s="133"/>
      <c r="FHI11" s="133"/>
      <c r="FHJ11" s="133"/>
      <c r="FHK11" s="133"/>
      <c r="FHL11" s="133"/>
      <c r="FHM11" s="133"/>
      <c r="FHN11" s="133"/>
      <c r="FHO11" s="133"/>
      <c r="FHP11" s="133"/>
      <c r="FHQ11" s="133"/>
      <c r="FHR11" s="133"/>
      <c r="FHS11" s="133"/>
      <c r="FHT11" s="133"/>
      <c r="FHU11" s="133"/>
      <c r="FHV11" s="133"/>
      <c r="FHW11" s="133"/>
      <c r="FHX11" s="133"/>
      <c r="FHY11" s="133"/>
      <c r="FHZ11" s="133"/>
      <c r="FIA11" s="133"/>
      <c r="FIB11" s="133"/>
      <c r="FIC11" s="133"/>
      <c r="FID11" s="133"/>
      <c r="FIE11" s="133"/>
      <c r="FIF11" s="133"/>
      <c r="FIG11" s="133"/>
      <c r="FIH11" s="133"/>
      <c r="FII11" s="133"/>
      <c r="FIJ11" s="133"/>
      <c r="FIK11" s="133"/>
      <c r="FIL11" s="133"/>
      <c r="FIM11" s="133"/>
      <c r="FIN11" s="133"/>
      <c r="FIO11" s="133"/>
      <c r="FIP11" s="133"/>
      <c r="FIQ11" s="133"/>
      <c r="FIR11" s="133"/>
      <c r="FIS11" s="133"/>
      <c r="FIT11" s="133"/>
      <c r="FIU11" s="133"/>
      <c r="FIV11" s="133"/>
      <c r="FIW11" s="133"/>
      <c r="FIX11" s="133"/>
      <c r="FIY11" s="133"/>
      <c r="FIZ11" s="133"/>
      <c r="FJA11" s="133"/>
      <c r="FJB11" s="133"/>
      <c r="FJC11" s="133"/>
      <c r="FJD11" s="133"/>
      <c r="FJE11" s="133"/>
      <c r="FJF11" s="133"/>
      <c r="FJG11" s="133"/>
      <c r="FJH11" s="133"/>
      <c r="FJI11" s="133"/>
      <c r="FJJ11" s="133"/>
      <c r="FJK11" s="133"/>
      <c r="FJL11" s="133"/>
      <c r="FJM11" s="133"/>
      <c r="FJN11" s="133"/>
      <c r="FJO11" s="133"/>
      <c r="FJP11" s="133"/>
      <c r="FJQ11" s="133"/>
      <c r="FJR11" s="133"/>
      <c r="FJS11" s="133"/>
      <c r="FJT11" s="133"/>
      <c r="FJU11" s="133"/>
      <c r="FJV11" s="133"/>
      <c r="FJW11" s="133"/>
      <c r="FJX11" s="133"/>
      <c r="FJY11" s="133"/>
      <c r="FJZ11" s="133"/>
      <c r="FKA11" s="133"/>
      <c r="FKB11" s="133"/>
      <c r="FKC11" s="133"/>
      <c r="FKD11" s="133"/>
      <c r="FKE11" s="133"/>
      <c r="FKF11" s="133"/>
      <c r="FKG11" s="133"/>
      <c r="FKH11" s="133"/>
      <c r="FKI11" s="133"/>
      <c r="FKJ11" s="133"/>
      <c r="FKK11" s="133"/>
      <c r="FKL11" s="133"/>
      <c r="FKM11" s="133"/>
      <c r="FKN11" s="133"/>
      <c r="FKO11" s="133"/>
      <c r="FKP11" s="133"/>
      <c r="FKQ11" s="133"/>
      <c r="FKR11" s="133"/>
      <c r="FKS11" s="133"/>
      <c r="FKT11" s="133"/>
      <c r="FKU11" s="133"/>
      <c r="FKV11" s="133"/>
      <c r="FKW11" s="133"/>
      <c r="FKX11" s="133"/>
      <c r="FKY11" s="133"/>
      <c r="FKZ11" s="133"/>
      <c r="FLA11" s="133"/>
      <c r="FLB11" s="133"/>
      <c r="FLC11" s="133"/>
      <c r="FLD11" s="133"/>
      <c r="FLE11" s="133"/>
      <c r="FLF11" s="133"/>
      <c r="FLG11" s="133"/>
      <c r="FLH11" s="133"/>
      <c r="FLI11" s="133"/>
      <c r="FLJ11" s="133"/>
      <c r="FLK11" s="133"/>
      <c r="FLL11" s="133"/>
      <c r="FLM11" s="133"/>
      <c r="FLN11" s="133"/>
      <c r="FLO11" s="133"/>
      <c r="FLP11" s="133"/>
      <c r="FLQ11" s="133"/>
      <c r="FLR11" s="133"/>
      <c r="FLS11" s="133"/>
      <c r="FLT11" s="133"/>
      <c r="FLU11" s="133"/>
      <c r="FLV11" s="133"/>
      <c r="FLW11" s="133"/>
      <c r="FLX11" s="133"/>
      <c r="FLY11" s="133"/>
      <c r="FLZ11" s="133"/>
      <c r="FMA11" s="133"/>
      <c r="FMB11" s="133"/>
      <c r="FMC11" s="133"/>
      <c r="FMD11" s="133"/>
      <c r="FME11" s="133"/>
      <c r="FMF11" s="133"/>
      <c r="FMG11" s="133"/>
      <c r="FMH11" s="133"/>
      <c r="FMI11" s="133"/>
      <c r="FMJ11" s="133"/>
      <c r="FMK11" s="133"/>
      <c r="FML11" s="133"/>
      <c r="FMM11" s="133"/>
      <c r="FMN11" s="133"/>
      <c r="FMO11" s="133"/>
      <c r="FMP11" s="133"/>
      <c r="FMQ11" s="133"/>
      <c r="FMR11" s="133"/>
      <c r="FMS11" s="133"/>
      <c r="FMT11" s="133"/>
      <c r="FMU11" s="133"/>
      <c r="FMV11" s="133"/>
      <c r="FMW11" s="133"/>
      <c r="FMX11" s="133"/>
      <c r="FMY11" s="133"/>
      <c r="FMZ11" s="133"/>
      <c r="FNA11" s="133"/>
      <c r="FNB11" s="133"/>
      <c r="FNC11" s="133"/>
      <c r="FND11" s="133"/>
      <c r="FNE11" s="133"/>
      <c r="FNF11" s="133"/>
      <c r="FNG11" s="133"/>
      <c r="FNH11" s="133"/>
      <c r="FNI11" s="133"/>
      <c r="FNJ11" s="133"/>
      <c r="FNK11" s="133"/>
      <c r="FNL11" s="133"/>
      <c r="FNM11" s="133"/>
      <c r="FNN11" s="133"/>
      <c r="FNO11" s="133"/>
      <c r="FNP11" s="133"/>
      <c r="FNQ11" s="133"/>
      <c r="FNR11" s="133"/>
      <c r="FNS11" s="133"/>
      <c r="FNT11" s="133"/>
      <c r="FNU11" s="133"/>
      <c r="FNV11" s="133"/>
      <c r="FNW11" s="133"/>
      <c r="FNX11" s="133"/>
      <c r="FNY11" s="133"/>
      <c r="FNZ11" s="133"/>
      <c r="FOA11" s="133"/>
      <c r="FOB11" s="133"/>
      <c r="FOC11" s="133"/>
      <c r="FOD11" s="133"/>
      <c r="FOE11" s="133"/>
      <c r="FOF11" s="133"/>
      <c r="FOG11" s="133"/>
      <c r="FOH11" s="133"/>
      <c r="FOI11" s="133"/>
      <c r="FOJ11" s="133"/>
      <c r="FOK11" s="133"/>
      <c r="FOL11" s="133"/>
      <c r="FOM11" s="133"/>
      <c r="FON11" s="133"/>
      <c r="FOO11" s="133"/>
      <c r="FOP11" s="133"/>
      <c r="FOQ11" s="133"/>
      <c r="FOR11" s="133"/>
      <c r="FOS11" s="133"/>
      <c r="FOT11" s="133"/>
      <c r="FOU11" s="133"/>
      <c r="FOV11" s="133"/>
      <c r="FOW11" s="133"/>
      <c r="FOX11" s="133"/>
      <c r="FOY11" s="133"/>
      <c r="FOZ11" s="133"/>
      <c r="FPA11" s="133"/>
      <c r="FPB11" s="133"/>
      <c r="FPC11" s="133"/>
      <c r="FPD11" s="133"/>
      <c r="FPE11" s="133"/>
      <c r="FPF11" s="133"/>
      <c r="FPG11" s="133"/>
      <c r="FPH11" s="133"/>
      <c r="FPI11" s="133"/>
      <c r="FPJ11" s="133"/>
      <c r="FPK11" s="133"/>
      <c r="FPL11" s="133"/>
      <c r="FPM11" s="133"/>
      <c r="FPN11" s="133"/>
      <c r="FPO11" s="133"/>
      <c r="FPP11" s="133"/>
      <c r="FPQ11" s="133"/>
      <c r="FPR11" s="133"/>
      <c r="FPS11" s="133"/>
      <c r="FPT11" s="133"/>
      <c r="FPU11" s="133"/>
      <c r="FPV11" s="133"/>
      <c r="FPW11" s="133"/>
      <c r="FPX11" s="133"/>
      <c r="FPY11" s="133"/>
      <c r="FPZ11" s="133"/>
      <c r="FQA11" s="133"/>
      <c r="FQB11" s="133"/>
      <c r="FQC11" s="133"/>
      <c r="FQD11" s="133"/>
      <c r="FQE11" s="133"/>
      <c r="FQF11" s="133"/>
      <c r="FQG11" s="133"/>
      <c r="FQH11" s="133"/>
      <c r="FQI11" s="133"/>
      <c r="FQJ11" s="133"/>
      <c r="FQK11" s="133"/>
      <c r="FQL11" s="133"/>
      <c r="FQM11" s="133"/>
      <c r="FQN11" s="133"/>
      <c r="FQO11" s="133"/>
      <c r="FQP11" s="133"/>
      <c r="FQQ11" s="133"/>
      <c r="FQR11" s="133"/>
      <c r="FQS11" s="133"/>
      <c r="FQT11" s="133"/>
      <c r="FQU11" s="133"/>
      <c r="FQV11" s="133"/>
      <c r="FQW11" s="133"/>
      <c r="FQX11" s="133"/>
      <c r="FQY11" s="133"/>
      <c r="FQZ11" s="133"/>
      <c r="FRA11" s="133"/>
      <c r="FRB11" s="133"/>
      <c r="FRC11" s="133"/>
      <c r="FRD11" s="133"/>
      <c r="FRE11" s="133"/>
      <c r="FRF11" s="133"/>
      <c r="FRG11" s="133"/>
      <c r="FRH11" s="133"/>
      <c r="FRI11" s="133"/>
      <c r="FRJ11" s="133"/>
      <c r="FRK11" s="133"/>
      <c r="FRL11" s="133"/>
      <c r="FRM11" s="133"/>
      <c r="FRN11" s="133"/>
      <c r="FRO11" s="133"/>
      <c r="FRP11" s="133"/>
      <c r="FRQ11" s="133"/>
      <c r="FRR11" s="133"/>
      <c r="FRS11" s="133"/>
      <c r="FRT11" s="133"/>
      <c r="FRU11" s="133"/>
      <c r="FRV11" s="133"/>
      <c r="FRW11" s="133"/>
      <c r="FRX11" s="133"/>
      <c r="FRY11" s="133"/>
      <c r="FRZ11" s="133"/>
      <c r="FSA11" s="133"/>
      <c r="FSB11" s="133"/>
      <c r="FSC11" s="133"/>
      <c r="FSD11" s="133"/>
      <c r="FSE11" s="133"/>
      <c r="FSF11" s="133"/>
      <c r="FSG11" s="133"/>
      <c r="FSH11" s="133"/>
      <c r="FSI11" s="133"/>
      <c r="FSJ11" s="133"/>
      <c r="FSK11" s="133"/>
      <c r="FSL11" s="133"/>
      <c r="FSM11" s="133"/>
      <c r="FSN11" s="133"/>
      <c r="FSO11" s="133"/>
      <c r="FSP11" s="133"/>
      <c r="FSQ11" s="133"/>
      <c r="FSR11" s="133"/>
      <c r="FSS11" s="133"/>
      <c r="FST11" s="133"/>
      <c r="FSU11" s="133"/>
      <c r="FSV11" s="133"/>
      <c r="FSW11" s="133"/>
      <c r="FSX11" s="133"/>
      <c r="FSY11" s="133"/>
      <c r="FSZ11" s="133"/>
      <c r="FTA11" s="133"/>
      <c r="FTB11" s="133"/>
      <c r="FTC11" s="133"/>
      <c r="FTD11" s="133"/>
      <c r="FTE11" s="133"/>
      <c r="FTF11" s="133"/>
      <c r="FTG11" s="133"/>
      <c r="FTH11" s="133"/>
      <c r="FTI11" s="133"/>
      <c r="FTJ11" s="133"/>
      <c r="FTK11" s="133"/>
      <c r="FTL11" s="133"/>
      <c r="FTM11" s="133"/>
      <c r="FTN11" s="133"/>
      <c r="FTO11" s="133"/>
      <c r="FTP11" s="133"/>
      <c r="FTQ11" s="133"/>
      <c r="FTR11" s="133"/>
      <c r="FTS11" s="133"/>
      <c r="FTT11" s="133"/>
      <c r="FTU11" s="133"/>
      <c r="FTV11" s="133"/>
      <c r="FTW11" s="133"/>
      <c r="FTX11" s="133"/>
      <c r="FTY11" s="133"/>
      <c r="FTZ11" s="133"/>
      <c r="FUA11" s="133"/>
      <c r="FUB11" s="133"/>
      <c r="FUC11" s="133"/>
      <c r="FUD11" s="133"/>
      <c r="FUE11" s="133"/>
      <c r="FUF11" s="133"/>
      <c r="FUG11" s="133"/>
      <c r="FUH11" s="133"/>
      <c r="FUI11" s="133"/>
      <c r="FUJ11" s="133"/>
      <c r="FUK11" s="133"/>
      <c r="FUL11" s="133"/>
      <c r="FUM11" s="133"/>
      <c r="FUN11" s="133"/>
      <c r="FUO11" s="133"/>
      <c r="FUP11" s="133"/>
      <c r="FUQ11" s="133"/>
      <c r="FUR11" s="133"/>
      <c r="FUS11" s="133"/>
      <c r="FUT11" s="133"/>
      <c r="FUU11" s="133"/>
      <c r="FUV11" s="133"/>
      <c r="FUW11" s="133"/>
      <c r="FUX11" s="133"/>
      <c r="FUY11" s="133"/>
      <c r="FUZ11" s="133"/>
      <c r="FVA11" s="133"/>
      <c r="FVB11" s="133"/>
      <c r="FVC11" s="133"/>
      <c r="FVD11" s="133"/>
      <c r="FVE11" s="133"/>
      <c r="FVF11" s="133"/>
      <c r="FVG11" s="133"/>
      <c r="FVH11" s="133"/>
      <c r="FVI11" s="133"/>
      <c r="FVJ11" s="133"/>
      <c r="FVK11" s="133"/>
      <c r="FVL11" s="133"/>
      <c r="FVM11" s="133"/>
      <c r="FVN11" s="133"/>
      <c r="FVO11" s="133"/>
      <c r="FVP11" s="133"/>
      <c r="FVQ11" s="133"/>
      <c r="FVR11" s="133"/>
      <c r="FVS11" s="133"/>
      <c r="FVT11" s="133"/>
      <c r="FVU11" s="133"/>
      <c r="FVV11" s="133"/>
      <c r="FVW11" s="133"/>
      <c r="FVX11" s="133"/>
      <c r="FVY11" s="133"/>
      <c r="FVZ11" s="133"/>
      <c r="FWA11" s="133"/>
      <c r="FWB11" s="133"/>
      <c r="FWC11" s="133"/>
      <c r="FWD11" s="133"/>
      <c r="FWE11" s="133"/>
      <c r="FWF11" s="133"/>
      <c r="FWG11" s="133"/>
      <c r="FWH11" s="133"/>
      <c r="FWI11" s="133"/>
      <c r="FWJ11" s="133"/>
      <c r="FWK11" s="133"/>
      <c r="FWL11" s="133"/>
      <c r="FWM11" s="133"/>
      <c r="FWN11" s="133"/>
      <c r="FWO11" s="133"/>
      <c r="FWP11" s="133"/>
      <c r="FWQ11" s="133"/>
      <c r="FWR11" s="133"/>
      <c r="FWS11" s="133"/>
      <c r="FWT11" s="133"/>
      <c r="FWU11" s="133"/>
      <c r="FWV11" s="133"/>
      <c r="FWW11" s="133"/>
      <c r="FWX11" s="133"/>
      <c r="FWY11" s="133"/>
      <c r="FWZ11" s="133"/>
      <c r="FXA11" s="133"/>
      <c r="FXB11" s="133"/>
      <c r="FXC11" s="133"/>
      <c r="FXD11" s="133"/>
      <c r="FXE11" s="133"/>
      <c r="FXF11" s="133"/>
      <c r="FXG11" s="133"/>
      <c r="FXH11" s="133"/>
      <c r="FXI11" s="133"/>
      <c r="FXJ11" s="133"/>
      <c r="FXK11" s="133"/>
      <c r="FXL11" s="133"/>
      <c r="FXM11" s="133"/>
      <c r="FXN11" s="133"/>
      <c r="FXO11" s="133"/>
      <c r="FXP11" s="133"/>
      <c r="FXQ11" s="133"/>
      <c r="FXR11" s="133"/>
      <c r="FXS11" s="133"/>
      <c r="FXT11" s="133"/>
      <c r="FXU11" s="133"/>
      <c r="FXV11" s="133"/>
      <c r="FXW11" s="133"/>
      <c r="FXX11" s="133"/>
      <c r="FXY11" s="133"/>
      <c r="FXZ11" s="133"/>
      <c r="FYA11" s="133"/>
      <c r="FYB11" s="133"/>
      <c r="FYC11" s="133"/>
      <c r="FYD11" s="133"/>
      <c r="FYE11" s="133"/>
      <c r="FYF11" s="133"/>
      <c r="FYG11" s="133"/>
      <c r="FYH11" s="133"/>
      <c r="FYI11" s="133"/>
      <c r="FYJ11" s="133"/>
      <c r="FYK11" s="133"/>
      <c r="FYL11" s="133"/>
      <c r="FYM11" s="133"/>
      <c r="FYN11" s="133"/>
      <c r="FYO11" s="133"/>
      <c r="FYP11" s="133"/>
      <c r="FYQ11" s="133"/>
      <c r="FYR11" s="133"/>
      <c r="FYS11" s="133"/>
      <c r="FYT11" s="133"/>
      <c r="FYU11" s="133"/>
      <c r="FYV11" s="133"/>
      <c r="FYW11" s="133"/>
      <c r="FYX11" s="133"/>
      <c r="FYY11" s="133"/>
      <c r="FYZ11" s="133"/>
      <c r="FZA11" s="133"/>
      <c r="FZB11" s="133"/>
      <c r="FZC11" s="133"/>
      <c r="FZD11" s="133"/>
      <c r="FZE11" s="133"/>
      <c r="FZF11" s="133"/>
      <c r="FZG11" s="133"/>
      <c r="FZH11" s="133"/>
      <c r="FZI11" s="133"/>
      <c r="FZJ11" s="133"/>
      <c r="FZK11" s="133"/>
      <c r="FZL11" s="133"/>
      <c r="FZM11" s="133"/>
      <c r="FZN11" s="133"/>
      <c r="FZO11" s="133"/>
      <c r="FZP11" s="133"/>
      <c r="FZQ11" s="133"/>
      <c r="FZR11" s="133"/>
      <c r="FZS11" s="133"/>
      <c r="FZT11" s="133"/>
      <c r="FZU11" s="133"/>
      <c r="FZV11" s="133"/>
      <c r="FZW11" s="133"/>
      <c r="FZX11" s="133"/>
      <c r="FZY11" s="133"/>
      <c r="FZZ11" s="133"/>
      <c r="GAA11" s="133"/>
      <c r="GAB11" s="133"/>
      <c r="GAC11" s="133"/>
      <c r="GAD11" s="133"/>
      <c r="GAE11" s="133"/>
      <c r="GAF11" s="133"/>
      <c r="GAG11" s="133"/>
      <c r="GAH11" s="133"/>
      <c r="GAI11" s="133"/>
      <c r="GAJ11" s="133"/>
      <c r="GAK11" s="133"/>
      <c r="GAL11" s="133"/>
      <c r="GAM11" s="133"/>
      <c r="GAN11" s="133"/>
      <c r="GAO11" s="133"/>
      <c r="GAP11" s="133"/>
      <c r="GAQ11" s="133"/>
      <c r="GAR11" s="133"/>
      <c r="GAS11" s="133"/>
      <c r="GAT11" s="133"/>
      <c r="GAU11" s="133"/>
      <c r="GAV11" s="133"/>
      <c r="GAW11" s="133"/>
      <c r="GAX11" s="133"/>
      <c r="GAY11" s="133"/>
      <c r="GAZ11" s="133"/>
      <c r="GBA11" s="133"/>
      <c r="GBB11" s="133"/>
      <c r="GBC11" s="133"/>
      <c r="GBD11" s="133"/>
      <c r="GBE11" s="133"/>
      <c r="GBF11" s="133"/>
      <c r="GBG11" s="133"/>
      <c r="GBH11" s="133"/>
      <c r="GBI11" s="133"/>
      <c r="GBJ11" s="133"/>
      <c r="GBK11" s="133"/>
      <c r="GBL11" s="133"/>
      <c r="GBM11" s="133"/>
      <c r="GBN11" s="133"/>
      <c r="GBO11" s="133"/>
      <c r="GBP11" s="133"/>
      <c r="GBQ11" s="133"/>
      <c r="GBR11" s="133"/>
      <c r="GBS11" s="133"/>
      <c r="GBT11" s="133"/>
      <c r="GBU11" s="133"/>
      <c r="GBV11" s="133"/>
      <c r="GBW11" s="133"/>
      <c r="GBX11" s="133"/>
      <c r="GBY11" s="133"/>
      <c r="GBZ11" s="133"/>
      <c r="GCA11" s="133"/>
      <c r="GCB11" s="133"/>
      <c r="GCC11" s="133"/>
      <c r="GCD11" s="133"/>
      <c r="GCE11" s="133"/>
      <c r="GCF11" s="133"/>
      <c r="GCG11" s="133"/>
      <c r="GCH11" s="133"/>
      <c r="GCI11" s="133"/>
      <c r="GCJ11" s="133"/>
      <c r="GCK11" s="133"/>
      <c r="GCL11" s="133"/>
      <c r="GCM11" s="133"/>
      <c r="GCN11" s="133"/>
      <c r="GCO11" s="133"/>
      <c r="GCP11" s="133"/>
      <c r="GCQ11" s="133"/>
      <c r="GCR11" s="133"/>
      <c r="GCS11" s="133"/>
      <c r="GCT11" s="133"/>
      <c r="GCU11" s="133"/>
      <c r="GCV11" s="133"/>
      <c r="GCW11" s="133"/>
      <c r="GCX11" s="133"/>
      <c r="GCY11" s="133"/>
      <c r="GCZ11" s="133"/>
      <c r="GDA11" s="133"/>
      <c r="GDB11" s="133"/>
      <c r="GDC11" s="133"/>
      <c r="GDD11" s="133"/>
      <c r="GDE11" s="133"/>
      <c r="GDF11" s="133"/>
      <c r="GDG11" s="133"/>
      <c r="GDH11" s="133"/>
      <c r="GDI11" s="133"/>
      <c r="GDJ11" s="133"/>
      <c r="GDK11" s="133"/>
      <c r="GDL11" s="133"/>
      <c r="GDM11" s="133"/>
      <c r="GDN11" s="133"/>
      <c r="GDO11" s="133"/>
      <c r="GDP11" s="133"/>
      <c r="GDQ11" s="133"/>
      <c r="GDR11" s="133"/>
      <c r="GDS11" s="133"/>
      <c r="GDT11" s="133"/>
      <c r="GDU11" s="133"/>
      <c r="GDV11" s="133"/>
      <c r="GDW11" s="133"/>
      <c r="GDX11" s="133"/>
      <c r="GDY11" s="133"/>
      <c r="GDZ11" s="133"/>
      <c r="GEA11" s="133"/>
      <c r="GEB11" s="133"/>
      <c r="GEC11" s="133"/>
      <c r="GED11" s="133"/>
      <c r="GEE11" s="133"/>
      <c r="GEF11" s="133"/>
      <c r="GEG11" s="133"/>
      <c r="GEH11" s="133"/>
      <c r="GEI11" s="133"/>
      <c r="GEJ11" s="133"/>
      <c r="GEK11" s="133"/>
      <c r="GEL11" s="133"/>
      <c r="GEM11" s="133"/>
      <c r="GEN11" s="133"/>
      <c r="GEO11" s="133"/>
      <c r="GEP11" s="133"/>
      <c r="GEQ11" s="133"/>
      <c r="GER11" s="133"/>
      <c r="GES11" s="133"/>
      <c r="GET11" s="133"/>
      <c r="GEU11" s="133"/>
      <c r="GEV11" s="133"/>
      <c r="GEW11" s="133"/>
      <c r="GEX11" s="133"/>
      <c r="GEY11" s="133"/>
      <c r="GEZ11" s="133"/>
      <c r="GFA11" s="133"/>
      <c r="GFB11" s="133"/>
      <c r="GFC11" s="133"/>
      <c r="GFD11" s="133"/>
      <c r="GFE11" s="133"/>
      <c r="GFF11" s="133"/>
      <c r="GFG11" s="133"/>
      <c r="GFH11" s="133"/>
      <c r="GFI11" s="133"/>
      <c r="GFJ11" s="133"/>
      <c r="GFK11" s="133"/>
      <c r="GFL11" s="133"/>
      <c r="GFM11" s="133"/>
      <c r="GFN11" s="133"/>
      <c r="GFO11" s="133"/>
      <c r="GFP11" s="133"/>
      <c r="GFQ11" s="133"/>
      <c r="GFR11" s="133"/>
      <c r="GFS11" s="133"/>
      <c r="GFT11" s="133"/>
      <c r="GFU11" s="133"/>
      <c r="GFV11" s="133"/>
      <c r="GFW11" s="133"/>
      <c r="GFX11" s="133"/>
      <c r="GFY11" s="133"/>
      <c r="GFZ11" s="133"/>
      <c r="GGA11" s="133"/>
      <c r="GGB11" s="133"/>
      <c r="GGC11" s="133"/>
      <c r="GGD11" s="133"/>
      <c r="GGE11" s="133"/>
      <c r="GGF11" s="133"/>
      <c r="GGG11" s="133"/>
      <c r="GGH11" s="133"/>
      <c r="GGI11" s="133"/>
      <c r="GGJ11" s="133"/>
      <c r="GGK11" s="133"/>
      <c r="GGL11" s="133"/>
      <c r="GGM11" s="133"/>
      <c r="GGN11" s="133"/>
      <c r="GGO11" s="133"/>
      <c r="GGP11" s="133"/>
      <c r="GGQ11" s="133"/>
      <c r="GGR11" s="133"/>
      <c r="GGS11" s="133"/>
      <c r="GGT11" s="133"/>
      <c r="GGU11" s="133"/>
      <c r="GGV11" s="133"/>
      <c r="GGW11" s="133"/>
      <c r="GGX11" s="133"/>
      <c r="GGY11" s="133"/>
      <c r="GGZ11" s="133"/>
      <c r="GHA11" s="133"/>
      <c r="GHB11" s="133"/>
      <c r="GHC11" s="133"/>
      <c r="GHD11" s="133"/>
      <c r="GHE11" s="133"/>
      <c r="GHF11" s="133"/>
      <c r="GHG11" s="133"/>
      <c r="GHH11" s="133"/>
      <c r="GHI11" s="133"/>
      <c r="GHJ11" s="133"/>
      <c r="GHK11" s="133"/>
      <c r="GHL11" s="133"/>
      <c r="GHM11" s="133"/>
      <c r="GHN11" s="133"/>
      <c r="GHO11" s="133"/>
      <c r="GHP11" s="133"/>
      <c r="GHQ11" s="133"/>
      <c r="GHR11" s="133"/>
      <c r="GHS11" s="133"/>
      <c r="GHT11" s="133"/>
      <c r="GHU11" s="133"/>
      <c r="GHV11" s="133"/>
      <c r="GHW11" s="133"/>
      <c r="GHX11" s="133"/>
      <c r="GHY11" s="133"/>
      <c r="GHZ11" s="133"/>
      <c r="GIA11" s="133"/>
      <c r="GIB11" s="133"/>
      <c r="GIC11" s="133"/>
      <c r="GID11" s="133"/>
      <c r="GIE11" s="133"/>
      <c r="GIF11" s="133"/>
      <c r="GIG11" s="133"/>
      <c r="GIH11" s="133"/>
      <c r="GII11" s="133"/>
      <c r="GIJ11" s="133"/>
      <c r="GIK11" s="133"/>
      <c r="GIL11" s="133"/>
      <c r="GIM11" s="133"/>
      <c r="GIN11" s="133"/>
      <c r="GIO11" s="133"/>
      <c r="GIP11" s="133"/>
      <c r="GIQ11" s="133"/>
      <c r="GIR11" s="133"/>
      <c r="GIS11" s="133"/>
      <c r="GIT11" s="133"/>
      <c r="GIU11" s="133"/>
      <c r="GIV11" s="133"/>
      <c r="GIW11" s="133"/>
      <c r="GIX11" s="133"/>
      <c r="GIY11" s="133"/>
      <c r="GIZ11" s="133"/>
      <c r="GJA11" s="133"/>
      <c r="GJB11" s="133"/>
      <c r="GJC11" s="133"/>
      <c r="GJD11" s="133"/>
      <c r="GJE11" s="133"/>
      <c r="GJF11" s="133"/>
      <c r="GJG11" s="133"/>
      <c r="GJH11" s="133"/>
      <c r="GJI11" s="133"/>
      <c r="GJJ11" s="133"/>
      <c r="GJK11" s="133"/>
      <c r="GJL11" s="133"/>
      <c r="GJM11" s="133"/>
      <c r="GJN11" s="133"/>
      <c r="GJO11" s="133"/>
      <c r="GJP11" s="133"/>
      <c r="GJQ11" s="133"/>
      <c r="GJR11" s="133"/>
      <c r="GJS11" s="133"/>
      <c r="GJT11" s="133"/>
      <c r="GJU11" s="133"/>
      <c r="GJV11" s="133"/>
      <c r="GJW11" s="133"/>
      <c r="GJX11" s="133"/>
      <c r="GJY11" s="133"/>
      <c r="GJZ11" s="133"/>
      <c r="GKA11" s="133"/>
      <c r="GKB11" s="133"/>
      <c r="GKC11" s="133"/>
      <c r="GKD11" s="133"/>
      <c r="GKE11" s="133"/>
      <c r="GKF11" s="133"/>
      <c r="GKG11" s="133"/>
      <c r="GKH11" s="133"/>
      <c r="GKI11" s="133"/>
      <c r="GKJ11" s="133"/>
      <c r="GKK11" s="133"/>
      <c r="GKL11" s="133"/>
      <c r="GKM11" s="133"/>
      <c r="GKN11" s="133"/>
      <c r="GKO11" s="133"/>
      <c r="GKP11" s="133"/>
      <c r="GKQ11" s="133"/>
      <c r="GKR11" s="133"/>
      <c r="GKS11" s="133"/>
      <c r="GKT11" s="133"/>
      <c r="GKU11" s="133"/>
      <c r="GKV11" s="133"/>
      <c r="GKW11" s="133"/>
      <c r="GKX11" s="133"/>
      <c r="GKY11" s="133"/>
      <c r="GKZ11" s="133"/>
      <c r="GLA11" s="133"/>
      <c r="GLB11" s="133"/>
      <c r="GLC11" s="133"/>
      <c r="GLD11" s="133"/>
      <c r="GLE11" s="133"/>
      <c r="GLF11" s="133"/>
      <c r="GLG11" s="133"/>
      <c r="GLH11" s="133"/>
      <c r="GLI11" s="133"/>
      <c r="GLJ11" s="133"/>
      <c r="GLK11" s="133"/>
      <c r="GLL11" s="133"/>
      <c r="GLM11" s="133"/>
      <c r="GLN11" s="133"/>
      <c r="GLO11" s="133"/>
      <c r="GLP11" s="133"/>
      <c r="GLQ11" s="133"/>
      <c r="GLR11" s="133"/>
      <c r="GLS11" s="133"/>
      <c r="GLT11" s="133"/>
      <c r="GLU11" s="133"/>
      <c r="GLV11" s="133"/>
      <c r="GLW11" s="133"/>
      <c r="GLX11" s="133"/>
      <c r="GLY11" s="133"/>
      <c r="GLZ11" s="133"/>
      <c r="GMA11" s="133"/>
      <c r="GMB11" s="133"/>
      <c r="GMC11" s="133"/>
      <c r="GMD11" s="133"/>
      <c r="GME11" s="133"/>
      <c r="GMF11" s="133"/>
      <c r="GMG11" s="133"/>
      <c r="GMH11" s="133"/>
      <c r="GMI11" s="133"/>
      <c r="GMJ11" s="133"/>
      <c r="GMK11" s="133"/>
      <c r="GML11" s="133"/>
      <c r="GMM11" s="133"/>
      <c r="GMN11" s="133"/>
      <c r="GMO11" s="133"/>
      <c r="GMP11" s="133"/>
      <c r="GMQ11" s="133"/>
      <c r="GMR11" s="133"/>
      <c r="GMS11" s="133"/>
      <c r="GMT11" s="133"/>
      <c r="GMU11" s="133"/>
      <c r="GMV11" s="133"/>
      <c r="GMW11" s="133"/>
      <c r="GMX11" s="133"/>
      <c r="GMY11" s="133"/>
      <c r="GMZ11" s="133"/>
      <c r="GNA11" s="133"/>
      <c r="GNB11" s="133"/>
      <c r="GNC11" s="133"/>
      <c r="GND11" s="133"/>
      <c r="GNE11" s="133"/>
      <c r="GNF11" s="133"/>
      <c r="GNG11" s="133"/>
      <c r="GNH11" s="133"/>
      <c r="GNI11" s="133"/>
      <c r="GNJ11" s="133"/>
      <c r="GNK11" s="133"/>
      <c r="GNL11" s="133"/>
      <c r="GNM11" s="133"/>
      <c r="GNZ11" s="133"/>
      <c r="GOA11" s="133"/>
      <c r="GOB11" s="133"/>
      <c r="GOC11" s="133"/>
      <c r="GOD11" s="133"/>
      <c r="GOE11" s="133"/>
      <c r="GOF11" s="133"/>
      <c r="GOG11" s="133"/>
      <c r="GOH11" s="133"/>
      <c r="GOI11" s="133"/>
      <c r="GOJ11" s="133"/>
      <c r="GOK11" s="133"/>
      <c r="GOL11" s="133"/>
      <c r="GOM11" s="133"/>
      <c r="GON11" s="133"/>
      <c r="GOO11" s="133"/>
      <c r="GOP11" s="133"/>
      <c r="GOQ11" s="133"/>
      <c r="GOR11" s="133"/>
      <c r="GOS11" s="133"/>
      <c r="GOT11" s="133"/>
      <c r="GOU11" s="133"/>
      <c r="GOV11" s="133"/>
      <c r="GOW11" s="133"/>
      <c r="GOX11" s="133"/>
      <c r="GOY11" s="133"/>
      <c r="GOZ11" s="133"/>
      <c r="GPA11" s="133"/>
      <c r="GPB11" s="133"/>
      <c r="GPC11" s="133"/>
      <c r="GPD11" s="133"/>
      <c r="GPE11" s="133"/>
      <c r="GPF11" s="133"/>
      <c r="GPG11" s="133"/>
      <c r="GPH11" s="133"/>
      <c r="GPI11" s="133"/>
      <c r="GPJ11" s="133"/>
      <c r="GPK11" s="133"/>
      <c r="GPL11" s="133"/>
      <c r="GPM11" s="133"/>
      <c r="GPN11" s="133"/>
      <c r="GPO11" s="133"/>
      <c r="GPP11" s="133"/>
      <c r="GPQ11" s="133"/>
      <c r="GPR11" s="133"/>
      <c r="GPS11" s="133"/>
      <c r="GPT11" s="133"/>
      <c r="GPU11" s="133"/>
      <c r="GPV11" s="133"/>
      <c r="GPW11" s="133"/>
      <c r="GPX11" s="133"/>
      <c r="GPY11" s="133"/>
      <c r="GPZ11" s="133"/>
      <c r="GQA11" s="133"/>
      <c r="GQB11" s="133"/>
      <c r="GQC11" s="133"/>
      <c r="GQD11" s="133"/>
      <c r="GQE11" s="133"/>
      <c r="GQF11" s="133"/>
      <c r="GQG11" s="133"/>
      <c r="GQH11" s="133"/>
      <c r="GQI11" s="133"/>
      <c r="GQJ11" s="133"/>
      <c r="GQK11" s="133"/>
      <c r="GQL11" s="133"/>
      <c r="GQM11" s="133"/>
      <c r="GQN11" s="133"/>
      <c r="GQO11" s="133"/>
      <c r="GQP11" s="133"/>
      <c r="GQQ11" s="133"/>
      <c r="GQR11" s="133"/>
      <c r="GQS11" s="133"/>
      <c r="GQT11" s="133"/>
      <c r="GQU11" s="133"/>
      <c r="GQV11" s="133"/>
      <c r="GQW11" s="133"/>
      <c r="GQX11" s="133"/>
      <c r="GQY11" s="133"/>
      <c r="GQZ11" s="133"/>
      <c r="GRA11" s="133"/>
      <c r="GRB11" s="133"/>
      <c r="GRC11" s="133"/>
      <c r="GRD11" s="133"/>
      <c r="GRE11" s="133"/>
      <c r="GRF11" s="133"/>
      <c r="GRG11" s="133"/>
      <c r="GRH11" s="133"/>
      <c r="GRI11" s="133"/>
      <c r="GRJ11" s="133"/>
      <c r="GRK11" s="133"/>
      <c r="GRL11" s="133"/>
      <c r="GRM11" s="133"/>
      <c r="GRN11" s="133"/>
      <c r="GRO11" s="133"/>
      <c r="GRP11" s="133"/>
      <c r="GRQ11" s="133"/>
      <c r="GRR11" s="133"/>
      <c r="GRS11" s="133"/>
      <c r="GRT11" s="133"/>
      <c r="GRU11" s="133"/>
      <c r="GRV11" s="133"/>
      <c r="GRW11" s="133"/>
      <c r="GRX11" s="133"/>
      <c r="GRY11" s="133"/>
      <c r="GRZ11" s="133"/>
      <c r="GSA11" s="133"/>
      <c r="GSB11" s="133"/>
      <c r="GSC11" s="133"/>
      <c r="GSD11" s="133"/>
      <c r="GSE11" s="133"/>
      <c r="GSF11" s="133"/>
      <c r="GSG11" s="133"/>
      <c r="GSH11" s="133"/>
      <c r="GSI11" s="133"/>
      <c r="GSJ11" s="133"/>
      <c r="GSK11" s="133"/>
      <c r="GSL11" s="133"/>
      <c r="GSM11" s="133"/>
      <c r="GSN11" s="133"/>
      <c r="GSO11" s="133"/>
      <c r="GSP11" s="133"/>
      <c r="GSQ11" s="133"/>
      <c r="GSR11" s="133"/>
      <c r="GSS11" s="133"/>
      <c r="GST11" s="133"/>
      <c r="GSU11" s="133"/>
      <c r="GSV11" s="133"/>
      <c r="GSW11" s="133"/>
      <c r="GSX11" s="133"/>
      <c r="GSY11" s="133"/>
      <c r="GSZ11" s="133"/>
      <c r="GTA11" s="133"/>
      <c r="GTB11" s="133"/>
      <c r="GTC11" s="133"/>
      <c r="GTD11" s="133"/>
      <c r="GTE11" s="133"/>
      <c r="GTF11" s="133"/>
      <c r="GTG11" s="133"/>
      <c r="GTH11" s="133"/>
      <c r="GTI11" s="133"/>
      <c r="GTJ11" s="133"/>
      <c r="GTK11" s="133"/>
      <c r="GTL11" s="133"/>
      <c r="GTM11" s="133"/>
      <c r="GTN11" s="133"/>
      <c r="GTO11" s="133"/>
      <c r="GTP11" s="133"/>
      <c r="GTQ11" s="133"/>
      <c r="GTR11" s="133"/>
      <c r="GTS11" s="133"/>
      <c r="GTT11" s="133"/>
      <c r="GTU11" s="133"/>
      <c r="GTV11" s="133"/>
      <c r="GTW11" s="133"/>
      <c r="GTX11" s="133"/>
      <c r="GTY11" s="133"/>
      <c r="GTZ11" s="133"/>
      <c r="GUA11" s="133"/>
      <c r="GUB11" s="133"/>
      <c r="GUC11" s="133"/>
      <c r="GUD11" s="133"/>
      <c r="GUE11" s="133"/>
      <c r="GUF11" s="133"/>
      <c r="GUG11" s="133"/>
      <c r="GUH11" s="133"/>
      <c r="GUI11" s="133"/>
      <c r="GUJ11" s="133"/>
      <c r="GUK11" s="133"/>
      <c r="GUL11" s="133"/>
      <c r="GUM11" s="133"/>
      <c r="GUN11" s="133"/>
      <c r="GUO11" s="133"/>
      <c r="GUP11" s="133"/>
      <c r="GUQ11" s="133"/>
      <c r="GUR11" s="133"/>
      <c r="GUS11" s="133"/>
      <c r="GUT11" s="133"/>
      <c r="GUU11" s="133"/>
      <c r="GUV11" s="133"/>
      <c r="GUW11" s="133"/>
      <c r="GUX11" s="133"/>
      <c r="GUY11" s="133"/>
      <c r="GUZ11" s="133"/>
      <c r="GVA11" s="133"/>
      <c r="GVB11" s="133"/>
      <c r="GVC11" s="133"/>
      <c r="GVD11" s="133"/>
      <c r="GVE11" s="133"/>
      <c r="GVF11" s="133"/>
      <c r="GVG11" s="133"/>
      <c r="GVH11" s="133"/>
      <c r="GVI11" s="133"/>
      <c r="GVJ11" s="133"/>
      <c r="GVK11" s="133"/>
      <c r="GVL11" s="133"/>
      <c r="GVM11" s="133"/>
      <c r="GVN11" s="133"/>
      <c r="GVO11" s="133"/>
      <c r="GVP11" s="133"/>
      <c r="GVQ11" s="133"/>
      <c r="GVR11" s="133"/>
      <c r="GVS11" s="133"/>
      <c r="GVT11" s="133"/>
      <c r="GVU11" s="133"/>
      <c r="GVV11" s="133"/>
      <c r="GVW11" s="133"/>
      <c r="GVX11" s="133"/>
      <c r="GVY11" s="133"/>
      <c r="GVZ11" s="133"/>
      <c r="GWA11" s="133"/>
      <c r="GWB11" s="133"/>
      <c r="GWC11" s="133"/>
      <c r="GWD11" s="133"/>
      <c r="GWE11" s="133"/>
      <c r="GWF11" s="133"/>
      <c r="GWG11" s="133"/>
      <c r="GWH11" s="133"/>
      <c r="GWI11" s="133"/>
      <c r="GWJ11" s="133"/>
      <c r="GWK11" s="133"/>
      <c r="GWL11" s="133"/>
      <c r="GWM11" s="133"/>
      <c r="GWN11" s="133"/>
      <c r="GWO11" s="133"/>
      <c r="GWP11" s="133"/>
      <c r="GWQ11" s="133"/>
      <c r="GWR11" s="133"/>
      <c r="GWS11" s="133"/>
      <c r="GWT11" s="133"/>
      <c r="GWU11" s="133"/>
      <c r="GWV11" s="133"/>
      <c r="GWW11" s="133"/>
      <c r="GWX11" s="133"/>
      <c r="GWY11" s="133"/>
      <c r="GWZ11" s="133"/>
      <c r="GXA11" s="133"/>
      <c r="GXB11" s="133"/>
      <c r="GXC11" s="133"/>
      <c r="GXD11" s="133"/>
      <c r="GXE11" s="133"/>
      <c r="GXF11" s="133"/>
      <c r="GXG11" s="133"/>
      <c r="GXH11" s="133"/>
      <c r="GXI11" s="133"/>
      <c r="GXJ11" s="133"/>
      <c r="GXK11" s="133"/>
      <c r="GXL11" s="133"/>
      <c r="GXM11" s="133"/>
      <c r="GXN11" s="133"/>
      <c r="GXO11" s="133"/>
      <c r="GXP11" s="133"/>
      <c r="GXQ11" s="133"/>
      <c r="GXR11" s="133"/>
      <c r="GXS11" s="133"/>
      <c r="GXT11" s="133"/>
      <c r="GXU11" s="133"/>
      <c r="GXV11" s="133"/>
      <c r="GXW11" s="133"/>
      <c r="GXX11" s="133"/>
      <c r="GXY11" s="133"/>
      <c r="GXZ11" s="133"/>
      <c r="GYA11" s="133"/>
      <c r="GYB11" s="133"/>
      <c r="GYC11" s="133"/>
      <c r="GYD11" s="133"/>
      <c r="GYE11" s="133"/>
      <c r="GYF11" s="133"/>
      <c r="GYG11" s="133"/>
      <c r="GYH11" s="133"/>
      <c r="GYI11" s="133"/>
      <c r="GYJ11" s="133"/>
      <c r="GYK11" s="133"/>
      <c r="GYL11" s="133"/>
      <c r="GYM11" s="133"/>
      <c r="GYN11" s="133"/>
      <c r="GYO11" s="133"/>
      <c r="GYP11" s="133"/>
      <c r="GYQ11" s="133"/>
      <c r="GYR11" s="133"/>
      <c r="GYS11" s="133"/>
      <c r="GYT11" s="133"/>
      <c r="GYU11" s="133"/>
      <c r="GYV11" s="133"/>
      <c r="GYW11" s="133"/>
      <c r="GYX11" s="133"/>
      <c r="GYY11" s="133"/>
      <c r="GYZ11" s="133"/>
      <c r="GZA11" s="133"/>
      <c r="GZB11" s="133"/>
      <c r="GZC11" s="133"/>
      <c r="GZD11" s="133"/>
      <c r="GZE11" s="133"/>
      <c r="GZF11" s="133"/>
      <c r="GZG11" s="133"/>
      <c r="GZH11" s="133"/>
      <c r="GZI11" s="133"/>
      <c r="GZJ11" s="133"/>
      <c r="GZK11" s="133"/>
      <c r="GZL11" s="133"/>
      <c r="GZM11" s="133"/>
      <c r="GZN11" s="133"/>
      <c r="GZO11" s="133"/>
      <c r="GZP11" s="133"/>
      <c r="GZQ11" s="133"/>
      <c r="GZR11" s="133"/>
      <c r="GZS11" s="133"/>
      <c r="GZT11" s="133"/>
      <c r="GZU11" s="133"/>
      <c r="GZV11" s="133"/>
      <c r="GZW11" s="133"/>
      <c r="GZX11" s="133"/>
      <c r="GZY11" s="133"/>
      <c r="GZZ11" s="133"/>
      <c r="HAA11" s="133"/>
      <c r="HAB11" s="133"/>
      <c r="HAC11" s="133"/>
      <c r="HAD11" s="133"/>
      <c r="HAE11" s="133"/>
      <c r="HAF11" s="133"/>
      <c r="HAG11" s="133"/>
      <c r="HAH11" s="133"/>
      <c r="HAI11" s="133"/>
      <c r="HAJ11" s="133"/>
      <c r="HAK11" s="133"/>
      <c r="HAL11" s="133"/>
      <c r="HAM11" s="133"/>
      <c r="HAN11" s="133"/>
      <c r="HAO11" s="133"/>
      <c r="HAP11" s="133"/>
      <c r="HAQ11" s="133"/>
      <c r="HAR11" s="133"/>
      <c r="HAS11" s="133"/>
      <c r="HAT11" s="133"/>
      <c r="HAU11" s="133"/>
      <c r="HAV11" s="133"/>
      <c r="HAW11" s="133"/>
      <c r="HAX11" s="133"/>
      <c r="HAY11" s="133"/>
      <c r="HAZ11" s="133"/>
      <c r="HBA11" s="133"/>
      <c r="HBB11" s="133"/>
      <c r="HBC11" s="133"/>
      <c r="HBD11" s="133"/>
      <c r="HBE11" s="133"/>
      <c r="HBF11" s="133"/>
      <c r="HBG11" s="133"/>
      <c r="HBH11" s="133"/>
      <c r="HBI11" s="133"/>
      <c r="HBJ11" s="133"/>
      <c r="HBK11" s="133"/>
      <c r="HBL11" s="133"/>
      <c r="HBM11" s="133"/>
      <c r="HBN11" s="133"/>
      <c r="HBO11" s="133"/>
      <c r="HBP11" s="133"/>
      <c r="HBQ11" s="133"/>
      <c r="HBR11" s="133"/>
      <c r="HBS11" s="133"/>
      <c r="HBT11" s="133"/>
      <c r="HBU11" s="133"/>
      <c r="HBV11" s="133"/>
      <c r="HBW11" s="133"/>
      <c r="HBX11" s="133"/>
      <c r="HBY11" s="133"/>
      <c r="HBZ11" s="133"/>
      <c r="HCA11" s="133"/>
      <c r="HCB11" s="133"/>
      <c r="HCC11" s="133"/>
      <c r="HCD11" s="133"/>
      <c r="HCE11" s="133"/>
      <c r="HCF11" s="133"/>
      <c r="HCG11" s="133"/>
      <c r="HCH11" s="133"/>
      <c r="HCI11" s="133"/>
      <c r="HCJ11" s="133"/>
      <c r="HCK11" s="133"/>
      <c r="HCL11" s="133"/>
      <c r="HCM11" s="133"/>
      <c r="HCN11" s="133"/>
      <c r="HCO11" s="133"/>
      <c r="HCP11" s="133"/>
      <c r="HCQ11" s="133"/>
      <c r="HCR11" s="133"/>
      <c r="HCS11" s="133"/>
      <c r="HCT11" s="133"/>
      <c r="HCU11" s="133"/>
      <c r="HCV11" s="133"/>
      <c r="HCW11" s="133"/>
      <c r="HCX11" s="133"/>
      <c r="HCY11" s="133"/>
      <c r="HCZ11" s="133"/>
      <c r="HDA11" s="133"/>
      <c r="HDB11" s="133"/>
      <c r="HDC11" s="133"/>
      <c r="HDD11" s="133"/>
      <c r="HDE11" s="133"/>
      <c r="HDF11" s="133"/>
      <c r="HDG11" s="133"/>
      <c r="HDH11" s="133"/>
      <c r="HDI11" s="133"/>
      <c r="HDJ11" s="133"/>
      <c r="HDK11" s="133"/>
      <c r="HDL11" s="133"/>
      <c r="HDM11" s="133"/>
      <c r="HDN11" s="133"/>
      <c r="HDO11" s="133"/>
      <c r="HDP11" s="133"/>
      <c r="HDQ11" s="133"/>
      <c r="HDR11" s="133"/>
      <c r="HDS11" s="133"/>
      <c r="HDT11" s="133"/>
      <c r="HDU11" s="133"/>
      <c r="HDV11" s="133"/>
      <c r="HDW11" s="133"/>
      <c r="HDX11" s="133"/>
      <c r="HDY11" s="133"/>
      <c r="HDZ11" s="133"/>
      <c r="HEA11" s="133"/>
      <c r="HEB11" s="133"/>
      <c r="HEC11" s="133"/>
      <c r="HED11" s="133"/>
      <c r="HEE11" s="133"/>
      <c r="HEF11" s="133"/>
      <c r="HEG11" s="133"/>
      <c r="HEH11" s="133"/>
      <c r="HEI11" s="133"/>
      <c r="HEJ11" s="133"/>
      <c r="HEK11" s="133"/>
      <c r="HEL11" s="133"/>
      <c r="HEM11" s="133"/>
      <c r="HEN11" s="133"/>
      <c r="HEO11" s="133"/>
      <c r="HEP11" s="133"/>
      <c r="HEQ11" s="133"/>
      <c r="HER11" s="133"/>
      <c r="HES11" s="133"/>
      <c r="HET11" s="133"/>
      <c r="HEU11" s="133"/>
      <c r="HEV11" s="133"/>
      <c r="HEW11" s="133"/>
      <c r="HEX11" s="133"/>
      <c r="HEY11" s="133"/>
      <c r="HEZ11" s="133"/>
      <c r="HFA11" s="133"/>
      <c r="HFB11" s="133"/>
      <c r="HFC11" s="133"/>
      <c r="HFD11" s="133"/>
      <c r="HFE11" s="133"/>
      <c r="HFF11" s="133"/>
      <c r="HFG11" s="133"/>
      <c r="HFH11" s="133"/>
      <c r="HFI11" s="133"/>
      <c r="HFJ11" s="133"/>
      <c r="HFK11" s="133"/>
      <c r="HFL11" s="133"/>
      <c r="HFM11" s="133"/>
      <c r="HFN11" s="133"/>
      <c r="HFO11" s="133"/>
      <c r="HFP11" s="133"/>
      <c r="HFQ11" s="133"/>
      <c r="HFR11" s="133"/>
      <c r="HFS11" s="133"/>
      <c r="HFT11" s="133"/>
      <c r="HFU11" s="133"/>
      <c r="HFV11" s="133"/>
      <c r="HFW11" s="133"/>
      <c r="HFX11" s="133"/>
      <c r="HFY11" s="133"/>
      <c r="HFZ11" s="133"/>
      <c r="HGA11" s="133"/>
      <c r="HGB11" s="133"/>
      <c r="HGC11" s="133"/>
      <c r="HGD11" s="133"/>
      <c r="HGE11" s="133"/>
      <c r="HGF11" s="133"/>
      <c r="HGG11" s="133"/>
      <c r="HGH11" s="133"/>
      <c r="HGI11" s="133"/>
      <c r="HGJ11" s="133"/>
      <c r="HGK11" s="133"/>
      <c r="HGL11" s="133"/>
      <c r="HGM11" s="133"/>
      <c r="HGN11" s="133"/>
      <c r="HGO11" s="133"/>
      <c r="HGP11" s="133"/>
      <c r="HGQ11" s="133"/>
      <c r="HGR11" s="133"/>
      <c r="HGS11" s="133"/>
      <c r="HGT11" s="133"/>
      <c r="HGU11" s="133"/>
      <c r="HGV11" s="133"/>
      <c r="HGW11" s="133"/>
      <c r="HGX11" s="133"/>
      <c r="HGY11" s="133"/>
      <c r="HGZ11" s="133"/>
      <c r="HHA11" s="133"/>
      <c r="HHB11" s="133"/>
      <c r="HHC11" s="133"/>
      <c r="HHD11" s="133"/>
      <c r="HHE11" s="133"/>
      <c r="HHF11" s="133"/>
      <c r="HHG11" s="133"/>
      <c r="HHH11" s="133"/>
      <c r="HHI11" s="133"/>
      <c r="HHJ11" s="133"/>
      <c r="HHK11" s="133"/>
      <c r="HHL11" s="133"/>
      <c r="HHM11" s="133"/>
      <c r="HHN11" s="133"/>
      <c r="HHO11" s="133"/>
      <c r="HHP11" s="133"/>
      <c r="HHQ11" s="133"/>
      <c r="HHR11" s="133"/>
      <c r="HHS11" s="133"/>
      <c r="HHT11" s="133"/>
      <c r="HHU11" s="133"/>
      <c r="HHV11" s="133"/>
      <c r="HHW11" s="133"/>
      <c r="HHX11" s="133"/>
      <c r="HHY11" s="133"/>
      <c r="HHZ11" s="133"/>
      <c r="HIA11" s="133"/>
      <c r="HIB11" s="133"/>
      <c r="HIC11" s="133"/>
      <c r="HID11" s="133"/>
      <c r="HIE11" s="133"/>
      <c r="HIF11" s="133"/>
      <c r="HIG11" s="133"/>
      <c r="HIH11" s="133"/>
      <c r="HII11" s="133"/>
      <c r="HIJ11" s="133"/>
      <c r="HIK11" s="133"/>
      <c r="HIL11" s="133"/>
      <c r="HIM11" s="133"/>
      <c r="HIN11" s="133"/>
      <c r="HIO11" s="133"/>
      <c r="HIP11" s="133"/>
      <c r="HIQ11" s="133"/>
      <c r="HIR11" s="133"/>
      <c r="HIS11" s="133"/>
      <c r="HIT11" s="133"/>
      <c r="HIU11" s="133"/>
      <c r="HIV11" s="133"/>
      <c r="HIW11" s="133"/>
      <c r="HIX11" s="133"/>
      <c r="HIY11" s="133"/>
      <c r="HIZ11" s="133"/>
      <c r="HJA11" s="133"/>
      <c r="HJB11" s="133"/>
      <c r="HJC11" s="133"/>
      <c r="HJD11" s="133"/>
      <c r="HJE11" s="133"/>
      <c r="HJF11" s="133"/>
      <c r="HJG11" s="133"/>
      <c r="HJH11" s="133"/>
      <c r="HJI11" s="133"/>
      <c r="HJJ11" s="133"/>
      <c r="HJK11" s="133"/>
      <c r="HJL11" s="133"/>
      <c r="HJM11" s="133"/>
      <c r="HJN11" s="133"/>
      <c r="HJO11" s="133"/>
      <c r="HJP11" s="133"/>
      <c r="HJQ11" s="133"/>
      <c r="HJR11" s="133"/>
      <c r="HJS11" s="133"/>
      <c r="HJT11" s="133"/>
      <c r="HJU11" s="133"/>
      <c r="HJV11" s="133"/>
      <c r="HJW11" s="133"/>
      <c r="HJX11" s="133"/>
      <c r="HJY11" s="133"/>
      <c r="HJZ11" s="133"/>
      <c r="HKA11" s="133"/>
      <c r="HKB11" s="133"/>
      <c r="HKC11" s="133"/>
      <c r="HKD11" s="133"/>
      <c r="HKE11" s="133"/>
      <c r="HKF11" s="133"/>
      <c r="HKG11" s="133"/>
      <c r="HKH11" s="133"/>
      <c r="HKI11" s="133"/>
      <c r="HKJ11" s="133"/>
      <c r="HKK11" s="133"/>
      <c r="HKL11" s="133"/>
      <c r="HKM11" s="133"/>
      <c r="HKN11" s="133"/>
      <c r="HKO11" s="133"/>
      <c r="HKP11" s="133"/>
      <c r="HKQ11" s="133"/>
      <c r="HKR11" s="133"/>
      <c r="HKS11" s="133"/>
      <c r="HKT11" s="133"/>
      <c r="HKU11" s="133"/>
      <c r="HKV11" s="133"/>
      <c r="HKW11" s="133"/>
      <c r="HKX11" s="133"/>
      <c r="HKY11" s="133"/>
      <c r="HKZ11" s="133"/>
      <c r="HLA11" s="133"/>
      <c r="HLB11" s="133"/>
      <c r="HLC11" s="133"/>
      <c r="HLD11" s="133"/>
      <c r="HLE11" s="133"/>
      <c r="HLF11" s="133"/>
      <c r="HLG11" s="133"/>
      <c r="HLH11" s="133"/>
      <c r="HLI11" s="133"/>
      <c r="HLJ11" s="133"/>
      <c r="HLK11" s="133"/>
      <c r="HLL11" s="133"/>
      <c r="HLM11" s="133"/>
      <c r="HLN11" s="133"/>
      <c r="HLO11" s="133"/>
      <c r="HLP11" s="133"/>
      <c r="HLQ11" s="133"/>
      <c r="HLR11" s="133"/>
      <c r="HLS11" s="133"/>
      <c r="HLT11" s="133"/>
      <c r="HLU11" s="133"/>
      <c r="HLV11" s="133"/>
      <c r="HLW11" s="133"/>
      <c r="HLX11" s="133"/>
      <c r="HLY11" s="133"/>
      <c r="HLZ11" s="133"/>
      <c r="HMA11" s="133"/>
      <c r="HMB11" s="133"/>
      <c r="HMC11" s="133"/>
      <c r="HMD11" s="133"/>
      <c r="HME11" s="133"/>
      <c r="HMF11" s="133"/>
      <c r="HMG11" s="133"/>
      <c r="HMH11" s="133"/>
      <c r="HMI11" s="133"/>
      <c r="HMJ11" s="133"/>
      <c r="HMK11" s="133"/>
      <c r="HML11" s="133"/>
      <c r="HMM11" s="133"/>
      <c r="HMN11" s="133"/>
      <c r="HMO11" s="133"/>
      <c r="HMP11" s="133"/>
      <c r="HMQ11" s="133"/>
      <c r="HMR11" s="133"/>
      <c r="HMS11" s="133"/>
      <c r="HMT11" s="133"/>
      <c r="HMU11" s="133"/>
      <c r="HMV11" s="133"/>
      <c r="HMW11" s="133"/>
      <c r="HMX11" s="133"/>
      <c r="HMY11" s="133"/>
      <c r="HMZ11" s="133"/>
      <c r="HNA11" s="133"/>
      <c r="HNB11" s="133"/>
      <c r="HNC11" s="133"/>
      <c r="HND11" s="133"/>
      <c r="HNE11" s="133"/>
      <c r="HNF11" s="133"/>
      <c r="HNG11" s="133"/>
      <c r="HNH11" s="133"/>
      <c r="HNI11" s="133"/>
      <c r="HNJ11" s="133"/>
      <c r="HNK11" s="133"/>
      <c r="HNL11" s="133"/>
      <c r="HNM11" s="133"/>
      <c r="HNN11" s="133"/>
      <c r="HNO11" s="133"/>
      <c r="HNP11" s="133"/>
      <c r="HNQ11" s="133"/>
      <c r="HNR11" s="133"/>
      <c r="HNS11" s="133"/>
      <c r="HNT11" s="133"/>
      <c r="HNU11" s="133"/>
      <c r="HNV11" s="133"/>
      <c r="HNW11" s="133"/>
      <c r="HNX11" s="133"/>
      <c r="HNY11" s="133"/>
      <c r="HNZ11" s="133"/>
      <c r="HOA11" s="133"/>
      <c r="HOB11" s="133"/>
      <c r="HOC11" s="133"/>
      <c r="HOD11" s="133"/>
      <c r="HOE11" s="133"/>
      <c r="HOF11" s="133"/>
      <c r="HOG11" s="133"/>
      <c r="HOH11" s="133"/>
      <c r="HOI11" s="133"/>
      <c r="HOJ11" s="133"/>
      <c r="HOK11" s="133"/>
      <c r="HOL11" s="133"/>
      <c r="HOM11" s="133"/>
      <c r="HON11" s="133"/>
      <c r="HOO11" s="133"/>
      <c r="HOP11" s="133"/>
      <c r="HOQ11" s="133"/>
      <c r="HOR11" s="133"/>
      <c r="HOS11" s="133"/>
      <c r="HOT11" s="133"/>
      <c r="HOU11" s="133"/>
      <c r="HOV11" s="133"/>
      <c r="HOW11" s="133"/>
      <c r="HOX11" s="133"/>
      <c r="HOY11" s="133"/>
      <c r="HOZ11" s="133"/>
      <c r="HPA11" s="133"/>
      <c r="HPB11" s="133"/>
      <c r="HPC11" s="133"/>
      <c r="HPD11" s="133"/>
      <c r="HPE11" s="133"/>
      <c r="HPF11" s="133"/>
      <c r="HPG11" s="133"/>
      <c r="HPH11" s="133"/>
      <c r="HPI11" s="133"/>
      <c r="HPJ11" s="133"/>
      <c r="HPK11" s="133"/>
      <c r="HPL11" s="133"/>
      <c r="HPM11" s="133"/>
      <c r="HPN11" s="133"/>
      <c r="HPO11" s="133"/>
      <c r="HPP11" s="133"/>
      <c r="HPQ11" s="133"/>
      <c r="HPR11" s="133"/>
      <c r="HPS11" s="133"/>
      <c r="HPT11" s="133"/>
      <c r="HPU11" s="133"/>
      <c r="HPV11" s="133"/>
      <c r="HPW11" s="133"/>
      <c r="HPX11" s="133"/>
      <c r="HPY11" s="133"/>
      <c r="HPZ11" s="133"/>
      <c r="HQA11" s="133"/>
      <c r="HQB11" s="133"/>
      <c r="HQC11" s="133"/>
      <c r="HQD11" s="133"/>
      <c r="HQE11" s="133"/>
      <c r="HQF11" s="133"/>
      <c r="HQG11" s="133"/>
      <c r="HQH11" s="133"/>
      <c r="HQI11" s="133"/>
      <c r="HQJ11" s="133"/>
      <c r="HQK11" s="133"/>
      <c r="HQL11" s="133"/>
      <c r="HQM11" s="133"/>
      <c r="HQN11" s="133"/>
      <c r="HQO11" s="133"/>
      <c r="HQP11" s="133"/>
      <c r="HQQ11" s="133"/>
      <c r="HQR11" s="133"/>
      <c r="HQS11" s="133"/>
      <c r="HQT11" s="133"/>
      <c r="HQU11" s="133"/>
      <c r="HQV11" s="133"/>
      <c r="HQW11" s="133"/>
      <c r="HQX11" s="133"/>
      <c r="HQY11" s="133"/>
      <c r="HQZ11" s="133"/>
      <c r="HRA11" s="133"/>
      <c r="HRB11" s="133"/>
      <c r="HRC11" s="133"/>
      <c r="HRD11" s="133"/>
      <c r="HRE11" s="133"/>
      <c r="HRF11" s="133"/>
      <c r="HRG11" s="133"/>
      <c r="HRH11" s="133"/>
      <c r="HRI11" s="133"/>
      <c r="HRJ11" s="133"/>
      <c r="HRK11" s="133"/>
      <c r="HRL11" s="133"/>
      <c r="HRM11" s="133"/>
      <c r="HRN11" s="133"/>
      <c r="HRO11" s="133"/>
      <c r="HRP11" s="133"/>
      <c r="HRQ11" s="133"/>
      <c r="HRR11" s="133"/>
      <c r="HRS11" s="133"/>
      <c r="HRT11" s="133"/>
      <c r="HRU11" s="133"/>
      <c r="HRV11" s="133"/>
      <c r="HRW11" s="133"/>
      <c r="HRX11" s="133"/>
      <c r="HRY11" s="133"/>
      <c r="HRZ11" s="133"/>
      <c r="HSA11" s="133"/>
      <c r="HSB11" s="133"/>
      <c r="HSC11" s="133"/>
      <c r="HSD11" s="133"/>
      <c r="HSE11" s="133"/>
      <c r="HSF11" s="133"/>
      <c r="HSG11" s="133"/>
      <c r="HSH11" s="133"/>
      <c r="HSI11" s="133"/>
      <c r="HSJ11" s="133"/>
      <c r="HSK11" s="133"/>
      <c r="HSL11" s="133"/>
      <c r="HSM11" s="133"/>
      <c r="HSN11" s="133"/>
      <c r="HSO11" s="133"/>
      <c r="HSP11" s="133"/>
      <c r="HSQ11" s="133"/>
      <c r="HSR11" s="133"/>
      <c r="HSS11" s="133"/>
      <c r="HST11" s="133"/>
      <c r="HSU11" s="133"/>
      <c r="HSV11" s="133"/>
      <c r="HSW11" s="133"/>
      <c r="HSX11" s="133"/>
      <c r="HSY11" s="133"/>
      <c r="HSZ11" s="133"/>
      <c r="HTA11" s="133"/>
      <c r="HTB11" s="133"/>
      <c r="HTC11" s="133"/>
      <c r="HTD11" s="133"/>
      <c r="HTE11" s="133"/>
      <c r="HTF11" s="133"/>
      <c r="HTG11" s="133"/>
      <c r="HTH11" s="133"/>
      <c r="HTI11" s="133"/>
      <c r="HTJ11" s="133"/>
      <c r="HTK11" s="133"/>
      <c r="HTL11" s="133"/>
      <c r="HTM11" s="133"/>
      <c r="HTN11" s="133"/>
      <c r="HTO11" s="133"/>
      <c r="HTP11" s="133"/>
      <c r="HTQ11" s="133"/>
      <c r="HTR11" s="133"/>
      <c r="HTS11" s="133"/>
      <c r="HTT11" s="133"/>
      <c r="HTU11" s="133"/>
      <c r="HTV11" s="133"/>
      <c r="HTW11" s="133"/>
      <c r="HTX11" s="133"/>
      <c r="HTY11" s="133"/>
      <c r="HTZ11" s="133"/>
      <c r="HUA11" s="133"/>
      <c r="HUB11" s="133"/>
      <c r="HUC11" s="133"/>
      <c r="HUD11" s="133"/>
      <c r="HUE11" s="133"/>
      <c r="HUF11" s="133"/>
      <c r="HUG11" s="133"/>
      <c r="HUH11" s="133"/>
      <c r="HUI11" s="133"/>
      <c r="HUJ11" s="133"/>
      <c r="HUK11" s="133"/>
      <c r="HUL11" s="133"/>
      <c r="HUM11" s="133"/>
      <c r="HUN11" s="133"/>
      <c r="HUO11" s="133"/>
      <c r="HUP11" s="133"/>
      <c r="HUQ11" s="133"/>
      <c r="HUR11" s="133"/>
      <c r="HUS11" s="133"/>
      <c r="HUT11" s="133"/>
      <c r="HUU11" s="133"/>
      <c r="HUV11" s="133"/>
      <c r="HUW11" s="133"/>
      <c r="HUX11" s="133"/>
      <c r="HUY11" s="133"/>
      <c r="HUZ11" s="133"/>
      <c r="HVA11" s="133"/>
      <c r="HVB11" s="133"/>
      <c r="HVC11" s="133"/>
      <c r="HVD11" s="133"/>
      <c r="HVE11" s="133"/>
      <c r="HVF11" s="133"/>
      <c r="HVG11" s="133"/>
      <c r="HVH11" s="133"/>
      <c r="HVI11" s="133"/>
      <c r="HVJ11" s="133"/>
      <c r="HVK11" s="133"/>
      <c r="HVL11" s="133"/>
      <c r="HVM11" s="133"/>
      <c r="HVN11" s="133"/>
      <c r="HVO11" s="133"/>
      <c r="HVP11" s="133"/>
      <c r="HVQ11" s="133"/>
      <c r="HVR11" s="133"/>
      <c r="HVS11" s="133"/>
      <c r="HVT11" s="133"/>
      <c r="HVU11" s="133"/>
      <c r="HVV11" s="133"/>
      <c r="HVW11" s="133"/>
      <c r="HVX11" s="133"/>
      <c r="HVY11" s="133"/>
      <c r="HVZ11" s="133"/>
      <c r="HWA11" s="133"/>
      <c r="HWB11" s="133"/>
      <c r="HWC11" s="133"/>
      <c r="HWD11" s="133"/>
      <c r="HWE11" s="133"/>
      <c r="HWF11" s="133"/>
      <c r="HWG11" s="133"/>
      <c r="HWH11" s="133"/>
      <c r="HWI11" s="133"/>
      <c r="HWJ11" s="133"/>
      <c r="HWK11" s="133"/>
      <c r="HWL11" s="133"/>
      <c r="HWM11" s="133"/>
      <c r="HWN11" s="133"/>
      <c r="HWO11" s="133"/>
      <c r="HWP11" s="133"/>
      <c r="HWQ11" s="133"/>
      <c r="HWR11" s="133"/>
      <c r="HWS11" s="133"/>
      <c r="HWT11" s="133"/>
      <c r="HWU11" s="133"/>
      <c r="HWV11" s="133"/>
      <c r="HWW11" s="133"/>
      <c r="HWX11" s="133"/>
      <c r="HWY11" s="133"/>
      <c r="HWZ11" s="133"/>
      <c r="HXA11" s="133"/>
      <c r="HXB11" s="133"/>
      <c r="HXC11" s="133"/>
      <c r="HXD11" s="133"/>
      <c r="HXE11" s="133"/>
      <c r="HXF11" s="133"/>
      <c r="HXG11" s="133"/>
      <c r="HXH11" s="133"/>
      <c r="HXI11" s="133"/>
      <c r="HXJ11" s="133"/>
      <c r="HXK11" s="133"/>
      <c r="HXL11" s="133"/>
      <c r="HXM11" s="133"/>
      <c r="HXN11" s="133"/>
      <c r="HXO11" s="133"/>
      <c r="HXP11" s="133"/>
      <c r="HXQ11" s="133"/>
      <c r="HXR11" s="133"/>
      <c r="HXS11" s="133"/>
      <c r="HXT11" s="133"/>
      <c r="HXU11" s="133"/>
      <c r="HXV11" s="133"/>
      <c r="HXW11" s="133"/>
      <c r="HXX11" s="133"/>
      <c r="HXY11" s="133"/>
      <c r="HXZ11" s="133"/>
      <c r="HYA11" s="133"/>
      <c r="HYB11" s="133"/>
      <c r="HYC11" s="133"/>
      <c r="HYD11" s="133"/>
      <c r="HYE11" s="133"/>
      <c r="HYF11" s="133"/>
      <c r="HYG11" s="133"/>
      <c r="HYH11" s="133"/>
      <c r="HYI11" s="133"/>
      <c r="HYJ11" s="133"/>
      <c r="HYK11" s="133"/>
      <c r="HYL11" s="133"/>
      <c r="HYM11" s="133"/>
      <c r="HYN11" s="133"/>
      <c r="HYO11" s="133"/>
      <c r="HYP11" s="133"/>
      <c r="HYQ11" s="133"/>
      <c r="HYR11" s="133"/>
      <c r="HYS11" s="133"/>
      <c r="HYT11" s="133"/>
      <c r="HYU11" s="133"/>
      <c r="HYV11" s="133"/>
      <c r="HYW11" s="133"/>
      <c r="HYX11" s="133"/>
      <c r="HYY11" s="133"/>
      <c r="HYZ11" s="133"/>
      <c r="HZA11" s="133"/>
      <c r="HZB11" s="133"/>
      <c r="HZC11" s="133"/>
      <c r="HZD11" s="133"/>
      <c r="HZE11" s="133"/>
      <c r="HZF11" s="133"/>
      <c r="HZG11" s="133"/>
      <c r="HZH11" s="133"/>
      <c r="HZI11" s="133"/>
      <c r="HZJ11" s="133"/>
      <c r="HZK11" s="133"/>
      <c r="HZL11" s="133"/>
      <c r="HZM11" s="133"/>
      <c r="HZN11" s="133"/>
      <c r="HZO11" s="133"/>
      <c r="HZP11" s="133"/>
      <c r="HZQ11" s="133"/>
      <c r="HZR11" s="133"/>
      <c r="HZS11" s="133"/>
      <c r="HZT11" s="133"/>
      <c r="HZU11" s="133"/>
      <c r="HZV11" s="133"/>
      <c r="HZW11" s="133"/>
      <c r="HZX11" s="133"/>
      <c r="HZY11" s="133"/>
      <c r="HZZ11" s="133"/>
      <c r="IAA11" s="133"/>
      <c r="IAB11" s="133"/>
      <c r="IAC11" s="133"/>
      <c r="IAD11" s="133"/>
      <c r="IAE11" s="133"/>
      <c r="IAF11" s="133"/>
      <c r="IAG11" s="133"/>
      <c r="IAH11" s="133"/>
      <c r="IAI11" s="133"/>
      <c r="IAJ11" s="133"/>
      <c r="IAK11" s="133"/>
      <c r="IAL11" s="133"/>
      <c r="IAM11" s="133"/>
      <c r="IAN11" s="133"/>
      <c r="IAO11" s="133"/>
      <c r="IAP11" s="133"/>
      <c r="IAQ11" s="133"/>
      <c r="IAR11" s="133"/>
      <c r="IAS11" s="133"/>
      <c r="IAT11" s="133"/>
      <c r="IAU11" s="133"/>
      <c r="IAV11" s="133"/>
      <c r="IAW11" s="133"/>
      <c r="IBJ11" s="133"/>
      <c r="IBK11" s="133"/>
      <c r="IBL11" s="133"/>
      <c r="IBM11" s="133"/>
      <c r="IBN11" s="133"/>
      <c r="IBO11" s="133"/>
      <c r="IBP11" s="133"/>
      <c r="IBQ11" s="133"/>
      <c r="IBR11" s="133"/>
      <c r="IBS11" s="133"/>
      <c r="IBT11" s="133"/>
      <c r="IBU11" s="133"/>
      <c r="IBV11" s="133"/>
      <c r="IBW11" s="133"/>
      <c r="IBX11" s="133"/>
      <c r="IBY11" s="133"/>
      <c r="IBZ11" s="133"/>
      <c r="ICA11" s="133"/>
      <c r="ICB11" s="133"/>
      <c r="ICC11" s="133"/>
      <c r="ICD11" s="133"/>
      <c r="ICE11" s="133"/>
      <c r="ICF11" s="133"/>
      <c r="ICG11" s="133"/>
      <c r="ICH11" s="133"/>
      <c r="ICI11" s="133"/>
      <c r="ICJ11" s="133"/>
      <c r="ICK11" s="133"/>
      <c r="ICL11" s="133"/>
      <c r="ICM11" s="133"/>
      <c r="ICN11" s="133"/>
      <c r="ICO11" s="133"/>
      <c r="ICP11" s="133"/>
      <c r="ICQ11" s="133"/>
      <c r="ICR11" s="133"/>
      <c r="ICS11" s="133"/>
      <c r="ICT11" s="133"/>
      <c r="ICU11" s="133"/>
      <c r="ICV11" s="133"/>
      <c r="ICW11" s="133"/>
      <c r="ICX11" s="133"/>
      <c r="ICY11" s="133"/>
      <c r="ICZ11" s="133"/>
      <c r="IDA11" s="133"/>
      <c r="IDB11" s="133"/>
      <c r="IDC11" s="133"/>
      <c r="IDD11" s="133"/>
      <c r="IDE11" s="133"/>
      <c r="IDF11" s="133"/>
      <c r="IDG11" s="133"/>
      <c r="IDH11" s="133"/>
      <c r="IDI11" s="133"/>
      <c r="IDJ11" s="133"/>
      <c r="IDK11" s="133"/>
      <c r="IDL11" s="133"/>
      <c r="IDM11" s="133"/>
      <c r="IDN11" s="133"/>
      <c r="IDO11" s="133"/>
      <c r="IDP11" s="133"/>
      <c r="IDQ11" s="133"/>
      <c r="IDR11" s="133"/>
      <c r="IDS11" s="133"/>
      <c r="IDT11" s="133"/>
      <c r="IDU11" s="133"/>
      <c r="IDV11" s="133"/>
      <c r="IDW11" s="133"/>
      <c r="IDX11" s="133"/>
      <c r="IDY11" s="133"/>
      <c r="IDZ11" s="133"/>
      <c r="IEA11" s="133"/>
      <c r="IEB11" s="133"/>
      <c r="IEC11" s="133"/>
      <c r="IED11" s="133"/>
      <c r="IEE11" s="133"/>
      <c r="IEF11" s="133"/>
      <c r="IEG11" s="133"/>
      <c r="IEH11" s="133"/>
      <c r="IEI11" s="133"/>
      <c r="IEJ11" s="133"/>
      <c r="IEK11" s="133"/>
      <c r="IEL11" s="133"/>
      <c r="IEM11" s="133"/>
      <c r="IEN11" s="133"/>
      <c r="IEO11" s="133"/>
      <c r="IEP11" s="133"/>
      <c r="IEQ11" s="133"/>
      <c r="IER11" s="133"/>
      <c r="IES11" s="133"/>
      <c r="IET11" s="133"/>
      <c r="IEU11" s="133"/>
      <c r="IEV11" s="133"/>
      <c r="IEW11" s="133"/>
      <c r="IEX11" s="133"/>
      <c r="IEY11" s="133"/>
      <c r="IEZ11" s="133"/>
      <c r="IFA11" s="133"/>
      <c r="IFB11" s="133"/>
      <c r="IFC11" s="133"/>
      <c r="IFD11" s="133"/>
      <c r="IFE11" s="133"/>
      <c r="IFF11" s="133"/>
      <c r="IFG11" s="133"/>
      <c r="IFH11" s="133"/>
      <c r="IFI11" s="133"/>
      <c r="IFJ11" s="133"/>
      <c r="IFK11" s="133"/>
      <c r="IFL11" s="133"/>
      <c r="IFM11" s="133"/>
      <c r="IFN11" s="133"/>
      <c r="IFO11" s="133"/>
      <c r="IFP11" s="133"/>
      <c r="IFQ11" s="133"/>
      <c r="IFR11" s="133"/>
      <c r="IFS11" s="133"/>
      <c r="IFT11" s="133"/>
      <c r="IFU11" s="133"/>
      <c r="IFV11" s="133"/>
      <c r="IFW11" s="133"/>
      <c r="IFX11" s="133"/>
      <c r="IFY11" s="133"/>
      <c r="IFZ11" s="133"/>
      <c r="IGA11" s="133"/>
      <c r="IGB11" s="133"/>
      <c r="IGC11" s="133"/>
      <c r="IGD11" s="133"/>
      <c r="IGE11" s="133"/>
      <c r="IGF11" s="133"/>
      <c r="IGG11" s="133"/>
      <c r="IGH11" s="133"/>
      <c r="IGI11" s="133"/>
      <c r="IGJ11" s="133"/>
      <c r="IGK11" s="133"/>
      <c r="IGL11" s="133"/>
      <c r="IGM11" s="133"/>
      <c r="IGN11" s="133"/>
      <c r="IGO11" s="133"/>
      <c r="IGP11" s="133"/>
      <c r="IGQ11" s="133"/>
      <c r="IGR11" s="133"/>
      <c r="IGS11" s="133"/>
      <c r="IGT11" s="133"/>
      <c r="IGU11" s="133"/>
      <c r="IGV11" s="133"/>
      <c r="IGW11" s="133"/>
      <c r="IGX11" s="133"/>
      <c r="IGY11" s="133"/>
      <c r="IGZ11" s="133"/>
      <c r="IHA11" s="133"/>
      <c r="IHB11" s="133"/>
      <c r="IHC11" s="133"/>
      <c r="IHD11" s="133"/>
      <c r="IHE11" s="133"/>
      <c r="IHF11" s="133"/>
      <c r="IHG11" s="133"/>
      <c r="IHH11" s="133"/>
      <c r="IHI11" s="133"/>
      <c r="IHJ11" s="133"/>
      <c r="IHK11" s="133"/>
      <c r="IHL11" s="133"/>
      <c r="IHM11" s="133"/>
      <c r="IHN11" s="133"/>
      <c r="IHO11" s="133"/>
      <c r="IHP11" s="133"/>
      <c r="IHQ11" s="133"/>
      <c r="IHR11" s="133"/>
      <c r="IHS11" s="133"/>
      <c r="IHT11" s="133"/>
      <c r="IHU11" s="133"/>
      <c r="IHV11" s="133"/>
      <c r="IHW11" s="133"/>
      <c r="IHX11" s="133"/>
      <c r="IHY11" s="133"/>
      <c r="IHZ11" s="133"/>
      <c r="IIA11" s="133"/>
      <c r="IIB11" s="133"/>
      <c r="IIC11" s="133"/>
      <c r="IID11" s="133"/>
      <c r="IIE11" s="133"/>
      <c r="IIF11" s="133"/>
      <c r="IIG11" s="133"/>
      <c r="IIH11" s="133"/>
      <c r="III11" s="133"/>
      <c r="IIJ11" s="133"/>
      <c r="IIK11" s="133"/>
      <c r="IIL11" s="133"/>
      <c r="IIM11" s="133"/>
      <c r="IIN11" s="133"/>
      <c r="IIO11" s="133"/>
      <c r="IIP11" s="133"/>
      <c r="IIQ11" s="133"/>
      <c r="IIR11" s="133"/>
      <c r="IIS11" s="133"/>
      <c r="IIT11" s="133"/>
      <c r="IIU11" s="133"/>
      <c r="IIV11" s="133"/>
      <c r="IIW11" s="133"/>
      <c r="IIX11" s="133"/>
      <c r="IIY11" s="133"/>
      <c r="IIZ11" s="133"/>
      <c r="IJA11" s="133"/>
      <c r="IJB11" s="133"/>
      <c r="IJC11" s="133"/>
      <c r="IJD11" s="133"/>
      <c r="IJE11" s="133"/>
      <c r="IJF11" s="133"/>
      <c r="IJG11" s="133"/>
      <c r="IJH11" s="133"/>
      <c r="IJI11" s="133"/>
      <c r="IJJ11" s="133"/>
      <c r="IJK11" s="133"/>
      <c r="IJL11" s="133"/>
      <c r="IJM11" s="133"/>
      <c r="IJN11" s="133"/>
      <c r="IJO11" s="133"/>
      <c r="IJP11" s="133"/>
      <c r="IJQ11" s="133"/>
      <c r="IJR11" s="133"/>
      <c r="IJS11" s="133"/>
      <c r="IJT11" s="133"/>
      <c r="IJU11" s="133"/>
      <c r="IJV11" s="133"/>
      <c r="IJW11" s="133"/>
      <c r="IJX11" s="133"/>
      <c r="IJY11" s="133"/>
      <c r="IJZ11" s="133"/>
      <c r="IKA11" s="133"/>
      <c r="IKB11" s="133"/>
      <c r="IKC11" s="133"/>
      <c r="IKD11" s="133"/>
      <c r="IKE11" s="133"/>
      <c r="IKF11" s="133"/>
      <c r="IKG11" s="133"/>
      <c r="IKH11" s="133"/>
      <c r="IKI11" s="133"/>
      <c r="IKJ11" s="133"/>
      <c r="IKK11" s="133"/>
      <c r="IKL11" s="133"/>
      <c r="IKM11" s="133"/>
      <c r="IKN11" s="133"/>
      <c r="IKO11" s="133"/>
      <c r="IKP11" s="133"/>
      <c r="IKQ11" s="133"/>
      <c r="IKR11" s="133"/>
      <c r="IKS11" s="133"/>
      <c r="IKT11" s="133"/>
      <c r="IKU11" s="133"/>
      <c r="IKV11" s="133"/>
      <c r="IKW11" s="133"/>
      <c r="IKX11" s="133"/>
      <c r="IKY11" s="133"/>
      <c r="IKZ11" s="133"/>
      <c r="ILA11" s="133"/>
      <c r="ILB11" s="133"/>
      <c r="ILC11" s="133"/>
      <c r="ILD11" s="133"/>
      <c r="ILE11" s="133"/>
      <c r="ILF11" s="133"/>
      <c r="ILG11" s="133"/>
      <c r="ILH11" s="133"/>
      <c r="ILI11" s="133"/>
      <c r="ILJ11" s="133"/>
      <c r="ILK11" s="133"/>
      <c r="ILL11" s="133"/>
      <c r="ILM11" s="133"/>
      <c r="ILN11" s="133"/>
      <c r="ILO11" s="133"/>
      <c r="ILP11" s="133"/>
      <c r="ILQ11" s="133"/>
      <c r="ILR11" s="133"/>
      <c r="ILS11" s="133"/>
      <c r="ILT11" s="133"/>
      <c r="ILU11" s="133"/>
      <c r="ILV11" s="133"/>
      <c r="ILW11" s="133"/>
      <c r="ILX11" s="133"/>
      <c r="ILY11" s="133"/>
      <c r="ILZ11" s="133"/>
      <c r="IMA11" s="133"/>
      <c r="IMB11" s="133"/>
      <c r="IMC11" s="133"/>
      <c r="IMD11" s="133"/>
      <c r="IME11" s="133"/>
      <c r="IMF11" s="133"/>
      <c r="IMG11" s="133"/>
      <c r="IMH11" s="133"/>
      <c r="IMI11" s="133"/>
      <c r="IMJ11" s="133"/>
      <c r="IMK11" s="133"/>
      <c r="IML11" s="133"/>
      <c r="IMM11" s="133"/>
      <c r="IMN11" s="133"/>
      <c r="IMO11" s="133"/>
      <c r="IMP11" s="133"/>
      <c r="IMQ11" s="133"/>
      <c r="IMR11" s="133"/>
      <c r="IMS11" s="133"/>
      <c r="IMT11" s="133"/>
      <c r="IMU11" s="133"/>
      <c r="IMV11" s="133"/>
      <c r="IMW11" s="133"/>
      <c r="IMX11" s="133"/>
      <c r="IMY11" s="133"/>
      <c r="IMZ11" s="133"/>
      <c r="INA11" s="133"/>
      <c r="INB11" s="133"/>
      <c r="INC11" s="133"/>
      <c r="IND11" s="133"/>
      <c r="INE11" s="133"/>
      <c r="INF11" s="133"/>
      <c r="ING11" s="133"/>
      <c r="INH11" s="133"/>
      <c r="INI11" s="133"/>
      <c r="INJ11" s="133"/>
      <c r="INK11" s="133"/>
      <c r="INL11" s="133"/>
      <c r="INM11" s="133"/>
      <c r="INN11" s="133"/>
      <c r="INO11" s="133"/>
      <c r="INP11" s="133"/>
      <c r="INQ11" s="133"/>
      <c r="INR11" s="133"/>
      <c r="INS11" s="133"/>
      <c r="INT11" s="133"/>
      <c r="INU11" s="133"/>
      <c r="INV11" s="133"/>
      <c r="INW11" s="133"/>
      <c r="INX11" s="133"/>
      <c r="INY11" s="133"/>
      <c r="INZ11" s="133"/>
      <c r="IOA11" s="133"/>
      <c r="IOB11" s="133"/>
      <c r="IOC11" s="133"/>
      <c r="IOD11" s="133"/>
      <c r="IOE11" s="133"/>
      <c r="IOF11" s="133"/>
      <c r="IOG11" s="133"/>
      <c r="IOH11" s="133"/>
      <c r="IOI11" s="133"/>
      <c r="IOJ11" s="133"/>
      <c r="IOK11" s="133"/>
      <c r="IOL11" s="133"/>
      <c r="IOM11" s="133"/>
      <c r="ION11" s="133"/>
      <c r="IOO11" s="133"/>
      <c r="IOP11" s="133"/>
      <c r="IOQ11" s="133"/>
      <c r="IOR11" s="133"/>
      <c r="IOS11" s="133"/>
      <c r="IOT11" s="133"/>
      <c r="IOU11" s="133"/>
      <c r="IOV11" s="133"/>
      <c r="IOW11" s="133"/>
      <c r="IOX11" s="133"/>
      <c r="IOY11" s="133"/>
      <c r="IOZ11" s="133"/>
      <c r="IPA11" s="133"/>
      <c r="IPB11" s="133"/>
      <c r="IPC11" s="133"/>
      <c r="IPD11" s="133"/>
      <c r="IPE11" s="133"/>
      <c r="IPF11" s="133"/>
      <c r="IPG11" s="133"/>
      <c r="IPH11" s="133"/>
      <c r="IPI11" s="133"/>
      <c r="IPJ11" s="133"/>
      <c r="IPK11" s="133"/>
      <c r="IPL11" s="133"/>
      <c r="IPM11" s="133"/>
      <c r="IPN11" s="133"/>
      <c r="IPO11" s="133"/>
      <c r="IPP11" s="133"/>
      <c r="IPQ11" s="133"/>
      <c r="IPR11" s="133"/>
      <c r="IPS11" s="133"/>
      <c r="IPT11" s="133"/>
      <c r="IPU11" s="133"/>
      <c r="IPV11" s="133"/>
      <c r="IPW11" s="133"/>
      <c r="IPX11" s="133"/>
      <c r="IPY11" s="133"/>
      <c r="IPZ11" s="133"/>
      <c r="IQA11" s="133"/>
      <c r="IQB11" s="133"/>
      <c r="IQC11" s="133"/>
      <c r="IQD11" s="133"/>
      <c r="IQE11" s="133"/>
      <c r="IQF11" s="133"/>
      <c r="IQG11" s="133"/>
      <c r="IQH11" s="133"/>
      <c r="IQI11" s="133"/>
      <c r="IQJ11" s="133"/>
      <c r="IQK11" s="133"/>
      <c r="IQL11" s="133"/>
      <c r="IQM11" s="133"/>
      <c r="IQN11" s="133"/>
      <c r="IQO11" s="133"/>
      <c r="IQP11" s="133"/>
      <c r="IQQ11" s="133"/>
      <c r="IQR11" s="133"/>
      <c r="IQS11" s="133"/>
      <c r="IQT11" s="133"/>
      <c r="IQU11" s="133"/>
      <c r="IQV11" s="133"/>
      <c r="IQW11" s="133"/>
      <c r="IQX11" s="133"/>
      <c r="IQY11" s="133"/>
      <c r="IQZ11" s="133"/>
      <c r="IRA11" s="133"/>
      <c r="IRB11" s="133"/>
      <c r="IRC11" s="133"/>
      <c r="IRD11" s="133"/>
      <c r="IRE11" s="133"/>
      <c r="IRF11" s="133"/>
      <c r="IRG11" s="133"/>
      <c r="IRH11" s="133"/>
      <c r="IRI11" s="133"/>
      <c r="IRJ11" s="133"/>
      <c r="IRK11" s="133"/>
      <c r="IRL11" s="133"/>
      <c r="IRM11" s="133"/>
      <c r="IRN11" s="133"/>
      <c r="IRO11" s="133"/>
      <c r="IRP11" s="133"/>
      <c r="IRQ11" s="133"/>
      <c r="IRR11" s="133"/>
      <c r="IRS11" s="133"/>
      <c r="IRT11" s="133"/>
      <c r="IRU11" s="133"/>
      <c r="IRV11" s="133"/>
      <c r="IRW11" s="133"/>
      <c r="IRX11" s="133"/>
      <c r="IRY11" s="133"/>
      <c r="IRZ11" s="133"/>
      <c r="ISA11" s="133"/>
      <c r="ISB11" s="133"/>
      <c r="ISC11" s="133"/>
      <c r="ISD11" s="133"/>
      <c r="ISE11" s="133"/>
      <c r="ISF11" s="133"/>
      <c r="ISG11" s="133"/>
      <c r="ISH11" s="133"/>
      <c r="ISI11" s="133"/>
      <c r="ISJ11" s="133"/>
      <c r="ISK11" s="133"/>
      <c r="ISL11" s="133"/>
      <c r="ISM11" s="133"/>
      <c r="ISN11" s="133"/>
      <c r="ISO11" s="133"/>
      <c r="ISP11" s="133"/>
      <c r="ISQ11" s="133"/>
      <c r="ISR11" s="133"/>
      <c r="ISS11" s="133"/>
      <c r="IST11" s="133"/>
      <c r="ISU11" s="133"/>
      <c r="ISV11" s="133"/>
      <c r="ISW11" s="133"/>
      <c r="ISX11" s="133"/>
      <c r="ISY11" s="133"/>
      <c r="ISZ11" s="133"/>
      <c r="ITA11" s="133"/>
      <c r="ITB11" s="133"/>
      <c r="ITC11" s="133"/>
      <c r="ITD11" s="133"/>
      <c r="ITE11" s="133"/>
      <c r="ITF11" s="133"/>
      <c r="ITG11" s="133"/>
      <c r="ITH11" s="133"/>
      <c r="ITI11" s="133"/>
      <c r="ITJ11" s="133"/>
      <c r="ITK11" s="133"/>
      <c r="ITL11" s="133"/>
      <c r="ITM11" s="133"/>
      <c r="ITN11" s="133"/>
      <c r="ITO11" s="133"/>
      <c r="ITP11" s="133"/>
      <c r="ITQ11" s="133"/>
      <c r="ITR11" s="133"/>
      <c r="ITS11" s="133"/>
      <c r="ITT11" s="133"/>
      <c r="ITU11" s="133"/>
      <c r="ITV11" s="133"/>
      <c r="ITW11" s="133"/>
      <c r="ITX11" s="133"/>
      <c r="ITY11" s="133"/>
      <c r="ITZ11" s="133"/>
      <c r="IUA11" s="133"/>
      <c r="IUB11" s="133"/>
      <c r="IUC11" s="133"/>
      <c r="IUD11" s="133"/>
      <c r="IUE11" s="133"/>
      <c r="IUF11" s="133"/>
      <c r="IUG11" s="133"/>
      <c r="IUH11" s="133"/>
      <c r="IUI11" s="133"/>
      <c r="IUJ11" s="133"/>
      <c r="IUK11" s="133"/>
      <c r="IUL11" s="133"/>
      <c r="IUM11" s="133"/>
      <c r="IUN11" s="133"/>
      <c r="IUO11" s="133"/>
      <c r="IUP11" s="133"/>
      <c r="IUQ11" s="133"/>
      <c r="IUR11" s="133"/>
      <c r="IUS11" s="133"/>
      <c r="IUT11" s="133"/>
      <c r="IUU11" s="133"/>
      <c r="IUV11" s="133"/>
      <c r="IUW11" s="133"/>
      <c r="IUX11" s="133"/>
      <c r="IUY11" s="133"/>
      <c r="IUZ11" s="133"/>
      <c r="IVA11" s="133"/>
      <c r="IVB11" s="133"/>
      <c r="IVC11" s="133"/>
      <c r="IVD11" s="133"/>
      <c r="IVE11" s="133"/>
      <c r="IVF11" s="133"/>
      <c r="IVG11" s="133"/>
      <c r="IVH11" s="133"/>
      <c r="IVI11" s="133"/>
      <c r="IVJ11" s="133"/>
      <c r="IVK11" s="133"/>
      <c r="IVL11" s="133"/>
      <c r="IVM11" s="133"/>
      <c r="IVN11" s="133"/>
      <c r="IVO11" s="133"/>
      <c r="IVP11" s="133"/>
      <c r="IVQ11" s="133"/>
      <c r="IVR11" s="133"/>
      <c r="IVS11" s="133"/>
      <c r="IVT11" s="133"/>
      <c r="IVU11" s="133"/>
      <c r="IVV11" s="133"/>
      <c r="IVW11" s="133"/>
      <c r="IVX11" s="133"/>
      <c r="IVY11" s="133"/>
      <c r="IVZ11" s="133"/>
      <c r="IWA11" s="133"/>
      <c r="IWB11" s="133"/>
      <c r="IWC11" s="133"/>
      <c r="IWD11" s="133"/>
      <c r="IWE11" s="133"/>
      <c r="IWF11" s="133"/>
      <c r="IWG11" s="133"/>
      <c r="IWH11" s="133"/>
      <c r="IWI11" s="133"/>
      <c r="IWJ11" s="133"/>
      <c r="IWK11" s="133"/>
      <c r="IWL11" s="133"/>
      <c r="IWM11" s="133"/>
      <c r="IWN11" s="133"/>
      <c r="IWO11" s="133"/>
      <c r="IWP11" s="133"/>
      <c r="IWQ11" s="133"/>
      <c r="IWR11" s="133"/>
      <c r="IWS11" s="133"/>
      <c r="IWT11" s="133"/>
      <c r="IWU11" s="133"/>
      <c r="IWV11" s="133"/>
      <c r="IWW11" s="133"/>
      <c r="IWX11" s="133"/>
      <c r="IWY11" s="133"/>
      <c r="IWZ11" s="133"/>
      <c r="IXA11" s="133"/>
      <c r="IXB11" s="133"/>
      <c r="IXC11" s="133"/>
      <c r="IXD11" s="133"/>
      <c r="IXE11" s="133"/>
      <c r="IXF11" s="133"/>
      <c r="IXG11" s="133"/>
      <c r="IXH11" s="133"/>
      <c r="IXI11" s="133"/>
      <c r="IXJ11" s="133"/>
      <c r="IXK11" s="133"/>
      <c r="IXL11" s="133"/>
      <c r="IXM11" s="133"/>
      <c r="IXN11" s="133"/>
      <c r="IXO11" s="133"/>
      <c r="IXP11" s="133"/>
      <c r="IXQ11" s="133"/>
      <c r="IXR11" s="133"/>
      <c r="IXS11" s="133"/>
      <c r="IXT11" s="133"/>
      <c r="IXU11" s="133"/>
      <c r="IXV11" s="133"/>
      <c r="IXW11" s="133"/>
      <c r="IXX11" s="133"/>
      <c r="IXY11" s="133"/>
      <c r="IXZ11" s="133"/>
      <c r="IYA11" s="133"/>
      <c r="IYB11" s="133"/>
      <c r="IYC11" s="133"/>
      <c r="IYD11" s="133"/>
      <c r="IYE11" s="133"/>
      <c r="IYF11" s="133"/>
      <c r="IYG11" s="133"/>
      <c r="IYH11" s="133"/>
      <c r="IYI11" s="133"/>
      <c r="IYJ11" s="133"/>
      <c r="IYK11" s="133"/>
      <c r="IYL11" s="133"/>
      <c r="IYM11" s="133"/>
      <c r="IYN11" s="133"/>
      <c r="IYO11" s="133"/>
      <c r="IYP11" s="133"/>
      <c r="IYQ11" s="133"/>
      <c r="IYR11" s="133"/>
      <c r="IYS11" s="133"/>
      <c r="IYT11" s="133"/>
      <c r="IYU11" s="133"/>
      <c r="IYV11" s="133"/>
      <c r="IYW11" s="133"/>
      <c r="IYX11" s="133"/>
      <c r="IYY11" s="133"/>
      <c r="IYZ11" s="133"/>
      <c r="IZA11" s="133"/>
      <c r="IZB11" s="133"/>
      <c r="IZC11" s="133"/>
      <c r="IZD11" s="133"/>
      <c r="IZE11" s="133"/>
      <c r="IZF11" s="133"/>
      <c r="IZG11" s="133"/>
      <c r="IZH11" s="133"/>
      <c r="IZI11" s="133"/>
      <c r="IZJ11" s="133"/>
      <c r="IZK11" s="133"/>
      <c r="IZL11" s="133"/>
      <c r="IZM11" s="133"/>
      <c r="IZN11" s="133"/>
      <c r="IZO11" s="133"/>
      <c r="IZP11" s="133"/>
      <c r="IZQ11" s="133"/>
      <c r="IZR11" s="133"/>
      <c r="IZS11" s="133"/>
      <c r="IZT11" s="133"/>
      <c r="IZU11" s="133"/>
      <c r="IZV11" s="133"/>
      <c r="IZW11" s="133"/>
      <c r="IZX11" s="133"/>
      <c r="IZY11" s="133"/>
      <c r="IZZ11" s="133"/>
      <c r="JAA11" s="133"/>
      <c r="JAB11" s="133"/>
      <c r="JAC11" s="133"/>
      <c r="JAD11" s="133"/>
      <c r="JAE11" s="133"/>
      <c r="JAF11" s="133"/>
      <c r="JAG11" s="133"/>
      <c r="JAH11" s="133"/>
      <c r="JAI11" s="133"/>
      <c r="JAJ11" s="133"/>
      <c r="JAK11" s="133"/>
      <c r="JAL11" s="133"/>
      <c r="JAM11" s="133"/>
      <c r="JAN11" s="133"/>
      <c r="JAO11" s="133"/>
      <c r="JAP11" s="133"/>
      <c r="JAQ11" s="133"/>
      <c r="JAR11" s="133"/>
      <c r="JAS11" s="133"/>
      <c r="JAT11" s="133"/>
      <c r="JAU11" s="133"/>
      <c r="JAV11" s="133"/>
      <c r="JAW11" s="133"/>
      <c r="JAX11" s="133"/>
      <c r="JAY11" s="133"/>
      <c r="JAZ11" s="133"/>
      <c r="JBA11" s="133"/>
      <c r="JBB11" s="133"/>
      <c r="JBC11" s="133"/>
      <c r="JBD11" s="133"/>
      <c r="JBE11" s="133"/>
      <c r="JBF11" s="133"/>
      <c r="JBG11" s="133"/>
      <c r="JBH11" s="133"/>
      <c r="JBI11" s="133"/>
      <c r="JBJ11" s="133"/>
      <c r="JBK11" s="133"/>
      <c r="JBL11" s="133"/>
      <c r="JBM11" s="133"/>
      <c r="JBN11" s="133"/>
      <c r="JBO11" s="133"/>
      <c r="JBP11" s="133"/>
      <c r="JBQ11" s="133"/>
      <c r="JBR11" s="133"/>
      <c r="JBS11" s="133"/>
      <c r="JBT11" s="133"/>
      <c r="JBU11" s="133"/>
      <c r="JBV11" s="133"/>
      <c r="JBW11" s="133"/>
      <c r="JBX11" s="133"/>
      <c r="JBY11" s="133"/>
      <c r="JBZ11" s="133"/>
      <c r="JCA11" s="133"/>
      <c r="JCB11" s="133"/>
      <c r="JCC11" s="133"/>
      <c r="JCD11" s="133"/>
      <c r="JCE11" s="133"/>
      <c r="JCF11" s="133"/>
      <c r="JCG11" s="133"/>
      <c r="JCH11" s="133"/>
      <c r="JCI11" s="133"/>
      <c r="JCJ11" s="133"/>
      <c r="JCK11" s="133"/>
      <c r="JCL11" s="133"/>
      <c r="JCM11" s="133"/>
      <c r="JCN11" s="133"/>
      <c r="JCO11" s="133"/>
      <c r="JCP11" s="133"/>
      <c r="JCQ11" s="133"/>
      <c r="JCR11" s="133"/>
      <c r="JCS11" s="133"/>
      <c r="JCT11" s="133"/>
      <c r="JCU11" s="133"/>
      <c r="JCV11" s="133"/>
      <c r="JCW11" s="133"/>
      <c r="JCX11" s="133"/>
      <c r="JCY11" s="133"/>
      <c r="JCZ11" s="133"/>
      <c r="JDA11" s="133"/>
      <c r="JDB11" s="133"/>
      <c r="JDC11" s="133"/>
      <c r="JDD11" s="133"/>
      <c r="JDE11" s="133"/>
      <c r="JDF11" s="133"/>
      <c r="JDG11" s="133"/>
      <c r="JDH11" s="133"/>
      <c r="JDI11" s="133"/>
      <c r="JDJ11" s="133"/>
      <c r="JDK11" s="133"/>
      <c r="JDL11" s="133"/>
      <c r="JDM11" s="133"/>
      <c r="JDN11" s="133"/>
      <c r="JDO11" s="133"/>
      <c r="JDP11" s="133"/>
      <c r="JDQ11" s="133"/>
      <c r="JDR11" s="133"/>
      <c r="JDS11" s="133"/>
      <c r="JDT11" s="133"/>
      <c r="JDU11" s="133"/>
      <c r="JDV11" s="133"/>
      <c r="JDW11" s="133"/>
      <c r="JDX11" s="133"/>
      <c r="JDY11" s="133"/>
      <c r="JDZ11" s="133"/>
      <c r="JEA11" s="133"/>
      <c r="JEB11" s="133"/>
      <c r="JEC11" s="133"/>
      <c r="JED11" s="133"/>
      <c r="JEE11" s="133"/>
      <c r="JEF11" s="133"/>
      <c r="JEG11" s="133"/>
      <c r="JEH11" s="133"/>
      <c r="JEI11" s="133"/>
      <c r="JEJ11" s="133"/>
      <c r="JEK11" s="133"/>
      <c r="JEL11" s="133"/>
      <c r="JEM11" s="133"/>
      <c r="JEN11" s="133"/>
      <c r="JEO11" s="133"/>
      <c r="JEP11" s="133"/>
      <c r="JEQ11" s="133"/>
      <c r="JER11" s="133"/>
      <c r="JES11" s="133"/>
      <c r="JET11" s="133"/>
      <c r="JEU11" s="133"/>
      <c r="JEV11" s="133"/>
      <c r="JEW11" s="133"/>
      <c r="JEX11" s="133"/>
      <c r="JEY11" s="133"/>
      <c r="JEZ11" s="133"/>
      <c r="JFA11" s="133"/>
      <c r="JFB11" s="133"/>
      <c r="JFC11" s="133"/>
      <c r="JFD11" s="133"/>
      <c r="JFE11" s="133"/>
      <c r="JFF11" s="133"/>
      <c r="JFG11" s="133"/>
      <c r="JFH11" s="133"/>
      <c r="JFI11" s="133"/>
      <c r="JFJ11" s="133"/>
      <c r="JFK11" s="133"/>
      <c r="JFL11" s="133"/>
      <c r="JFM11" s="133"/>
      <c r="JFN11" s="133"/>
      <c r="JFO11" s="133"/>
      <c r="JFP11" s="133"/>
      <c r="JFQ11" s="133"/>
      <c r="JFR11" s="133"/>
      <c r="JFS11" s="133"/>
      <c r="JFT11" s="133"/>
      <c r="JFU11" s="133"/>
      <c r="JFV11" s="133"/>
      <c r="JFW11" s="133"/>
      <c r="JFX11" s="133"/>
      <c r="JFY11" s="133"/>
      <c r="JFZ11" s="133"/>
      <c r="JGA11" s="133"/>
      <c r="JGB11" s="133"/>
      <c r="JGC11" s="133"/>
      <c r="JGD11" s="133"/>
      <c r="JGE11" s="133"/>
      <c r="JGF11" s="133"/>
      <c r="JGG11" s="133"/>
      <c r="JGH11" s="133"/>
      <c r="JGI11" s="133"/>
      <c r="JGJ11" s="133"/>
      <c r="JGK11" s="133"/>
      <c r="JGL11" s="133"/>
      <c r="JGM11" s="133"/>
      <c r="JGN11" s="133"/>
      <c r="JGO11" s="133"/>
      <c r="JGP11" s="133"/>
      <c r="JGQ11" s="133"/>
      <c r="JGR11" s="133"/>
      <c r="JGS11" s="133"/>
      <c r="JGT11" s="133"/>
      <c r="JGU11" s="133"/>
      <c r="JGV11" s="133"/>
      <c r="JGW11" s="133"/>
      <c r="JGX11" s="133"/>
      <c r="JGY11" s="133"/>
      <c r="JGZ11" s="133"/>
      <c r="JHA11" s="133"/>
      <c r="JHB11" s="133"/>
      <c r="JHC11" s="133"/>
      <c r="JHD11" s="133"/>
      <c r="JHE11" s="133"/>
      <c r="JHF11" s="133"/>
      <c r="JHG11" s="133"/>
      <c r="JHH11" s="133"/>
      <c r="JHI11" s="133"/>
      <c r="JHJ11" s="133"/>
      <c r="JHK11" s="133"/>
      <c r="JHL11" s="133"/>
      <c r="JHM11" s="133"/>
      <c r="JHN11" s="133"/>
      <c r="JHO11" s="133"/>
      <c r="JHP11" s="133"/>
      <c r="JHQ11" s="133"/>
      <c r="JHR11" s="133"/>
      <c r="JHS11" s="133"/>
      <c r="JHT11" s="133"/>
      <c r="JHU11" s="133"/>
      <c r="JHV11" s="133"/>
      <c r="JHW11" s="133"/>
      <c r="JHX11" s="133"/>
      <c r="JHY11" s="133"/>
      <c r="JHZ11" s="133"/>
      <c r="JIA11" s="133"/>
      <c r="JIB11" s="133"/>
      <c r="JIC11" s="133"/>
      <c r="JID11" s="133"/>
      <c r="JIE11" s="133"/>
      <c r="JIF11" s="133"/>
      <c r="JIG11" s="133"/>
      <c r="JIH11" s="133"/>
      <c r="JII11" s="133"/>
      <c r="JIJ11" s="133"/>
      <c r="JIK11" s="133"/>
      <c r="JIL11" s="133"/>
      <c r="JIM11" s="133"/>
      <c r="JIN11" s="133"/>
      <c r="JIO11" s="133"/>
      <c r="JIP11" s="133"/>
      <c r="JIQ11" s="133"/>
      <c r="JIR11" s="133"/>
      <c r="JIS11" s="133"/>
      <c r="JIT11" s="133"/>
      <c r="JIU11" s="133"/>
      <c r="JIV11" s="133"/>
      <c r="JIW11" s="133"/>
      <c r="JIX11" s="133"/>
      <c r="JIY11" s="133"/>
      <c r="JIZ11" s="133"/>
      <c r="JJA11" s="133"/>
      <c r="JJB11" s="133"/>
      <c r="JJC11" s="133"/>
      <c r="JJD11" s="133"/>
      <c r="JJE11" s="133"/>
      <c r="JJF11" s="133"/>
      <c r="JJG11" s="133"/>
      <c r="JJH11" s="133"/>
      <c r="JJI11" s="133"/>
      <c r="JJJ11" s="133"/>
      <c r="JJK11" s="133"/>
      <c r="JJL11" s="133"/>
      <c r="JJM11" s="133"/>
      <c r="JJN11" s="133"/>
      <c r="JJO11" s="133"/>
      <c r="JJP11" s="133"/>
      <c r="JJQ11" s="133"/>
      <c r="JJR11" s="133"/>
      <c r="JJS11" s="133"/>
      <c r="JJT11" s="133"/>
      <c r="JJU11" s="133"/>
      <c r="JJV11" s="133"/>
      <c r="JJW11" s="133"/>
      <c r="JJX11" s="133"/>
      <c r="JJY11" s="133"/>
      <c r="JJZ11" s="133"/>
      <c r="JKA11" s="133"/>
      <c r="JKB11" s="133"/>
      <c r="JKC11" s="133"/>
      <c r="JKD11" s="133"/>
      <c r="JKE11" s="133"/>
      <c r="JKF11" s="133"/>
      <c r="JKG11" s="133"/>
      <c r="JKH11" s="133"/>
      <c r="JKI11" s="133"/>
      <c r="JKJ11" s="133"/>
      <c r="JKK11" s="133"/>
      <c r="JKL11" s="133"/>
      <c r="JKM11" s="133"/>
      <c r="JKN11" s="133"/>
      <c r="JKO11" s="133"/>
      <c r="JKP11" s="133"/>
      <c r="JKQ11" s="133"/>
      <c r="JKR11" s="133"/>
      <c r="JKS11" s="133"/>
      <c r="JKT11" s="133"/>
      <c r="JKU11" s="133"/>
      <c r="JKV11" s="133"/>
      <c r="JKW11" s="133"/>
      <c r="JKX11" s="133"/>
      <c r="JKY11" s="133"/>
      <c r="JKZ11" s="133"/>
      <c r="JLA11" s="133"/>
      <c r="JLB11" s="133"/>
      <c r="JLC11" s="133"/>
      <c r="JLD11" s="133"/>
      <c r="JLE11" s="133"/>
      <c r="JLF11" s="133"/>
      <c r="JLG11" s="133"/>
      <c r="JLH11" s="133"/>
      <c r="JLI11" s="133"/>
      <c r="JLJ11" s="133"/>
      <c r="JLK11" s="133"/>
      <c r="JLL11" s="133"/>
      <c r="JLM11" s="133"/>
      <c r="JLN11" s="133"/>
      <c r="JLO11" s="133"/>
      <c r="JLP11" s="133"/>
      <c r="JLQ11" s="133"/>
      <c r="JLR11" s="133"/>
      <c r="JLS11" s="133"/>
      <c r="JLT11" s="133"/>
      <c r="JLU11" s="133"/>
      <c r="JLV11" s="133"/>
      <c r="JLW11" s="133"/>
      <c r="JLX11" s="133"/>
      <c r="JLY11" s="133"/>
      <c r="JLZ11" s="133"/>
      <c r="JMA11" s="133"/>
      <c r="JMB11" s="133"/>
      <c r="JMC11" s="133"/>
      <c r="JMD11" s="133"/>
      <c r="JME11" s="133"/>
      <c r="JMF11" s="133"/>
      <c r="JMG11" s="133"/>
      <c r="JMH11" s="133"/>
      <c r="JMI11" s="133"/>
      <c r="JMJ11" s="133"/>
      <c r="JMK11" s="133"/>
      <c r="JML11" s="133"/>
      <c r="JMM11" s="133"/>
      <c r="JMN11" s="133"/>
      <c r="JMO11" s="133"/>
      <c r="JMP11" s="133"/>
      <c r="JMQ11" s="133"/>
      <c r="JMR11" s="133"/>
      <c r="JMS11" s="133"/>
      <c r="JMT11" s="133"/>
      <c r="JMU11" s="133"/>
      <c r="JMV11" s="133"/>
      <c r="JMW11" s="133"/>
      <c r="JMX11" s="133"/>
      <c r="JMY11" s="133"/>
      <c r="JMZ11" s="133"/>
      <c r="JNA11" s="133"/>
      <c r="JNB11" s="133"/>
      <c r="JNC11" s="133"/>
      <c r="JND11" s="133"/>
      <c r="JNE11" s="133"/>
      <c r="JNF11" s="133"/>
      <c r="JNG11" s="133"/>
      <c r="JNH11" s="133"/>
      <c r="JNI11" s="133"/>
      <c r="JNJ11" s="133"/>
      <c r="JNK11" s="133"/>
      <c r="JNL11" s="133"/>
      <c r="JNM11" s="133"/>
      <c r="JNN11" s="133"/>
      <c r="JNO11" s="133"/>
      <c r="JNP11" s="133"/>
      <c r="JNQ11" s="133"/>
      <c r="JNR11" s="133"/>
      <c r="JNS11" s="133"/>
      <c r="JNT11" s="133"/>
      <c r="JNU11" s="133"/>
      <c r="JNV11" s="133"/>
      <c r="JNW11" s="133"/>
      <c r="JNX11" s="133"/>
      <c r="JNY11" s="133"/>
      <c r="JNZ11" s="133"/>
      <c r="JOA11" s="133"/>
      <c r="JOB11" s="133"/>
      <c r="JOC11" s="133"/>
      <c r="JOD11" s="133"/>
      <c r="JOE11" s="133"/>
      <c r="JOF11" s="133"/>
      <c r="JOG11" s="133"/>
      <c r="JOT11" s="133"/>
      <c r="JOU11" s="133"/>
      <c r="JOV11" s="133"/>
      <c r="JOW11" s="133"/>
      <c r="JOX11" s="133"/>
      <c r="JOY11" s="133"/>
      <c r="JOZ11" s="133"/>
      <c r="JPA11" s="133"/>
      <c r="JPB11" s="133"/>
      <c r="JPC11" s="133"/>
      <c r="JPD11" s="133"/>
      <c r="JPE11" s="133"/>
      <c r="JPF11" s="133"/>
      <c r="JPG11" s="133"/>
      <c r="JPH11" s="133"/>
      <c r="JPI11" s="133"/>
      <c r="JPJ11" s="133"/>
      <c r="JPK11" s="133"/>
      <c r="JPL11" s="133"/>
      <c r="JPM11" s="133"/>
      <c r="JPN11" s="133"/>
      <c r="JPO11" s="133"/>
      <c r="JPP11" s="133"/>
      <c r="JPQ11" s="133"/>
      <c r="JPR11" s="133"/>
      <c r="JPS11" s="133"/>
      <c r="JPT11" s="133"/>
      <c r="JPU11" s="133"/>
      <c r="JPV11" s="133"/>
      <c r="JPW11" s="133"/>
      <c r="JPX11" s="133"/>
      <c r="JPY11" s="133"/>
      <c r="JPZ11" s="133"/>
      <c r="JQA11" s="133"/>
      <c r="JQB11" s="133"/>
      <c r="JQC11" s="133"/>
      <c r="JQD11" s="133"/>
      <c r="JQE11" s="133"/>
      <c r="JQF11" s="133"/>
      <c r="JQG11" s="133"/>
      <c r="JQH11" s="133"/>
      <c r="JQI11" s="133"/>
      <c r="JQJ11" s="133"/>
      <c r="JQK11" s="133"/>
      <c r="JQL11" s="133"/>
      <c r="JQM11" s="133"/>
      <c r="JQN11" s="133"/>
      <c r="JQO11" s="133"/>
      <c r="JQP11" s="133"/>
      <c r="JQQ11" s="133"/>
      <c r="JQR11" s="133"/>
      <c r="JQS11" s="133"/>
      <c r="JQT11" s="133"/>
      <c r="JQU11" s="133"/>
      <c r="JQV11" s="133"/>
      <c r="JQW11" s="133"/>
      <c r="JQX11" s="133"/>
      <c r="JQY11" s="133"/>
      <c r="JQZ11" s="133"/>
      <c r="JRA11" s="133"/>
      <c r="JRB11" s="133"/>
      <c r="JRC11" s="133"/>
      <c r="JRD11" s="133"/>
      <c r="JRE11" s="133"/>
      <c r="JRF11" s="133"/>
      <c r="JRG11" s="133"/>
      <c r="JRH11" s="133"/>
      <c r="JRI11" s="133"/>
      <c r="JRJ11" s="133"/>
      <c r="JRK11" s="133"/>
      <c r="JRL11" s="133"/>
      <c r="JRM11" s="133"/>
      <c r="JRN11" s="133"/>
      <c r="JRO11" s="133"/>
      <c r="JRP11" s="133"/>
      <c r="JRQ11" s="133"/>
      <c r="JRR11" s="133"/>
      <c r="JRS11" s="133"/>
      <c r="JRT11" s="133"/>
      <c r="JRU11" s="133"/>
      <c r="JRV11" s="133"/>
      <c r="JRW11" s="133"/>
      <c r="JRX11" s="133"/>
      <c r="JRY11" s="133"/>
      <c r="JRZ11" s="133"/>
      <c r="JSA11" s="133"/>
      <c r="JSB11" s="133"/>
      <c r="JSC11" s="133"/>
      <c r="JSD11" s="133"/>
      <c r="JSE11" s="133"/>
      <c r="JSF11" s="133"/>
      <c r="JSG11" s="133"/>
      <c r="JSH11" s="133"/>
      <c r="JSI11" s="133"/>
      <c r="JSJ11" s="133"/>
      <c r="JSK11" s="133"/>
      <c r="JSL11" s="133"/>
      <c r="JSM11" s="133"/>
      <c r="JSN11" s="133"/>
      <c r="JSO11" s="133"/>
      <c r="JSP11" s="133"/>
      <c r="JSQ11" s="133"/>
      <c r="JSR11" s="133"/>
      <c r="JSS11" s="133"/>
      <c r="JST11" s="133"/>
      <c r="JSU11" s="133"/>
      <c r="JSV11" s="133"/>
      <c r="JSW11" s="133"/>
      <c r="JSX11" s="133"/>
      <c r="JSY11" s="133"/>
      <c r="JSZ11" s="133"/>
      <c r="JTA11" s="133"/>
      <c r="JTB11" s="133"/>
      <c r="JTC11" s="133"/>
      <c r="JTD11" s="133"/>
      <c r="JTE11" s="133"/>
      <c r="JTF11" s="133"/>
      <c r="JTG11" s="133"/>
      <c r="JTH11" s="133"/>
      <c r="JTI11" s="133"/>
      <c r="JTJ11" s="133"/>
      <c r="JTK11" s="133"/>
      <c r="JTL11" s="133"/>
      <c r="JTM11" s="133"/>
      <c r="JTN11" s="133"/>
      <c r="JTO11" s="133"/>
      <c r="JTP11" s="133"/>
      <c r="JTQ11" s="133"/>
      <c r="JTR11" s="133"/>
      <c r="JTS11" s="133"/>
      <c r="JTT11" s="133"/>
      <c r="JTU11" s="133"/>
      <c r="JTV11" s="133"/>
      <c r="JTW11" s="133"/>
      <c r="JTX11" s="133"/>
      <c r="JTY11" s="133"/>
      <c r="JTZ11" s="133"/>
      <c r="JUA11" s="133"/>
      <c r="JUB11" s="133"/>
      <c r="JUC11" s="133"/>
      <c r="JUD11" s="133"/>
      <c r="JUE11" s="133"/>
      <c r="JUF11" s="133"/>
      <c r="JUG11" s="133"/>
      <c r="JUH11" s="133"/>
      <c r="JUI11" s="133"/>
      <c r="JUJ11" s="133"/>
      <c r="JUK11" s="133"/>
      <c r="JUL11" s="133"/>
      <c r="JUM11" s="133"/>
      <c r="JUN11" s="133"/>
      <c r="JUO11" s="133"/>
      <c r="JUP11" s="133"/>
      <c r="JUQ11" s="133"/>
      <c r="JUR11" s="133"/>
      <c r="JUS11" s="133"/>
      <c r="JUT11" s="133"/>
      <c r="JUU11" s="133"/>
      <c r="JUV11" s="133"/>
      <c r="JUW11" s="133"/>
      <c r="JUX11" s="133"/>
      <c r="JUY11" s="133"/>
      <c r="JUZ11" s="133"/>
      <c r="JVA11" s="133"/>
      <c r="JVB11" s="133"/>
      <c r="JVC11" s="133"/>
      <c r="JVD11" s="133"/>
      <c r="JVE11" s="133"/>
      <c r="JVF11" s="133"/>
      <c r="JVG11" s="133"/>
      <c r="JVH11" s="133"/>
      <c r="JVI11" s="133"/>
      <c r="JVJ11" s="133"/>
      <c r="JVK11" s="133"/>
      <c r="JVL11" s="133"/>
      <c r="JVM11" s="133"/>
      <c r="JVN11" s="133"/>
      <c r="JVO11" s="133"/>
      <c r="JVP11" s="133"/>
      <c r="JVQ11" s="133"/>
      <c r="JVR11" s="133"/>
      <c r="JVS11" s="133"/>
      <c r="JVT11" s="133"/>
      <c r="JVU11" s="133"/>
      <c r="JVV11" s="133"/>
      <c r="JVW11" s="133"/>
      <c r="JVX11" s="133"/>
      <c r="JVY11" s="133"/>
      <c r="JVZ11" s="133"/>
      <c r="JWA11" s="133"/>
      <c r="JWB11" s="133"/>
      <c r="JWC11" s="133"/>
      <c r="JWD11" s="133"/>
      <c r="JWE11" s="133"/>
      <c r="JWF11" s="133"/>
      <c r="JWG11" s="133"/>
      <c r="JWH11" s="133"/>
      <c r="JWI11" s="133"/>
      <c r="JWJ11" s="133"/>
      <c r="JWK11" s="133"/>
      <c r="JWL11" s="133"/>
      <c r="JWM11" s="133"/>
      <c r="JWN11" s="133"/>
      <c r="JWO11" s="133"/>
      <c r="JWP11" s="133"/>
      <c r="JWQ11" s="133"/>
      <c r="JWR11" s="133"/>
      <c r="JWS11" s="133"/>
      <c r="JWT11" s="133"/>
      <c r="JWU11" s="133"/>
      <c r="JWV11" s="133"/>
      <c r="JWW11" s="133"/>
      <c r="JWX11" s="133"/>
      <c r="JWY11" s="133"/>
      <c r="JWZ11" s="133"/>
      <c r="JXA11" s="133"/>
      <c r="JXB11" s="133"/>
      <c r="JXC11" s="133"/>
      <c r="JXD11" s="133"/>
      <c r="JXE11" s="133"/>
      <c r="JXF11" s="133"/>
      <c r="JXG11" s="133"/>
      <c r="JXH11" s="133"/>
      <c r="JXI11" s="133"/>
      <c r="JXJ11" s="133"/>
      <c r="JXK11" s="133"/>
      <c r="JXL11" s="133"/>
      <c r="JXM11" s="133"/>
      <c r="JXN11" s="133"/>
      <c r="JXO11" s="133"/>
      <c r="JXP11" s="133"/>
      <c r="JXQ11" s="133"/>
      <c r="JXR11" s="133"/>
      <c r="JXS11" s="133"/>
      <c r="JXT11" s="133"/>
      <c r="JXU11" s="133"/>
      <c r="JXV11" s="133"/>
      <c r="JXW11" s="133"/>
      <c r="JXX11" s="133"/>
      <c r="JXY11" s="133"/>
      <c r="JXZ11" s="133"/>
      <c r="JYA11" s="133"/>
      <c r="JYB11" s="133"/>
      <c r="JYC11" s="133"/>
      <c r="JYD11" s="133"/>
      <c r="JYE11" s="133"/>
      <c r="JYF11" s="133"/>
      <c r="JYG11" s="133"/>
      <c r="JYH11" s="133"/>
      <c r="JYI11" s="133"/>
      <c r="JYJ11" s="133"/>
      <c r="JYK11" s="133"/>
      <c r="JYL11" s="133"/>
      <c r="JYM11" s="133"/>
      <c r="JYN11" s="133"/>
      <c r="JYO11" s="133"/>
      <c r="JYP11" s="133"/>
      <c r="JYQ11" s="133"/>
      <c r="JYR11" s="133"/>
      <c r="JYS11" s="133"/>
      <c r="JYT11" s="133"/>
      <c r="JYU11" s="133"/>
      <c r="JYV11" s="133"/>
      <c r="JYW11" s="133"/>
      <c r="JYX11" s="133"/>
      <c r="JYY11" s="133"/>
      <c r="JYZ11" s="133"/>
      <c r="JZA11" s="133"/>
      <c r="JZB11" s="133"/>
      <c r="JZC11" s="133"/>
      <c r="JZD11" s="133"/>
      <c r="JZE11" s="133"/>
      <c r="JZF11" s="133"/>
      <c r="JZG11" s="133"/>
      <c r="JZH11" s="133"/>
      <c r="JZI11" s="133"/>
      <c r="JZJ11" s="133"/>
      <c r="JZK11" s="133"/>
      <c r="JZL11" s="133"/>
      <c r="JZM11" s="133"/>
      <c r="JZN11" s="133"/>
      <c r="JZO11" s="133"/>
      <c r="JZP11" s="133"/>
      <c r="JZQ11" s="133"/>
      <c r="JZR11" s="133"/>
      <c r="JZS11" s="133"/>
      <c r="JZT11" s="133"/>
      <c r="JZU11" s="133"/>
      <c r="JZV11" s="133"/>
      <c r="JZW11" s="133"/>
      <c r="JZX11" s="133"/>
      <c r="JZY11" s="133"/>
      <c r="JZZ11" s="133"/>
      <c r="KAA11" s="133"/>
      <c r="KAB11" s="133"/>
      <c r="KAC11" s="133"/>
      <c r="KAD11" s="133"/>
      <c r="KAE11" s="133"/>
      <c r="KAF11" s="133"/>
      <c r="KAG11" s="133"/>
      <c r="KAH11" s="133"/>
      <c r="KAI11" s="133"/>
      <c r="KAJ11" s="133"/>
      <c r="KAK11" s="133"/>
      <c r="KAL11" s="133"/>
      <c r="KAM11" s="133"/>
      <c r="KAN11" s="133"/>
      <c r="KAO11" s="133"/>
      <c r="KAP11" s="133"/>
      <c r="KAQ11" s="133"/>
      <c r="KAR11" s="133"/>
      <c r="KAS11" s="133"/>
      <c r="KAT11" s="133"/>
      <c r="KAU11" s="133"/>
      <c r="KAV11" s="133"/>
      <c r="KAW11" s="133"/>
      <c r="KAX11" s="133"/>
      <c r="KAY11" s="133"/>
      <c r="KAZ11" s="133"/>
      <c r="KBA11" s="133"/>
      <c r="KBB11" s="133"/>
      <c r="KBC11" s="133"/>
      <c r="KBD11" s="133"/>
      <c r="KBE11" s="133"/>
      <c r="KBF11" s="133"/>
      <c r="KBG11" s="133"/>
      <c r="KBH11" s="133"/>
      <c r="KBI11" s="133"/>
      <c r="KBJ11" s="133"/>
      <c r="KBK11" s="133"/>
      <c r="KBL11" s="133"/>
      <c r="KBM11" s="133"/>
      <c r="KBN11" s="133"/>
      <c r="KBO11" s="133"/>
      <c r="KBP11" s="133"/>
      <c r="KBQ11" s="133"/>
      <c r="KBR11" s="133"/>
      <c r="KBS11" s="133"/>
      <c r="KBT11" s="133"/>
      <c r="KBU11" s="133"/>
      <c r="KBV11" s="133"/>
      <c r="KBW11" s="133"/>
      <c r="KBX11" s="133"/>
      <c r="KBY11" s="133"/>
      <c r="KBZ11" s="133"/>
      <c r="KCA11" s="133"/>
      <c r="KCB11" s="133"/>
      <c r="KCC11" s="133"/>
      <c r="KCD11" s="133"/>
      <c r="KCE11" s="133"/>
      <c r="KCF11" s="133"/>
      <c r="KCG11" s="133"/>
      <c r="KCH11" s="133"/>
      <c r="KCI11" s="133"/>
      <c r="KCJ11" s="133"/>
      <c r="KCK11" s="133"/>
      <c r="KCL11" s="133"/>
      <c r="KCM11" s="133"/>
      <c r="KCN11" s="133"/>
      <c r="KCO11" s="133"/>
      <c r="KCP11" s="133"/>
      <c r="KCQ11" s="133"/>
      <c r="KCR11" s="133"/>
      <c r="KCS11" s="133"/>
      <c r="KCT11" s="133"/>
      <c r="KCU11" s="133"/>
      <c r="KCV11" s="133"/>
      <c r="KCW11" s="133"/>
      <c r="KCX11" s="133"/>
      <c r="KCY11" s="133"/>
      <c r="KCZ11" s="133"/>
      <c r="KDA11" s="133"/>
      <c r="KDB11" s="133"/>
      <c r="KDC11" s="133"/>
      <c r="KDD11" s="133"/>
      <c r="KDE11" s="133"/>
      <c r="KDF11" s="133"/>
      <c r="KDG11" s="133"/>
      <c r="KDH11" s="133"/>
      <c r="KDI11" s="133"/>
      <c r="KDJ11" s="133"/>
      <c r="KDK11" s="133"/>
      <c r="KDL11" s="133"/>
      <c r="KDM11" s="133"/>
      <c r="KDN11" s="133"/>
      <c r="KDO11" s="133"/>
      <c r="KDP11" s="133"/>
      <c r="KDQ11" s="133"/>
      <c r="KDR11" s="133"/>
      <c r="KDS11" s="133"/>
      <c r="KDT11" s="133"/>
      <c r="KDU11" s="133"/>
      <c r="KDV11" s="133"/>
      <c r="KDW11" s="133"/>
      <c r="KDX11" s="133"/>
      <c r="KDY11" s="133"/>
      <c r="KDZ11" s="133"/>
      <c r="KEA11" s="133"/>
      <c r="KEB11" s="133"/>
      <c r="KEC11" s="133"/>
      <c r="KED11" s="133"/>
      <c r="KEE11" s="133"/>
      <c r="KEF11" s="133"/>
      <c r="KEG11" s="133"/>
      <c r="KEH11" s="133"/>
      <c r="KEI11" s="133"/>
      <c r="KEJ11" s="133"/>
      <c r="KEK11" s="133"/>
      <c r="KEL11" s="133"/>
      <c r="KEM11" s="133"/>
      <c r="KEN11" s="133"/>
      <c r="KEO11" s="133"/>
      <c r="KEP11" s="133"/>
      <c r="KEQ11" s="133"/>
      <c r="KER11" s="133"/>
      <c r="KES11" s="133"/>
      <c r="KET11" s="133"/>
      <c r="KEU11" s="133"/>
      <c r="KEV11" s="133"/>
      <c r="KEW11" s="133"/>
      <c r="KEX11" s="133"/>
      <c r="KEY11" s="133"/>
      <c r="KEZ11" s="133"/>
      <c r="KFA11" s="133"/>
      <c r="KFB11" s="133"/>
      <c r="KFC11" s="133"/>
      <c r="KFD11" s="133"/>
      <c r="KFE11" s="133"/>
      <c r="KFF11" s="133"/>
      <c r="KFG11" s="133"/>
      <c r="KFH11" s="133"/>
      <c r="KFI11" s="133"/>
      <c r="KFJ11" s="133"/>
      <c r="KFK11" s="133"/>
      <c r="KFL11" s="133"/>
      <c r="KFM11" s="133"/>
      <c r="KFN11" s="133"/>
      <c r="KFO11" s="133"/>
      <c r="KFP11" s="133"/>
      <c r="KFQ11" s="133"/>
      <c r="KFR11" s="133"/>
      <c r="KFS11" s="133"/>
      <c r="KFT11" s="133"/>
      <c r="KFU11" s="133"/>
      <c r="KFV11" s="133"/>
      <c r="KFW11" s="133"/>
      <c r="KFX11" s="133"/>
      <c r="KFY11" s="133"/>
      <c r="KFZ11" s="133"/>
      <c r="KGA11" s="133"/>
      <c r="KGB11" s="133"/>
      <c r="KGC11" s="133"/>
      <c r="KGD11" s="133"/>
      <c r="KGE11" s="133"/>
      <c r="KGF11" s="133"/>
      <c r="KGG11" s="133"/>
      <c r="KGH11" s="133"/>
      <c r="KGI11" s="133"/>
      <c r="KGJ11" s="133"/>
      <c r="KGK11" s="133"/>
      <c r="KGL11" s="133"/>
      <c r="KGM11" s="133"/>
      <c r="KGN11" s="133"/>
      <c r="KGO11" s="133"/>
      <c r="KGP11" s="133"/>
      <c r="KGQ11" s="133"/>
      <c r="KGR11" s="133"/>
      <c r="KGS11" s="133"/>
      <c r="KGT11" s="133"/>
      <c r="KGU11" s="133"/>
      <c r="KGV11" s="133"/>
      <c r="KGW11" s="133"/>
      <c r="KGX11" s="133"/>
      <c r="KGY11" s="133"/>
      <c r="KGZ11" s="133"/>
      <c r="KHA11" s="133"/>
      <c r="KHB11" s="133"/>
      <c r="KHC11" s="133"/>
      <c r="KHD11" s="133"/>
      <c r="KHE11" s="133"/>
      <c r="KHF11" s="133"/>
      <c r="KHG11" s="133"/>
      <c r="KHH11" s="133"/>
      <c r="KHI11" s="133"/>
      <c r="KHJ11" s="133"/>
      <c r="KHK11" s="133"/>
      <c r="KHL11" s="133"/>
      <c r="KHM11" s="133"/>
      <c r="KHN11" s="133"/>
      <c r="KHO11" s="133"/>
      <c r="KHP11" s="133"/>
      <c r="KHQ11" s="133"/>
      <c r="KHR11" s="133"/>
      <c r="KHS11" s="133"/>
      <c r="KHT11" s="133"/>
      <c r="KHU11" s="133"/>
      <c r="KHV11" s="133"/>
      <c r="KHW11" s="133"/>
      <c r="KHX11" s="133"/>
      <c r="KHY11" s="133"/>
      <c r="KHZ11" s="133"/>
      <c r="KIA11" s="133"/>
      <c r="KIB11" s="133"/>
      <c r="KIC11" s="133"/>
      <c r="KID11" s="133"/>
      <c r="KIE11" s="133"/>
      <c r="KIF11" s="133"/>
      <c r="KIG11" s="133"/>
      <c r="KIH11" s="133"/>
      <c r="KII11" s="133"/>
      <c r="KIJ11" s="133"/>
      <c r="KIK11" s="133"/>
      <c r="KIL11" s="133"/>
      <c r="KIM11" s="133"/>
      <c r="KIN11" s="133"/>
      <c r="KIO11" s="133"/>
      <c r="KIP11" s="133"/>
      <c r="KIQ11" s="133"/>
      <c r="KIR11" s="133"/>
      <c r="KIS11" s="133"/>
      <c r="KIT11" s="133"/>
      <c r="KIU11" s="133"/>
      <c r="KIV11" s="133"/>
      <c r="KIW11" s="133"/>
      <c r="KIX11" s="133"/>
      <c r="KIY11" s="133"/>
      <c r="KIZ11" s="133"/>
      <c r="KJA11" s="133"/>
      <c r="KJB11" s="133"/>
      <c r="KJC11" s="133"/>
      <c r="KJD11" s="133"/>
      <c r="KJE11" s="133"/>
      <c r="KJF11" s="133"/>
      <c r="KJG11" s="133"/>
      <c r="KJH11" s="133"/>
      <c r="KJI11" s="133"/>
      <c r="KJJ11" s="133"/>
      <c r="KJK11" s="133"/>
      <c r="KJL11" s="133"/>
      <c r="KJM11" s="133"/>
      <c r="KJN11" s="133"/>
      <c r="KJO11" s="133"/>
      <c r="KJP11" s="133"/>
      <c r="KJQ11" s="133"/>
      <c r="KJR11" s="133"/>
      <c r="KJS11" s="133"/>
      <c r="KJT11" s="133"/>
      <c r="KJU11" s="133"/>
      <c r="KJV11" s="133"/>
      <c r="KJW11" s="133"/>
      <c r="KJX11" s="133"/>
      <c r="KJY11" s="133"/>
      <c r="KJZ11" s="133"/>
      <c r="KKA11" s="133"/>
      <c r="KKB11" s="133"/>
      <c r="KKC11" s="133"/>
      <c r="KKD11" s="133"/>
      <c r="KKE11" s="133"/>
      <c r="KKF11" s="133"/>
      <c r="KKG11" s="133"/>
      <c r="KKH11" s="133"/>
      <c r="KKI11" s="133"/>
      <c r="KKJ11" s="133"/>
      <c r="KKK11" s="133"/>
      <c r="KKL11" s="133"/>
      <c r="KKM11" s="133"/>
      <c r="KKN11" s="133"/>
      <c r="KKO11" s="133"/>
      <c r="KKP11" s="133"/>
      <c r="KKQ11" s="133"/>
      <c r="KKR11" s="133"/>
      <c r="KKS11" s="133"/>
      <c r="KKT11" s="133"/>
      <c r="KKU11" s="133"/>
      <c r="KKV11" s="133"/>
      <c r="KKW11" s="133"/>
      <c r="KKX11" s="133"/>
      <c r="KKY11" s="133"/>
      <c r="KKZ11" s="133"/>
      <c r="KLA11" s="133"/>
      <c r="KLB11" s="133"/>
      <c r="KLC11" s="133"/>
      <c r="KLD11" s="133"/>
      <c r="KLE11" s="133"/>
      <c r="KLF11" s="133"/>
      <c r="KLG11" s="133"/>
      <c r="KLH11" s="133"/>
      <c r="KLI11" s="133"/>
      <c r="KLJ11" s="133"/>
      <c r="KLK11" s="133"/>
      <c r="KLL11" s="133"/>
      <c r="KLM11" s="133"/>
      <c r="KLN11" s="133"/>
      <c r="KLO11" s="133"/>
      <c r="KLP11" s="133"/>
      <c r="KLQ11" s="133"/>
      <c r="KLR11" s="133"/>
      <c r="KLS11" s="133"/>
      <c r="KLT11" s="133"/>
      <c r="KLU11" s="133"/>
      <c r="KLV11" s="133"/>
      <c r="KLW11" s="133"/>
      <c r="KLX11" s="133"/>
      <c r="KLY11" s="133"/>
      <c r="KLZ11" s="133"/>
      <c r="KMA11" s="133"/>
      <c r="KMB11" s="133"/>
      <c r="KMC11" s="133"/>
      <c r="KMD11" s="133"/>
      <c r="KME11" s="133"/>
      <c r="KMF11" s="133"/>
      <c r="KMG11" s="133"/>
      <c r="KMH11" s="133"/>
      <c r="KMI11" s="133"/>
      <c r="KMJ11" s="133"/>
      <c r="KMK11" s="133"/>
      <c r="KML11" s="133"/>
      <c r="KMM11" s="133"/>
      <c r="KMN11" s="133"/>
      <c r="KMO11" s="133"/>
      <c r="KMP11" s="133"/>
      <c r="KMQ11" s="133"/>
      <c r="KMR11" s="133"/>
      <c r="KMS11" s="133"/>
      <c r="KMT11" s="133"/>
      <c r="KMU11" s="133"/>
      <c r="KMV11" s="133"/>
      <c r="KMW11" s="133"/>
      <c r="KMX11" s="133"/>
      <c r="KMY11" s="133"/>
      <c r="KMZ11" s="133"/>
      <c r="KNA11" s="133"/>
      <c r="KNB11" s="133"/>
      <c r="KNC11" s="133"/>
      <c r="KND11" s="133"/>
      <c r="KNE11" s="133"/>
      <c r="KNF11" s="133"/>
      <c r="KNG11" s="133"/>
      <c r="KNH11" s="133"/>
      <c r="KNI11" s="133"/>
      <c r="KNJ11" s="133"/>
      <c r="KNK11" s="133"/>
      <c r="KNL11" s="133"/>
      <c r="KNM11" s="133"/>
      <c r="KNN11" s="133"/>
      <c r="KNO11" s="133"/>
      <c r="KNP11" s="133"/>
      <c r="KNQ11" s="133"/>
      <c r="KNR11" s="133"/>
      <c r="KNS11" s="133"/>
      <c r="KNT11" s="133"/>
      <c r="KNU11" s="133"/>
      <c r="KNV11" s="133"/>
      <c r="KNW11" s="133"/>
      <c r="KNX11" s="133"/>
      <c r="KNY11" s="133"/>
      <c r="KNZ11" s="133"/>
      <c r="KOA11" s="133"/>
      <c r="KOB11" s="133"/>
      <c r="KOC11" s="133"/>
      <c r="KOD11" s="133"/>
      <c r="KOE11" s="133"/>
      <c r="KOF11" s="133"/>
      <c r="KOG11" s="133"/>
      <c r="KOH11" s="133"/>
      <c r="KOI11" s="133"/>
      <c r="KOJ11" s="133"/>
      <c r="KOK11" s="133"/>
      <c r="KOL11" s="133"/>
      <c r="KOM11" s="133"/>
      <c r="KON11" s="133"/>
      <c r="KOO11" s="133"/>
      <c r="KOP11" s="133"/>
      <c r="KOQ11" s="133"/>
      <c r="KOR11" s="133"/>
      <c r="KOS11" s="133"/>
      <c r="KOT11" s="133"/>
      <c r="KOU11" s="133"/>
      <c r="KOV11" s="133"/>
      <c r="KOW11" s="133"/>
      <c r="KOX11" s="133"/>
      <c r="KOY11" s="133"/>
      <c r="KOZ11" s="133"/>
      <c r="KPA11" s="133"/>
      <c r="KPB11" s="133"/>
      <c r="KPC11" s="133"/>
      <c r="KPD11" s="133"/>
      <c r="KPE11" s="133"/>
      <c r="KPF11" s="133"/>
      <c r="KPG11" s="133"/>
      <c r="KPH11" s="133"/>
      <c r="KPI11" s="133"/>
      <c r="KPJ11" s="133"/>
      <c r="KPK11" s="133"/>
      <c r="KPL11" s="133"/>
      <c r="KPM11" s="133"/>
      <c r="KPN11" s="133"/>
      <c r="KPO11" s="133"/>
      <c r="KPP11" s="133"/>
      <c r="KPQ11" s="133"/>
      <c r="KPR11" s="133"/>
      <c r="KPS11" s="133"/>
      <c r="KPT11" s="133"/>
      <c r="KPU11" s="133"/>
      <c r="KPV11" s="133"/>
      <c r="KPW11" s="133"/>
      <c r="KPX11" s="133"/>
      <c r="KPY11" s="133"/>
      <c r="KPZ11" s="133"/>
      <c r="KQA11" s="133"/>
      <c r="KQB11" s="133"/>
      <c r="KQC11" s="133"/>
      <c r="KQD11" s="133"/>
      <c r="KQE11" s="133"/>
      <c r="KQF11" s="133"/>
      <c r="KQG11" s="133"/>
      <c r="KQH11" s="133"/>
      <c r="KQI11" s="133"/>
      <c r="KQJ11" s="133"/>
      <c r="KQK11" s="133"/>
      <c r="KQL11" s="133"/>
      <c r="KQM11" s="133"/>
      <c r="KQN11" s="133"/>
      <c r="KQO11" s="133"/>
      <c r="KQP11" s="133"/>
      <c r="KQQ11" s="133"/>
      <c r="KQR11" s="133"/>
      <c r="KQS11" s="133"/>
      <c r="KQT11" s="133"/>
      <c r="KQU11" s="133"/>
      <c r="KQV11" s="133"/>
      <c r="KQW11" s="133"/>
      <c r="KQX11" s="133"/>
      <c r="KQY11" s="133"/>
      <c r="KQZ11" s="133"/>
      <c r="KRA11" s="133"/>
      <c r="KRB11" s="133"/>
      <c r="KRC11" s="133"/>
      <c r="KRD11" s="133"/>
      <c r="KRE11" s="133"/>
      <c r="KRF11" s="133"/>
      <c r="KRG11" s="133"/>
      <c r="KRH11" s="133"/>
      <c r="KRI11" s="133"/>
      <c r="KRJ11" s="133"/>
      <c r="KRK11" s="133"/>
      <c r="KRL11" s="133"/>
      <c r="KRM11" s="133"/>
      <c r="KRN11" s="133"/>
      <c r="KRO11" s="133"/>
      <c r="KRP11" s="133"/>
      <c r="KRQ11" s="133"/>
      <c r="KRR11" s="133"/>
      <c r="KRS11" s="133"/>
      <c r="KRT11" s="133"/>
      <c r="KRU11" s="133"/>
      <c r="KRV11" s="133"/>
      <c r="KRW11" s="133"/>
      <c r="KRX11" s="133"/>
      <c r="KRY11" s="133"/>
      <c r="KRZ11" s="133"/>
      <c r="KSA11" s="133"/>
      <c r="KSB11" s="133"/>
      <c r="KSC11" s="133"/>
      <c r="KSD11" s="133"/>
      <c r="KSE11" s="133"/>
      <c r="KSF11" s="133"/>
      <c r="KSG11" s="133"/>
      <c r="KSH11" s="133"/>
      <c r="KSI11" s="133"/>
      <c r="KSJ11" s="133"/>
      <c r="KSK11" s="133"/>
      <c r="KSL11" s="133"/>
      <c r="KSM11" s="133"/>
      <c r="KSN11" s="133"/>
      <c r="KSO11" s="133"/>
      <c r="KSP11" s="133"/>
      <c r="KSQ11" s="133"/>
      <c r="KSR11" s="133"/>
      <c r="KSS11" s="133"/>
      <c r="KST11" s="133"/>
      <c r="KSU11" s="133"/>
      <c r="KSV11" s="133"/>
      <c r="KSW11" s="133"/>
      <c r="KSX11" s="133"/>
      <c r="KSY11" s="133"/>
      <c r="KSZ11" s="133"/>
      <c r="KTA11" s="133"/>
      <c r="KTB11" s="133"/>
      <c r="KTC11" s="133"/>
      <c r="KTD11" s="133"/>
      <c r="KTE11" s="133"/>
      <c r="KTF11" s="133"/>
      <c r="KTG11" s="133"/>
      <c r="KTH11" s="133"/>
      <c r="KTI11" s="133"/>
      <c r="KTJ11" s="133"/>
      <c r="KTK11" s="133"/>
      <c r="KTL11" s="133"/>
      <c r="KTM11" s="133"/>
      <c r="KTN11" s="133"/>
      <c r="KTO11" s="133"/>
      <c r="KTP11" s="133"/>
      <c r="KTQ11" s="133"/>
      <c r="KTR11" s="133"/>
      <c r="KTS11" s="133"/>
      <c r="KTT11" s="133"/>
      <c r="KTU11" s="133"/>
      <c r="KTV11" s="133"/>
      <c r="KTW11" s="133"/>
      <c r="KTX11" s="133"/>
      <c r="KTY11" s="133"/>
      <c r="KTZ11" s="133"/>
      <c r="KUA11" s="133"/>
      <c r="KUB11" s="133"/>
      <c r="KUC11" s="133"/>
      <c r="KUD11" s="133"/>
      <c r="KUE11" s="133"/>
      <c r="KUF11" s="133"/>
      <c r="KUG11" s="133"/>
      <c r="KUH11" s="133"/>
      <c r="KUI11" s="133"/>
      <c r="KUJ11" s="133"/>
      <c r="KUK11" s="133"/>
      <c r="KUL11" s="133"/>
      <c r="KUM11" s="133"/>
      <c r="KUN11" s="133"/>
      <c r="KUO11" s="133"/>
      <c r="KUP11" s="133"/>
      <c r="KUQ11" s="133"/>
      <c r="KUR11" s="133"/>
      <c r="KUS11" s="133"/>
      <c r="KUT11" s="133"/>
      <c r="KUU11" s="133"/>
      <c r="KUV11" s="133"/>
      <c r="KUW11" s="133"/>
      <c r="KUX11" s="133"/>
      <c r="KUY11" s="133"/>
      <c r="KUZ11" s="133"/>
      <c r="KVA11" s="133"/>
      <c r="KVB11" s="133"/>
      <c r="KVC11" s="133"/>
      <c r="KVD11" s="133"/>
      <c r="KVE11" s="133"/>
      <c r="KVF11" s="133"/>
      <c r="KVG11" s="133"/>
      <c r="KVH11" s="133"/>
      <c r="KVI11" s="133"/>
      <c r="KVJ11" s="133"/>
      <c r="KVK11" s="133"/>
      <c r="KVL11" s="133"/>
      <c r="KVM11" s="133"/>
      <c r="KVN11" s="133"/>
      <c r="KVO11" s="133"/>
      <c r="KVP11" s="133"/>
      <c r="KVQ11" s="133"/>
      <c r="KVR11" s="133"/>
      <c r="KVS11" s="133"/>
      <c r="KVT11" s="133"/>
      <c r="KVU11" s="133"/>
      <c r="KVV11" s="133"/>
      <c r="KVW11" s="133"/>
      <c r="KVX11" s="133"/>
      <c r="KVY11" s="133"/>
      <c r="KVZ11" s="133"/>
      <c r="KWA11" s="133"/>
      <c r="KWB11" s="133"/>
      <c r="KWC11" s="133"/>
      <c r="KWD11" s="133"/>
      <c r="KWE11" s="133"/>
      <c r="KWF11" s="133"/>
      <c r="KWG11" s="133"/>
      <c r="KWH11" s="133"/>
      <c r="KWI11" s="133"/>
      <c r="KWJ11" s="133"/>
      <c r="KWK11" s="133"/>
      <c r="KWL11" s="133"/>
      <c r="KWM11" s="133"/>
      <c r="KWN11" s="133"/>
      <c r="KWO11" s="133"/>
      <c r="KWP11" s="133"/>
      <c r="KWQ11" s="133"/>
      <c r="KWR11" s="133"/>
      <c r="KWS11" s="133"/>
      <c r="KWT11" s="133"/>
      <c r="KWU11" s="133"/>
      <c r="KWV11" s="133"/>
      <c r="KWW11" s="133"/>
      <c r="KWX11" s="133"/>
      <c r="KWY11" s="133"/>
      <c r="KWZ11" s="133"/>
      <c r="KXA11" s="133"/>
      <c r="KXB11" s="133"/>
      <c r="KXC11" s="133"/>
      <c r="KXD11" s="133"/>
      <c r="KXE11" s="133"/>
      <c r="KXF11" s="133"/>
      <c r="KXG11" s="133"/>
      <c r="KXH11" s="133"/>
      <c r="KXI11" s="133"/>
      <c r="KXJ11" s="133"/>
      <c r="KXK11" s="133"/>
      <c r="KXL11" s="133"/>
      <c r="KXM11" s="133"/>
      <c r="KXN11" s="133"/>
      <c r="KXO11" s="133"/>
      <c r="KXP11" s="133"/>
      <c r="KXQ11" s="133"/>
      <c r="KXR11" s="133"/>
      <c r="KXS11" s="133"/>
      <c r="KXT11" s="133"/>
      <c r="KXU11" s="133"/>
      <c r="KXV11" s="133"/>
      <c r="KXW11" s="133"/>
      <c r="KXX11" s="133"/>
      <c r="KXY11" s="133"/>
      <c r="KXZ11" s="133"/>
      <c r="KYA11" s="133"/>
      <c r="KYB11" s="133"/>
      <c r="KYC11" s="133"/>
      <c r="KYD11" s="133"/>
      <c r="KYE11" s="133"/>
      <c r="KYF11" s="133"/>
      <c r="KYG11" s="133"/>
      <c r="KYH11" s="133"/>
      <c r="KYI11" s="133"/>
      <c r="KYJ11" s="133"/>
      <c r="KYK11" s="133"/>
      <c r="KYL11" s="133"/>
      <c r="KYM11" s="133"/>
      <c r="KYN11" s="133"/>
      <c r="KYO11" s="133"/>
      <c r="KYP11" s="133"/>
      <c r="KYQ11" s="133"/>
      <c r="KYR11" s="133"/>
      <c r="KYS11" s="133"/>
      <c r="KYT11" s="133"/>
      <c r="KYU11" s="133"/>
      <c r="KYV11" s="133"/>
      <c r="KYW11" s="133"/>
      <c r="KYX11" s="133"/>
      <c r="KYY11" s="133"/>
      <c r="KYZ11" s="133"/>
      <c r="KZA11" s="133"/>
      <c r="KZB11" s="133"/>
      <c r="KZC11" s="133"/>
      <c r="KZD11" s="133"/>
      <c r="KZE11" s="133"/>
      <c r="KZF11" s="133"/>
      <c r="KZG11" s="133"/>
      <c r="KZH11" s="133"/>
      <c r="KZI11" s="133"/>
      <c r="KZJ11" s="133"/>
      <c r="KZK11" s="133"/>
      <c r="KZL11" s="133"/>
      <c r="KZM11" s="133"/>
      <c r="KZN11" s="133"/>
      <c r="KZO11" s="133"/>
      <c r="KZP11" s="133"/>
      <c r="KZQ11" s="133"/>
      <c r="KZR11" s="133"/>
      <c r="KZS11" s="133"/>
      <c r="KZT11" s="133"/>
      <c r="KZU11" s="133"/>
      <c r="KZV11" s="133"/>
      <c r="KZW11" s="133"/>
      <c r="KZX11" s="133"/>
      <c r="KZY11" s="133"/>
      <c r="KZZ11" s="133"/>
      <c r="LAA11" s="133"/>
      <c r="LAB11" s="133"/>
      <c r="LAC11" s="133"/>
      <c r="LAD11" s="133"/>
      <c r="LAE11" s="133"/>
      <c r="LAF11" s="133"/>
      <c r="LAG11" s="133"/>
      <c r="LAH11" s="133"/>
      <c r="LAI11" s="133"/>
      <c r="LAJ11" s="133"/>
      <c r="LAK11" s="133"/>
      <c r="LAL11" s="133"/>
      <c r="LAM11" s="133"/>
      <c r="LAN11" s="133"/>
      <c r="LAO11" s="133"/>
      <c r="LAP11" s="133"/>
      <c r="LAQ11" s="133"/>
      <c r="LAR11" s="133"/>
      <c r="LAS11" s="133"/>
      <c r="LAT11" s="133"/>
      <c r="LAU11" s="133"/>
      <c r="LAV11" s="133"/>
      <c r="LAW11" s="133"/>
      <c r="LAX11" s="133"/>
      <c r="LAY11" s="133"/>
      <c r="LAZ11" s="133"/>
      <c r="LBA11" s="133"/>
      <c r="LBB11" s="133"/>
      <c r="LBC11" s="133"/>
      <c r="LBD11" s="133"/>
      <c r="LBE11" s="133"/>
      <c r="LBF11" s="133"/>
      <c r="LBG11" s="133"/>
      <c r="LBH11" s="133"/>
      <c r="LBI11" s="133"/>
      <c r="LBJ11" s="133"/>
      <c r="LBK11" s="133"/>
      <c r="LBL11" s="133"/>
      <c r="LBM11" s="133"/>
      <c r="LBN11" s="133"/>
      <c r="LBO11" s="133"/>
      <c r="LBP11" s="133"/>
      <c r="LBQ11" s="133"/>
      <c r="LCD11" s="133"/>
      <c r="LCE11" s="133"/>
      <c r="LCF11" s="133"/>
      <c r="LCG11" s="133"/>
      <c r="LCH11" s="133"/>
      <c r="LCI11" s="133"/>
      <c r="LCJ11" s="133"/>
      <c r="LCK11" s="133"/>
      <c r="LCL11" s="133"/>
      <c r="LCM11" s="133"/>
      <c r="LCN11" s="133"/>
      <c r="LCO11" s="133"/>
      <c r="LCP11" s="133"/>
      <c r="LCQ11" s="133"/>
      <c r="LCR11" s="133"/>
      <c r="LCS11" s="133"/>
      <c r="LCT11" s="133"/>
      <c r="LCU11" s="133"/>
      <c r="LCV11" s="133"/>
      <c r="LCW11" s="133"/>
      <c r="LCX11" s="133"/>
      <c r="LCY11" s="133"/>
      <c r="LCZ11" s="133"/>
      <c r="LDA11" s="133"/>
      <c r="LDB11" s="133"/>
      <c r="LDC11" s="133"/>
      <c r="LDD11" s="133"/>
      <c r="LDE11" s="133"/>
      <c r="LDF11" s="133"/>
      <c r="LDG11" s="133"/>
      <c r="LDH11" s="133"/>
      <c r="LDI11" s="133"/>
      <c r="LDJ11" s="133"/>
      <c r="LDK11" s="133"/>
      <c r="LDL11" s="133"/>
      <c r="LDM11" s="133"/>
      <c r="LDN11" s="133"/>
      <c r="LDO11" s="133"/>
      <c r="LDP11" s="133"/>
      <c r="LDQ11" s="133"/>
      <c r="LDR11" s="133"/>
      <c r="LDS11" s="133"/>
      <c r="LDT11" s="133"/>
      <c r="LDU11" s="133"/>
      <c r="LDV11" s="133"/>
      <c r="LDW11" s="133"/>
      <c r="LDX11" s="133"/>
      <c r="LDY11" s="133"/>
      <c r="LDZ11" s="133"/>
      <c r="LEA11" s="133"/>
      <c r="LEB11" s="133"/>
      <c r="LEC11" s="133"/>
      <c r="LED11" s="133"/>
      <c r="LEE11" s="133"/>
      <c r="LEF11" s="133"/>
      <c r="LEG11" s="133"/>
      <c r="LEH11" s="133"/>
      <c r="LEI11" s="133"/>
      <c r="LEJ11" s="133"/>
      <c r="LEK11" s="133"/>
      <c r="LEL11" s="133"/>
      <c r="LEM11" s="133"/>
      <c r="LEN11" s="133"/>
      <c r="LEO11" s="133"/>
      <c r="LEP11" s="133"/>
      <c r="LEQ11" s="133"/>
      <c r="LER11" s="133"/>
      <c r="LES11" s="133"/>
      <c r="LET11" s="133"/>
      <c r="LEU11" s="133"/>
      <c r="LEV11" s="133"/>
      <c r="LEW11" s="133"/>
      <c r="LEX11" s="133"/>
      <c r="LEY11" s="133"/>
      <c r="LEZ11" s="133"/>
      <c r="LFA11" s="133"/>
      <c r="LFB11" s="133"/>
      <c r="LFC11" s="133"/>
      <c r="LFD11" s="133"/>
      <c r="LFE11" s="133"/>
      <c r="LFF11" s="133"/>
      <c r="LFG11" s="133"/>
      <c r="LFH11" s="133"/>
      <c r="LFI11" s="133"/>
      <c r="LFJ11" s="133"/>
      <c r="LFK11" s="133"/>
      <c r="LFL11" s="133"/>
      <c r="LFM11" s="133"/>
      <c r="LFN11" s="133"/>
      <c r="LFO11" s="133"/>
      <c r="LFP11" s="133"/>
      <c r="LFQ11" s="133"/>
      <c r="LFR11" s="133"/>
      <c r="LFS11" s="133"/>
      <c r="LFT11" s="133"/>
      <c r="LFU11" s="133"/>
      <c r="LFV11" s="133"/>
      <c r="LFW11" s="133"/>
      <c r="LFX11" s="133"/>
      <c r="LFY11" s="133"/>
      <c r="LFZ11" s="133"/>
      <c r="LGA11" s="133"/>
      <c r="LGB11" s="133"/>
      <c r="LGC11" s="133"/>
      <c r="LGD11" s="133"/>
      <c r="LGE11" s="133"/>
      <c r="LGF11" s="133"/>
      <c r="LGG11" s="133"/>
      <c r="LGH11" s="133"/>
      <c r="LGI11" s="133"/>
      <c r="LGJ11" s="133"/>
      <c r="LGK11" s="133"/>
      <c r="LGL11" s="133"/>
      <c r="LGM11" s="133"/>
      <c r="LGN11" s="133"/>
      <c r="LGO11" s="133"/>
      <c r="LGP11" s="133"/>
      <c r="LGQ11" s="133"/>
      <c r="LGR11" s="133"/>
      <c r="LGS11" s="133"/>
      <c r="LGT11" s="133"/>
      <c r="LGU11" s="133"/>
      <c r="LGV11" s="133"/>
      <c r="LGW11" s="133"/>
      <c r="LGX11" s="133"/>
      <c r="LGY11" s="133"/>
      <c r="LGZ11" s="133"/>
      <c r="LHA11" s="133"/>
      <c r="LHB11" s="133"/>
      <c r="LHC11" s="133"/>
      <c r="LHD11" s="133"/>
      <c r="LHE11" s="133"/>
      <c r="LHF11" s="133"/>
      <c r="LHG11" s="133"/>
      <c r="LHH11" s="133"/>
      <c r="LHI11" s="133"/>
      <c r="LHJ11" s="133"/>
      <c r="LHK11" s="133"/>
      <c r="LHL11" s="133"/>
      <c r="LHM11" s="133"/>
      <c r="LHN11" s="133"/>
      <c r="LHO11" s="133"/>
      <c r="LHP11" s="133"/>
      <c r="LHQ11" s="133"/>
      <c r="LHR11" s="133"/>
      <c r="LHS11" s="133"/>
      <c r="LHT11" s="133"/>
      <c r="LHU11" s="133"/>
      <c r="LHV11" s="133"/>
      <c r="LHW11" s="133"/>
      <c r="LHX11" s="133"/>
      <c r="LHY11" s="133"/>
      <c r="LHZ11" s="133"/>
      <c r="LIA11" s="133"/>
      <c r="LIB11" s="133"/>
      <c r="LIC11" s="133"/>
      <c r="LID11" s="133"/>
      <c r="LIE11" s="133"/>
      <c r="LIF11" s="133"/>
      <c r="LIG11" s="133"/>
      <c r="LIH11" s="133"/>
      <c r="LII11" s="133"/>
      <c r="LIJ11" s="133"/>
      <c r="LIK11" s="133"/>
      <c r="LIL11" s="133"/>
      <c r="LIM11" s="133"/>
      <c r="LIN11" s="133"/>
      <c r="LIO11" s="133"/>
      <c r="LIP11" s="133"/>
      <c r="LIQ11" s="133"/>
      <c r="LIR11" s="133"/>
      <c r="LIS11" s="133"/>
      <c r="LIT11" s="133"/>
      <c r="LIU11" s="133"/>
      <c r="LIV11" s="133"/>
      <c r="LIW11" s="133"/>
      <c r="LIX11" s="133"/>
      <c r="LIY11" s="133"/>
      <c r="LIZ11" s="133"/>
      <c r="LJA11" s="133"/>
      <c r="LJB11" s="133"/>
      <c r="LJC11" s="133"/>
      <c r="LJD11" s="133"/>
      <c r="LJE11" s="133"/>
      <c r="LJF11" s="133"/>
      <c r="LJG11" s="133"/>
      <c r="LJH11" s="133"/>
      <c r="LJI11" s="133"/>
      <c r="LJJ11" s="133"/>
      <c r="LJK11" s="133"/>
      <c r="LJL11" s="133"/>
      <c r="LJM11" s="133"/>
      <c r="LJN11" s="133"/>
      <c r="LJO11" s="133"/>
      <c r="LJP11" s="133"/>
      <c r="LJQ11" s="133"/>
      <c r="LJR11" s="133"/>
      <c r="LJS11" s="133"/>
      <c r="LJT11" s="133"/>
      <c r="LJU11" s="133"/>
      <c r="LJV11" s="133"/>
      <c r="LJW11" s="133"/>
      <c r="LJX11" s="133"/>
      <c r="LJY11" s="133"/>
      <c r="LJZ11" s="133"/>
      <c r="LKA11" s="133"/>
      <c r="LKB11" s="133"/>
      <c r="LKC11" s="133"/>
      <c r="LKD11" s="133"/>
      <c r="LKE11" s="133"/>
      <c r="LKF11" s="133"/>
      <c r="LKG11" s="133"/>
      <c r="LKH11" s="133"/>
      <c r="LKI11" s="133"/>
      <c r="LKJ11" s="133"/>
      <c r="LKK11" s="133"/>
      <c r="LKL11" s="133"/>
      <c r="LKM11" s="133"/>
      <c r="LKN11" s="133"/>
      <c r="LKO11" s="133"/>
      <c r="LKP11" s="133"/>
      <c r="LKQ11" s="133"/>
      <c r="LKR11" s="133"/>
      <c r="LKS11" s="133"/>
      <c r="LKT11" s="133"/>
      <c r="LKU11" s="133"/>
      <c r="LKV11" s="133"/>
      <c r="LKW11" s="133"/>
      <c r="LKX11" s="133"/>
      <c r="LKY11" s="133"/>
      <c r="LKZ11" s="133"/>
      <c r="LLA11" s="133"/>
      <c r="LLB11" s="133"/>
      <c r="LLC11" s="133"/>
      <c r="LLD11" s="133"/>
      <c r="LLE11" s="133"/>
      <c r="LLF11" s="133"/>
      <c r="LLG11" s="133"/>
      <c r="LLH11" s="133"/>
      <c r="LLI11" s="133"/>
      <c r="LLJ11" s="133"/>
      <c r="LLK11" s="133"/>
      <c r="LLL11" s="133"/>
      <c r="LLM11" s="133"/>
      <c r="LLN11" s="133"/>
      <c r="LLO11" s="133"/>
      <c r="LLP11" s="133"/>
      <c r="LLQ11" s="133"/>
      <c r="LLR11" s="133"/>
      <c r="LLS11" s="133"/>
      <c r="LLT11" s="133"/>
      <c r="LLU11" s="133"/>
      <c r="LLV11" s="133"/>
      <c r="LLW11" s="133"/>
      <c r="LLX11" s="133"/>
      <c r="LLY11" s="133"/>
      <c r="LLZ11" s="133"/>
      <c r="LMA11" s="133"/>
      <c r="LMB11" s="133"/>
      <c r="LMC11" s="133"/>
      <c r="LMD11" s="133"/>
      <c r="LME11" s="133"/>
      <c r="LMF11" s="133"/>
      <c r="LMG11" s="133"/>
      <c r="LMH11" s="133"/>
      <c r="LMI11" s="133"/>
      <c r="LMJ11" s="133"/>
      <c r="LMK11" s="133"/>
      <c r="LML11" s="133"/>
      <c r="LMM11" s="133"/>
      <c r="LMN11" s="133"/>
      <c r="LMO11" s="133"/>
      <c r="LMP11" s="133"/>
      <c r="LMQ11" s="133"/>
      <c r="LMR11" s="133"/>
      <c r="LMS11" s="133"/>
      <c r="LMT11" s="133"/>
      <c r="LMU11" s="133"/>
      <c r="LMV11" s="133"/>
      <c r="LMW11" s="133"/>
      <c r="LMX11" s="133"/>
      <c r="LMY11" s="133"/>
      <c r="LMZ11" s="133"/>
      <c r="LNA11" s="133"/>
      <c r="LNB11" s="133"/>
      <c r="LNC11" s="133"/>
      <c r="LND11" s="133"/>
      <c r="LNE11" s="133"/>
      <c r="LNF11" s="133"/>
      <c r="LNG11" s="133"/>
      <c r="LNH11" s="133"/>
      <c r="LNI11" s="133"/>
      <c r="LNJ11" s="133"/>
      <c r="LNK11" s="133"/>
      <c r="LNL11" s="133"/>
      <c r="LNM11" s="133"/>
      <c r="LNN11" s="133"/>
      <c r="LNO11" s="133"/>
      <c r="LNP11" s="133"/>
      <c r="LNQ11" s="133"/>
      <c r="LNR11" s="133"/>
      <c r="LNS11" s="133"/>
      <c r="LNT11" s="133"/>
      <c r="LNU11" s="133"/>
      <c r="LNV11" s="133"/>
      <c r="LNW11" s="133"/>
      <c r="LNX11" s="133"/>
      <c r="LNY11" s="133"/>
      <c r="LNZ11" s="133"/>
      <c r="LOA11" s="133"/>
      <c r="LOB11" s="133"/>
      <c r="LOC11" s="133"/>
      <c r="LOD11" s="133"/>
      <c r="LOE11" s="133"/>
      <c r="LOF11" s="133"/>
      <c r="LOG11" s="133"/>
      <c r="LOH11" s="133"/>
      <c r="LOI11" s="133"/>
      <c r="LOJ11" s="133"/>
      <c r="LOK11" s="133"/>
      <c r="LOL11" s="133"/>
      <c r="LOM11" s="133"/>
      <c r="LON11" s="133"/>
      <c r="LOO11" s="133"/>
      <c r="LOP11" s="133"/>
      <c r="LOQ11" s="133"/>
      <c r="LOR11" s="133"/>
      <c r="LOS11" s="133"/>
      <c r="LOT11" s="133"/>
      <c r="LOU11" s="133"/>
      <c r="LOV11" s="133"/>
      <c r="LOW11" s="133"/>
      <c r="LOX11" s="133"/>
      <c r="LOY11" s="133"/>
      <c r="LOZ11" s="133"/>
      <c r="LPA11" s="133"/>
      <c r="LPB11" s="133"/>
      <c r="LPC11" s="133"/>
      <c r="LPD11" s="133"/>
      <c r="LPE11" s="133"/>
      <c r="LPF11" s="133"/>
      <c r="LPG11" s="133"/>
      <c r="LPH11" s="133"/>
      <c r="LPI11" s="133"/>
      <c r="LPJ11" s="133"/>
      <c r="LPK11" s="133"/>
      <c r="LPL11" s="133"/>
      <c r="LPM11" s="133"/>
      <c r="LPN11" s="133"/>
      <c r="LPO11" s="133"/>
      <c r="LPP11" s="133"/>
      <c r="LPQ11" s="133"/>
      <c r="LPR11" s="133"/>
      <c r="LPS11" s="133"/>
      <c r="LPT11" s="133"/>
      <c r="LPU11" s="133"/>
      <c r="LPV11" s="133"/>
      <c r="LPW11" s="133"/>
      <c r="LPX11" s="133"/>
      <c r="LPY11" s="133"/>
      <c r="LPZ11" s="133"/>
      <c r="LQA11" s="133"/>
      <c r="LQB11" s="133"/>
      <c r="LQC11" s="133"/>
      <c r="LQD11" s="133"/>
      <c r="LQE11" s="133"/>
      <c r="LQF11" s="133"/>
      <c r="LQG11" s="133"/>
      <c r="LQH11" s="133"/>
      <c r="LQI11" s="133"/>
      <c r="LQJ11" s="133"/>
      <c r="LQK11" s="133"/>
      <c r="LQL11" s="133"/>
      <c r="LQM11" s="133"/>
      <c r="LQN11" s="133"/>
      <c r="LQO11" s="133"/>
      <c r="LQP11" s="133"/>
      <c r="LQQ11" s="133"/>
      <c r="LQR11" s="133"/>
      <c r="LQS11" s="133"/>
      <c r="LQT11" s="133"/>
      <c r="LQU11" s="133"/>
      <c r="LQV11" s="133"/>
      <c r="LQW11" s="133"/>
      <c r="LQX11" s="133"/>
      <c r="LQY11" s="133"/>
      <c r="LQZ11" s="133"/>
      <c r="LRA11" s="133"/>
      <c r="LRB11" s="133"/>
      <c r="LRC11" s="133"/>
      <c r="LRD11" s="133"/>
      <c r="LRE11" s="133"/>
      <c r="LRF11" s="133"/>
      <c r="LRG11" s="133"/>
      <c r="LRH11" s="133"/>
      <c r="LRI11" s="133"/>
      <c r="LRJ11" s="133"/>
      <c r="LRK11" s="133"/>
      <c r="LRL11" s="133"/>
      <c r="LRM11" s="133"/>
      <c r="LRN11" s="133"/>
      <c r="LRO11" s="133"/>
      <c r="LRP11" s="133"/>
      <c r="LRQ11" s="133"/>
      <c r="LRR11" s="133"/>
      <c r="LRS11" s="133"/>
      <c r="LRT11" s="133"/>
      <c r="LRU11" s="133"/>
      <c r="LRV11" s="133"/>
      <c r="LRW11" s="133"/>
      <c r="LRX11" s="133"/>
      <c r="LRY11" s="133"/>
      <c r="LRZ11" s="133"/>
      <c r="LSA11" s="133"/>
      <c r="LSB11" s="133"/>
      <c r="LSC11" s="133"/>
      <c r="LSD11" s="133"/>
      <c r="LSE11" s="133"/>
      <c r="LSF11" s="133"/>
      <c r="LSG11" s="133"/>
      <c r="LSH11" s="133"/>
      <c r="LSI11" s="133"/>
      <c r="LSJ11" s="133"/>
      <c r="LSK11" s="133"/>
      <c r="LSL11" s="133"/>
      <c r="LSM11" s="133"/>
      <c r="LSN11" s="133"/>
      <c r="LSO11" s="133"/>
      <c r="LSP11" s="133"/>
      <c r="LSQ11" s="133"/>
      <c r="LSR11" s="133"/>
      <c r="LSS11" s="133"/>
      <c r="LST11" s="133"/>
      <c r="LSU11" s="133"/>
      <c r="LSV11" s="133"/>
      <c r="LSW11" s="133"/>
      <c r="LSX11" s="133"/>
      <c r="LSY11" s="133"/>
      <c r="LSZ11" s="133"/>
      <c r="LTA11" s="133"/>
      <c r="LTB11" s="133"/>
      <c r="LTC11" s="133"/>
      <c r="LTD11" s="133"/>
      <c r="LTE11" s="133"/>
      <c r="LTF11" s="133"/>
      <c r="LTG11" s="133"/>
      <c r="LTH11" s="133"/>
      <c r="LTI11" s="133"/>
      <c r="LTJ11" s="133"/>
      <c r="LTK11" s="133"/>
      <c r="LTL11" s="133"/>
      <c r="LTM11" s="133"/>
      <c r="LTN11" s="133"/>
      <c r="LTO11" s="133"/>
      <c r="LTP11" s="133"/>
      <c r="LTQ11" s="133"/>
      <c r="LTR11" s="133"/>
      <c r="LTS11" s="133"/>
      <c r="LTT11" s="133"/>
      <c r="LTU11" s="133"/>
      <c r="LTV11" s="133"/>
      <c r="LTW11" s="133"/>
      <c r="LTX11" s="133"/>
      <c r="LTY11" s="133"/>
      <c r="LTZ11" s="133"/>
      <c r="LUA11" s="133"/>
      <c r="LUB11" s="133"/>
      <c r="LUC11" s="133"/>
      <c r="LUD11" s="133"/>
      <c r="LUE11" s="133"/>
      <c r="LUF11" s="133"/>
      <c r="LUG11" s="133"/>
      <c r="LUH11" s="133"/>
      <c r="LUI11" s="133"/>
      <c r="LUJ11" s="133"/>
      <c r="LUK11" s="133"/>
      <c r="LUL11" s="133"/>
      <c r="LUM11" s="133"/>
      <c r="LUN11" s="133"/>
      <c r="LUO11" s="133"/>
      <c r="LUP11" s="133"/>
      <c r="LUQ11" s="133"/>
      <c r="LUR11" s="133"/>
      <c r="LUS11" s="133"/>
      <c r="LUT11" s="133"/>
      <c r="LUU11" s="133"/>
      <c r="LUV11" s="133"/>
      <c r="LUW11" s="133"/>
      <c r="LUX11" s="133"/>
      <c r="LUY11" s="133"/>
      <c r="LUZ11" s="133"/>
      <c r="LVA11" s="133"/>
      <c r="LVB11" s="133"/>
      <c r="LVC11" s="133"/>
      <c r="LVD11" s="133"/>
      <c r="LVE11" s="133"/>
      <c r="LVF11" s="133"/>
      <c r="LVG11" s="133"/>
      <c r="LVH11" s="133"/>
      <c r="LVI11" s="133"/>
      <c r="LVJ11" s="133"/>
      <c r="LVK11" s="133"/>
      <c r="LVL11" s="133"/>
      <c r="LVM11" s="133"/>
      <c r="LVN11" s="133"/>
      <c r="LVO11" s="133"/>
      <c r="LVP11" s="133"/>
      <c r="LVQ11" s="133"/>
      <c r="LVR11" s="133"/>
      <c r="LVS11" s="133"/>
      <c r="LVT11" s="133"/>
      <c r="LVU11" s="133"/>
      <c r="LVV11" s="133"/>
      <c r="LVW11" s="133"/>
      <c r="LVX11" s="133"/>
      <c r="LVY11" s="133"/>
      <c r="LVZ11" s="133"/>
      <c r="LWA11" s="133"/>
      <c r="LWB11" s="133"/>
      <c r="LWC11" s="133"/>
      <c r="LWD11" s="133"/>
      <c r="LWE11" s="133"/>
      <c r="LWF11" s="133"/>
      <c r="LWG11" s="133"/>
      <c r="LWH11" s="133"/>
      <c r="LWI11" s="133"/>
      <c r="LWJ11" s="133"/>
      <c r="LWK11" s="133"/>
      <c r="LWL11" s="133"/>
      <c r="LWM11" s="133"/>
      <c r="LWN11" s="133"/>
      <c r="LWO11" s="133"/>
      <c r="LWP11" s="133"/>
      <c r="LWQ11" s="133"/>
      <c r="LWR11" s="133"/>
      <c r="LWS11" s="133"/>
      <c r="LWT11" s="133"/>
      <c r="LWU11" s="133"/>
      <c r="LWV11" s="133"/>
      <c r="LWW11" s="133"/>
      <c r="LWX11" s="133"/>
      <c r="LWY11" s="133"/>
      <c r="LWZ11" s="133"/>
      <c r="LXA11" s="133"/>
      <c r="LXB11" s="133"/>
      <c r="LXC11" s="133"/>
      <c r="LXD11" s="133"/>
      <c r="LXE11" s="133"/>
      <c r="LXF11" s="133"/>
      <c r="LXG11" s="133"/>
      <c r="LXH11" s="133"/>
      <c r="LXI11" s="133"/>
      <c r="LXJ11" s="133"/>
      <c r="LXK11" s="133"/>
      <c r="LXL11" s="133"/>
      <c r="LXM11" s="133"/>
      <c r="LXN11" s="133"/>
      <c r="LXO11" s="133"/>
      <c r="LXP11" s="133"/>
      <c r="LXQ11" s="133"/>
      <c r="LXR11" s="133"/>
      <c r="LXS11" s="133"/>
      <c r="LXT11" s="133"/>
      <c r="LXU11" s="133"/>
      <c r="LXV11" s="133"/>
      <c r="LXW11" s="133"/>
      <c r="LXX11" s="133"/>
      <c r="LXY11" s="133"/>
      <c r="LXZ11" s="133"/>
      <c r="LYA11" s="133"/>
      <c r="LYB11" s="133"/>
      <c r="LYC11" s="133"/>
      <c r="LYD11" s="133"/>
      <c r="LYE11" s="133"/>
      <c r="LYF11" s="133"/>
      <c r="LYG11" s="133"/>
      <c r="LYH11" s="133"/>
      <c r="LYI11" s="133"/>
      <c r="LYJ11" s="133"/>
      <c r="LYK11" s="133"/>
      <c r="LYL11" s="133"/>
      <c r="LYM11" s="133"/>
      <c r="LYN11" s="133"/>
      <c r="LYO11" s="133"/>
      <c r="LYP11" s="133"/>
      <c r="LYQ11" s="133"/>
      <c r="LYR11" s="133"/>
      <c r="LYS11" s="133"/>
      <c r="LYT11" s="133"/>
      <c r="LYU11" s="133"/>
      <c r="LYV11" s="133"/>
      <c r="LYW11" s="133"/>
      <c r="LYX11" s="133"/>
      <c r="LYY11" s="133"/>
      <c r="LYZ11" s="133"/>
      <c r="LZA11" s="133"/>
      <c r="LZB11" s="133"/>
      <c r="LZC11" s="133"/>
      <c r="LZD11" s="133"/>
      <c r="LZE11" s="133"/>
      <c r="LZF11" s="133"/>
      <c r="LZG11" s="133"/>
      <c r="LZH11" s="133"/>
      <c r="LZI11" s="133"/>
      <c r="LZJ11" s="133"/>
      <c r="LZK11" s="133"/>
      <c r="LZL11" s="133"/>
      <c r="LZM11" s="133"/>
      <c r="LZN11" s="133"/>
      <c r="LZO11" s="133"/>
      <c r="LZP11" s="133"/>
      <c r="LZQ11" s="133"/>
      <c r="LZR11" s="133"/>
      <c r="LZS11" s="133"/>
      <c r="LZT11" s="133"/>
      <c r="LZU11" s="133"/>
      <c r="LZV11" s="133"/>
      <c r="LZW11" s="133"/>
      <c r="LZX11" s="133"/>
      <c r="LZY11" s="133"/>
      <c r="LZZ11" s="133"/>
      <c r="MAA11" s="133"/>
      <c r="MAB11" s="133"/>
      <c r="MAC11" s="133"/>
      <c r="MAD11" s="133"/>
      <c r="MAE11" s="133"/>
      <c r="MAF11" s="133"/>
      <c r="MAG11" s="133"/>
      <c r="MAH11" s="133"/>
      <c r="MAI11" s="133"/>
      <c r="MAJ11" s="133"/>
      <c r="MAK11" s="133"/>
      <c r="MAL11" s="133"/>
      <c r="MAM11" s="133"/>
      <c r="MAN11" s="133"/>
      <c r="MAO11" s="133"/>
      <c r="MAP11" s="133"/>
      <c r="MAQ11" s="133"/>
      <c r="MAR11" s="133"/>
      <c r="MAS11" s="133"/>
      <c r="MAT11" s="133"/>
      <c r="MAU11" s="133"/>
      <c r="MAV11" s="133"/>
      <c r="MAW11" s="133"/>
      <c r="MAX11" s="133"/>
      <c r="MAY11" s="133"/>
      <c r="MAZ11" s="133"/>
      <c r="MBA11" s="133"/>
      <c r="MBB11" s="133"/>
      <c r="MBC11" s="133"/>
      <c r="MBD11" s="133"/>
      <c r="MBE11" s="133"/>
      <c r="MBF11" s="133"/>
      <c r="MBG11" s="133"/>
      <c r="MBH11" s="133"/>
      <c r="MBI11" s="133"/>
      <c r="MBJ11" s="133"/>
      <c r="MBK11" s="133"/>
      <c r="MBL11" s="133"/>
      <c r="MBM11" s="133"/>
      <c r="MBN11" s="133"/>
      <c r="MBO11" s="133"/>
      <c r="MBP11" s="133"/>
      <c r="MBQ11" s="133"/>
      <c r="MBR11" s="133"/>
      <c r="MBS11" s="133"/>
      <c r="MBT11" s="133"/>
      <c r="MBU11" s="133"/>
      <c r="MBV11" s="133"/>
      <c r="MBW11" s="133"/>
      <c r="MBX11" s="133"/>
      <c r="MBY11" s="133"/>
      <c r="MBZ11" s="133"/>
      <c r="MCA11" s="133"/>
      <c r="MCB11" s="133"/>
      <c r="MCC11" s="133"/>
      <c r="MCD11" s="133"/>
      <c r="MCE11" s="133"/>
      <c r="MCF11" s="133"/>
      <c r="MCG11" s="133"/>
      <c r="MCH11" s="133"/>
      <c r="MCI11" s="133"/>
      <c r="MCJ11" s="133"/>
      <c r="MCK11" s="133"/>
      <c r="MCL11" s="133"/>
      <c r="MCM11" s="133"/>
      <c r="MCN11" s="133"/>
      <c r="MCO11" s="133"/>
      <c r="MCP11" s="133"/>
      <c r="MCQ11" s="133"/>
      <c r="MCR11" s="133"/>
      <c r="MCS11" s="133"/>
      <c r="MCT11" s="133"/>
      <c r="MCU11" s="133"/>
      <c r="MCV11" s="133"/>
      <c r="MCW11" s="133"/>
      <c r="MCX11" s="133"/>
      <c r="MCY11" s="133"/>
      <c r="MCZ11" s="133"/>
      <c r="MDA11" s="133"/>
      <c r="MDB11" s="133"/>
      <c r="MDC11" s="133"/>
      <c r="MDD11" s="133"/>
      <c r="MDE11" s="133"/>
      <c r="MDF11" s="133"/>
      <c r="MDG11" s="133"/>
      <c r="MDH11" s="133"/>
      <c r="MDI11" s="133"/>
      <c r="MDJ11" s="133"/>
      <c r="MDK11" s="133"/>
      <c r="MDL11" s="133"/>
      <c r="MDM11" s="133"/>
      <c r="MDN11" s="133"/>
      <c r="MDO11" s="133"/>
      <c r="MDP11" s="133"/>
      <c r="MDQ11" s="133"/>
      <c r="MDR11" s="133"/>
      <c r="MDS11" s="133"/>
      <c r="MDT11" s="133"/>
      <c r="MDU11" s="133"/>
      <c r="MDV11" s="133"/>
      <c r="MDW11" s="133"/>
      <c r="MDX11" s="133"/>
      <c r="MDY11" s="133"/>
      <c r="MDZ11" s="133"/>
      <c r="MEA11" s="133"/>
      <c r="MEB11" s="133"/>
      <c r="MEC11" s="133"/>
      <c r="MED11" s="133"/>
      <c r="MEE11" s="133"/>
      <c r="MEF11" s="133"/>
      <c r="MEG11" s="133"/>
      <c r="MEH11" s="133"/>
      <c r="MEI11" s="133"/>
      <c r="MEJ11" s="133"/>
      <c r="MEK11" s="133"/>
      <c r="MEL11" s="133"/>
      <c r="MEM11" s="133"/>
      <c r="MEN11" s="133"/>
      <c r="MEO11" s="133"/>
      <c r="MEP11" s="133"/>
      <c r="MEQ11" s="133"/>
      <c r="MER11" s="133"/>
      <c r="MES11" s="133"/>
      <c r="MET11" s="133"/>
      <c r="MEU11" s="133"/>
      <c r="MEV11" s="133"/>
      <c r="MEW11" s="133"/>
      <c r="MEX11" s="133"/>
      <c r="MEY11" s="133"/>
      <c r="MEZ11" s="133"/>
      <c r="MFA11" s="133"/>
      <c r="MFB11" s="133"/>
      <c r="MFC11" s="133"/>
      <c r="MFD11" s="133"/>
      <c r="MFE11" s="133"/>
      <c r="MFF11" s="133"/>
      <c r="MFG11" s="133"/>
      <c r="MFH11" s="133"/>
      <c r="MFI11" s="133"/>
      <c r="MFJ11" s="133"/>
      <c r="MFK11" s="133"/>
      <c r="MFL11" s="133"/>
      <c r="MFM11" s="133"/>
      <c r="MFN11" s="133"/>
      <c r="MFO11" s="133"/>
      <c r="MFP11" s="133"/>
      <c r="MFQ11" s="133"/>
      <c r="MFR11" s="133"/>
      <c r="MFS11" s="133"/>
      <c r="MFT11" s="133"/>
      <c r="MFU11" s="133"/>
      <c r="MFV11" s="133"/>
      <c r="MFW11" s="133"/>
      <c r="MFX11" s="133"/>
      <c r="MFY11" s="133"/>
      <c r="MFZ11" s="133"/>
      <c r="MGA11" s="133"/>
      <c r="MGB11" s="133"/>
      <c r="MGC11" s="133"/>
      <c r="MGD11" s="133"/>
      <c r="MGE11" s="133"/>
      <c r="MGF11" s="133"/>
      <c r="MGG11" s="133"/>
      <c r="MGH11" s="133"/>
      <c r="MGI11" s="133"/>
      <c r="MGJ11" s="133"/>
      <c r="MGK11" s="133"/>
      <c r="MGL11" s="133"/>
      <c r="MGM11" s="133"/>
      <c r="MGN11" s="133"/>
      <c r="MGO11" s="133"/>
      <c r="MGP11" s="133"/>
      <c r="MGQ11" s="133"/>
      <c r="MGR11" s="133"/>
      <c r="MGS11" s="133"/>
      <c r="MGT11" s="133"/>
      <c r="MGU11" s="133"/>
      <c r="MGV11" s="133"/>
      <c r="MGW11" s="133"/>
      <c r="MGX11" s="133"/>
      <c r="MGY11" s="133"/>
      <c r="MGZ11" s="133"/>
      <c r="MHA11" s="133"/>
      <c r="MHB11" s="133"/>
      <c r="MHC11" s="133"/>
      <c r="MHD11" s="133"/>
      <c r="MHE11" s="133"/>
      <c r="MHF11" s="133"/>
      <c r="MHG11" s="133"/>
      <c r="MHH11" s="133"/>
      <c r="MHI11" s="133"/>
      <c r="MHJ11" s="133"/>
      <c r="MHK11" s="133"/>
      <c r="MHL11" s="133"/>
      <c r="MHM11" s="133"/>
      <c r="MHN11" s="133"/>
      <c r="MHO11" s="133"/>
      <c r="MHP11" s="133"/>
      <c r="MHQ11" s="133"/>
      <c r="MHR11" s="133"/>
      <c r="MHS11" s="133"/>
      <c r="MHT11" s="133"/>
      <c r="MHU11" s="133"/>
      <c r="MHV11" s="133"/>
      <c r="MHW11" s="133"/>
      <c r="MHX11" s="133"/>
      <c r="MHY11" s="133"/>
      <c r="MHZ11" s="133"/>
      <c r="MIA11" s="133"/>
      <c r="MIB11" s="133"/>
      <c r="MIC11" s="133"/>
      <c r="MID11" s="133"/>
      <c r="MIE11" s="133"/>
      <c r="MIF11" s="133"/>
      <c r="MIG11" s="133"/>
      <c r="MIH11" s="133"/>
      <c r="MII11" s="133"/>
      <c r="MIJ11" s="133"/>
      <c r="MIK11" s="133"/>
      <c r="MIL11" s="133"/>
      <c r="MIM11" s="133"/>
      <c r="MIN11" s="133"/>
      <c r="MIO11" s="133"/>
      <c r="MIP11" s="133"/>
      <c r="MIQ11" s="133"/>
      <c r="MIR11" s="133"/>
      <c r="MIS11" s="133"/>
      <c r="MIT11" s="133"/>
      <c r="MIU11" s="133"/>
      <c r="MIV11" s="133"/>
      <c r="MIW11" s="133"/>
      <c r="MIX11" s="133"/>
      <c r="MIY11" s="133"/>
      <c r="MIZ11" s="133"/>
      <c r="MJA11" s="133"/>
      <c r="MJB11" s="133"/>
      <c r="MJC11" s="133"/>
      <c r="MJD11" s="133"/>
      <c r="MJE11" s="133"/>
      <c r="MJF11" s="133"/>
      <c r="MJG11" s="133"/>
      <c r="MJH11" s="133"/>
      <c r="MJI11" s="133"/>
      <c r="MJJ11" s="133"/>
      <c r="MJK11" s="133"/>
      <c r="MJL11" s="133"/>
      <c r="MJM11" s="133"/>
      <c r="MJN11" s="133"/>
      <c r="MJO11" s="133"/>
      <c r="MJP11" s="133"/>
      <c r="MJQ11" s="133"/>
      <c r="MJR11" s="133"/>
      <c r="MJS11" s="133"/>
      <c r="MJT11" s="133"/>
      <c r="MJU11" s="133"/>
      <c r="MJV11" s="133"/>
      <c r="MJW11" s="133"/>
      <c r="MJX11" s="133"/>
      <c r="MJY11" s="133"/>
      <c r="MJZ11" s="133"/>
      <c r="MKA11" s="133"/>
      <c r="MKB11" s="133"/>
      <c r="MKC11" s="133"/>
      <c r="MKD11" s="133"/>
      <c r="MKE11" s="133"/>
      <c r="MKF11" s="133"/>
      <c r="MKG11" s="133"/>
      <c r="MKH11" s="133"/>
      <c r="MKI11" s="133"/>
      <c r="MKJ11" s="133"/>
      <c r="MKK11" s="133"/>
      <c r="MKL11" s="133"/>
      <c r="MKM11" s="133"/>
      <c r="MKN11" s="133"/>
      <c r="MKO11" s="133"/>
      <c r="MKP11" s="133"/>
      <c r="MKQ11" s="133"/>
      <c r="MKR11" s="133"/>
      <c r="MKS11" s="133"/>
      <c r="MKT11" s="133"/>
      <c r="MKU11" s="133"/>
      <c r="MKV11" s="133"/>
      <c r="MKW11" s="133"/>
      <c r="MKX11" s="133"/>
      <c r="MKY11" s="133"/>
      <c r="MKZ11" s="133"/>
      <c r="MLA11" s="133"/>
      <c r="MLB11" s="133"/>
      <c r="MLC11" s="133"/>
      <c r="MLD11" s="133"/>
      <c r="MLE11" s="133"/>
      <c r="MLF11" s="133"/>
      <c r="MLG11" s="133"/>
      <c r="MLH11" s="133"/>
      <c r="MLI11" s="133"/>
      <c r="MLJ11" s="133"/>
      <c r="MLK11" s="133"/>
      <c r="MLL11" s="133"/>
      <c r="MLM11" s="133"/>
      <c r="MLN11" s="133"/>
      <c r="MLO11" s="133"/>
      <c r="MLP11" s="133"/>
      <c r="MLQ11" s="133"/>
      <c r="MLR11" s="133"/>
      <c r="MLS11" s="133"/>
      <c r="MLT11" s="133"/>
      <c r="MLU11" s="133"/>
      <c r="MLV11" s="133"/>
      <c r="MLW11" s="133"/>
      <c r="MLX11" s="133"/>
      <c r="MLY11" s="133"/>
      <c r="MLZ11" s="133"/>
      <c r="MMA11" s="133"/>
      <c r="MMB11" s="133"/>
      <c r="MMC11" s="133"/>
      <c r="MMD11" s="133"/>
      <c r="MME11" s="133"/>
      <c r="MMF11" s="133"/>
      <c r="MMG11" s="133"/>
      <c r="MMH11" s="133"/>
      <c r="MMI11" s="133"/>
      <c r="MMJ11" s="133"/>
      <c r="MMK11" s="133"/>
      <c r="MML11" s="133"/>
      <c r="MMM11" s="133"/>
      <c r="MMN11" s="133"/>
      <c r="MMO11" s="133"/>
      <c r="MMP11" s="133"/>
      <c r="MMQ11" s="133"/>
      <c r="MMR11" s="133"/>
      <c r="MMS11" s="133"/>
      <c r="MMT11" s="133"/>
      <c r="MMU11" s="133"/>
      <c r="MMV11" s="133"/>
      <c r="MMW11" s="133"/>
      <c r="MMX11" s="133"/>
      <c r="MMY11" s="133"/>
      <c r="MMZ11" s="133"/>
      <c r="MNA11" s="133"/>
      <c r="MNB11" s="133"/>
      <c r="MNC11" s="133"/>
      <c r="MND11" s="133"/>
      <c r="MNE11" s="133"/>
      <c r="MNF11" s="133"/>
      <c r="MNG11" s="133"/>
      <c r="MNH11" s="133"/>
      <c r="MNI11" s="133"/>
      <c r="MNJ11" s="133"/>
      <c r="MNK11" s="133"/>
      <c r="MNL11" s="133"/>
      <c r="MNM11" s="133"/>
      <c r="MNN11" s="133"/>
      <c r="MNO11" s="133"/>
      <c r="MNP11" s="133"/>
      <c r="MNQ11" s="133"/>
      <c r="MNR11" s="133"/>
      <c r="MNS11" s="133"/>
      <c r="MNT11" s="133"/>
      <c r="MNU11" s="133"/>
      <c r="MNV11" s="133"/>
      <c r="MNW11" s="133"/>
      <c r="MNX11" s="133"/>
      <c r="MNY11" s="133"/>
      <c r="MNZ11" s="133"/>
      <c r="MOA11" s="133"/>
      <c r="MOB11" s="133"/>
      <c r="MOC11" s="133"/>
      <c r="MOD11" s="133"/>
      <c r="MOE11" s="133"/>
      <c r="MOF11" s="133"/>
      <c r="MOG11" s="133"/>
      <c r="MOH11" s="133"/>
      <c r="MOI11" s="133"/>
      <c r="MOJ11" s="133"/>
      <c r="MOK11" s="133"/>
      <c r="MOL11" s="133"/>
      <c r="MOM11" s="133"/>
      <c r="MON11" s="133"/>
      <c r="MOO11" s="133"/>
      <c r="MOP11" s="133"/>
      <c r="MOQ11" s="133"/>
      <c r="MOR11" s="133"/>
      <c r="MOS11" s="133"/>
      <c r="MOT11" s="133"/>
      <c r="MOU11" s="133"/>
      <c r="MOV11" s="133"/>
      <c r="MOW11" s="133"/>
      <c r="MOX11" s="133"/>
      <c r="MOY11" s="133"/>
      <c r="MOZ11" s="133"/>
      <c r="MPA11" s="133"/>
      <c r="MPN11" s="133"/>
      <c r="MPO11" s="133"/>
      <c r="MPP11" s="133"/>
      <c r="MPQ11" s="133"/>
      <c r="MPR11" s="133"/>
      <c r="MPS11" s="133"/>
      <c r="MPT11" s="133"/>
      <c r="MPU11" s="133"/>
      <c r="MPV11" s="133"/>
      <c r="MPW11" s="133"/>
      <c r="MPX11" s="133"/>
      <c r="MPY11" s="133"/>
      <c r="MPZ11" s="133"/>
      <c r="MQA11" s="133"/>
      <c r="MQB11" s="133"/>
      <c r="MQC11" s="133"/>
      <c r="MQD11" s="133"/>
      <c r="MQE11" s="133"/>
      <c r="MQF11" s="133"/>
      <c r="MQG11" s="133"/>
      <c r="MQH11" s="133"/>
      <c r="MQI11" s="133"/>
      <c r="MQJ11" s="133"/>
      <c r="MQK11" s="133"/>
      <c r="MQL11" s="133"/>
      <c r="MQM11" s="133"/>
      <c r="MQN11" s="133"/>
      <c r="MQO11" s="133"/>
      <c r="MQP11" s="133"/>
      <c r="MQQ11" s="133"/>
      <c r="MQR11" s="133"/>
      <c r="MQS11" s="133"/>
      <c r="MQT11" s="133"/>
      <c r="MQU11" s="133"/>
      <c r="MQV11" s="133"/>
      <c r="MQW11" s="133"/>
      <c r="MQX11" s="133"/>
      <c r="MQY11" s="133"/>
      <c r="MQZ11" s="133"/>
      <c r="MRA11" s="133"/>
      <c r="MRB11" s="133"/>
      <c r="MRC11" s="133"/>
      <c r="MRD11" s="133"/>
      <c r="MRE11" s="133"/>
      <c r="MRF11" s="133"/>
      <c r="MRG11" s="133"/>
      <c r="MRH11" s="133"/>
      <c r="MRI11" s="133"/>
      <c r="MRJ11" s="133"/>
      <c r="MRK11" s="133"/>
      <c r="MRL11" s="133"/>
      <c r="MRM11" s="133"/>
      <c r="MRN11" s="133"/>
      <c r="MRO11" s="133"/>
      <c r="MRP11" s="133"/>
      <c r="MRQ11" s="133"/>
      <c r="MRR11" s="133"/>
      <c r="MRS11" s="133"/>
      <c r="MRT11" s="133"/>
      <c r="MRU11" s="133"/>
      <c r="MRV11" s="133"/>
      <c r="MRW11" s="133"/>
      <c r="MRX11" s="133"/>
      <c r="MRY11" s="133"/>
      <c r="MRZ11" s="133"/>
      <c r="MSA11" s="133"/>
      <c r="MSB11" s="133"/>
      <c r="MSC11" s="133"/>
      <c r="MSD11" s="133"/>
      <c r="MSE11" s="133"/>
      <c r="MSF11" s="133"/>
      <c r="MSG11" s="133"/>
      <c r="MSH11" s="133"/>
      <c r="MSI11" s="133"/>
      <c r="MSJ11" s="133"/>
      <c r="MSK11" s="133"/>
      <c r="MSL11" s="133"/>
      <c r="MSM11" s="133"/>
      <c r="MSN11" s="133"/>
      <c r="MSO11" s="133"/>
      <c r="MSP11" s="133"/>
      <c r="MSQ11" s="133"/>
      <c r="MSR11" s="133"/>
      <c r="MSS11" s="133"/>
      <c r="MST11" s="133"/>
      <c r="MSU11" s="133"/>
      <c r="MSV11" s="133"/>
      <c r="MSW11" s="133"/>
      <c r="MSX11" s="133"/>
      <c r="MSY11" s="133"/>
      <c r="MSZ11" s="133"/>
      <c r="MTA11" s="133"/>
      <c r="MTB11" s="133"/>
      <c r="MTC11" s="133"/>
      <c r="MTD11" s="133"/>
      <c r="MTE11" s="133"/>
      <c r="MTF11" s="133"/>
      <c r="MTG11" s="133"/>
      <c r="MTH11" s="133"/>
      <c r="MTI11" s="133"/>
      <c r="MTJ11" s="133"/>
      <c r="MTK11" s="133"/>
      <c r="MTL11" s="133"/>
      <c r="MTM11" s="133"/>
      <c r="MTN11" s="133"/>
      <c r="MTO11" s="133"/>
      <c r="MTP11" s="133"/>
      <c r="MTQ11" s="133"/>
      <c r="MTR11" s="133"/>
      <c r="MTS11" s="133"/>
      <c r="MTT11" s="133"/>
      <c r="MTU11" s="133"/>
      <c r="MTV11" s="133"/>
      <c r="MTW11" s="133"/>
      <c r="MTX11" s="133"/>
      <c r="MTY11" s="133"/>
      <c r="MTZ11" s="133"/>
      <c r="MUA11" s="133"/>
      <c r="MUB11" s="133"/>
      <c r="MUC11" s="133"/>
      <c r="MUD11" s="133"/>
      <c r="MUE11" s="133"/>
      <c r="MUF11" s="133"/>
      <c r="MUG11" s="133"/>
      <c r="MUH11" s="133"/>
      <c r="MUI11" s="133"/>
      <c r="MUJ11" s="133"/>
      <c r="MUK11" s="133"/>
      <c r="MUL11" s="133"/>
      <c r="MUM11" s="133"/>
      <c r="MUN11" s="133"/>
      <c r="MUO11" s="133"/>
      <c r="MUP11" s="133"/>
      <c r="MUQ11" s="133"/>
      <c r="MUR11" s="133"/>
      <c r="MUS11" s="133"/>
      <c r="MUT11" s="133"/>
      <c r="MUU11" s="133"/>
      <c r="MUV11" s="133"/>
      <c r="MUW11" s="133"/>
      <c r="MUX11" s="133"/>
      <c r="MUY11" s="133"/>
      <c r="MUZ11" s="133"/>
      <c r="MVA11" s="133"/>
      <c r="MVB11" s="133"/>
      <c r="MVC11" s="133"/>
      <c r="MVD11" s="133"/>
      <c r="MVE11" s="133"/>
      <c r="MVF11" s="133"/>
      <c r="MVG11" s="133"/>
      <c r="MVH11" s="133"/>
      <c r="MVI11" s="133"/>
      <c r="MVJ11" s="133"/>
      <c r="MVK11" s="133"/>
      <c r="MVL11" s="133"/>
      <c r="MVM11" s="133"/>
      <c r="MVN11" s="133"/>
      <c r="MVO11" s="133"/>
      <c r="MVP11" s="133"/>
      <c r="MVQ11" s="133"/>
      <c r="MVR11" s="133"/>
      <c r="MVS11" s="133"/>
      <c r="MVT11" s="133"/>
      <c r="MVU11" s="133"/>
      <c r="MVV11" s="133"/>
      <c r="MVW11" s="133"/>
      <c r="MVX11" s="133"/>
      <c r="MVY11" s="133"/>
      <c r="MVZ11" s="133"/>
      <c r="MWA11" s="133"/>
      <c r="MWB11" s="133"/>
      <c r="MWC11" s="133"/>
      <c r="MWD11" s="133"/>
      <c r="MWE11" s="133"/>
      <c r="MWF11" s="133"/>
      <c r="MWG11" s="133"/>
      <c r="MWH11" s="133"/>
      <c r="MWI11" s="133"/>
      <c r="MWJ11" s="133"/>
      <c r="MWK11" s="133"/>
      <c r="MWL11" s="133"/>
      <c r="MWM11" s="133"/>
      <c r="MWN11" s="133"/>
      <c r="MWO11" s="133"/>
      <c r="MWP11" s="133"/>
      <c r="MWQ11" s="133"/>
      <c r="MWR11" s="133"/>
      <c r="MWS11" s="133"/>
      <c r="MWT11" s="133"/>
      <c r="MWU11" s="133"/>
      <c r="MWV11" s="133"/>
      <c r="MWW11" s="133"/>
      <c r="MWX11" s="133"/>
      <c r="MWY11" s="133"/>
      <c r="MWZ11" s="133"/>
      <c r="MXA11" s="133"/>
      <c r="MXB11" s="133"/>
      <c r="MXC11" s="133"/>
      <c r="MXD11" s="133"/>
      <c r="MXE11" s="133"/>
      <c r="MXF11" s="133"/>
      <c r="MXG11" s="133"/>
      <c r="MXH11" s="133"/>
      <c r="MXI11" s="133"/>
      <c r="MXJ11" s="133"/>
      <c r="MXK11" s="133"/>
      <c r="MXL11" s="133"/>
      <c r="MXM11" s="133"/>
      <c r="MXN11" s="133"/>
      <c r="MXO11" s="133"/>
      <c r="MXP11" s="133"/>
      <c r="MXQ11" s="133"/>
      <c r="MXR11" s="133"/>
      <c r="MXS11" s="133"/>
      <c r="MXT11" s="133"/>
      <c r="MXU11" s="133"/>
      <c r="MXV11" s="133"/>
      <c r="MXW11" s="133"/>
      <c r="MXX11" s="133"/>
      <c r="MXY11" s="133"/>
      <c r="MXZ11" s="133"/>
      <c r="MYA11" s="133"/>
      <c r="MYB11" s="133"/>
      <c r="MYC11" s="133"/>
      <c r="MYD11" s="133"/>
      <c r="MYE11" s="133"/>
      <c r="MYF11" s="133"/>
      <c r="MYG11" s="133"/>
      <c r="MYH11" s="133"/>
      <c r="MYI11" s="133"/>
      <c r="MYJ11" s="133"/>
      <c r="MYK11" s="133"/>
      <c r="MYL11" s="133"/>
      <c r="MYM11" s="133"/>
      <c r="MYN11" s="133"/>
      <c r="MYO11" s="133"/>
      <c r="MYP11" s="133"/>
      <c r="MYQ11" s="133"/>
      <c r="MYR11" s="133"/>
      <c r="MYS11" s="133"/>
      <c r="MYT11" s="133"/>
      <c r="MYU11" s="133"/>
      <c r="MYV11" s="133"/>
      <c r="MYW11" s="133"/>
      <c r="MYX11" s="133"/>
      <c r="MYY11" s="133"/>
      <c r="MYZ11" s="133"/>
      <c r="MZA11" s="133"/>
      <c r="MZB11" s="133"/>
      <c r="MZC11" s="133"/>
      <c r="MZD11" s="133"/>
      <c r="MZE11" s="133"/>
      <c r="MZF11" s="133"/>
      <c r="MZG11" s="133"/>
      <c r="MZH11" s="133"/>
      <c r="MZI11" s="133"/>
      <c r="MZJ11" s="133"/>
      <c r="MZK11" s="133"/>
      <c r="MZL11" s="133"/>
      <c r="MZM11" s="133"/>
      <c r="MZN11" s="133"/>
      <c r="MZO11" s="133"/>
      <c r="MZP11" s="133"/>
      <c r="MZQ11" s="133"/>
      <c r="MZR11" s="133"/>
      <c r="MZS11" s="133"/>
      <c r="MZT11" s="133"/>
      <c r="MZU11" s="133"/>
      <c r="MZV11" s="133"/>
      <c r="MZW11" s="133"/>
      <c r="MZX11" s="133"/>
      <c r="MZY11" s="133"/>
      <c r="MZZ11" s="133"/>
      <c r="NAA11" s="133"/>
      <c r="NAB11" s="133"/>
      <c r="NAC11" s="133"/>
      <c r="NAD11" s="133"/>
      <c r="NAE11" s="133"/>
      <c r="NAF11" s="133"/>
      <c r="NAG11" s="133"/>
      <c r="NAH11" s="133"/>
      <c r="NAI11" s="133"/>
      <c r="NAJ11" s="133"/>
      <c r="NAK11" s="133"/>
      <c r="NAL11" s="133"/>
      <c r="NAM11" s="133"/>
      <c r="NAN11" s="133"/>
      <c r="NAO11" s="133"/>
      <c r="NAP11" s="133"/>
      <c r="NAQ11" s="133"/>
      <c r="NAR11" s="133"/>
      <c r="NAS11" s="133"/>
      <c r="NAT11" s="133"/>
      <c r="NAU11" s="133"/>
      <c r="NAV11" s="133"/>
      <c r="NAW11" s="133"/>
      <c r="NAX11" s="133"/>
      <c r="NAY11" s="133"/>
      <c r="NAZ11" s="133"/>
      <c r="NBA11" s="133"/>
      <c r="NBB11" s="133"/>
      <c r="NBC11" s="133"/>
      <c r="NBD11" s="133"/>
      <c r="NBE11" s="133"/>
      <c r="NBF11" s="133"/>
      <c r="NBG11" s="133"/>
      <c r="NBH11" s="133"/>
      <c r="NBI11" s="133"/>
      <c r="NBJ11" s="133"/>
      <c r="NBK11" s="133"/>
      <c r="NBL11" s="133"/>
      <c r="NBM11" s="133"/>
      <c r="NBN11" s="133"/>
      <c r="NBO11" s="133"/>
      <c r="NBP11" s="133"/>
      <c r="NBQ11" s="133"/>
      <c r="NBR11" s="133"/>
      <c r="NBS11" s="133"/>
      <c r="NBT11" s="133"/>
      <c r="NBU11" s="133"/>
      <c r="NBV11" s="133"/>
      <c r="NBW11" s="133"/>
      <c r="NBX11" s="133"/>
      <c r="NBY11" s="133"/>
      <c r="NBZ11" s="133"/>
      <c r="NCA11" s="133"/>
      <c r="NCB11" s="133"/>
      <c r="NCC11" s="133"/>
      <c r="NCD11" s="133"/>
      <c r="NCE11" s="133"/>
      <c r="NCF11" s="133"/>
      <c r="NCG11" s="133"/>
      <c r="NCH11" s="133"/>
      <c r="NCI11" s="133"/>
      <c r="NCJ11" s="133"/>
      <c r="NCK11" s="133"/>
      <c r="NCL11" s="133"/>
      <c r="NCM11" s="133"/>
      <c r="NCN11" s="133"/>
      <c r="NCO11" s="133"/>
      <c r="NCP11" s="133"/>
      <c r="NCQ11" s="133"/>
      <c r="NCR11" s="133"/>
      <c r="NCS11" s="133"/>
      <c r="NCT11" s="133"/>
      <c r="NCU11" s="133"/>
      <c r="NCV11" s="133"/>
      <c r="NCW11" s="133"/>
      <c r="NCX11" s="133"/>
      <c r="NCY11" s="133"/>
      <c r="NCZ11" s="133"/>
      <c r="NDA11" s="133"/>
      <c r="NDB11" s="133"/>
      <c r="NDC11" s="133"/>
      <c r="NDD11" s="133"/>
      <c r="NDE11" s="133"/>
      <c r="NDF11" s="133"/>
      <c r="NDG11" s="133"/>
      <c r="NDH11" s="133"/>
      <c r="NDI11" s="133"/>
      <c r="NDJ11" s="133"/>
      <c r="NDK11" s="133"/>
      <c r="NDL11" s="133"/>
      <c r="NDM11" s="133"/>
      <c r="NDN11" s="133"/>
      <c r="NDO11" s="133"/>
      <c r="NDP11" s="133"/>
      <c r="NDQ11" s="133"/>
      <c r="NDR11" s="133"/>
      <c r="NDS11" s="133"/>
      <c r="NDT11" s="133"/>
      <c r="NDU11" s="133"/>
      <c r="NDV11" s="133"/>
      <c r="NDW11" s="133"/>
      <c r="NDX11" s="133"/>
      <c r="NDY11" s="133"/>
      <c r="NDZ11" s="133"/>
      <c r="NEA11" s="133"/>
      <c r="NEB11" s="133"/>
      <c r="NEC11" s="133"/>
      <c r="NED11" s="133"/>
      <c r="NEE11" s="133"/>
      <c r="NEF11" s="133"/>
      <c r="NEG11" s="133"/>
      <c r="NEH11" s="133"/>
      <c r="NEI11" s="133"/>
      <c r="NEJ11" s="133"/>
      <c r="NEK11" s="133"/>
      <c r="NEL11" s="133"/>
      <c r="NEM11" s="133"/>
      <c r="NEN11" s="133"/>
      <c r="NEO11" s="133"/>
      <c r="NEP11" s="133"/>
      <c r="NEQ11" s="133"/>
      <c r="NER11" s="133"/>
      <c r="NES11" s="133"/>
      <c r="NET11" s="133"/>
      <c r="NEU11" s="133"/>
      <c r="NEV11" s="133"/>
      <c r="NEW11" s="133"/>
      <c r="NEX11" s="133"/>
      <c r="NEY11" s="133"/>
      <c r="NEZ11" s="133"/>
      <c r="NFA11" s="133"/>
      <c r="NFB11" s="133"/>
      <c r="NFC11" s="133"/>
      <c r="NFD11" s="133"/>
      <c r="NFE11" s="133"/>
      <c r="NFF11" s="133"/>
      <c r="NFG11" s="133"/>
      <c r="NFH11" s="133"/>
      <c r="NFI11" s="133"/>
      <c r="NFJ11" s="133"/>
      <c r="NFK11" s="133"/>
      <c r="NFL11" s="133"/>
      <c r="NFM11" s="133"/>
      <c r="NFN11" s="133"/>
      <c r="NFO11" s="133"/>
      <c r="NFP11" s="133"/>
      <c r="NFQ11" s="133"/>
      <c r="NFR11" s="133"/>
      <c r="NFS11" s="133"/>
      <c r="NFT11" s="133"/>
      <c r="NFU11" s="133"/>
      <c r="NFV11" s="133"/>
      <c r="NFW11" s="133"/>
      <c r="NFX11" s="133"/>
      <c r="NFY11" s="133"/>
      <c r="NFZ11" s="133"/>
      <c r="NGA11" s="133"/>
      <c r="NGB11" s="133"/>
      <c r="NGC11" s="133"/>
      <c r="NGD11" s="133"/>
      <c r="NGE11" s="133"/>
      <c r="NGF11" s="133"/>
      <c r="NGG11" s="133"/>
      <c r="NGH11" s="133"/>
      <c r="NGI11" s="133"/>
      <c r="NGJ11" s="133"/>
      <c r="NGK11" s="133"/>
      <c r="NGL11" s="133"/>
      <c r="NGM11" s="133"/>
      <c r="NGN11" s="133"/>
      <c r="NGO11" s="133"/>
      <c r="NGP11" s="133"/>
      <c r="NGQ11" s="133"/>
      <c r="NGR11" s="133"/>
      <c r="NGS11" s="133"/>
      <c r="NGT11" s="133"/>
      <c r="NGU11" s="133"/>
      <c r="NGV11" s="133"/>
      <c r="NGW11" s="133"/>
      <c r="NGX11" s="133"/>
      <c r="NGY11" s="133"/>
      <c r="NGZ11" s="133"/>
      <c r="NHA11" s="133"/>
      <c r="NHB11" s="133"/>
      <c r="NHC11" s="133"/>
      <c r="NHD11" s="133"/>
      <c r="NHE11" s="133"/>
      <c r="NHF11" s="133"/>
      <c r="NHG11" s="133"/>
      <c r="NHH11" s="133"/>
      <c r="NHI11" s="133"/>
      <c r="NHJ11" s="133"/>
      <c r="NHK11" s="133"/>
      <c r="NHL11" s="133"/>
      <c r="NHM11" s="133"/>
      <c r="NHN11" s="133"/>
      <c r="NHO11" s="133"/>
      <c r="NHP11" s="133"/>
      <c r="NHQ11" s="133"/>
      <c r="NHR11" s="133"/>
      <c r="NHS11" s="133"/>
      <c r="NHT11" s="133"/>
      <c r="NHU11" s="133"/>
      <c r="NHV11" s="133"/>
      <c r="NHW11" s="133"/>
      <c r="NHX11" s="133"/>
      <c r="NHY11" s="133"/>
      <c r="NHZ11" s="133"/>
      <c r="NIA11" s="133"/>
      <c r="NIB11" s="133"/>
      <c r="NIC11" s="133"/>
      <c r="NID11" s="133"/>
      <c r="NIE11" s="133"/>
      <c r="NIF11" s="133"/>
      <c r="NIG11" s="133"/>
      <c r="NIH11" s="133"/>
      <c r="NII11" s="133"/>
      <c r="NIJ11" s="133"/>
      <c r="NIK11" s="133"/>
      <c r="NIL11" s="133"/>
      <c r="NIM11" s="133"/>
      <c r="NIN11" s="133"/>
      <c r="NIO11" s="133"/>
      <c r="NIP11" s="133"/>
      <c r="NIQ11" s="133"/>
      <c r="NIR11" s="133"/>
      <c r="NIS11" s="133"/>
      <c r="NIT11" s="133"/>
      <c r="NIU11" s="133"/>
      <c r="NIV11" s="133"/>
      <c r="NIW11" s="133"/>
      <c r="NIX11" s="133"/>
      <c r="NIY11" s="133"/>
      <c r="NIZ11" s="133"/>
      <c r="NJA11" s="133"/>
      <c r="NJB11" s="133"/>
      <c r="NJC11" s="133"/>
      <c r="NJD11" s="133"/>
      <c r="NJE11" s="133"/>
      <c r="NJF11" s="133"/>
      <c r="NJG11" s="133"/>
      <c r="NJH11" s="133"/>
      <c r="NJI11" s="133"/>
      <c r="NJJ11" s="133"/>
      <c r="NJK11" s="133"/>
      <c r="NJL11" s="133"/>
      <c r="NJM11" s="133"/>
      <c r="NJN11" s="133"/>
      <c r="NJO11" s="133"/>
      <c r="NJP11" s="133"/>
      <c r="NJQ11" s="133"/>
      <c r="NJR11" s="133"/>
      <c r="NJS11" s="133"/>
      <c r="NJT11" s="133"/>
      <c r="NJU11" s="133"/>
      <c r="NJV11" s="133"/>
      <c r="NJW11" s="133"/>
      <c r="NJX11" s="133"/>
      <c r="NJY11" s="133"/>
      <c r="NJZ11" s="133"/>
      <c r="NKA11" s="133"/>
      <c r="NKB11" s="133"/>
      <c r="NKC11" s="133"/>
      <c r="NKD11" s="133"/>
      <c r="NKE11" s="133"/>
      <c r="NKF11" s="133"/>
      <c r="NKG11" s="133"/>
      <c r="NKH11" s="133"/>
      <c r="NKI11" s="133"/>
      <c r="NKJ11" s="133"/>
      <c r="NKK11" s="133"/>
      <c r="NKL11" s="133"/>
      <c r="NKM11" s="133"/>
      <c r="NKN11" s="133"/>
      <c r="NKO11" s="133"/>
      <c r="NKP11" s="133"/>
      <c r="NKQ11" s="133"/>
      <c r="NKR11" s="133"/>
      <c r="NKS11" s="133"/>
      <c r="NKT11" s="133"/>
      <c r="NKU11" s="133"/>
      <c r="NKV11" s="133"/>
      <c r="NKW11" s="133"/>
      <c r="NKX11" s="133"/>
      <c r="NKY11" s="133"/>
      <c r="NKZ11" s="133"/>
      <c r="NLA11" s="133"/>
      <c r="NLB11" s="133"/>
      <c r="NLC11" s="133"/>
      <c r="NLD11" s="133"/>
      <c r="NLE11" s="133"/>
      <c r="NLF11" s="133"/>
      <c r="NLG11" s="133"/>
      <c r="NLH11" s="133"/>
      <c r="NLI11" s="133"/>
      <c r="NLJ11" s="133"/>
      <c r="NLK11" s="133"/>
      <c r="NLL11" s="133"/>
      <c r="NLM11" s="133"/>
      <c r="NLN11" s="133"/>
      <c r="NLO11" s="133"/>
      <c r="NLP11" s="133"/>
      <c r="NLQ11" s="133"/>
      <c r="NLR11" s="133"/>
      <c r="NLS11" s="133"/>
      <c r="NLT11" s="133"/>
      <c r="NLU11" s="133"/>
      <c r="NLV11" s="133"/>
      <c r="NLW11" s="133"/>
      <c r="NLX11" s="133"/>
      <c r="NLY11" s="133"/>
      <c r="NLZ11" s="133"/>
      <c r="NMA11" s="133"/>
      <c r="NMB11" s="133"/>
      <c r="NMC11" s="133"/>
      <c r="NMD11" s="133"/>
      <c r="NME11" s="133"/>
      <c r="NMF11" s="133"/>
      <c r="NMG11" s="133"/>
      <c r="NMH11" s="133"/>
      <c r="NMI11" s="133"/>
      <c r="NMJ11" s="133"/>
      <c r="NMK11" s="133"/>
      <c r="NML11" s="133"/>
      <c r="NMM11" s="133"/>
      <c r="NMN11" s="133"/>
      <c r="NMO11" s="133"/>
      <c r="NMP11" s="133"/>
      <c r="NMQ11" s="133"/>
      <c r="NMR11" s="133"/>
      <c r="NMS11" s="133"/>
      <c r="NMT11" s="133"/>
      <c r="NMU11" s="133"/>
      <c r="NMV11" s="133"/>
      <c r="NMW11" s="133"/>
      <c r="NMX11" s="133"/>
      <c r="NMY11" s="133"/>
      <c r="NMZ11" s="133"/>
      <c r="NNA11" s="133"/>
      <c r="NNB11" s="133"/>
      <c r="NNC11" s="133"/>
      <c r="NND11" s="133"/>
      <c r="NNE11" s="133"/>
      <c r="NNF11" s="133"/>
      <c r="NNG11" s="133"/>
      <c r="NNH11" s="133"/>
      <c r="NNI11" s="133"/>
      <c r="NNJ11" s="133"/>
      <c r="NNK11" s="133"/>
      <c r="NNL11" s="133"/>
      <c r="NNM11" s="133"/>
      <c r="NNN11" s="133"/>
      <c r="NNO11" s="133"/>
      <c r="NNP11" s="133"/>
      <c r="NNQ11" s="133"/>
      <c r="NNR11" s="133"/>
      <c r="NNS11" s="133"/>
      <c r="NNT11" s="133"/>
      <c r="NNU11" s="133"/>
      <c r="NNV11" s="133"/>
      <c r="NNW11" s="133"/>
      <c r="NNX11" s="133"/>
      <c r="NNY11" s="133"/>
      <c r="NNZ11" s="133"/>
      <c r="NOA11" s="133"/>
      <c r="NOB11" s="133"/>
      <c r="NOC11" s="133"/>
      <c r="NOD11" s="133"/>
      <c r="NOE11" s="133"/>
      <c r="NOF11" s="133"/>
      <c r="NOG11" s="133"/>
      <c r="NOH11" s="133"/>
      <c r="NOI11" s="133"/>
      <c r="NOJ11" s="133"/>
      <c r="NOK11" s="133"/>
      <c r="NOL11" s="133"/>
      <c r="NOM11" s="133"/>
      <c r="NON11" s="133"/>
      <c r="NOO11" s="133"/>
      <c r="NOP11" s="133"/>
      <c r="NOQ11" s="133"/>
      <c r="NOR11" s="133"/>
      <c r="NOS11" s="133"/>
      <c r="NOT11" s="133"/>
      <c r="NOU11" s="133"/>
      <c r="NOV11" s="133"/>
      <c r="NOW11" s="133"/>
      <c r="NOX11" s="133"/>
      <c r="NOY11" s="133"/>
      <c r="NOZ11" s="133"/>
      <c r="NPA11" s="133"/>
      <c r="NPB11" s="133"/>
      <c r="NPC11" s="133"/>
      <c r="NPD11" s="133"/>
      <c r="NPE11" s="133"/>
      <c r="NPF11" s="133"/>
      <c r="NPG11" s="133"/>
      <c r="NPH11" s="133"/>
      <c r="NPI11" s="133"/>
      <c r="NPJ11" s="133"/>
      <c r="NPK11" s="133"/>
      <c r="NPL11" s="133"/>
      <c r="NPM11" s="133"/>
      <c r="NPN11" s="133"/>
      <c r="NPO11" s="133"/>
      <c r="NPP11" s="133"/>
      <c r="NPQ11" s="133"/>
      <c r="NPR11" s="133"/>
      <c r="NPS11" s="133"/>
      <c r="NPT11" s="133"/>
      <c r="NPU11" s="133"/>
      <c r="NPV11" s="133"/>
      <c r="NPW11" s="133"/>
      <c r="NPX11" s="133"/>
      <c r="NPY11" s="133"/>
      <c r="NPZ11" s="133"/>
      <c r="NQA11" s="133"/>
      <c r="NQB11" s="133"/>
      <c r="NQC11" s="133"/>
      <c r="NQD11" s="133"/>
      <c r="NQE11" s="133"/>
      <c r="NQF11" s="133"/>
      <c r="NQG11" s="133"/>
      <c r="NQH11" s="133"/>
      <c r="NQI11" s="133"/>
      <c r="NQJ11" s="133"/>
      <c r="NQK11" s="133"/>
      <c r="NQL11" s="133"/>
      <c r="NQM11" s="133"/>
      <c r="NQN11" s="133"/>
      <c r="NQO11" s="133"/>
      <c r="NQP11" s="133"/>
      <c r="NQQ11" s="133"/>
      <c r="NQR11" s="133"/>
      <c r="NQS11" s="133"/>
      <c r="NQT11" s="133"/>
      <c r="NQU11" s="133"/>
      <c r="NQV11" s="133"/>
      <c r="NQW11" s="133"/>
      <c r="NQX11" s="133"/>
      <c r="NQY11" s="133"/>
      <c r="NQZ11" s="133"/>
      <c r="NRA11" s="133"/>
      <c r="NRB11" s="133"/>
      <c r="NRC11" s="133"/>
      <c r="NRD11" s="133"/>
      <c r="NRE11" s="133"/>
      <c r="NRF11" s="133"/>
      <c r="NRG11" s="133"/>
      <c r="NRH11" s="133"/>
      <c r="NRI11" s="133"/>
      <c r="NRJ11" s="133"/>
      <c r="NRK11" s="133"/>
      <c r="NRL11" s="133"/>
      <c r="NRM11" s="133"/>
      <c r="NRN11" s="133"/>
      <c r="NRO11" s="133"/>
      <c r="NRP11" s="133"/>
      <c r="NRQ11" s="133"/>
      <c r="NRR11" s="133"/>
      <c r="NRS11" s="133"/>
      <c r="NRT11" s="133"/>
      <c r="NRU11" s="133"/>
      <c r="NRV11" s="133"/>
      <c r="NRW11" s="133"/>
      <c r="NRX11" s="133"/>
      <c r="NRY11" s="133"/>
      <c r="NRZ11" s="133"/>
      <c r="NSA11" s="133"/>
      <c r="NSB11" s="133"/>
      <c r="NSC11" s="133"/>
      <c r="NSD11" s="133"/>
      <c r="NSE11" s="133"/>
      <c r="NSF11" s="133"/>
      <c r="NSG11" s="133"/>
      <c r="NSH11" s="133"/>
      <c r="NSI11" s="133"/>
      <c r="NSJ11" s="133"/>
      <c r="NSK11" s="133"/>
      <c r="NSL11" s="133"/>
      <c r="NSM11" s="133"/>
      <c r="NSN11" s="133"/>
      <c r="NSO11" s="133"/>
      <c r="NSP11" s="133"/>
      <c r="NSQ11" s="133"/>
      <c r="NSR11" s="133"/>
      <c r="NSS11" s="133"/>
      <c r="NST11" s="133"/>
      <c r="NSU11" s="133"/>
      <c r="NSV11" s="133"/>
      <c r="NSW11" s="133"/>
      <c r="NSX11" s="133"/>
      <c r="NSY11" s="133"/>
      <c r="NSZ11" s="133"/>
      <c r="NTA11" s="133"/>
      <c r="NTB11" s="133"/>
      <c r="NTC11" s="133"/>
      <c r="NTD11" s="133"/>
      <c r="NTE11" s="133"/>
      <c r="NTF11" s="133"/>
      <c r="NTG11" s="133"/>
      <c r="NTH11" s="133"/>
      <c r="NTI11" s="133"/>
      <c r="NTJ11" s="133"/>
      <c r="NTK11" s="133"/>
      <c r="NTL11" s="133"/>
      <c r="NTM11" s="133"/>
      <c r="NTN11" s="133"/>
      <c r="NTO11" s="133"/>
      <c r="NTP11" s="133"/>
      <c r="NTQ11" s="133"/>
      <c r="NTR11" s="133"/>
      <c r="NTS11" s="133"/>
      <c r="NTT11" s="133"/>
      <c r="NTU11" s="133"/>
      <c r="NTV11" s="133"/>
      <c r="NTW11" s="133"/>
      <c r="NTX11" s="133"/>
      <c r="NTY11" s="133"/>
      <c r="NTZ11" s="133"/>
      <c r="NUA11" s="133"/>
      <c r="NUB11" s="133"/>
      <c r="NUC11" s="133"/>
      <c r="NUD11" s="133"/>
      <c r="NUE11" s="133"/>
      <c r="NUF11" s="133"/>
      <c r="NUG11" s="133"/>
      <c r="NUH11" s="133"/>
      <c r="NUI11" s="133"/>
      <c r="NUJ11" s="133"/>
      <c r="NUK11" s="133"/>
      <c r="NUL11" s="133"/>
      <c r="NUM11" s="133"/>
      <c r="NUN11" s="133"/>
      <c r="NUO11" s="133"/>
      <c r="NUP11" s="133"/>
      <c r="NUQ11" s="133"/>
      <c r="NUR11" s="133"/>
      <c r="NUS11" s="133"/>
      <c r="NUT11" s="133"/>
      <c r="NUU11" s="133"/>
      <c r="NUV11" s="133"/>
      <c r="NUW11" s="133"/>
      <c r="NUX11" s="133"/>
      <c r="NUY11" s="133"/>
      <c r="NUZ11" s="133"/>
      <c r="NVA11" s="133"/>
      <c r="NVB11" s="133"/>
      <c r="NVC11" s="133"/>
      <c r="NVD11" s="133"/>
      <c r="NVE11" s="133"/>
      <c r="NVF11" s="133"/>
      <c r="NVG11" s="133"/>
      <c r="NVH11" s="133"/>
      <c r="NVI11" s="133"/>
      <c r="NVJ11" s="133"/>
      <c r="NVK11" s="133"/>
      <c r="NVL11" s="133"/>
      <c r="NVM11" s="133"/>
      <c r="NVN11" s="133"/>
      <c r="NVO11" s="133"/>
      <c r="NVP11" s="133"/>
      <c r="NVQ11" s="133"/>
      <c r="NVR11" s="133"/>
      <c r="NVS11" s="133"/>
      <c r="NVT11" s="133"/>
      <c r="NVU11" s="133"/>
      <c r="NVV11" s="133"/>
      <c r="NVW11" s="133"/>
      <c r="NVX11" s="133"/>
      <c r="NVY11" s="133"/>
      <c r="NVZ11" s="133"/>
      <c r="NWA11" s="133"/>
      <c r="NWB11" s="133"/>
      <c r="NWC11" s="133"/>
      <c r="NWD11" s="133"/>
      <c r="NWE11" s="133"/>
      <c r="NWF11" s="133"/>
      <c r="NWG11" s="133"/>
      <c r="NWH11" s="133"/>
      <c r="NWI11" s="133"/>
      <c r="NWJ11" s="133"/>
      <c r="NWK11" s="133"/>
      <c r="NWL11" s="133"/>
      <c r="NWM11" s="133"/>
      <c r="NWN11" s="133"/>
      <c r="NWO11" s="133"/>
      <c r="NWP11" s="133"/>
      <c r="NWQ11" s="133"/>
      <c r="NWR11" s="133"/>
      <c r="NWS11" s="133"/>
      <c r="NWT11" s="133"/>
      <c r="NWU11" s="133"/>
      <c r="NWV11" s="133"/>
      <c r="NWW11" s="133"/>
      <c r="NWX11" s="133"/>
      <c r="NWY11" s="133"/>
      <c r="NWZ11" s="133"/>
      <c r="NXA11" s="133"/>
      <c r="NXB11" s="133"/>
      <c r="NXC11" s="133"/>
      <c r="NXD11" s="133"/>
      <c r="NXE11" s="133"/>
      <c r="NXF11" s="133"/>
      <c r="NXG11" s="133"/>
      <c r="NXH11" s="133"/>
      <c r="NXI11" s="133"/>
      <c r="NXJ11" s="133"/>
      <c r="NXK11" s="133"/>
      <c r="NXL11" s="133"/>
      <c r="NXM11" s="133"/>
      <c r="NXN11" s="133"/>
      <c r="NXO11" s="133"/>
      <c r="NXP11" s="133"/>
      <c r="NXQ11" s="133"/>
      <c r="NXR11" s="133"/>
      <c r="NXS11" s="133"/>
      <c r="NXT11" s="133"/>
      <c r="NXU11" s="133"/>
      <c r="NXV11" s="133"/>
      <c r="NXW11" s="133"/>
      <c r="NXX11" s="133"/>
      <c r="NXY11" s="133"/>
      <c r="NXZ11" s="133"/>
      <c r="NYA11" s="133"/>
      <c r="NYB11" s="133"/>
      <c r="NYC11" s="133"/>
      <c r="NYD11" s="133"/>
      <c r="NYE11" s="133"/>
      <c r="NYF11" s="133"/>
      <c r="NYG11" s="133"/>
      <c r="NYH11" s="133"/>
      <c r="NYI11" s="133"/>
      <c r="NYJ11" s="133"/>
      <c r="NYK11" s="133"/>
      <c r="NYL11" s="133"/>
      <c r="NYM11" s="133"/>
      <c r="NYN11" s="133"/>
      <c r="NYO11" s="133"/>
      <c r="NYP11" s="133"/>
      <c r="NYQ11" s="133"/>
      <c r="NYR11" s="133"/>
      <c r="NYS11" s="133"/>
      <c r="NYT11" s="133"/>
      <c r="NYU11" s="133"/>
      <c r="NYV11" s="133"/>
      <c r="NYW11" s="133"/>
      <c r="NYX11" s="133"/>
      <c r="NYY11" s="133"/>
      <c r="NYZ11" s="133"/>
      <c r="NZA11" s="133"/>
      <c r="NZB11" s="133"/>
      <c r="NZC11" s="133"/>
      <c r="NZD11" s="133"/>
      <c r="NZE11" s="133"/>
      <c r="NZF11" s="133"/>
      <c r="NZG11" s="133"/>
      <c r="NZH11" s="133"/>
      <c r="NZI11" s="133"/>
      <c r="NZJ11" s="133"/>
      <c r="NZK11" s="133"/>
      <c r="NZL11" s="133"/>
      <c r="NZM11" s="133"/>
      <c r="NZN11" s="133"/>
      <c r="NZO11" s="133"/>
      <c r="NZP11" s="133"/>
      <c r="NZQ11" s="133"/>
      <c r="NZR11" s="133"/>
      <c r="NZS11" s="133"/>
      <c r="NZT11" s="133"/>
      <c r="NZU11" s="133"/>
      <c r="NZV11" s="133"/>
      <c r="NZW11" s="133"/>
      <c r="NZX11" s="133"/>
      <c r="NZY11" s="133"/>
      <c r="NZZ11" s="133"/>
      <c r="OAA11" s="133"/>
      <c r="OAB11" s="133"/>
      <c r="OAC11" s="133"/>
      <c r="OAD11" s="133"/>
      <c r="OAE11" s="133"/>
      <c r="OAF11" s="133"/>
      <c r="OAG11" s="133"/>
      <c r="OAH11" s="133"/>
      <c r="OAI11" s="133"/>
      <c r="OAJ11" s="133"/>
      <c r="OAK11" s="133"/>
      <c r="OAL11" s="133"/>
      <c r="OAM11" s="133"/>
      <c r="OAN11" s="133"/>
      <c r="OAO11" s="133"/>
      <c r="OAP11" s="133"/>
      <c r="OAQ11" s="133"/>
      <c r="OAR11" s="133"/>
      <c r="OAS11" s="133"/>
      <c r="OAT11" s="133"/>
      <c r="OAU11" s="133"/>
      <c r="OAV11" s="133"/>
      <c r="OAW11" s="133"/>
      <c r="OAX11" s="133"/>
      <c r="OAY11" s="133"/>
      <c r="OAZ11" s="133"/>
      <c r="OBA11" s="133"/>
      <c r="OBB11" s="133"/>
      <c r="OBC11" s="133"/>
      <c r="OBD11" s="133"/>
      <c r="OBE11" s="133"/>
      <c r="OBF11" s="133"/>
      <c r="OBG11" s="133"/>
      <c r="OBH11" s="133"/>
      <c r="OBI11" s="133"/>
      <c r="OBJ11" s="133"/>
      <c r="OBK11" s="133"/>
      <c r="OBL11" s="133"/>
      <c r="OBM11" s="133"/>
      <c r="OBN11" s="133"/>
      <c r="OBO11" s="133"/>
      <c r="OBP11" s="133"/>
      <c r="OBQ11" s="133"/>
      <c r="OBR11" s="133"/>
      <c r="OBS11" s="133"/>
      <c r="OBT11" s="133"/>
      <c r="OBU11" s="133"/>
      <c r="OBV11" s="133"/>
      <c r="OBW11" s="133"/>
      <c r="OBX11" s="133"/>
      <c r="OBY11" s="133"/>
      <c r="OBZ11" s="133"/>
      <c r="OCA11" s="133"/>
      <c r="OCB11" s="133"/>
      <c r="OCC11" s="133"/>
      <c r="OCD11" s="133"/>
      <c r="OCE11" s="133"/>
      <c r="OCF11" s="133"/>
      <c r="OCG11" s="133"/>
      <c r="OCH11" s="133"/>
      <c r="OCI11" s="133"/>
      <c r="OCJ11" s="133"/>
      <c r="OCK11" s="133"/>
      <c r="OCX11" s="133"/>
      <c r="OCY11" s="133"/>
      <c r="OCZ11" s="133"/>
      <c r="ODA11" s="133"/>
      <c r="ODB11" s="133"/>
      <c r="ODC11" s="133"/>
      <c r="ODD11" s="133"/>
      <c r="ODE11" s="133"/>
      <c r="ODF11" s="133"/>
      <c r="ODG11" s="133"/>
      <c r="ODH11" s="133"/>
      <c r="ODI11" s="133"/>
      <c r="ODJ11" s="133"/>
      <c r="ODK11" s="133"/>
      <c r="ODL11" s="133"/>
      <c r="ODM11" s="133"/>
      <c r="ODN11" s="133"/>
      <c r="ODO11" s="133"/>
      <c r="ODP11" s="133"/>
      <c r="ODQ11" s="133"/>
      <c r="ODR11" s="133"/>
      <c r="ODS11" s="133"/>
      <c r="ODT11" s="133"/>
      <c r="ODU11" s="133"/>
      <c r="ODV11" s="133"/>
      <c r="ODW11" s="133"/>
      <c r="ODX11" s="133"/>
      <c r="ODY11" s="133"/>
      <c r="ODZ11" s="133"/>
      <c r="OEA11" s="133"/>
      <c r="OEB11" s="133"/>
      <c r="OEC11" s="133"/>
      <c r="OED11" s="133"/>
      <c r="OEE11" s="133"/>
      <c r="OEF11" s="133"/>
      <c r="OEG11" s="133"/>
      <c r="OEH11" s="133"/>
      <c r="OEI11" s="133"/>
      <c r="OEJ11" s="133"/>
      <c r="OEK11" s="133"/>
      <c r="OEL11" s="133"/>
      <c r="OEM11" s="133"/>
      <c r="OEN11" s="133"/>
      <c r="OEO11" s="133"/>
      <c r="OEP11" s="133"/>
      <c r="OEQ11" s="133"/>
      <c r="OER11" s="133"/>
      <c r="OES11" s="133"/>
      <c r="OET11" s="133"/>
      <c r="OEU11" s="133"/>
      <c r="OEV11" s="133"/>
      <c r="OEW11" s="133"/>
      <c r="OEX11" s="133"/>
      <c r="OEY11" s="133"/>
      <c r="OEZ11" s="133"/>
      <c r="OFA11" s="133"/>
      <c r="OFB11" s="133"/>
      <c r="OFC11" s="133"/>
      <c r="OFD11" s="133"/>
      <c r="OFE11" s="133"/>
      <c r="OFF11" s="133"/>
      <c r="OFG11" s="133"/>
      <c r="OFH11" s="133"/>
      <c r="OFI11" s="133"/>
      <c r="OFJ11" s="133"/>
      <c r="OFK11" s="133"/>
      <c r="OFL11" s="133"/>
      <c r="OFM11" s="133"/>
      <c r="OFN11" s="133"/>
      <c r="OFO11" s="133"/>
      <c r="OFP11" s="133"/>
      <c r="OFQ11" s="133"/>
      <c r="OFR11" s="133"/>
      <c r="OFS11" s="133"/>
      <c r="OFT11" s="133"/>
      <c r="OFU11" s="133"/>
      <c r="OFV11" s="133"/>
      <c r="OFW11" s="133"/>
      <c r="OFX11" s="133"/>
      <c r="OFY11" s="133"/>
      <c r="OFZ11" s="133"/>
      <c r="OGA11" s="133"/>
      <c r="OGB11" s="133"/>
      <c r="OGC11" s="133"/>
      <c r="OGD11" s="133"/>
      <c r="OGE11" s="133"/>
      <c r="OGF11" s="133"/>
      <c r="OGG11" s="133"/>
      <c r="OGH11" s="133"/>
      <c r="OGI11" s="133"/>
      <c r="OGJ11" s="133"/>
      <c r="OGK11" s="133"/>
      <c r="OGL11" s="133"/>
      <c r="OGM11" s="133"/>
      <c r="OGN11" s="133"/>
      <c r="OGO11" s="133"/>
      <c r="OGP11" s="133"/>
      <c r="OGQ11" s="133"/>
      <c r="OGR11" s="133"/>
      <c r="OGS11" s="133"/>
      <c r="OGT11" s="133"/>
      <c r="OGU11" s="133"/>
      <c r="OGV11" s="133"/>
      <c r="OGW11" s="133"/>
      <c r="OGX11" s="133"/>
      <c r="OGY11" s="133"/>
      <c r="OGZ11" s="133"/>
      <c r="OHA11" s="133"/>
      <c r="OHB11" s="133"/>
      <c r="OHC11" s="133"/>
      <c r="OHD11" s="133"/>
      <c r="OHE11" s="133"/>
      <c r="OHF11" s="133"/>
      <c r="OHG11" s="133"/>
      <c r="OHH11" s="133"/>
      <c r="OHI11" s="133"/>
      <c r="OHJ11" s="133"/>
      <c r="OHK11" s="133"/>
      <c r="OHL11" s="133"/>
      <c r="OHM11" s="133"/>
      <c r="OHN11" s="133"/>
      <c r="OHO11" s="133"/>
      <c r="OHP11" s="133"/>
      <c r="OHQ11" s="133"/>
      <c r="OHR11" s="133"/>
      <c r="OHS11" s="133"/>
      <c r="OHT11" s="133"/>
      <c r="OHU11" s="133"/>
      <c r="OHV11" s="133"/>
      <c r="OHW11" s="133"/>
      <c r="OHX11" s="133"/>
      <c r="OHY11" s="133"/>
      <c r="OHZ11" s="133"/>
      <c r="OIA11" s="133"/>
      <c r="OIB11" s="133"/>
      <c r="OIC11" s="133"/>
      <c r="OID11" s="133"/>
      <c r="OIE11" s="133"/>
      <c r="OIF11" s="133"/>
      <c r="OIG11" s="133"/>
      <c r="OIH11" s="133"/>
      <c r="OII11" s="133"/>
      <c r="OIJ11" s="133"/>
      <c r="OIK11" s="133"/>
      <c r="OIL11" s="133"/>
      <c r="OIM11" s="133"/>
      <c r="OIN11" s="133"/>
      <c r="OIO11" s="133"/>
      <c r="OIP11" s="133"/>
      <c r="OIQ11" s="133"/>
      <c r="OIR11" s="133"/>
      <c r="OIS11" s="133"/>
      <c r="OIT11" s="133"/>
      <c r="OIU11" s="133"/>
      <c r="OIV11" s="133"/>
      <c r="OIW11" s="133"/>
      <c r="OIX11" s="133"/>
      <c r="OIY11" s="133"/>
      <c r="OIZ11" s="133"/>
      <c r="OJA11" s="133"/>
      <c r="OJB11" s="133"/>
      <c r="OJC11" s="133"/>
      <c r="OJD11" s="133"/>
      <c r="OJE11" s="133"/>
      <c r="OJF11" s="133"/>
      <c r="OJG11" s="133"/>
      <c r="OJH11" s="133"/>
      <c r="OJI11" s="133"/>
      <c r="OJJ11" s="133"/>
      <c r="OJK11" s="133"/>
      <c r="OJL11" s="133"/>
      <c r="OJM11" s="133"/>
      <c r="OJN11" s="133"/>
      <c r="OJO11" s="133"/>
      <c r="OJP11" s="133"/>
      <c r="OJQ11" s="133"/>
      <c r="OJR11" s="133"/>
      <c r="OJS11" s="133"/>
      <c r="OJT11" s="133"/>
      <c r="OJU11" s="133"/>
      <c r="OJV11" s="133"/>
      <c r="OJW11" s="133"/>
      <c r="OJX11" s="133"/>
      <c r="OJY11" s="133"/>
      <c r="OJZ11" s="133"/>
      <c r="OKA11" s="133"/>
      <c r="OKB11" s="133"/>
      <c r="OKC11" s="133"/>
      <c r="OKD11" s="133"/>
      <c r="OKE11" s="133"/>
      <c r="OKF11" s="133"/>
      <c r="OKG11" s="133"/>
      <c r="OKH11" s="133"/>
      <c r="OKI11" s="133"/>
      <c r="OKJ11" s="133"/>
      <c r="OKK11" s="133"/>
      <c r="OKL11" s="133"/>
      <c r="OKM11" s="133"/>
      <c r="OKN11" s="133"/>
      <c r="OKO11" s="133"/>
      <c r="OKP11" s="133"/>
      <c r="OKQ11" s="133"/>
      <c r="OKR11" s="133"/>
      <c r="OKS11" s="133"/>
      <c r="OKT11" s="133"/>
      <c r="OKU11" s="133"/>
      <c r="OKV11" s="133"/>
      <c r="OKW11" s="133"/>
      <c r="OKX11" s="133"/>
      <c r="OKY11" s="133"/>
      <c r="OKZ11" s="133"/>
      <c r="OLA11" s="133"/>
      <c r="OLB11" s="133"/>
      <c r="OLC11" s="133"/>
      <c r="OLD11" s="133"/>
      <c r="OLE11" s="133"/>
      <c r="OLF11" s="133"/>
      <c r="OLG11" s="133"/>
      <c r="OLH11" s="133"/>
      <c r="OLI11" s="133"/>
      <c r="OLJ11" s="133"/>
      <c r="OLK11" s="133"/>
      <c r="OLL11" s="133"/>
      <c r="OLM11" s="133"/>
      <c r="OLN11" s="133"/>
      <c r="OLO11" s="133"/>
      <c r="OLP11" s="133"/>
      <c r="OLQ11" s="133"/>
      <c r="OLR11" s="133"/>
      <c r="OLS11" s="133"/>
      <c r="OLT11" s="133"/>
      <c r="OLU11" s="133"/>
      <c r="OLV11" s="133"/>
      <c r="OLW11" s="133"/>
      <c r="OLX11" s="133"/>
      <c r="OLY11" s="133"/>
      <c r="OLZ11" s="133"/>
      <c r="OMA11" s="133"/>
      <c r="OMB11" s="133"/>
      <c r="OMC11" s="133"/>
      <c r="OMD11" s="133"/>
      <c r="OME11" s="133"/>
      <c r="OMF11" s="133"/>
      <c r="OMG11" s="133"/>
      <c r="OMH11" s="133"/>
      <c r="OMI11" s="133"/>
      <c r="OMJ11" s="133"/>
      <c r="OMK11" s="133"/>
      <c r="OML11" s="133"/>
      <c r="OMM11" s="133"/>
      <c r="OMN11" s="133"/>
      <c r="OMO11" s="133"/>
      <c r="OMP11" s="133"/>
      <c r="OMQ11" s="133"/>
      <c r="OMR11" s="133"/>
      <c r="OMS11" s="133"/>
      <c r="OMT11" s="133"/>
      <c r="OMU11" s="133"/>
      <c r="OMV11" s="133"/>
      <c r="OMW11" s="133"/>
      <c r="OMX11" s="133"/>
      <c r="OMY11" s="133"/>
      <c r="OMZ11" s="133"/>
      <c r="ONA11" s="133"/>
      <c r="ONB11" s="133"/>
      <c r="ONC11" s="133"/>
      <c r="OND11" s="133"/>
      <c r="ONE11" s="133"/>
      <c r="ONF11" s="133"/>
      <c r="ONG11" s="133"/>
      <c r="ONH11" s="133"/>
      <c r="ONI11" s="133"/>
      <c r="ONJ11" s="133"/>
      <c r="ONK11" s="133"/>
      <c r="ONL11" s="133"/>
      <c r="ONM11" s="133"/>
      <c r="ONN11" s="133"/>
      <c r="ONO11" s="133"/>
      <c r="ONP11" s="133"/>
      <c r="ONQ11" s="133"/>
      <c r="ONR11" s="133"/>
      <c r="ONS11" s="133"/>
      <c r="ONT11" s="133"/>
      <c r="ONU11" s="133"/>
      <c r="ONV11" s="133"/>
      <c r="ONW11" s="133"/>
      <c r="ONX11" s="133"/>
      <c r="ONY11" s="133"/>
      <c r="ONZ11" s="133"/>
      <c r="OOA11" s="133"/>
      <c r="OOB11" s="133"/>
      <c r="OOC11" s="133"/>
      <c r="OOD11" s="133"/>
      <c r="OOE11" s="133"/>
      <c r="OOF11" s="133"/>
      <c r="OOG11" s="133"/>
      <c r="OOH11" s="133"/>
      <c r="OOI11" s="133"/>
      <c r="OOJ11" s="133"/>
      <c r="OOK11" s="133"/>
      <c r="OOL11" s="133"/>
      <c r="OOM11" s="133"/>
      <c r="OON11" s="133"/>
      <c r="OOO11" s="133"/>
      <c r="OOP11" s="133"/>
      <c r="OOQ11" s="133"/>
      <c r="OOR11" s="133"/>
      <c r="OOS11" s="133"/>
      <c r="OOT11" s="133"/>
      <c r="OOU11" s="133"/>
      <c r="OOV11" s="133"/>
      <c r="OOW11" s="133"/>
      <c r="OOX11" s="133"/>
      <c r="OOY11" s="133"/>
      <c r="OOZ11" s="133"/>
      <c r="OPA11" s="133"/>
      <c r="OPB11" s="133"/>
      <c r="OPC11" s="133"/>
      <c r="OPD11" s="133"/>
      <c r="OPE11" s="133"/>
      <c r="OPF11" s="133"/>
      <c r="OPG11" s="133"/>
      <c r="OPH11" s="133"/>
      <c r="OPI11" s="133"/>
      <c r="OPJ11" s="133"/>
      <c r="OPK11" s="133"/>
      <c r="OPL11" s="133"/>
      <c r="OPM11" s="133"/>
      <c r="OPN11" s="133"/>
      <c r="OPO11" s="133"/>
      <c r="OPP11" s="133"/>
      <c r="OPQ11" s="133"/>
      <c r="OPR11" s="133"/>
      <c r="OPS11" s="133"/>
      <c r="OPT11" s="133"/>
      <c r="OPU11" s="133"/>
      <c r="OPV11" s="133"/>
      <c r="OPW11" s="133"/>
      <c r="OPX11" s="133"/>
      <c r="OPY11" s="133"/>
      <c r="OPZ11" s="133"/>
      <c r="OQA11" s="133"/>
      <c r="OQB11" s="133"/>
      <c r="OQC11" s="133"/>
      <c r="OQD11" s="133"/>
      <c r="OQE11" s="133"/>
      <c r="OQF11" s="133"/>
      <c r="OQG11" s="133"/>
      <c r="OQH11" s="133"/>
      <c r="OQI11" s="133"/>
      <c r="OQJ11" s="133"/>
      <c r="OQK11" s="133"/>
      <c r="OQL11" s="133"/>
      <c r="OQM11" s="133"/>
      <c r="OQN11" s="133"/>
      <c r="OQO11" s="133"/>
      <c r="OQP11" s="133"/>
      <c r="OQQ11" s="133"/>
      <c r="OQR11" s="133"/>
      <c r="OQS11" s="133"/>
      <c r="OQT11" s="133"/>
      <c r="OQU11" s="133"/>
      <c r="OQV11" s="133"/>
      <c r="OQW11" s="133"/>
      <c r="OQX11" s="133"/>
      <c r="OQY11" s="133"/>
      <c r="OQZ11" s="133"/>
      <c r="ORA11" s="133"/>
      <c r="ORB11" s="133"/>
      <c r="ORC11" s="133"/>
      <c r="ORD11" s="133"/>
      <c r="ORE11" s="133"/>
      <c r="ORF11" s="133"/>
      <c r="ORG11" s="133"/>
      <c r="ORH11" s="133"/>
      <c r="ORI11" s="133"/>
      <c r="ORJ11" s="133"/>
      <c r="ORK11" s="133"/>
      <c r="ORL11" s="133"/>
      <c r="ORM11" s="133"/>
      <c r="ORN11" s="133"/>
      <c r="ORO11" s="133"/>
      <c r="ORP11" s="133"/>
      <c r="ORQ11" s="133"/>
      <c r="ORR11" s="133"/>
      <c r="ORS11" s="133"/>
      <c r="ORT11" s="133"/>
      <c r="ORU11" s="133"/>
      <c r="ORV11" s="133"/>
      <c r="ORW11" s="133"/>
      <c r="ORX11" s="133"/>
      <c r="ORY11" s="133"/>
      <c r="ORZ11" s="133"/>
      <c r="OSA11" s="133"/>
      <c r="OSB11" s="133"/>
      <c r="OSC11" s="133"/>
      <c r="OSD11" s="133"/>
      <c r="OSE11" s="133"/>
      <c r="OSF11" s="133"/>
      <c r="OSG11" s="133"/>
      <c r="OSH11" s="133"/>
      <c r="OSI11" s="133"/>
      <c r="OSJ11" s="133"/>
      <c r="OSK11" s="133"/>
      <c r="OSL11" s="133"/>
      <c r="OSM11" s="133"/>
      <c r="OSN11" s="133"/>
      <c r="OSO11" s="133"/>
      <c r="OSP11" s="133"/>
      <c r="OSQ11" s="133"/>
      <c r="OSR11" s="133"/>
      <c r="OSS11" s="133"/>
      <c r="OST11" s="133"/>
      <c r="OSU11" s="133"/>
      <c r="OSV11" s="133"/>
      <c r="OSW11" s="133"/>
      <c r="OSX11" s="133"/>
      <c r="OSY11" s="133"/>
      <c r="OSZ11" s="133"/>
      <c r="OTA11" s="133"/>
      <c r="OTB11" s="133"/>
      <c r="OTC11" s="133"/>
      <c r="OTD11" s="133"/>
      <c r="OTE11" s="133"/>
      <c r="OTF11" s="133"/>
      <c r="OTG11" s="133"/>
      <c r="OTH11" s="133"/>
      <c r="OTI11" s="133"/>
      <c r="OTJ11" s="133"/>
      <c r="OTK11" s="133"/>
      <c r="OTL11" s="133"/>
      <c r="OTM11" s="133"/>
      <c r="OTN11" s="133"/>
      <c r="OTO11" s="133"/>
      <c r="OTP11" s="133"/>
      <c r="OTQ11" s="133"/>
      <c r="OTR11" s="133"/>
      <c r="OTS11" s="133"/>
      <c r="OTT11" s="133"/>
      <c r="OTU11" s="133"/>
      <c r="OTV11" s="133"/>
      <c r="OTW11" s="133"/>
      <c r="OTX11" s="133"/>
      <c r="OTY11" s="133"/>
      <c r="OTZ11" s="133"/>
      <c r="OUA11" s="133"/>
      <c r="OUB11" s="133"/>
      <c r="OUC11" s="133"/>
      <c r="OUD11" s="133"/>
      <c r="OUE11" s="133"/>
      <c r="OUF11" s="133"/>
      <c r="OUG11" s="133"/>
      <c r="OUH11" s="133"/>
      <c r="OUI11" s="133"/>
      <c r="OUJ11" s="133"/>
      <c r="OUK11" s="133"/>
      <c r="OUL11" s="133"/>
      <c r="OUM11" s="133"/>
      <c r="OUN11" s="133"/>
      <c r="OUO11" s="133"/>
      <c r="OUP11" s="133"/>
      <c r="OUQ11" s="133"/>
      <c r="OUR11" s="133"/>
      <c r="OUS11" s="133"/>
      <c r="OUT11" s="133"/>
      <c r="OUU11" s="133"/>
      <c r="OUV11" s="133"/>
      <c r="OUW11" s="133"/>
      <c r="OUX11" s="133"/>
      <c r="OUY11" s="133"/>
      <c r="OUZ11" s="133"/>
      <c r="OVA11" s="133"/>
      <c r="OVB11" s="133"/>
      <c r="OVC11" s="133"/>
      <c r="OVD11" s="133"/>
      <c r="OVE11" s="133"/>
      <c r="OVF11" s="133"/>
      <c r="OVG11" s="133"/>
      <c r="OVH11" s="133"/>
      <c r="OVI11" s="133"/>
      <c r="OVJ11" s="133"/>
      <c r="OVK11" s="133"/>
      <c r="OVL11" s="133"/>
      <c r="OVM11" s="133"/>
      <c r="OVN11" s="133"/>
      <c r="OVO11" s="133"/>
      <c r="OVP11" s="133"/>
      <c r="OVQ11" s="133"/>
      <c r="OVR11" s="133"/>
      <c r="OVS11" s="133"/>
      <c r="OVT11" s="133"/>
      <c r="OVU11" s="133"/>
      <c r="OVV11" s="133"/>
      <c r="OVW11" s="133"/>
      <c r="OVX11" s="133"/>
      <c r="OVY11" s="133"/>
      <c r="OVZ11" s="133"/>
      <c r="OWA11" s="133"/>
      <c r="OWB11" s="133"/>
      <c r="OWC11" s="133"/>
      <c r="OWD11" s="133"/>
      <c r="OWE11" s="133"/>
      <c r="OWF11" s="133"/>
      <c r="OWG11" s="133"/>
      <c r="OWH11" s="133"/>
      <c r="OWI11" s="133"/>
      <c r="OWJ11" s="133"/>
      <c r="OWK11" s="133"/>
      <c r="OWL11" s="133"/>
      <c r="OWM11" s="133"/>
      <c r="OWN11" s="133"/>
      <c r="OWO11" s="133"/>
      <c r="OWP11" s="133"/>
      <c r="OWQ11" s="133"/>
      <c r="OWR11" s="133"/>
      <c r="OWS11" s="133"/>
      <c r="OWT11" s="133"/>
      <c r="OWU11" s="133"/>
      <c r="OWV11" s="133"/>
      <c r="OWW11" s="133"/>
      <c r="OWX11" s="133"/>
      <c r="OWY11" s="133"/>
      <c r="OWZ11" s="133"/>
      <c r="OXA11" s="133"/>
      <c r="OXB11" s="133"/>
      <c r="OXC11" s="133"/>
      <c r="OXD11" s="133"/>
      <c r="OXE11" s="133"/>
      <c r="OXF11" s="133"/>
      <c r="OXG11" s="133"/>
      <c r="OXH11" s="133"/>
      <c r="OXI11" s="133"/>
      <c r="OXJ11" s="133"/>
      <c r="OXK11" s="133"/>
      <c r="OXL11" s="133"/>
      <c r="OXM11" s="133"/>
      <c r="OXN11" s="133"/>
      <c r="OXO11" s="133"/>
      <c r="OXP11" s="133"/>
      <c r="OXQ11" s="133"/>
      <c r="OXR11" s="133"/>
      <c r="OXS11" s="133"/>
      <c r="OXT11" s="133"/>
      <c r="OXU11" s="133"/>
      <c r="OXV11" s="133"/>
      <c r="OXW11" s="133"/>
      <c r="OXX11" s="133"/>
      <c r="OXY11" s="133"/>
      <c r="OXZ11" s="133"/>
      <c r="OYA11" s="133"/>
      <c r="OYB11" s="133"/>
      <c r="OYC11" s="133"/>
      <c r="OYD11" s="133"/>
      <c r="OYE11" s="133"/>
      <c r="OYF11" s="133"/>
      <c r="OYG11" s="133"/>
      <c r="OYH11" s="133"/>
      <c r="OYI11" s="133"/>
      <c r="OYJ11" s="133"/>
      <c r="OYK11" s="133"/>
      <c r="OYL11" s="133"/>
      <c r="OYM11" s="133"/>
      <c r="OYN11" s="133"/>
      <c r="OYO11" s="133"/>
      <c r="OYP11" s="133"/>
      <c r="OYQ11" s="133"/>
      <c r="OYR11" s="133"/>
      <c r="OYS11" s="133"/>
      <c r="OYT11" s="133"/>
      <c r="OYU11" s="133"/>
      <c r="OYV11" s="133"/>
      <c r="OYW11" s="133"/>
      <c r="OYX11" s="133"/>
      <c r="OYY11" s="133"/>
      <c r="OYZ11" s="133"/>
      <c r="OZA11" s="133"/>
      <c r="OZB11" s="133"/>
      <c r="OZC11" s="133"/>
      <c r="OZD11" s="133"/>
      <c r="OZE11" s="133"/>
      <c r="OZF11" s="133"/>
      <c r="OZG11" s="133"/>
      <c r="OZH11" s="133"/>
      <c r="OZI11" s="133"/>
      <c r="OZJ11" s="133"/>
      <c r="OZK11" s="133"/>
      <c r="OZL11" s="133"/>
      <c r="OZM11" s="133"/>
      <c r="OZN11" s="133"/>
      <c r="OZO11" s="133"/>
      <c r="OZP11" s="133"/>
      <c r="OZQ11" s="133"/>
      <c r="OZR11" s="133"/>
      <c r="OZS11" s="133"/>
      <c r="OZT11" s="133"/>
      <c r="OZU11" s="133"/>
      <c r="OZV11" s="133"/>
      <c r="OZW11" s="133"/>
      <c r="OZX11" s="133"/>
      <c r="OZY11" s="133"/>
      <c r="OZZ11" s="133"/>
      <c r="PAA11" s="133"/>
      <c r="PAB11" s="133"/>
      <c r="PAC11" s="133"/>
      <c r="PAD11" s="133"/>
      <c r="PAE11" s="133"/>
      <c r="PAF11" s="133"/>
      <c r="PAG11" s="133"/>
      <c r="PAH11" s="133"/>
      <c r="PAI11" s="133"/>
      <c r="PAJ11" s="133"/>
      <c r="PAK11" s="133"/>
      <c r="PAL11" s="133"/>
      <c r="PAM11" s="133"/>
      <c r="PAN11" s="133"/>
      <c r="PAO11" s="133"/>
      <c r="PAP11" s="133"/>
      <c r="PAQ11" s="133"/>
      <c r="PAR11" s="133"/>
      <c r="PAS11" s="133"/>
      <c r="PAT11" s="133"/>
      <c r="PAU11" s="133"/>
      <c r="PAV11" s="133"/>
      <c r="PAW11" s="133"/>
      <c r="PAX11" s="133"/>
      <c r="PAY11" s="133"/>
      <c r="PAZ11" s="133"/>
      <c r="PBA11" s="133"/>
      <c r="PBB11" s="133"/>
      <c r="PBC11" s="133"/>
      <c r="PBD11" s="133"/>
      <c r="PBE11" s="133"/>
      <c r="PBF11" s="133"/>
      <c r="PBG11" s="133"/>
      <c r="PBH11" s="133"/>
      <c r="PBI11" s="133"/>
      <c r="PBJ11" s="133"/>
      <c r="PBK11" s="133"/>
      <c r="PBL11" s="133"/>
      <c r="PBM11" s="133"/>
      <c r="PBN11" s="133"/>
      <c r="PBO11" s="133"/>
      <c r="PBP11" s="133"/>
      <c r="PBQ11" s="133"/>
      <c r="PBR11" s="133"/>
      <c r="PBS11" s="133"/>
      <c r="PBT11" s="133"/>
      <c r="PBU11" s="133"/>
      <c r="PBV11" s="133"/>
      <c r="PBW11" s="133"/>
      <c r="PBX11" s="133"/>
      <c r="PBY11" s="133"/>
      <c r="PBZ11" s="133"/>
      <c r="PCA11" s="133"/>
      <c r="PCB11" s="133"/>
      <c r="PCC11" s="133"/>
      <c r="PCD11" s="133"/>
      <c r="PCE11" s="133"/>
      <c r="PCF11" s="133"/>
      <c r="PCG11" s="133"/>
      <c r="PCH11" s="133"/>
      <c r="PCI11" s="133"/>
      <c r="PCJ11" s="133"/>
      <c r="PCK11" s="133"/>
      <c r="PCL11" s="133"/>
      <c r="PCM11" s="133"/>
      <c r="PCN11" s="133"/>
      <c r="PCO11" s="133"/>
      <c r="PCP11" s="133"/>
      <c r="PCQ11" s="133"/>
      <c r="PCR11" s="133"/>
      <c r="PCS11" s="133"/>
      <c r="PCT11" s="133"/>
      <c r="PCU11" s="133"/>
      <c r="PCV11" s="133"/>
      <c r="PCW11" s="133"/>
      <c r="PCX11" s="133"/>
      <c r="PCY11" s="133"/>
      <c r="PCZ11" s="133"/>
      <c r="PDA11" s="133"/>
      <c r="PDB11" s="133"/>
      <c r="PDC11" s="133"/>
      <c r="PDD11" s="133"/>
      <c r="PDE11" s="133"/>
      <c r="PDF11" s="133"/>
      <c r="PDG11" s="133"/>
      <c r="PDH11" s="133"/>
      <c r="PDI11" s="133"/>
      <c r="PDJ11" s="133"/>
      <c r="PDK11" s="133"/>
      <c r="PDL11" s="133"/>
      <c r="PDM11" s="133"/>
      <c r="PDN11" s="133"/>
      <c r="PDO11" s="133"/>
      <c r="PDP11" s="133"/>
      <c r="PDQ11" s="133"/>
      <c r="PDR11" s="133"/>
      <c r="PDS11" s="133"/>
      <c r="PDT11" s="133"/>
      <c r="PDU11" s="133"/>
      <c r="PDV11" s="133"/>
      <c r="PDW11" s="133"/>
      <c r="PDX11" s="133"/>
      <c r="PDY11" s="133"/>
      <c r="PDZ11" s="133"/>
      <c r="PEA11" s="133"/>
      <c r="PEB11" s="133"/>
      <c r="PEC11" s="133"/>
      <c r="PED11" s="133"/>
      <c r="PEE11" s="133"/>
      <c r="PEF11" s="133"/>
      <c r="PEG11" s="133"/>
      <c r="PEH11" s="133"/>
      <c r="PEI11" s="133"/>
      <c r="PEJ11" s="133"/>
      <c r="PEK11" s="133"/>
      <c r="PEL11" s="133"/>
      <c r="PEM11" s="133"/>
      <c r="PEN11" s="133"/>
      <c r="PEO11" s="133"/>
      <c r="PEP11" s="133"/>
      <c r="PEQ11" s="133"/>
      <c r="PER11" s="133"/>
      <c r="PES11" s="133"/>
      <c r="PET11" s="133"/>
      <c r="PEU11" s="133"/>
      <c r="PEV11" s="133"/>
      <c r="PEW11" s="133"/>
      <c r="PEX11" s="133"/>
      <c r="PEY11" s="133"/>
      <c r="PEZ11" s="133"/>
      <c r="PFA11" s="133"/>
      <c r="PFB11" s="133"/>
      <c r="PFC11" s="133"/>
      <c r="PFD11" s="133"/>
      <c r="PFE11" s="133"/>
      <c r="PFF11" s="133"/>
      <c r="PFG11" s="133"/>
      <c r="PFH11" s="133"/>
      <c r="PFI11" s="133"/>
      <c r="PFJ11" s="133"/>
      <c r="PFK11" s="133"/>
      <c r="PFL11" s="133"/>
      <c r="PFM11" s="133"/>
      <c r="PFN11" s="133"/>
      <c r="PFO11" s="133"/>
      <c r="PFP11" s="133"/>
      <c r="PFQ11" s="133"/>
      <c r="PFR11" s="133"/>
      <c r="PFS11" s="133"/>
      <c r="PFT11" s="133"/>
      <c r="PFU11" s="133"/>
      <c r="PFV11" s="133"/>
      <c r="PFW11" s="133"/>
      <c r="PFX11" s="133"/>
      <c r="PFY11" s="133"/>
      <c r="PFZ11" s="133"/>
      <c r="PGA11" s="133"/>
      <c r="PGB11" s="133"/>
      <c r="PGC11" s="133"/>
      <c r="PGD11" s="133"/>
      <c r="PGE11" s="133"/>
      <c r="PGF11" s="133"/>
      <c r="PGG11" s="133"/>
      <c r="PGH11" s="133"/>
      <c r="PGI11" s="133"/>
      <c r="PGJ11" s="133"/>
      <c r="PGK11" s="133"/>
      <c r="PGL11" s="133"/>
      <c r="PGM11" s="133"/>
      <c r="PGN11" s="133"/>
      <c r="PGO11" s="133"/>
      <c r="PGP11" s="133"/>
      <c r="PGQ11" s="133"/>
      <c r="PGR11" s="133"/>
      <c r="PGS11" s="133"/>
      <c r="PGT11" s="133"/>
      <c r="PGU11" s="133"/>
      <c r="PGV11" s="133"/>
      <c r="PGW11" s="133"/>
      <c r="PGX11" s="133"/>
      <c r="PGY11" s="133"/>
      <c r="PGZ11" s="133"/>
      <c r="PHA11" s="133"/>
      <c r="PHB11" s="133"/>
      <c r="PHC11" s="133"/>
      <c r="PHD11" s="133"/>
      <c r="PHE11" s="133"/>
      <c r="PHF11" s="133"/>
      <c r="PHG11" s="133"/>
      <c r="PHH11" s="133"/>
      <c r="PHI11" s="133"/>
      <c r="PHJ11" s="133"/>
      <c r="PHK11" s="133"/>
      <c r="PHL11" s="133"/>
      <c r="PHM11" s="133"/>
      <c r="PHN11" s="133"/>
      <c r="PHO11" s="133"/>
      <c r="PHP11" s="133"/>
      <c r="PHQ11" s="133"/>
      <c r="PHR11" s="133"/>
      <c r="PHS11" s="133"/>
      <c r="PHT11" s="133"/>
      <c r="PHU11" s="133"/>
      <c r="PHV11" s="133"/>
      <c r="PHW11" s="133"/>
      <c r="PHX11" s="133"/>
      <c r="PHY11" s="133"/>
      <c r="PHZ11" s="133"/>
      <c r="PIA11" s="133"/>
      <c r="PIB11" s="133"/>
      <c r="PIC11" s="133"/>
      <c r="PID11" s="133"/>
      <c r="PIE11" s="133"/>
      <c r="PIF11" s="133"/>
      <c r="PIG11" s="133"/>
      <c r="PIH11" s="133"/>
      <c r="PII11" s="133"/>
      <c r="PIJ11" s="133"/>
      <c r="PIK11" s="133"/>
      <c r="PIL11" s="133"/>
      <c r="PIM11" s="133"/>
      <c r="PIN11" s="133"/>
      <c r="PIO11" s="133"/>
      <c r="PIP11" s="133"/>
      <c r="PIQ11" s="133"/>
      <c r="PIR11" s="133"/>
      <c r="PIS11" s="133"/>
      <c r="PIT11" s="133"/>
      <c r="PIU11" s="133"/>
      <c r="PIV11" s="133"/>
      <c r="PIW11" s="133"/>
      <c r="PIX11" s="133"/>
      <c r="PIY11" s="133"/>
      <c r="PIZ11" s="133"/>
      <c r="PJA11" s="133"/>
      <c r="PJB11" s="133"/>
      <c r="PJC11" s="133"/>
      <c r="PJD11" s="133"/>
      <c r="PJE11" s="133"/>
      <c r="PJF11" s="133"/>
      <c r="PJG11" s="133"/>
      <c r="PJH11" s="133"/>
      <c r="PJI11" s="133"/>
      <c r="PJJ11" s="133"/>
      <c r="PJK11" s="133"/>
      <c r="PJL11" s="133"/>
      <c r="PJM11" s="133"/>
      <c r="PJN11" s="133"/>
      <c r="PJO11" s="133"/>
      <c r="PJP11" s="133"/>
      <c r="PJQ11" s="133"/>
      <c r="PJR11" s="133"/>
      <c r="PJS11" s="133"/>
      <c r="PJT11" s="133"/>
      <c r="PJU11" s="133"/>
      <c r="PJV11" s="133"/>
      <c r="PJW11" s="133"/>
      <c r="PJX11" s="133"/>
      <c r="PJY11" s="133"/>
      <c r="PJZ11" s="133"/>
      <c r="PKA11" s="133"/>
      <c r="PKB11" s="133"/>
      <c r="PKC11" s="133"/>
      <c r="PKD11" s="133"/>
      <c r="PKE11" s="133"/>
      <c r="PKF11" s="133"/>
      <c r="PKG11" s="133"/>
      <c r="PKH11" s="133"/>
      <c r="PKI11" s="133"/>
      <c r="PKJ11" s="133"/>
      <c r="PKK11" s="133"/>
      <c r="PKL11" s="133"/>
      <c r="PKM11" s="133"/>
      <c r="PKN11" s="133"/>
      <c r="PKO11" s="133"/>
      <c r="PKP11" s="133"/>
      <c r="PKQ11" s="133"/>
      <c r="PKR11" s="133"/>
      <c r="PKS11" s="133"/>
      <c r="PKT11" s="133"/>
      <c r="PKU11" s="133"/>
      <c r="PKV11" s="133"/>
      <c r="PKW11" s="133"/>
      <c r="PKX11" s="133"/>
      <c r="PKY11" s="133"/>
      <c r="PKZ11" s="133"/>
      <c r="PLA11" s="133"/>
      <c r="PLB11" s="133"/>
      <c r="PLC11" s="133"/>
      <c r="PLD11" s="133"/>
      <c r="PLE11" s="133"/>
      <c r="PLF11" s="133"/>
      <c r="PLG11" s="133"/>
      <c r="PLH11" s="133"/>
      <c r="PLI11" s="133"/>
      <c r="PLJ11" s="133"/>
      <c r="PLK11" s="133"/>
      <c r="PLL11" s="133"/>
      <c r="PLM11" s="133"/>
      <c r="PLN11" s="133"/>
      <c r="PLO11" s="133"/>
      <c r="PLP11" s="133"/>
      <c r="PLQ11" s="133"/>
      <c r="PLR11" s="133"/>
      <c r="PLS11" s="133"/>
      <c r="PLT11" s="133"/>
      <c r="PLU11" s="133"/>
      <c r="PLV11" s="133"/>
      <c r="PLW11" s="133"/>
      <c r="PLX11" s="133"/>
      <c r="PLY11" s="133"/>
      <c r="PLZ11" s="133"/>
      <c r="PMA11" s="133"/>
      <c r="PMB11" s="133"/>
      <c r="PMC11" s="133"/>
      <c r="PMD11" s="133"/>
      <c r="PME11" s="133"/>
      <c r="PMF11" s="133"/>
      <c r="PMG11" s="133"/>
      <c r="PMH11" s="133"/>
      <c r="PMI11" s="133"/>
      <c r="PMJ11" s="133"/>
      <c r="PMK11" s="133"/>
      <c r="PML11" s="133"/>
      <c r="PMM11" s="133"/>
      <c r="PMN11" s="133"/>
      <c r="PMO11" s="133"/>
      <c r="PMP11" s="133"/>
      <c r="PMQ11" s="133"/>
      <c r="PMR11" s="133"/>
      <c r="PMS11" s="133"/>
      <c r="PMT11" s="133"/>
      <c r="PMU11" s="133"/>
      <c r="PMV11" s="133"/>
      <c r="PMW11" s="133"/>
      <c r="PMX11" s="133"/>
      <c r="PMY11" s="133"/>
      <c r="PMZ11" s="133"/>
      <c r="PNA11" s="133"/>
      <c r="PNB11" s="133"/>
      <c r="PNC11" s="133"/>
      <c r="PND11" s="133"/>
      <c r="PNE11" s="133"/>
      <c r="PNF11" s="133"/>
      <c r="PNG11" s="133"/>
      <c r="PNH11" s="133"/>
      <c r="PNI11" s="133"/>
      <c r="PNJ11" s="133"/>
      <c r="PNK11" s="133"/>
      <c r="PNL11" s="133"/>
      <c r="PNM11" s="133"/>
      <c r="PNN11" s="133"/>
      <c r="PNO11" s="133"/>
      <c r="PNP11" s="133"/>
      <c r="PNQ11" s="133"/>
      <c r="PNR11" s="133"/>
      <c r="PNS11" s="133"/>
      <c r="PNT11" s="133"/>
      <c r="PNU11" s="133"/>
      <c r="PNV11" s="133"/>
      <c r="PNW11" s="133"/>
      <c r="PNX11" s="133"/>
      <c r="PNY11" s="133"/>
      <c r="PNZ11" s="133"/>
      <c r="POA11" s="133"/>
      <c r="POB11" s="133"/>
      <c r="POC11" s="133"/>
      <c r="POD11" s="133"/>
      <c r="POE11" s="133"/>
      <c r="POF11" s="133"/>
      <c r="POG11" s="133"/>
      <c r="POH11" s="133"/>
      <c r="POI11" s="133"/>
      <c r="POJ11" s="133"/>
      <c r="POK11" s="133"/>
      <c r="POL11" s="133"/>
      <c r="POM11" s="133"/>
      <c r="PON11" s="133"/>
      <c r="POO11" s="133"/>
    </row>
    <row r="12" spans="1:1013 1026:2037 2050:3061 3074:4085 4098:5109 5122:6133 6146:7157 7170:8181 8194:9205 9218:10229 10242:11221" s="134" customFormat="1" ht="14.95" customHeight="1" thickBot="1" x14ac:dyDescent="0.3">
      <c r="A12" s="145" t="s">
        <v>235</v>
      </c>
      <c r="B12" s="139" t="s">
        <v>104</v>
      </c>
      <c r="C12" s="140" t="s">
        <v>9</v>
      </c>
      <c r="D12" s="141" t="s">
        <v>36</v>
      </c>
      <c r="E12" s="141" t="s">
        <v>34</v>
      </c>
      <c r="F12" s="141">
        <v>9</v>
      </c>
      <c r="G12" s="141">
        <v>15</v>
      </c>
      <c r="H12" s="141">
        <v>0</v>
      </c>
      <c r="I12" s="141">
        <v>1</v>
      </c>
      <c r="J12" s="141">
        <v>0</v>
      </c>
      <c r="K12" s="141">
        <v>0</v>
      </c>
      <c r="L12" s="141">
        <v>0</v>
      </c>
      <c r="M12" s="141">
        <v>1</v>
      </c>
      <c r="N12" s="141">
        <v>0</v>
      </c>
      <c r="O12" s="141">
        <v>0</v>
      </c>
      <c r="P12" s="141">
        <v>0</v>
      </c>
      <c r="Q12" s="141">
        <v>0</v>
      </c>
      <c r="R12" s="141">
        <v>0</v>
      </c>
      <c r="S12" s="142">
        <v>13205</v>
      </c>
      <c r="T12" s="591" t="s">
        <v>528</v>
      </c>
      <c r="U12" s="592" t="s">
        <v>589</v>
      </c>
      <c r="V12" s="593" t="s">
        <v>590</v>
      </c>
      <c r="W12" s="142" t="s">
        <v>596</v>
      </c>
      <c r="X12" s="144" t="s">
        <v>615</v>
      </c>
      <c r="Y12" s="142">
        <v>1</v>
      </c>
      <c r="Z12" s="142">
        <v>0</v>
      </c>
      <c r="AA12" s="142">
        <v>0</v>
      </c>
      <c r="AB12" s="142">
        <v>1</v>
      </c>
      <c r="AC12" s="142">
        <v>1</v>
      </c>
      <c r="AD12" s="142">
        <v>0</v>
      </c>
      <c r="AE12" s="142">
        <v>0</v>
      </c>
      <c r="AF12" s="142">
        <v>1</v>
      </c>
      <c r="AG12" s="142">
        <v>0</v>
      </c>
      <c r="AH12" s="142">
        <v>0</v>
      </c>
      <c r="AI12" s="142">
        <v>0</v>
      </c>
      <c r="AJ12" s="143">
        <v>0</v>
      </c>
      <c r="AK12" s="142">
        <v>0</v>
      </c>
      <c r="AL12" s="142">
        <v>0</v>
      </c>
      <c r="AM12" s="142">
        <v>0</v>
      </c>
      <c r="AN12" s="143">
        <v>0</v>
      </c>
      <c r="AO12" s="133"/>
      <c r="AP12" s="133"/>
      <c r="AQ12" s="133"/>
      <c r="AR12" s="133"/>
      <c r="AS12" s="177" t="s">
        <v>176</v>
      </c>
      <c r="AT12" s="189">
        <f>btheuropeancuphisttriesagainst</f>
        <v>181</v>
      </c>
      <c r="AU12" s="179" t="s">
        <v>176</v>
      </c>
      <c r="AV12" s="180">
        <f>bthchampscuphisttriesagainst</f>
        <v>76</v>
      </c>
      <c r="AW12" s="181" t="s">
        <v>176</v>
      </c>
      <c r="AX12" s="178">
        <f>bthchallcuphisttriesagainst</f>
        <v>99</v>
      </c>
      <c r="AY12" s="182" t="s">
        <v>176</v>
      </c>
      <c r="AZ12" s="183">
        <f t="shared" si="0"/>
        <v>280</v>
      </c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  <c r="BRS12" s="133"/>
      <c r="BRT12" s="133"/>
      <c r="BRU12" s="133"/>
      <c r="BRV12" s="133"/>
      <c r="BRW12" s="133"/>
      <c r="BRX12" s="133"/>
      <c r="BRY12" s="133"/>
      <c r="BRZ12" s="133"/>
      <c r="BSA12" s="133"/>
      <c r="BSB12" s="133"/>
      <c r="BSC12" s="133"/>
      <c r="BSD12" s="133"/>
      <c r="BSE12" s="133"/>
      <c r="BSF12" s="133"/>
      <c r="BSG12" s="133"/>
      <c r="BSH12" s="133"/>
      <c r="BSI12" s="133"/>
      <c r="BSJ12" s="133"/>
      <c r="BSK12" s="133"/>
      <c r="BSL12" s="133"/>
      <c r="BSM12" s="133"/>
      <c r="BSN12" s="133"/>
      <c r="BSO12" s="133"/>
      <c r="BSP12" s="133"/>
      <c r="BSQ12" s="133"/>
      <c r="BSR12" s="133"/>
      <c r="BSS12" s="133"/>
      <c r="BST12" s="133"/>
      <c r="BSU12" s="133"/>
      <c r="BSV12" s="133"/>
      <c r="BSW12" s="133"/>
      <c r="BSX12" s="133"/>
      <c r="BSY12" s="133"/>
      <c r="BSZ12" s="133"/>
      <c r="BTA12" s="133"/>
      <c r="BTB12" s="133"/>
      <c r="BTC12" s="133"/>
      <c r="BTD12" s="133"/>
      <c r="BTE12" s="133"/>
      <c r="BTF12" s="133"/>
      <c r="BTG12" s="133"/>
      <c r="BTH12" s="133"/>
      <c r="BTI12" s="133"/>
      <c r="BTJ12" s="133"/>
      <c r="BTK12" s="133"/>
      <c r="BTL12" s="133"/>
      <c r="BTM12" s="133"/>
      <c r="BTN12" s="133"/>
      <c r="BTO12" s="133"/>
      <c r="BTP12" s="133"/>
      <c r="BTQ12" s="133"/>
      <c r="BTR12" s="133"/>
      <c r="BTS12" s="133"/>
      <c r="BTT12" s="133"/>
      <c r="BTU12" s="133"/>
      <c r="BTV12" s="133"/>
      <c r="BTW12" s="133"/>
      <c r="BTX12" s="133"/>
      <c r="BTY12" s="133"/>
      <c r="BTZ12" s="133"/>
      <c r="BUA12" s="133"/>
      <c r="BUB12" s="133"/>
      <c r="BUC12" s="133"/>
      <c r="BUD12" s="133"/>
      <c r="BUE12" s="133"/>
      <c r="BUF12" s="133"/>
      <c r="BUG12" s="133"/>
      <c r="BUH12" s="133"/>
      <c r="BUI12" s="133"/>
      <c r="BUJ12" s="133"/>
      <c r="BUK12" s="133"/>
      <c r="BUL12" s="133"/>
      <c r="BUM12" s="133"/>
      <c r="BUN12" s="133"/>
      <c r="BUO12" s="133"/>
      <c r="BUP12" s="133"/>
      <c r="BUQ12" s="133"/>
      <c r="BUR12" s="133"/>
      <c r="BUS12" s="133"/>
      <c r="BUT12" s="133"/>
      <c r="BUU12" s="133"/>
      <c r="BUV12" s="133"/>
      <c r="BUW12" s="133"/>
      <c r="BUX12" s="133"/>
      <c r="BUY12" s="133"/>
      <c r="BUZ12" s="133"/>
      <c r="BVA12" s="133"/>
      <c r="BVB12" s="133"/>
      <c r="BVC12" s="133"/>
      <c r="BVD12" s="133"/>
      <c r="BVE12" s="133"/>
      <c r="BVF12" s="133"/>
      <c r="BVG12" s="133"/>
      <c r="BVH12" s="133"/>
      <c r="BVI12" s="133"/>
      <c r="BVJ12" s="133"/>
      <c r="BVK12" s="133"/>
      <c r="BVL12" s="133"/>
      <c r="BVM12" s="133"/>
      <c r="BVN12" s="133"/>
      <c r="BVO12" s="133"/>
      <c r="BVP12" s="133"/>
      <c r="BVQ12" s="133"/>
      <c r="BVR12" s="133"/>
      <c r="BVS12" s="133"/>
      <c r="BVT12" s="133"/>
      <c r="BVU12" s="133"/>
      <c r="BVV12" s="133"/>
      <c r="BVW12" s="133"/>
      <c r="BVX12" s="133"/>
      <c r="BVY12" s="133"/>
      <c r="BVZ12" s="133"/>
      <c r="BWA12" s="133"/>
      <c r="BWB12" s="133"/>
      <c r="BWC12" s="133"/>
      <c r="BWD12" s="133"/>
      <c r="BWE12" s="133"/>
      <c r="BWF12" s="133"/>
      <c r="BWG12" s="133"/>
      <c r="BWH12" s="133"/>
      <c r="BWI12" s="133"/>
      <c r="BWJ12" s="133"/>
      <c r="BWK12" s="133"/>
      <c r="BWL12" s="133"/>
      <c r="BWM12" s="133"/>
      <c r="BWN12" s="133"/>
      <c r="BWO12" s="133"/>
      <c r="BWP12" s="133"/>
      <c r="BWQ12" s="133"/>
      <c r="BWR12" s="133"/>
      <c r="BWS12" s="133"/>
      <c r="BWT12" s="133"/>
      <c r="BWU12" s="133"/>
      <c r="BWV12" s="133"/>
      <c r="BWW12" s="133"/>
      <c r="BWX12" s="133"/>
      <c r="BWY12" s="133"/>
      <c r="BWZ12" s="133"/>
      <c r="BXA12" s="133"/>
      <c r="BXB12" s="133"/>
      <c r="BXC12" s="133"/>
      <c r="BXD12" s="133"/>
      <c r="BXE12" s="133"/>
      <c r="BXF12" s="133"/>
      <c r="BXG12" s="133"/>
      <c r="BXH12" s="133"/>
      <c r="BXI12" s="133"/>
      <c r="BXJ12" s="133"/>
      <c r="BXK12" s="133"/>
      <c r="BXL12" s="133"/>
      <c r="BXM12" s="133"/>
      <c r="BXN12" s="133"/>
      <c r="BXO12" s="133"/>
      <c r="BXP12" s="133"/>
      <c r="BXQ12" s="133"/>
      <c r="BXR12" s="133"/>
      <c r="BXS12" s="133"/>
      <c r="BXT12" s="133"/>
      <c r="BXU12" s="133"/>
      <c r="BXV12" s="133"/>
      <c r="BXW12" s="133"/>
      <c r="BXX12" s="133"/>
      <c r="BXY12" s="133"/>
      <c r="BXZ12" s="133"/>
      <c r="BYA12" s="133"/>
      <c r="BYB12" s="133"/>
      <c r="BYC12" s="133"/>
      <c r="BYD12" s="133"/>
      <c r="BYE12" s="133"/>
      <c r="BYF12" s="133"/>
      <c r="BYG12" s="133"/>
      <c r="BYH12" s="133"/>
      <c r="BYI12" s="133"/>
      <c r="BYJ12" s="133"/>
      <c r="BYK12" s="133"/>
      <c r="BYL12" s="133"/>
      <c r="BYM12" s="133"/>
      <c r="BYN12" s="133"/>
      <c r="BYO12" s="133"/>
      <c r="BYP12" s="133"/>
      <c r="BYQ12" s="133"/>
      <c r="BYR12" s="133"/>
      <c r="BYS12" s="133"/>
      <c r="BYT12" s="133"/>
      <c r="BYU12" s="133"/>
      <c r="BYV12" s="133"/>
      <c r="BYW12" s="133"/>
      <c r="BYX12" s="133"/>
      <c r="BYY12" s="133"/>
      <c r="BYZ12" s="133"/>
      <c r="BZA12" s="133"/>
      <c r="BZB12" s="133"/>
      <c r="BZC12" s="133"/>
      <c r="BZD12" s="133"/>
      <c r="BZE12" s="133"/>
      <c r="BZF12" s="133"/>
      <c r="BZG12" s="133"/>
      <c r="BZH12" s="133"/>
      <c r="BZI12" s="133"/>
      <c r="BZV12" s="133"/>
      <c r="BZW12" s="133"/>
      <c r="BZX12" s="133"/>
      <c r="BZY12" s="133"/>
      <c r="BZZ12" s="133"/>
      <c r="CAA12" s="133"/>
      <c r="CAB12" s="133"/>
      <c r="CAC12" s="133"/>
      <c r="CAD12" s="133"/>
      <c r="CAE12" s="133"/>
      <c r="CAF12" s="133"/>
      <c r="CAG12" s="133"/>
      <c r="CAH12" s="133"/>
      <c r="CAI12" s="133"/>
      <c r="CAJ12" s="133"/>
      <c r="CAK12" s="133"/>
      <c r="CAL12" s="133"/>
      <c r="CAM12" s="133"/>
      <c r="CAN12" s="133"/>
      <c r="CAO12" s="133"/>
      <c r="CAP12" s="133"/>
      <c r="CAQ12" s="133"/>
      <c r="CAR12" s="133"/>
      <c r="CAS12" s="133"/>
      <c r="CAT12" s="133"/>
      <c r="CAU12" s="133"/>
      <c r="CAV12" s="133"/>
      <c r="CAW12" s="133"/>
      <c r="CAX12" s="133"/>
      <c r="CAY12" s="133"/>
      <c r="CAZ12" s="133"/>
      <c r="CBA12" s="133"/>
      <c r="CBB12" s="133"/>
      <c r="CBC12" s="133"/>
      <c r="CBD12" s="133"/>
      <c r="CBE12" s="133"/>
      <c r="CBF12" s="133"/>
      <c r="CBG12" s="133"/>
      <c r="CBH12" s="133"/>
      <c r="CBI12" s="133"/>
      <c r="CBJ12" s="133"/>
      <c r="CBK12" s="133"/>
      <c r="CBL12" s="133"/>
      <c r="CBM12" s="133"/>
      <c r="CBN12" s="133"/>
      <c r="CBO12" s="133"/>
      <c r="CBP12" s="133"/>
      <c r="CBQ12" s="133"/>
      <c r="CBR12" s="133"/>
      <c r="CBS12" s="133"/>
      <c r="CBT12" s="133"/>
      <c r="CBU12" s="133"/>
      <c r="CBV12" s="133"/>
      <c r="CBW12" s="133"/>
      <c r="CBX12" s="133"/>
      <c r="CBY12" s="133"/>
      <c r="CBZ12" s="133"/>
      <c r="CCA12" s="133"/>
      <c r="CCB12" s="133"/>
      <c r="CCC12" s="133"/>
      <c r="CCD12" s="133"/>
      <c r="CCE12" s="133"/>
      <c r="CCF12" s="133"/>
      <c r="CCG12" s="133"/>
      <c r="CCH12" s="133"/>
      <c r="CCI12" s="133"/>
      <c r="CCJ12" s="133"/>
      <c r="CCK12" s="133"/>
      <c r="CCL12" s="133"/>
      <c r="CCM12" s="133"/>
      <c r="CCN12" s="133"/>
      <c r="CCO12" s="133"/>
      <c r="CCP12" s="133"/>
      <c r="CCQ12" s="133"/>
      <c r="CCR12" s="133"/>
      <c r="CCS12" s="133"/>
      <c r="CCT12" s="133"/>
      <c r="CCU12" s="133"/>
      <c r="CCV12" s="133"/>
      <c r="CCW12" s="133"/>
      <c r="CCX12" s="133"/>
      <c r="CCY12" s="133"/>
      <c r="CCZ12" s="133"/>
      <c r="CDA12" s="133"/>
      <c r="CDB12" s="133"/>
      <c r="CDC12" s="133"/>
      <c r="CDD12" s="133"/>
      <c r="CDE12" s="133"/>
      <c r="CDF12" s="133"/>
      <c r="CDG12" s="133"/>
      <c r="CDH12" s="133"/>
      <c r="CDI12" s="133"/>
      <c r="CDJ12" s="133"/>
      <c r="CDK12" s="133"/>
      <c r="CDL12" s="133"/>
      <c r="CDM12" s="133"/>
      <c r="CDN12" s="133"/>
      <c r="CDO12" s="133"/>
      <c r="CDP12" s="133"/>
      <c r="CDQ12" s="133"/>
      <c r="CDR12" s="133"/>
      <c r="CDS12" s="133"/>
      <c r="CDT12" s="133"/>
      <c r="CDU12" s="133"/>
      <c r="CDV12" s="133"/>
      <c r="CDW12" s="133"/>
      <c r="CDX12" s="133"/>
      <c r="CDY12" s="133"/>
      <c r="CDZ12" s="133"/>
      <c r="CEA12" s="133"/>
      <c r="CEB12" s="133"/>
      <c r="CEC12" s="133"/>
      <c r="CED12" s="133"/>
      <c r="CEE12" s="133"/>
      <c r="CEF12" s="133"/>
      <c r="CEG12" s="133"/>
      <c r="CEH12" s="133"/>
      <c r="CEI12" s="133"/>
      <c r="CEJ12" s="133"/>
      <c r="CEK12" s="133"/>
      <c r="CEL12" s="133"/>
      <c r="CEM12" s="133"/>
      <c r="CEN12" s="133"/>
      <c r="CEO12" s="133"/>
      <c r="CEP12" s="133"/>
      <c r="CEQ12" s="133"/>
      <c r="CER12" s="133"/>
      <c r="CES12" s="133"/>
      <c r="CET12" s="133"/>
      <c r="CEU12" s="133"/>
      <c r="CEV12" s="133"/>
      <c r="CEW12" s="133"/>
      <c r="CEX12" s="133"/>
      <c r="CEY12" s="133"/>
      <c r="CEZ12" s="133"/>
      <c r="CFA12" s="133"/>
      <c r="CFB12" s="133"/>
      <c r="CFC12" s="133"/>
      <c r="CFD12" s="133"/>
      <c r="CFE12" s="133"/>
      <c r="CFF12" s="133"/>
      <c r="CFG12" s="133"/>
      <c r="CFH12" s="133"/>
      <c r="CFI12" s="133"/>
      <c r="CFJ12" s="133"/>
      <c r="CFK12" s="133"/>
      <c r="CFL12" s="133"/>
      <c r="CFM12" s="133"/>
      <c r="CFN12" s="133"/>
      <c r="CFO12" s="133"/>
      <c r="CFP12" s="133"/>
      <c r="CFQ12" s="133"/>
      <c r="CFR12" s="133"/>
      <c r="CFS12" s="133"/>
      <c r="CFT12" s="133"/>
      <c r="CFU12" s="133"/>
      <c r="CFV12" s="133"/>
      <c r="CFW12" s="133"/>
      <c r="CFX12" s="133"/>
      <c r="CFY12" s="133"/>
      <c r="CFZ12" s="133"/>
      <c r="CGA12" s="133"/>
      <c r="CGB12" s="133"/>
      <c r="CGC12" s="133"/>
      <c r="CGD12" s="133"/>
      <c r="CGE12" s="133"/>
      <c r="CGF12" s="133"/>
      <c r="CGG12" s="133"/>
      <c r="CGH12" s="133"/>
      <c r="CGI12" s="133"/>
      <c r="CGJ12" s="133"/>
      <c r="CGK12" s="133"/>
      <c r="CGL12" s="133"/>
      <c r="CGM12" s="133"/>
      <c r="CGN12" s="133"/>
      <c r="CGO12" s="133"/>
      <c r="CGP12" s="133"/>
      <c r="CGQ12" s="133"/>
      <c r="CGR12" s="133"/>
      <c r="CGS12" s="133"/>
      <c r="CGT12" s="133"/>
      <c r="CGU12" s="133"/>
      <c r="CGV12" s="133"/>
      <c r="CGW12" s="133"/>
      <c r="CGX12" s="133"/>
      <c r="CGY12" s="133"/>
      <c r="CGZ12" s="133"/>
      <c r="CHA12" s="133"/>
      <c r="CHB12" s="133"/>
      <c r="CHC12" s="133"/>
      <c r="CHD12" s="133"/>
      <c r="CHE12" s="133"/>
      <c r="CHF12" s="133"/>
      <c r="CHG12" s="133"/>
      <c r="CHH12" s="133"/>
      <c r="CHI12" s="133"/>
      <c r="CHJ12" s="133"/>
      <c r="CHK12" s="133"/>
      <c r="CHL12" s="133"/>
      <c r="CHM12" s="133"/>
      <c r="CHN12" s="133"/>
      <c r="CHO12" s="133"/>
      <c r="CHP12" s="133"/>
      <c r="CHQ12" s="133"/>
      <c r="CHR12" s="133"/>
      <c r="CHS12" s="133"/>
      <c r="CHT12" s="133"/>
      <c r="CHU12" s="133"/>
      <c r="CHV12" s="133"/>
      <c r="CHW12" s="133"/>
      <c r="CHX12" s="133"/>
      <c r="CHY12" s="133"/>
      <c r="CHZ12" s="133"/>
      <c r="CIA12" s="133"/>
      <c r="CIB12" s="133"/>
      <c r="CIC12" s="133"/>
      <c r="CID12" s="133"/>
      <c r="CIE12" s="133"/>
      <c r="CIF12" s="133"/>
      <c r="CIG12" s="133"/>
      <c r="CIH12" s="133"/>
      <c r="CII12" s="133"/>
      <c r="CIJ12" s="133"/>
      <c r="CIK12" s="133"/>
      <c r="CIL12" s="133"/>
      <c r="CIM12" s="133"/>
      <c r="CIN12" s="133"/>
      <c r="CIO12" s="133"/>
      <c r="CIP12" s="133"/>
      <c r="CIQ12" s="133"/>
      <c r="CIR12" s="133"/>
      <c r="CIS12" s="133"/>
      <c r="CIT12" s="133"/>
      <c r="CIU12" s="133"/>
      <c r="CIV12" s="133"/>
      <c r="CIW12" s="133"/>
      <c r="CIX12" s="133"/>
      <c r="CIY12" s="133"/>
      <c r="CIZ12" s="133"/>
      <c r="CJA12" s="133"/>
      <c r="CJB12" s="133"/>
      <c r="CJC12" s="133"/>
      <c r="CJD12" s="133"/>
      <c r="CJE12" s="133"/>
      <c r="CJF12" s="133"/>
      <c r="CJG12" s="133"/>
      <c r="CJH12" s="133"/>
      <c r="CJI12" s="133"/>
      <c r="CJJ12" s="133"/>
      <c r="CJK12" s="133"/>
      <c r="CJL12" s="133"/>
      <c r="CJM12" s="133"/>
      <c r="CJN12" s="133"/>
      <c r="CJO12" s="133"/>
      <c r="CJP12" s="133"/>
      <c r="CJQ12" s="133"/>
      <c r="CJR12" s="133"/>
      <c r="CJS12" s="133"/>
      <c r="CJT12" s="133"/>
      <c r="CJU12" s="133"/>
      <c r="CJV12" s="133"/>
      <c r="CJW12" s="133"/>
      <c r="CJX12" s="133"/>
      <c r="CJY12" s="133"/>
      <c r="CJZ12" s="133"/>
      <c r="CKA12" s="133"/>
      <c r="CKB12" s="133"/>
      <c r="CKC12" s="133"/>
      <c r="CKD12" s="133"/>
      <c r="CKE12" s="133"/>
      <c r="CKF12" s="133"/>
      <c r="CKG12" s="133"/>
      <c r="CKH12" s="133"/>
      <c r="CKI12" s="133"/>
      <c r="CKJ12" s="133"/>
      <c r="CKK12" s="133"/>
      <c r="CKL12" s="133"/>
      <c r="CKM12" s="133"/>
      <c r="CKN12" s="133"/>
      <c r="CKO12" s="133"/>
      <c r="CKP12" s="133"/>
      <c r="CKQ12" s="133"/>
      <c r="CKR12" s="133"/>
      <c r="CKS12" s="133"/>
      <c r="CKT12" s="133"/>
      <c r="CKU12" s="133"/>
      <c r="CKV12" s="133"/>
      <c r="CKW12" s="133"/>
      <c r="CKX12" s="133"/>
      <c r="CKY12" s="133"/>
      <c r="CKZ12" s="133"/>
      <c r="CLA12" s="133"/>
      <c r="CLB12" s="133"/>
      <c r="CLC12" s="133"/>
      <c r="CLD12" s="133"/>
      <c r="CLE12" s="133"/>
      <c r="CLF12" s="133"/>
      <c r="CLG12" s="133"/>
      <c r="CLH12" s="133"/>
      <c r="CLI12" s="133"/>
      <c r="CLJ12" s="133"/>
      <c r="CLK12" s="133"/>
      <c r="CLL12" s="133"/>
      <c r="CLM12" s="133"/>
      <c r="CLN12" s="133"/>
      <c r="CLO12" s="133"/>
      <c r="CLP12" s="133"/>
      <c r="CLQ12" s="133"/>
      <c r="CLR12" s="133"/>
      <c r="CLS12" s="133"/>
      <c r="CLT12" s="133"/>
      <c r="CLU12" s="133"/>
      <c r="CLV12" s="133"/>
      <c r="CLW12" s="133"/>
      <c r="CLX12" s="133"/>
      <c r="CLY12" s="133"/>
      <c r="CLZ12" s="133"/>
      <c r="CMA12" s="133"/>
      <c r="CMB12" s="133"/>
      <c r="CMC12" s="133"/>
      <c r="CMD12" s="133"/>
      <c r="CME12" s="133"/>
      <c r="CMF12" s="133"/>
      <c r="CMG12" s="133"/>
      <c r="CMH12" s="133"/>
      <c r="CMI12" s="133"/>
      <c r="CMJ12" s="133"/>
      <c r="CMK12" s="133"/>
      <c r="CML12" s="133"/>
      <c r="CMM12" s="133"/>
      <c r="CMN12" s="133"/>
      <c r="CMO12" s="133"/>
      <c r="CMP12" s="133"/>
      <c r="CMQ12" s="133"/>
      <c r="CMR12" s="133"/>
      <c r="CMS12" s="133"/>
      <c r="CMT12" s="133"/>
      <c r="CMU12" s="133"/>
      <c r="CMV12" s="133"/>
      <c r="CMW12" s="133"/>
      <c r="CMX12" s="133"/>
      <c r="CMY12" s="133"/>
      <c r="CMZ12" s="133"/>
      <c r="CNA12" s="133"/>
      <c r="CNB12" s="133"/>
      <c r="CNC12" s="133"/>
      <c r="CND12" s="133"/>
      <c r="CNE12" s="133"/>
      <c r="CNF12" s="133"/>
      <c r="CNG12" s="133"/>
      <c r="CNH12" s="133"/>
      <c r="CNI12" s="133"/>
      <c r="CNJ12" s="133"/>
      <c r="CNK12" s="133"/>
      <c r="CNL12" s="133"/>
      <c r="CNM12" s="133"/>
      <c r="CNN12" s="133"/>
      <c r="CNO12" s="133"/>
      <c r="CNP12" s="133"/>
      <c r="CNQ12" s="133"/>
      <c r="CNR12" s="133"/>
      <c r="CNS12" s="133"/>
      <c r="CNT12" s="133"/>
      <c r="CNU12" s="133"/>
      <c r="CNV12" s="133"/>
      <c r="CNW12" s="133"/>
      <c r="CNX12" s="133"/>
      <c r="CNY12" s="133"/>
      <c r="CNZ12" s="133"/>
      <c r="COA12" s="133"/>
      <c r="COB12" s="133"/>
      <c r="COC12" s="133"/>
      <c r="COD12" s="133"/>
      <c r="COE12" s="133"/>
      <c r="COF12" s="133"/>
      <c r="COG12" s="133"/>
      <c r="COH12" s="133"/>
      <c r="COI12" s="133"/>
      <c r="COJ12" s="133"/>
      <c r="COK12" s="133"/>
      <c r="COL12" s="133"/>
      <c r="COM12" s="133"/>
      <c r="CON12" s="133"/>
      <c r="COO12" s="133"/>
      <c r="COP12" s="133"/>
      <c r="COQ12" s="133"/>
      <c r="COR12" s="133"/>
      <c r="COS12" s="133"/>
      <c r="COT12" s="133"/>
      <c r="COU12" s="133"/>
      <c r="COV12" s="133"/>
      <c r="COW12" s="133"/>
      <c r="COX12" s="133"/>
      <c r="COY12" s="133"/>
      <c r="COZ12" s="133"/>
      <c r="CPA12" s="133"/>
      <c r="CPB12" s="133"/>
      <c r="CPC12" s="133"/>
      <c r="CPD12" s="133"/>
      <c r="CPE12" s="133"/>
      <c r="CPF12" s="133"/>
      <c r="CPG12" s="133"/>
      <c r="CPH12" s="133"/>
      <c r="CPI12" s="133"/>
      <c r="CPJ12" s="133"/>
      <c r="CPK12" s="133"/>
      <c r="CPL12" s="133"/>
      <c r="CPM12" s="133"/>
      <c r="CPN12" s="133"/>
      <c r="CPO12" s="133"/>
      <c r="CPP12" s="133"/>
      <c r="CPQ12" s="133"/>
      <c r="CPR12" s="133"/>
      <c r="CPS12" s="133"/>
      <c r="CPT12" s="133"/>
      <c r="CPU12" s="133"/>
      <c r="CPV12" s="133"/>
      <c r="CPW12" s="133"/>
      <c r="CPX12" s="133"/>
      <c r="CPY12" s="133"/>
      <c r="CPZ12" s="133"/>
      <c r="CQA12" s="133"/>
      <c r="CQB12" s="133"/>
      <c r="CQC12" s="133"/>
      <c r="CQD12" s="133"/>
      <c r="CQE12" s="133"/>
      <c r="CQF12" s="133"/>
      <c r="CQG12" s="133"/>
      <c r="CQH12" s="133"/>
      <c r="CQI12" s="133"/>
      <c r="CQJ12" s="133"/>
      <c r="CQK12" s="133"/>
      <c r="CQL12" s="133"/>
      <c r="CQM12" s="133"/>
      <c r="CQN12" s="133"/>
      <c r="CQO12" s="133"/>
      <c r="CQP12" s="133"/>
      <c r="CQQ12" s="133"/>
      <c r="CQR12" s="133"/>
      <c r="CQS12" s="133"/>
      <c r="CQT12" s="133"/>
      <c r="CQU12" s="133"/>
      <c r="CQV12" s="133"/>
      <c r="CQW12" s="133"/>
      <c r="CQX12" s="133"/>
      <c r="CQY12" s="133"/>
      <c r="CQZ12" s="133"/>
      <c r="CRA12" s="133"/>
      <c r="CRB12" s="133"/>
      <c r="CRC12" s="133"/>
      <c r="CRD12" s="133"/>
      <c r="CRE12" s="133"/>
      <c r="CRF12" s="133"/>
      <c r="CRG12" s="133"/>
      <c r="CRH12" s="133"/>
      <c r="CRI12" s="133"/>
      <c r="CRJ12" s="133"/>
      <c r="CRK12" s="133"/>
      <c r="CRL12" s="133"/>
      <c r="CRM12" s="133"/>
      <c r="CRN12" s="133"/>
      <c r="CRO12" s="133"/>
      <c r="CRP12" s="133"/>
      <c r="CRQ12" s="133"/>
      <c r="CRR12" s="133"/>
      <c r="CRS12" s="133"/>
      <c r="CRT12" s="133"/>
      <c r="CRU12" s="133"/>
      <c r="CRV12" s="133"/>
      <c r="CRW12" s="133"/>
      <c r="CRX12" s="133"/>
      <c r="CRY12" s="133"/>
      <c r="CRZ12" s="133"/>
      <c r="CSA12" s="133"/>
      <c r="CSB12" s="133"/>
      <c r="CSC12" s="133"/>
      <c r="CSD12" s="133"/>
      <c r="CSE12" s="133"/>
      <c r="CSF12" s="133"/>
      <c r="CSG12" s="133"/>
      <c r="CSH12" s="133"/>
      <c r="CSI12" s="133"/>
      <c r="CSJ12" s="133"/>
      <c r="CSK12" s="133"/>
      <c r="CSL12" s="133"/>
      <c r="CSM12" s="133"/>
      <c r="CSN12" s="133"/>
      <c r="CSO12" s="133"/>
      <c r="CSP12" s="133"/>
      <c r="CSQ12" s="133"/>
      <c r="CSR12" s="133"/>
      <c r="CSS12" s="133"/>
      <c r="CST12" s="133"/>
      <c r="CSU12" s="133"/>
      <c r="CSV12" s="133"/>
      <c r="CSW12" s="133"/>
      <c r="CSX12" s="133"/>
      <c r="CSY12" s="133"/>
      <c r="CSZ12" s="133"/>
      <c r="CTA12" s="133"/>
      <c r="CTB12" s="133"/>
      <c r="CTC12" s="133"/>
      <c r="CTD12" s="133"/>
      <c r="CTE12" s="133"/>
      <c r="CTF12" s="133"/>
      <c r="CTG12" s="133"/>
      <c r="CTH12" s="133"/>
      <c r="CTI12" s="133"/>
      <c r="CTJ12" s="133"/>
      <c r="CTK12" s="133"/>
      <c r="CTL12" s="133"/>
      <c r="CTM12" s="133"/>
      <c r="CTN12" s="133"/>
      <c r="CTO12" s="133"/>
      <c r="CTP12" s="133"/>
      <c r="CTQ12" s="133"/>
      <c r="CTR12" s="133"/>
      <c r="CTS12" s="133"/>
      <c r="CTT12" s="133"/>
      <c r="CTU12" s="133"/>
      <c r="CTV12" s="133"/>
      <c r="CTW12" s="133"/>
      <c r="CTX12" s="133"/>
      <c r="CTY12" s="133"/>
      <c r="CTZ12" s="133"/>
      <c r="CUA12" s="133"/>
      <c r="CUB12" s="133"/>
      <c r="CUC12" s="133"/>
      <c r="CUD12" s="133"/>
      <c r="CUE12" s="133"/>
      <c r="CUF12" s="133"/>
      <c r="CUG12" s="133"/>
      <c r="CUH12" s="133"/>
      <c r="CUI12" s="133"/>
      <c r="CUJ12" s="133"/>
      <c r="CUK12" s="133"/>
      <c r="CUL12" s="133"/>
      <c r="CUM12" s="133"/>
      <c r="CUN12" s="133"/>
      <c r="CUO12" s="133"/>
      <c r="CUP12" s="133"/>
      <c r="CUQ12" s="133"/>
      <c r="CUR12" s="133"/>
      <c r="CUS12" s="133"/>
      <c r="CUT12" s="133"/>
      <c r="CUU12" s="133"/>
      <c r="CUV12" s="133"/>
      <c r="CUW12" s="133"/>
      <c r="CUX12" s="133"/>
      <c r="CUY12" s="133"/>
      <c r="CUZ12" s="133"/>
      <c r="CVA12" s="133"/>
      <c r="CVB12" s="133"/>
      <c r="CVC12" s="133"/>
      <c r="CVD12" s="133"/>
      <c r="CVE12" s="133"/>
      <c r="CVF12" s="133"/>
      <c r="CVG12" s="133"/>
      <c r="CVH12" s="133"/>
      <c r="CVI12" s="133"/>
      <c r="CVJ12" s="133"/>
      <c r="CVK12" s="133"/>
      <c r="CVL12" s="133"/>
      <c r="CVM12" s="133"/>
      <c r="CVN12" s="133"/>
      <c r="CVO12" s="133"/>
      <c r="CVP12" s="133"/>
      <c r="CVQ12" s="133"/>
      <c r="CVR12" s="133"/>
      <c r="CVS12" s="133"/>
      <c r="CVT12" s="133"/>
      <c r="CVU12" s="133"/>
      <c r="CVV12" s="133"/>
      <c r="CVW12" s="133"/>
      <c r="CVX12" s="133"/>
      <c r="CVY12" s="133"/>
      <c r="CVZ12" s="133"/>
      <c r="CWA12" s="133"/>
      <c r="CWB12" s="133"/>
      <c r="CWC12" s="133"/>
      <c r="CWD12" s="133"/>
      <c r="CWE12" s="133"/>
      <c r="CWF12" s="133"/>
      <c r="CWG12" s="133"/>
      <c r="CWH12" s="133"/>
      <c r="CWI12" s="133"/>
      <c r="CWJ12" s="133"/>
      <c r="CWK12" s="133"/>
      <c r="CWL12" s="133"/>
      <c r="CWM12" s="133"/>
      <c r="CWN12" s="133"/>
      <c r="CWO12" s="133"/>
      <c r="CWP12" s="133"/>
      <c r="CWQ12" s="133"/>
      <c r="CWR12" s="133"/>
      <c r="CWS12" s="133"/>
      <c r="CWT12" s="133"/>
      <c r="CWU12" s="133"/>
      <c r="CWV12" s="133"/>
      <c r="CWW12" s="133"/>
      <c r="CWX12" s="133"/>
      <c r="CWY12" s="133"/>
      <c r="CWZ12" s="133"/>
      <c r="CXA12" s="133"/>
      <c r="CXB12" s="133"/>
      <c r="CXC12" s="133"/>
      <c r="CXD12" s="133"/>
      <c r="CXE12" s="133"/>
      <c r="CXF12" s="133"/>
      <c r="CXG12" s="133"/>
      <c r="CXH12" s="133"/>
      <c r="CXI12" s="133"/>
      <c r="CXJ12" s="133"/>
      <c r="CXK12" s="133"/>
      <c r="CXL12" s="133"/>
      <c r="CXM12" s="133"/>
      <c r="CXN12" s="133"/>
      <c r="CXO12" s="133"/>
      <c r="CXP12" s="133"/>
      <c r="CXQ12" s="133"/>
      <c r="CXR12" s="133"/>
      <c r="CXS12" s="133"/>
      <c r="CXT12" s="133"/>
      <c r="CXU12" s="133"/>
      <c r="CXV12" s="133"/>
      <c r="CXW12" s="133"/>
      <c r="CXX12" s="133"/>
      <c r="CXY12" s="133"/>
      <c r="CXZ12" s="133"/>
      <c r="CYA12" s="133"/>
      <c r="CYB12" s="133"/>
      <c r="CYC12" s="133"/>
      <c r="CYD12" s="133"/>
      <c r="CYE12" s="133"/>
      <c r="CYF12" s="133"/>
      <c r="CYG12" s="133"/>
      <c r="CYH12" s="133"/>
      <c r="CYI12" s="133"/>
      <c r="CYJ12" s="133"/>
      <c r="CYK12" s="133"/>
      <c r="CYL12" s="133"/>
      <c r="CYM12" s="133"/>
      <c r="CYN12" s="133"/>
      <c r="CYO12" s="133"/>
      <c r="CYP12" s="133"/>
      <c r="CYQ12" s="133"/>
      <c r="CYR12" s="133"/>
      <c r="CYS12" s="133"/>
      <c r="CYT12" s="133"/>
      <c r="CYU12" s="133"/>
      <c r="CYV12" s="133"/>
      <c r="CYW12" s="133"/>
      <c r="CYX12" s="133"/>
      <c r="CYY12" s="133"/>
      <c r="CYZ12" s="133"/>
      <c r="CZA12" s="133"/>
      <c r="CZB12" s="133"/>
      <c r="CZC12" s="133"/>
      <c r="CZD12" s="133"/>
      <c r="CZE12" s="133"/>
      <c r="CZF12" s="133"/>
      <c r="CZG12" s="133"/>
      <c r="CZH12" s="133"/>
      <c r="CZI12" s="133"/>
      <c r="CZJ12" s="133"/>
      <c r="CZK12" s="133"/>
      <c r="CZL12" s="133"/>
      <c r="CZM12" s="133"/>
      <c r="CZN12" s="133"/>
      <c r="CZO12" s="133"/>
      <c r="CZP12" s="133"/>
      <c r="CZQ12" s="133"/>
      <c r="CZR12" s="133"/>
      <c r="CZS12" s="133"/>
      <c r="CZT12" s="133"/>
      <c r="CZU12" s="133"/>
      <c r="CZV12" s="133"/>
      <c r="CZW12" s="133"/>
      <c r="CZX12" s="133"/>
      <c r="CZY12" s="133"/>
      <c r="CZZ12" s="133"/>
      <c r="DAA12" s="133"/>
      <c r="DAB12" s="133"/>
      <c r="DAC12" s="133"/>
      <c r="DAD12" s="133"/>
      <c r="DAE12" s="133"/>
      <c r="DAF12" s="133"/>
      <c r="DAG12" s="133"/>
      <c r="DAH12" s="133"/>
      <c r="DAI12" s="133"/>
      <c r="DAJ12" s="133"/>
      <c r="DAK12" s="133"/>
      <c r="DAL12" s="133"/>
      <c r="DAM12" s="133"/>
      <c r="DAN12" s="133"/>
      <c r="DAO12" s="133"/>
      <c r="DAP12" s="133"/>
      <c r="DAQ12" s="133"/>
      <c r="DAR12" s="133"/>
      <c r="DAS12" s="133"/>
      <c r="DAT12" s="133"/>
      <c r="DAU12" s="133"/>
      <c r="DAV12" s="133"/>
      <c r="DAW12" s="133"/>
      <c r="DAX12" s="133"/>
      <c r="DAY12" s="133"/>
      <c r="DAZ12" s="133"/>
      <c r="DBA12" s="133"/>
      <c r="DBB12" s="133"/>
      <c r="DBC12" s="133"/>
      <c r="DBD12" s="133"/>
      <c r="DBE12" s="133"/>
      <c r="DBF12" s="133"/>
      <c r="DBG12" s="133"/>
      <c r="DBH12" s="133"/>
      <c r="DBI12" s="133"/>
      <c r="DBJ12" s="133"/>
      <c r="DBK12" s="133"/>
      <c r="DBL12" s="133"/>
      <c r="DBM12" s="133"/>
      <c r="DBN12" s="133"/>
      <c r="DBO12" s="133"/>
      <c r="DBP12" s="133"/>
      <c r="DBQ12" s="133"/>
      <c r="DBR12" s="133"/>
      <c r="DBS12" s="133"/>
      <c r="DBT12" s="133"/>
      <c r="DBU12" s="133"/>
      <c r="DBV12" s="133"/>
      <c r="DBW12" s="133"/>
      <c r="DBX12" s="133"/>
      <c r="DBY12" s="133"/>
      <c r="DBZ12" s="133"/>
      <c r="DCA12" s="133"/>
      <c r="DCB12" s="133"/>
      <c r="DCC12" s="133"/>
      <c r="DCD12" s="133"/>
      <c r="DCE12" s="133"/>
      <c r="DCF12" s="133"/>
      <c r="DCG12" s="133"/>
      <c r="DCH12" s="133"/>
      <c r="DCI12" s="133"/>
      <c r="DCJ12" s="133"/>
      <c r="DCK12" s="133"/>
      <c r="DCL12" s="133"/>
      <c r="DCM12" s="133"/>
      <c r="DCN12" s="133"/>
      <c r="DCO12" s="133"/>
      <c r="DCP12" s="133"/>
      <c r="DCQ12" s="133"/>
      <c r="DCR12" s="133"/>
      <c r="DCS12" s="133"/>
      <c r="DCT12" s="133"/>
      <c r="DCU12" s="133"/>
      <c r="DCV12" s="133"/>
      <c r="DCW12" s="133"/>
      <c r="DCX12" s="133"/>
      <c r="DCY12" s="133"/>
      <c r="DCZ12" s="133"/>
      <c r="DDA12" s="133"/>
      <c r="DDB12" s="133"/>
      <c r="DDC12" s="133"/>
      <c r="DDD12" s="133"/>
      <c r="DDE12" s="133"/>
      <c r="DDF12" s="133"/>
      <c r="DDG12" s="133"/>
      <c r="DDH12" s="133"/>
      <c r="DDI12" s="133"/>
      <c r="DDJ12" s="133"/>
      <c r="DDK12" s="133"/>
      <c r="DDL12" s="133"/>
      <c r="DDM12" s="133"/>
      <c r="DDN12" s="133"/>
      <c r="DDO12" s="133"/>
      <c r="DDP12" s="133"/>
      <c r="DDQ12" s="133"/>
      <c r="DDR12" s="133"/>
      <c r="DDS12" s="133"/>
      <c r="DDT12" s="133"/>
      <c r="DDU12" s="133"/>
      <c r="DDV12" s="133"/>
      <c r="DDW12" s="133"/>
      <c r="DDX12" s="133"/>
      <c r="DDY12" s="133"/>
      <c r="DDZ12" s="133"/>
      <c r="DEA12" s="133"/>
      <c r="DEB12" s="133"/>
      <c r="DEC12" s="133"/>
      <c r="DED12" s="133"/>
      <c r="DEE12" s="133"/>
      <c r="DEF12" s="133"/>
      <c r="DEG12" s="133"/>
      <c r="DEH12" s="133"/>
      <c r="DEI12" s="133"/>
      <c r="DEJ12" s="133"/>
      <c r="DEK12" s="133"/>
      <c r="DEL12" s="133"/>
      <c r="DEM12" s="133"/>
      <c r="DEN12" s="133"/>
      <c r="DEO12" s="133"/>
      <c r="DEP12" s="133"/>
      <c r="DEQ12" s="133"/>
      <c r="DER12" s="133"/>
      <c r="DES12" s="133"/>
      <c r="DET12" s="133"/>
      <c r="DEU12" s="133"/>
      <c r="DEV12" s="133"/>
      <c r="DEW12" s="133"/>
      <c r="DEX12" s="133"/>
      <c r="DEY12" s="133"/>
      <c r="DEZ12" s="133"/>
      <c r="DFA12" s="133"/>
      <c r="DFB12" s="133"/>
      <c r="DFC12" s="133"/>
      <c r="DFD12" s="133"/>
      <c r="DFE12" s="133"/>
      <c r="DFF12" s="133"/>
      <c r="DFG12" s="133"/>
      <c r="DFH12" s="133"/>
      <c r="DFI12" s="133"/>
      <c r="DFJ12" s="133"/>
      <c r="DFK12" s="133"/>
      <c r="DFL12" s="133"/>
      <c r="DFM12" s="133"/>
      <c r="DFN12" s="133"/>
      <c r="DFO12" s="133"/>
      <c r="DFP12" s="133"/>
      <c r="DFQ12" s="133"/>
      <c r="DFR12" s="133"/>
      <c r="DFS12" s="133"/>
      <c r="DFT12" s="133"/>
      <c r="DFU12" s="133"/>
      <c r="DFV12" s="133"/>
      <c r="DFW12" s="133"/>
      <c r="DFX12" s="133"/>
      <c r="DFY12" s="133"/>
      <c r="DFZ12" s="133"/>
      <c r="DGA12" s="133"/>
      <c r="DGB12" s="133"/>
      <c r="DGC12" s="133"/>
      <c r="DGD12" s="133"/>
      <c r="DGE12" s="133"/>
      <c r="DGF12" s="133"/>
      <c r="DGG12" s="133"/>
      <c r="DGH12" s="133"/>
      <c r="DGI12" s="133"/>
      <c r="DGJ12" s="133"/>
      <c r="DGK12" s="133"/>
      <c r="DGL12" s="133"/>
      <c r="DGM12" s="133"/>
      <c r="DGN12" s="133"/>
      <c r="DGO12" s="133"/>
      <c r="DGP12" s="133"/>
      <c r="DGQ12" s="133"/>
      <c r="DGR12" s="133"/>
      <c r="DGS12" s="133"/>
      <c r="DGT12" s="133"/>
      <c r="DGU12" s="133"/>
      <c r="DGV12" s="133"/>
      <c r="DGW12" s="133"/>
      <c r="DGX12" s="133"/>
      <c r="DGY12" s="133"/>
      <c r="DGZ12" s="133"/>
      <c r="DHA12" s="133"/>
      <c r="DHB12" s="133"/>
      <c r="DHC12" s="133"/>
      <c r="DHD12" s="133"/>
      <c r="DHE12" s="133"/>
      <c r="DHF12" s="133"/>
      <c r="DHG12" s="133"/>
      <c r="DHH12" s="133"/>
      <c r="DHI12" s="133"/>
      <c r="DHJ12" s="133"/>
      <c r="DHK12" s="133"/>
      <c r="DHL12" s="133"/>
      <c r="DHM12" s="133"/>
      <c r="DHN12" s="133"/>
      <c r="DHO12" s="133"/>
      <c r="DHP12" s="133"/>
      <c r="DHQ12" s="133"/>
      <c r="DHR12" s="133"/>
      <c r="DHS12" s="133"/>
      <c r="DHT12" s="133"/>
      <c r="DHU12" s="133"/>
      <c r="DHV12" s="133"/>
      <c r="DHW12" s="133"/>
      <c r="DHX12" s="133"/>
      <c r="DHY12" s="133"/>
      <c r="DHZ12" s="133"/>
      <c r="DIA12" s="133"/>
      <c r="DIB12" s="133"/>
      <c r="DIC12" s="133"/>
      <c r="DID12" s="133"/>
      <c r="DIE12" s="133"/>
      <c r="DIF12" s="133"/>
      <c r="DIG12" s="133"/>
      <c r="DIH12" s="133"/>
      <c r="DII12" s="133"/>
      <c r="DIJ12" s="133"/>
      <c r="DIK12" s="133"/>
      <c r="DIL12" s="133"/>
      <c r="DIM12" s="133"/>
      <c r="DIN12" s="133"/>
      <c r="DIO12" s="133"/>
      <c r="DIP12" s="133"/>
      <c r="DIQ12" s="133"/>
      <c r="DIR12" s="133"/>
      <c r="DIS12" s="133"/>
      <c r="DIT12" s="133"/>
      <c r="DIU12" s="133"/>
      <c r="DIV12" s="133"/>
      <c r="DIW12" s="133"/>
      <c r="DIX12" s="133"/>
      <c r="DIY12" s="133"/>
      <c r="DIZ12" s="133"/>
      <c r="DJA12" s="133"/>
      <c r="DJB12" s="133"/>
      <c r="DJC12" s="133"/>
      <c r="DJD12" s="133"/>
      <c r="DJE12" s="133"/>
      <c r="DJF12" s="133"/>
      <c r="DJG12" s="133"/>
      <c r="DJH12" s="133"/>
      <c r="DJI12" s="133"/>
      <c r="DJJ12" s="133"/>
      <c r="DJK12" s="133"/>
      <c r="DJL12" s="133"/>
      <c r="DJM12" s="133"/>
      <c r="DJN12" s="133"/>
      <c r="DJO12" s="133"/>
      <c r="DJP12" s="133"/>
      <c r="DJQ12" s="133"/>
      <c r="DJR12" s="133"/>
      <c r="DJS12" s="133"/>
      <c r="DJT12" s="133"/>
      <c r="DJU12" s="133"/>
      <c r="DJV12" s="133"/>
      <c r="DJW12" s="133"/>
      <c r="DJX12" s="133"/>
      <c r="DJY12" s="133"/>
      <c r="DJZ12" s="133"/>
      <c r="DKA12" s="133"/>
      <c r="DKB12" s="133"/>
      <c r="DKC12" s="133"/>
      <c r="DKD12" s="133"/>
      <c r="DKE12" s="133"/>
      <c r="DKF12" s="133"/>
      <c r="DKG12" s="133"/>
      <c r="DKH12" s="133"/>
      <c r="DKI12" s="133"/>
      <c r="DKJ12" s="133"/>
      <c r="DKK12" s="133"/>
      <c r="DKL12" s="133"/>
      <c r="DKM12" s="133"/>
      <c r="DKN12" s="133"/>
      <c r="DKO12" s="133"/>
      <c r="DKP12" s="133"/>
      <c r="DKQ12" s="133"/>
      <c r="DKR12" s="133"/>
      <c r="DKS12" s="133"/>
      <c r="DKT12" s="133"/>
      <c r="DKU12" s="133"/>
      <c r="DKV12" s="133"/>
      <c r="DKW12" s="133"/>
      <c r="DKX12" s="133"/>
      <c r="DKY12" s="133"/>
      <c r="DKZ12" s="133"/>
      <c r="DLA12" s="133"/>
      <c r="DLB12" s="133"/>
      <c r="DLC12" s="133"/>
      <c r="DLD12" s="133"/>
      <c r="DLE12" s="133"/>
      <c r="DLF12" s="133"/>
      <c r="DLG12" s="133"/>
      <c r="DLH12" s="133"/>
      <c r="DLI12" s="133"/>
      <c r="DLJ12" s="133"/>
      <c r="DLK12" s="133"/>
      <c r="DLL12" s="133"/>
      <c r="DLM12" s="133"/>
      <c r="DLN12" s="133"/>
      <c r="DLO12" s="133"/>
      <c r="DLP12" s="133"/>
      <c r="DLQ12" s="133"/>
      <c r="DLR12" s="133"/>
      <c r="DLS12" s="133"/>
      <c r="DLT12" s="133"/>
      <c r="DLU12" s="133"/>
      <c r="DLV12" s="133"/>
      <c r="DLW12" s="133"/>
      <c r="DLX12" s="133"/>
      <c r="DLY12" s="133"/>
      <c r="DLZ12" s="133"/>
      <c r="DMA12" s="133"/>
      <c r="DMB12" s="133"/>
      <c r="DMC12" s="133"/>
      <c r="DMD12" s="133"/>
      <c r="DME12" s="133"/>
      <c r="DMF12" s="133"/>
      <c r="DMG12" s="133"/>
      <c r="DMH12" s="133"/>
      <c r="DMI12" s="133"/>
      <c r="DMJ12" s="133"/>
      <c r="DMK12" s="133"/>
      <c r="DML12" s="133"/>
      <c r="DMM12" s="133"/>
      <c r="DMN12" s="133"/>
      <c r="DMO12" s="133"/>
      <c r="DMP12" s="133"/>
      <c r="DMQ12" s="133"/>
      <c r="DMR12" s="133"/>
      <c r="DMS12" s="133"/>
      <c r="DNF12" s="133"/>
      <c r="DNG12" s="133"/>
      <c r="DNH12" s="133"/>
      <c r="DNI12" s="133"/>
      <c r="DNJ12" s="133"/>
      <c r="DNK12" s="133"/>
      <c r="DNL12" s="133"/>
      <c r="DNM12" s="133"/>
      <c r="DNN12" s="133"/>
      <c r="DNO12" s="133"/>
      <c r="DNP12" s="133"/>
      <c r="DNQ12" s="133"/>
      <c r="DNR12" s="133"/>
      <c r="DNS12" s="133"/>
      <c r="DNT12" s="133"/>
      <c r="DNU12" s="133"/>
      <c r="DNV12" s="133"/>
      <c r="DNW12" s="133"/>
      <c r="DNX12" s="133"/>
      <c r="DNY12" s="133"/>
      <c r="DNZ12" s="133"/>
      <c r="DOA12" s="133"/>
      <c r="DOB12" s="133"/>
      <c r="DOC12" s="133"/>
      <c r="DOD12" s="133"/>
      <c r="DOE12" s="133"/>
      <c r="DOF12" s="133"/>
      <c r="DOG12" s="133"/>
      <c r="DOH12" s="133"/>
      <c r="DOI12" s="133"/>
      <c r="DOJ12" s="133"/>
      <c r="DOK12" s="133"/>
      <c r="DOL12" s="133"/>
      <c r="DOM12" s="133"/>
      <c r="DON12" s="133"/>
      <c r="DOO12" s="133"/>
      <c r="DOP12" s="133"/>
      <c r="DOQ12" s="133"/>
      <c r="DOR12" s="133"/>
      <c r="DOS12" s="133"/>
      <c r="DOT12" s="133"/>
      <c r="DOU12" s="133"/>
      <c r="DOV12" s="133"/>
      <c r="DOW12" s="133"/>
      <c r="DOX12" s="133"/>
      <c r="DOY12" s="133"/>
      <c r="DOZ12" s="133"/>
      <c r="DPA12" s="133"/>
      <c r="DPB12" s="133"/>
      <c r="DPC12" s="133"/>
      <c r="DPD12" s="133"/>
      <c r="DPE12" s="133"/>
      <c r="DPF12" s="133"/>
      <c r="DPG12" s="133"/>
      <c r="DPH12" s="133"/>
      <c r="DPI12" s="133"/>
      <c r="DPJ12" s="133"/>
      <c r="DPK12" s="133"/>
      <c r="DPL12" s="133"/>
      <c r="DPM12" s="133"/>
      <c r="DPN12" s="133"/>
      <c r="DPO12" s="133"/>
      <c r="DPP12" s="133"/>
      <c r="DPQ12" s="133"/>
      <c r="DPR12" s="133"/>
      <c r="DPS12" s="133"/>
      <c r="DPT12" s="133"/>
      <c r="DPU12" s="133"/>
      <c r="DPV12" s="133"/>
      <c r="DPW12" s="133"/>
      <c r="DPX12" s="133"/>
      <c r="DPY12" s="133"/>
      <c r="DPZ12" s="133"/>
      <c r="DQA12" s="133"/>
      <c r="DQB12" s="133"/>
      <c r="DQC12" s="133"/>
      <c r="DQD12" s="133"/>
      <c r="DQE12" s="133"/>
      <c r="DQF12" s="133"/>
      <c r="DQG12" s="133"/>
      <c r="DQH12" s="133"/>
      <c r="DQI12" s="133"/>
      <c r="DQJ12" s="133"/>
      <c r="DQK12" s="133"/>
      <c r="DQL12" s="133"/>
      <c r="DQM12" s="133"/>
      <c r="DQN12" s="133"/>
      <c r="DQO12" s="133"/>
      <c r="DQP12" s="133"/>
      <c r="DQQ12" s="133"/>
      <c r="DQR12" s="133"/>
      <c r="DQS12" s="133"/>
      <c r="DQT12" s="133"/>
      <c r="DQU12" s="133"/>
      <c r="DQV12" s="133"/>
      <c r="DQW12" s="133"/>
      <c r="DQX12" s="133"/>
      <c r="DQY12" s="133"/>
      <c r="DQZ12" s="133"/>
      <c r="DRA12" s="133"/>
      <c r="DRB12" s="133"/>
      <c r="DRC12" s="133"/>
      <c r="DRD12" s="133"/>
      <c r="DRE12" s="133"/>
      <c r="DRF12" s="133"/>
      <c r="DRG12" s="133"/>
      <c r="DRH12" s="133"/>
      <c r="DRI12" s="133"/>
      <c r="DRJ12" s="133"/>
      <c r="DRK12" s="133"/>
      <c r="DRL12" s="133"/>
      <c r="DRM12" s="133"/>
      <c r="DRN12" s="133"/>
      <c r="DRO12" s="133"/>
      <c r="DRP12" s="133"/>
      <c r="DRQ12" s="133"/>
      <c r="DRR12" s="133"/>
      <c r="DRS12" s="133"/>
      <c r="DRT12" s="133"/>
      <c r="DRU12" s="133"/>
      <c r="DRV12" s="133"/>
      <c r="DRW12" s="133"/>
      <c r="DRX12" s="133"/>
      <c r="DRY12" s="133"/>
      <c r="DRZ12" s="133"/>
      <c r="DSA12" s="133"/>
      <c r="DSB12" s="133"/>
      <c r="DSC12" s="133"/>
      <c r="DSD12" s="133"/>
      <c r="DSE12" s="133"/>
      <c r="DSF12" s="133"/>
      <c r="DSG12" s="133"/>
      <c r="DSH12" s="133"/>
      <c r="DSI12" s="133"/>
      <c r="DSJ12" s="133"/>
      <c r="DSK12" s="133"/>
      <c r="DSL12" s="133"/>
      <c r="DSM12" s="133"/>
      <c r="DSN12" s="133"/>
      <c r="DSO12" s="133"/>
      <c r="DSP12" s="133"/>
      <c r="DSQ12" s="133"/>
      <c r="DSR12" s="133"/>
      <c r="DSS12" s="133"/>
      <c r="DST12" s="133"/>
      <c r="DSU12" s="133"/>
      <c r="DSV12" s="133"/>
      <c r="DSW12" s="133"/>
      <c r="DSX12" s="133"/>
      <c r="DSY12" s="133"/>
      <c r="DSZ12" s="133"/>
      <c r="DTA12" s="133"/>
      <c r="DTB12" s="133"/>
      <c r="DTC12" s="133"/>
      <c r="DTD12" s="133"/>
      <c r="DTE12" s="133"/>
      <c r="DTF12" s="133"/>
      <c r="DTG12" s="133"/>
      <c r="DTH12" s="133"/>
      <c r="DTI12" s="133"/>
      <c r="DTJ12" s="133"/>
      <c r="DTK12" s="133"/>
      <c r="DTL12" s="133"/>
      <c r="DTM12" s="133"/>
      <c r="DTN12" s="133"/>
      <c r="DTO12" s="133"/>
      <c r="DTP12" s="133"/>
      <c r="DTQ12" s="133"/>
      <c r="DTR12" s="133"/>
      <c r="DTS12" s="133"/>
      <c r="DTT12" s="133"/>
      <c r="DTU12" s="133"/>
      <c r="DTV12" s="133"/>
      <c r="DTW12" s="133"/>
      <c r="DTX12" s="133"/>
      <c r="DTY12" s="133"/>
      <c r="DTZ12" s="133"/>
      <c r="DUA12" s="133"/>
      <c r="DUB12" s="133"/>
      <c r="DUC12" s="133"/>
      <c r="DUD12" s="133"/>
      <c r="DUE12" s="133"/>
      <c r="DUF12" s="133"/>
      <c r="DUG12" s="133"/>
      <c r="DUH12" s="133"/>
      <c r="DUI12" s="133"/>
      <c r="DUJ12" s="133"/>
      <c r="DUK12" s="133"/>
      <c r="DUL12" s="133"/>
      <c r="DUM12" s="133"/>
      <c r="DUN12" s="133"/>
      <c r="DUO12" s="133"/>
      <c r="DUP12" s="133"/>
      <c r="DUQ12" s="133"/>
      <c r="DUR12" s="133"/>
      <c r="DUS12" s="133"/>
      <c r="DUT12" s="133"/>
      <c r="DUU12" s="133"/>
      <c r="DUV12" s="133"/>
      <c r="DUW12" s="133"/>
      <c r="DUX12" s="133"/>
      <c r="DUY12" s="133"/>
      <c r="DUZ12" s="133"/>
      <c r="DVA12" s="133"/>
      <c r="DVB12" s="133"/>
      <c r="DVC12" s="133"/>
      <c r="DVD12" s="133"/>
      <c r="DVE12" s="133"/>
      <c r="DVF12" s="133"/>
      <c r="DVG12" s="133"/>
      <c r="DVH12" s="133"/>
      <c r="DVI12" s="133"/>
      <c r="DVJ12" s="133"/>
      <c r="DVK12" s="133"/>
      <c r="DVL12" s="133"/>
      <c r="DVM12" s="133"/>
      <c r="DVN12" s="133"/>
      <c r="DVO12" s="133"/>
      <c r="DVP12" s="133"/>
      <c r="DVQ12" s="133"/>
      <c r="DVR12" s="133"/>
      <c r="DVS12" s="133"/>
      <c r="DVT12" s="133"/>
      <c r="DVU12" s="133"/>
      <c r="DVV12" s="133"/>
      <c r="DVW12" s="133"/>
      <c r="DVX12" s="133"/>
      <c r="DVY12" s="133"/>
      <c r="DVZ12" s="133"/>
      <c r="DWA12" s="133"/>
      <c r="DWB12" s="133"/>
      <c r="DWC12" s="133"/>
      <c r="DWD12" s="133"/>
      <c r="DWE12" s="133"/>
      <c r="DWF12" s="133"/>
      <c r="DWG12" s="133"/>
      <c r="DWH12" s="133"/>
      <c r="DWI12" s="133"/>
      <c r="DWJ12" s="133"/>
      <c r="DWK12" s="133"/>
      <c r="DWL12" s="133"/>
      <c r="DWM12" s="133"/>
      <c r="DWN12" s="133"/>
      <c r="DWO12" s="133"/>
      <c r="DWP12" s="133"/>
      <c r="DWQ12" s="133"/>
      <c r="DWR12" s="133"/>
      <c r="DWS12" s="133"/>
      <c r="DWT12" s="133"/>
      <c r="DWU12" s="133"/>
      <c r="DWV12" s="133"/>
      <c r="DWW12" s="133"/>
      <c r="DWX12" s="133"/>
      <c r="DWY12" s="133"/>
      <c r="DWZ12" s="133"/>
      <c r="DXA12" s="133"/>
      <c r="DXB12" s="133"/>
      <c r="DXC12" s="133"/>
      <c r="DXD12" s="133"/>
      <c r="DXE12" s="133"/>
      <c r="DXF12" s="133"/>
      <c r="DXG12" s="133"/>
      <c r="DXH12" s="133"/>
      <c r="DXI12" s="133"/>
      <c r="DXJ12" s="133"/>
      <c r="DXK12" s="133"/>
      <c r="DXL12" s="133"/>
      <c r="DXM12" s="133"/>
      <c r="DXN12" s="133"/>
      <c r="DXO12" s="133"/>
      <c r="DXP12" s="133"/>
      <c r="DXQ12" s="133"/>
      <c r="DXR12" s="133"/>
      <c r="DXS12" s="133"/>
      <c r="DXT12" s="133"/>
      <c r="DXU12" s="133"/>
      <c r="DXV12" s="133"/>
      <c r="DXW12" s="133"/>
      <c r="DXX12" s="133"/>
      <c r="DXY12" s="133"/>
      <c r="DXZ12" s="133"/>
      <c r="DYA12" s="133"/>
      <c r="DYB12" s="133"/>
      <c r="DYC12" s="133"/>
      <c r="DYD12" s="133"/>
      <c r="DYE12" s="133"/>
      <c r="DYF12" s="133"/>
      <c r="DYG12" s="133"/>
      <c r="DYH12" s="133"/>
      <c r="DYI12" s="133"/>
      <c r="DYJ12" s="133"/>
      <c r="DYK12" s="133"/>
      <c r="DYL12" s="133"/>
      <c r="DYM12" s="133"/>
      <c r="DYN12" s="133"/>
      <c r="DYO12" s="133"/>
      <c r="DYP12" s="133"/>
      <c r="DYQ12" s="133"/>
      <c r="DYR12" s="133"/>
      <c r="DYS12" s="133"/>
      <c r="DYT12" s="133"/>
      <c r="DYU12" s="133"/>
      <c r="DYV12" s="133"/>
      <c r="DYW12" s="133"/>
      <c r="DYX12" s="133"/>
      <c r="DYY12" s="133"/>
      <c r="DYZ12" s="133"/>
      <c r="DZA12" s="133"/>
      <c r="DZB12" s="133"/>
      <c r="DZC12" s="133"/>
      <c r="DZD12" s="133"/>
      <c r="DZE12" s="133"/>
      <c r="DZF12" s="133"/>
      <c r="DZG12" s="133"/>
      <c r="DZH12" s="133"/>
      <c r="DZI12" s="133"/>
      <c r="DZJ12" s="133"/>
      <c r="DZK12" s="133"/>
      <c r="DZL12" s="133"/>
      <c r="DZM12" s="133"/>
      <c r="DZN12" s="133"/>
      <c r="DZO12" s="133"/>
      <c r="DZP12" s="133"/>
      <c r="DZQ12" s="133"/>
      <c r="DZR12" s="133"/>
      <c r="DZS12" s="133"/>
      <c r="DZT12" s="133"/>
      <c r="DZU12" s="133"/>
      <c r="DZV12" s="133"/>
      <c r="DZW12" s="133"/>
      <c r="DZX12" s="133"/>
      <c r="DZY12" s="133"/>
      <c r="DZZ12" s="133"/>
      <c r="EAA12" s="133"/>
      <c r="EAB12" s="133"/>
      <c r="EAC12" s="133"/>
      <c r="EAD12" s="133"/>
      <c r="EAE12" s="133"/>
      <c r="EAF12" s="133"/>
      <c r="EAG12" s="133"/>
      <c r="EAH12" s="133"/>
      <c r="EAI12" s="133"/>
      <c r="EAJ12" s="133"/>
      <c r="EAK12" s="133"/>
      <c r="EAL12" s="133"/>
      <c r="EAM12" s="133"/>
      <c r="EAN12" s="133"/>
      <c r="EAO12" s="133"/>
      <c r="EAP12" s="133"/>
      <c r="EAQ12" s="133"/>
      <c r="EAR12" s="133"/>
      <c r="EAS12" s="133"/>
      <c r="EAT12" s="133"/>
      <c r="EAU12" s="133"/>
      <c r="EAV12" s="133"/>
      <c r="EAW12" s="133"/>
      <c r="EAX12" s="133"/>
      <c r="EAY12" s="133"/>
      <c r="EAZ12" s="133"/>
      <c r="EBA12" s="133"/>
      <c r="EBB12" s="133"/>
      <c r="EBC12" s="133"/>
      <c r="EBD12" s="133"/>
      <c r="EBE12" s="133"/>
      <c r="EBF12" s="133"/>
      <c r="EBG12" s="133"/>
      <c r="EBH12" s="133"/>
      <c r="EBI12" s="133"/>
      <c r="EBJ12" s="133"/>
      <c r="EBK12" s="133"/>
      <c r="EBL12" s="133"/>
      <c r="EBM12" s="133"/>
      <c r="EBN12" s="133"/>
      <c r="EBO12" s="133"/>
      <c r="EBP12" s="133"/>
      <c r="EBQ12" s="133"/>
      <c r="EBR12" s="133"/>
      <c r="EBS12" s="133"/>
      <c r="EBT12" s="133"/>
      <c r="EBU12" s="133"/>
      <c r="EBV12" s="133"/>
      <c r="EBW12" s="133"/>
      <c r="EBX12" s="133"/>
      <c r="EBY12" s="133"/>
      <c r="EBZ12" s="133"/>
      <c r="ECA12" s="133"/>
      <c r="ECB12" s="133"/>
      <c r="ECC12" s="133"/>
      <c r="ECD12" s="133"/>
      <c r="ECE12" s="133"/>
      <c r="ECF12" s="133"/>
      <c r="ECG12" s="133"/>
      <c r="ECH12" s="133"/>
      <c r="ECI12" s="133"/>
      <c r="ECJ12" s="133"/>
      <c r="ECK12" s="133"/>
      <c r="ECL12" s="133"/>
      <c r="ECM12" s="133"/>
      <c r="ECN12" s="133"/>
      <c r="ECO12" s="133"/>
      <c r="ECP12" s="133"/>
      <c r="ECQ12" s="133"/>
      <c r="ECR12" s="133"/>
      <c r="ECS12" s="133"/>
      <c r="ECT12" s="133"/>
      <c r="ECU12" s="133"/>
      <c r="ECV12" s="133"/>
      <c r="ECW12" s="133"/>
      <c r="ECX12" s="133"/>
      <c r="ECY12" s="133"/>
      <c r="ECZ12" s="133"/>
      <c r="EDA12" s="133"/>
      <c r="EDB12" s="133"/>
      <c r="EDC12" s="133"/>
      <c r="EDD12" s="133"/>
      <c r="EDE12" s="133"/>
      <c r="EDF12" s="133"/>
      <c r="EDG12" s="133"/>
      <c r="EDH12" s="133"/>
      <c r="EDI12" s="133"/>
      <c r="EDJ12" s="133"/>
      <c r="EDK12" s="133"/>
      <c r="EDL12" s="133"/>
      <c r="EDM12" s="133"/>
      <c r="EDN12" s="133"/>
      <c r="EDO12" s="133"/>
      <c r="EDP12" s="133"/>
      <c r="EDQ12" s="133"/>
      <c r="EDR12" s="133"/>
      <c r="EDS12" s="133"/>
      <c r="EDT12" s="133"/>
      <c r="EDU12" s="133"/>
      <c r="EDV12" s="133"/>
      <c r="EDW12" s="133"/>
      <c r="EDX12" s="133"/>
      <c r="EDY12" s="133"/>
      <c r="EDZ12" s="133"/>
      <c r="EEA12" s="133"/>
      <c r="EEB12" s="133"/>
      <c r="EEC12" s="133"/>
      <c r="EED12" s="133"/>
      <c r="EEE12" s="133"/>
      <c r="EEF12" s="133"/>
      <c r="EEG12" s="133"/>
      <c r="EEH12" s="133"/>
      <c r="EEI12" s="133"/>
      <c r="EEJ12" s="133"/>
      <c r="EEK12" s="133"/>
      <c r="EEL12" s="133"/>
      <c r="EEM12" s="133"/>
      <c r="EEN12" s="133"/>
      <c r="EEO12" s="133"/>
      <c r="EEP12" s="133"/>
      <c r="EEQ12" s="133"/>
      <c r="EER12" s="133"/>
      <c r="EES12" s="133"/>
      <c r="EET12" s="133"/>
      <c r="EEU12" s="133"/>
      <c r="EEV12" s="133"/>
      <c r="EEW12" s="133"/>
      <c r="EEX12" s="133"/>
      <c r="EEY12" s="133"/>
      <c r="EEZ12" s="133"/>
      <c r="EFA12" s="133"/>
      <c r="EFB12" s="133"/>
      <c r="EFC12" s="133"/>
      <c r="EFD12" s="133"/>
      <c r="EFE12" s="133"/>
      <c r="EFF12" s="133"/>
      <c r="EFG12" s="133"/>
      <c r="EFH12" s="133"/>
      <c r="EFI12" s="133"/>
      <c r="EFJ12" s="133"/>
      <c r="EFK12" s="133"/>
      <c r="EFL12" s="133"/>
      <c r="EFM12" s="133"/>
      <c r="EFN12" s="133"/>
      <c r="EFO12" s="133"/>
      <c r="EFP12" s="133"/>
      <c r="EFQ12" s="133"/>
      <c r="EFR12" s="133"/>
      <c r="EFS12" s="133"/>
      <c r="EFT12" s="133"/>
      <c r="EFU12" s="133"/>
      <c r="EFV12" s="133"/>
      <c r="EFW12" s="133"/>
      <c r="EFX12" s="133"/>
      <c r="EFY12" s="133"/>
      <c r="EFZ12" s="133"/>
      <c r="EGA12" s="133"/>
      <c r="EGB12" s="133"/>
      <c r="EGC12" s="133"/>
      <c r="EGD12" s="133"/>
      <c r="EGE12" s="133"/>
      <c r="EGF12" s="133"/>
      <c r="EGG12" s="133"/>
      <c r="EGH12" s="133"/>
      <c r="EGI12" s="133"/>
      <c r="EGJ12" s="133"/>
      <c r="EGK12" s="133"/>
      <c r="EGL12" s="133"/>
      <c r="EGM12" s="133"/>
      <c r="EGN12" s="133"/>
      <c r="EGO12" s="133"/>
      <c r="EGP12" s="133"/>
      <c r="EGQ12" s="133"/>
      <c r="EGR12" s="133"/>
      <c r="EGS12" s="133"/>
      <c r="EGT12" s="133"/>
      <c r="EGU12" s="133"/>
      <c r="EGV12" s="133"/>
      <c r="EGW12" s="133"/>
      <c r="EGX12" s="133"/>
      <c r="EGY12" s="133"/>
      <c r="EGZ12" s="133"/>
      <c r="EHA12" s="133"/>
      <c r="EHB12" s="133"/>
      <c r="EHC12" s="133"/>
      <c r="EHD12" s="133"/>
      <c r="EHE12" s="133"/>
      <c r="EHF12" s="133"/>
      <c r="EHG12" s="133"/>
      <c r="EHH12" s="133"/>
      <c r="EHI12" s="133"/>
      <c r="EHJ12" s="133"/>
      <c r="EHK12" s="133"/>
      <c r="EHL12" s="133"/>
      <c r="EHM12" s="133"/>
      <c r="EHN12" s="133"/>
      <c r="EHO12" s="133"/>
      <c r="EHP12" s="133"/>
      <c r="EHQ12" s="133"/>
      <c r="EHR12" s="133"/>
      <c r="EHS12" s="133"/>
      <c r="EHT12" s="133"/>
      <c r="EHU12" s="133"/>
      <c r="EHV12" s="133"/>
      <c r="EHW12" s="133"/>
      <c r="EHX12" s="133"/>
      <c r="EHY12" s="133"/>
      <c r="EHZ12" s="133"/>
      <c r="EIA12" s="133"/>
      <c r="EIB12" s="133"/>
      <c r="EIC12" s="133"/>
      <c r="EID12" s="133"/>
      <c r="EIE12" s="133"/>
      <c r="EIF12" s="133"/>
      <c r="EIG12" s="133"/>
      <c r="EIH12" s="133"/>
      <c r="EII12" s="133"/>
      <c r="EIJ12" s="133"/>
      <c r="EIK12" s="133"/>
      <c r="EIL12" s="133"/>
      <c r="EIM12" s="133"/>
      <c r="EIN12" s="133"/>
      <c r="EIO12" s="133"/>
      <c r="EIP12" s="133"/>
      <c r="EIQ12" s="133"/>
      <c r="EIR12" s="133"/>
      <c r="EIS12" s="133"/>
      <c r="EIT12" s="133"/>
      <c r="EIU12" s="133"/>
      <c r="EIV12" s="133"/>
      <c r="EIW12" s="133"/>
      <c r="EIX12" s="133"/>
      <c r="EIY12" s="133"/>
      <c r="EIZ12" s="133"/>
      <c r="EJA12" s="133"/>
      <c r="EJB12" s="133"/>
      <c r="EJC12" s="133"/>
      <c r="EJD12" s="133"/>
      <c r="EJE12" s="133"/>
      <c r="EJF12" s="133"/>
      <c r="EJG12" s="133"/>
      <c r="EJH12" s="133"/>
      <c r="EJI12" s="133"/>
      <c r="EJJ12" s="133"/>
      <c r="EJK12" s="133"/>
      <c r="EJL12" s="133"/>
      <c r="EJM12" s="133"/>
      <c r="EJN12" s="133"/>
      <c r="EJO12" s="133"/>
      <c r="EJP12" s="133"/>
      <c r="EJQ12" s="133"/>
      <c r="EJR12" s="133"/>
      <c r="EJS12" s="133"/>
      <c r="EJT12" s="133"/>
      <c r="EJU12" s="133"/>
      <c r="EJV12" s="133"/>
      <c r="EJW12" s="133"/>
      <c r="EJX12" s="133"/>
      <c r="EJY12" s="133"/>
      <c r="EJZ12" s="133"/>
      <c r="EKA12" s="133"/>
      <c r="EKB12" s="133"/>
      <c r="EKC12" s="133"/>
      <c r="EKD12" s="133"/>
      <c r="EKE12" s="133"/>
      <c r="EKF12" s="133"/>
      <c r="EKG12" s="133"/>
      <c r="EKH12" s="133"/>
      <c r="EKI12" s="133"/>
      <c r="EKJ12" s="133"/>
      <c r="EKK12" s="133"/>
      <c r="EKL12" s="133"/>
      <c r="EKM12" s="133"/>
      <c r="EKN12" s="133"/>
      <c r="EKO12" s="133"/>
      <c r="EKP12" s="133"/>
      <c r="EKQ12" s="133"/>
      <c r="EKR12" s="133"/>
      <c r="EKS12" s="133"/>
      <c r="EKT12" s="133"/>
      <c r="EKU12" s="133"/>
      <c r="EKV12" s="133"/>
      <c r="EKW12" s="133"/>
      <c r="EKX12" s="133"/>
      <c r="EKY12" s="133"/>
      <c r="EKZ12" s="133"/>
      <c r="ELA12" s="133"/>
      <c r="ELB12" s="133"/>
      <c r="ELC12" s="133"/>
      <c r="ELD12" s="133"/>
      <c r="ELE12" s="133"/>
      <c r="ELF12" s="133"/>
      <c r="ELG12" s="133"/>
      <c r="ELH12" s="133"/>
      <c r="ELI12" s="133"/>
      <c r="ELJ12" s="133"/>
      <c r="ELK12" s="133"/>
      <c r="ELL12" s="133"/>
      <c r="ELM12" s="133"/>
      <c r="ELN12" s="133"/>
      <c r="ELO12" s="133"/>
      <c r="ELP12" s="133"/>
      <c r="ELQ12" s="133"/>
      <c r="ELR12" s="133"/>
      <c r="ELS12" s="133"/>
      <c r="ELT12" s="133"/>
      <c r="ELU12" s="133"/>
      <c r="ELV12" s="133"/>
      <c r="ELW12" s="133"/>
      <c r="ELX12" s="133"/>
      <c r="ELY12" s="133"/>
      <c r="ELZ12" s="133"/>
      <c r="EMA12" s="133"/>
      <c r="EMB12" s="133"/>
      <c r="EMC12" s="133"/>
      <c r="EMD12" s="133"/>
      <c r="EME12" s="133"/>
      <c r="EMF12" s="133"/>
      <c r="EMG12" s="133"/>
      <c r="EMH12" s="133"/>
      <c r="EMI12" s="133"/>
      <c r="EMJ12" s="133"/>
      <c r="EMK12" s="133"/>
      <c r="EML12" s="133"/>
      <c r="EMM12" s="133"/>
      <c r="EMN12" s="133"/>
      <c r="EMO12" s="133"/>
      <c r="EMP12" s="133"/>
      <c r="EMQ12" s="133"/>
      <c r="EMR12" s="133"/>
      <c r="EMS12" s="133"/>
      <c r="EMT12" s="133"/>
      <c r="EMU12" s="133"/>
      <c r="EMV12" s="133"/>
      <c r="EMW12" s="133"/>
      <c r="EMX12" s="133"/>
      <c r="EMY12" s="133"/>
      <c r="EMZ12" s="133"/>
      <c r="ENA12" s="133"/>
      <c r="ENB12" s="133"/>
      <c r="ENC12" s="133"/>
      <c r="END12" s="133"/>
      <c r="ENE12" s="133"/>
      <c r="ENF12" s="133"/>
      <c r="ENG12" s="133"/>
      <c r="ENH12" s="133"/>
      <c r="ENI12" s="133"/>
      <c r="ENJ12" s="133"/>
      <c r="ENK12" s="133"/>
      <c r="ENL12" s="133"/>
      <c r="ENM12" s="133"/>
      <c r="ENN12" s="133"/>
      <c r="ENO12" s="133"/>
      <c r="ENP12" s="133"/>
      <c r="ENQ12" s="133"/>
      <c r="ENR12" s="133"/>
      <c r="ENS12" s="133"/>
      <c r="ENT12" s="133"/>
      <c r="ENU12" s="133"/>
      <c r="ENV12" s="133"/>
      <c r="ENW12" s="133"/>
      <c r="ENX12" s="133"/>
      <c r="ENY12" s="133"/>
      <c r="ENZ12" s="133"/>
      <c r="EOA12" s="133"/>
      <c r="EOB12" s="133"/>
      <c r="EOC12" s="133"/>
      <c r="EOD12" s="133"/>
      <c r="EOE12" s="133"/>
      <c r="EOF12" s="133"/>
      <c r="EOG12" s="133"/>
      <c r="EOH12" s="133"/>
      <c r="EOI12" s="133"/>
      <c r="EOJ12" s="133"/>
      <c r="EOK12" s="133"/>
      <c r="EOL12" s="133"/>
      <c r="EOM12" s="133"/>
      <c r="EON12" s="133"/>
      <c r="EOO12" s="133"/>
      <c r="EOP12" s="133"/>
      <c r="EOQ12" s="133"/>
      <c r="EOR12" s="133"/>
      <c r="EOS12" s="133"/>
      <c r="EOT12" s="133"/>
      <c r="EOU12" s="133"/>
      <c r="EOV12" s="133"/>
      <c r="EOW12" s="133"/>
      <c r="EOX12" s="133"/>
      <c r="EOY12" s="133"/>
      <c r="EOZ12" s="133"/>
      <c r="EPA12" s="133"/>
      <c r="EPB12" s="133"/>
      <c r="EPC12" s="133"/>
      <c r="EPD12" s="133"/>
      <c r="EPE12" s="133"/>
      <c r="EPF12" s="133"/>
      <c r="EPG12" s="133"/>
      <c r="EPH12" s="133"/>
      <c r="EPI12" s="133"/>
      <c r="EPJ12" s="133"/>
      <c r="EPK12" s="133"/>
      <c r="EPL12" s="133"/>
      <c r="EPM12" s="133"/>
      <c r="EPN12" s="133"/>
      <c r="EPO12" s="133"/>
      <c r="EPP12" s="133"/>
      <c r="EPQ12" s="133"/>
      <c r="EPR12" s="133"/>
      <c r="EPS12" s="133"/>
      <c r="EPT12" s="133"/>
      <c r="EPU12" s="133"/>
      <c r="EPV12" s="133"/>
      <c r="EPW12" s="133"/>
      <c r="EPX12" s="133"/>
      <c r="EPY12" s="133"/>
      <c r="EPZ12" s="133"/>
      <c r="EQA12" s="133"/>
      <c r="EQB12" s="133"/>
      <c r="EQC12" s="133"/>
      <c r="EQD12" s="133"/>
      <c r="EQE12" s="133"/>
      <c r="EQF12" s="133"/>
      <c r="EQG12" s="133"/>
      <c r="EQH12" s="133"/>
      <c r="EQI12" s="133"/>
      <c r="EQJ12" s="133"/>
      <c r="EQK12" s="133"/>
      <c r="EQL12" s="133"/>
      <c r="EQM12" s="133"/>
      <c r="EQN12" s="133"/>
      <c r="EQO12" s="133"/>
      <c r="EQP12" s="133"/>
      <c r="EQQ12" s="133"/>
      <c r="EQR12" s="133"/>
      <c r="EQS12" s="133"/>
      <c r="EQT12" s="133"/>
      <c r="EQU12" s="133"/>
      <c r="EQV12" s="133"/>
      <c r="EQW12" s="133"/>
      <c r="EQX12" s="133"/>
      <c r="EQY12" s="133"/>
      <c r="EQZ12" s="133"/>
      <c r="ERA12" s="133"/>
      <c r="ERB12" s="133"/>
      <c r="ERC12" s="133"/>
      <c r="ERD12" s="133"/>
      <c r="ERE12" s="133"/>
      <c r="ERF12" s="133"/>
      <c r="ERG12" s="133"/>
      <c r="ERH12" s="133"/>
      <c r="ERI12" s="133"/>
      <c r="ERJ12" s="133"/>
      <c r="ERK12" s="133"/>
      <c r="ERL12" s="133"/>
      <c r="ERM12" s="133"/>
      <c r="ERN12" s="133"/>
      <c r="ERO12" s="133"/>
      <c r="ERP12" s="133"/>
      <c r="ERQ12" s="133"/>
      <c r="ERR12" s="133"/>
      <c r="ERS12" s="133"/>
      <c r="ERT12" s="133"/>
      <c r="ERU12" s="133"/>
      <c r="ERV12" s="133"/>
      <c r="ERW12" s="133"/>
      <c r="ERX12" s="133"/>
      <c r="ERY12" s="133"/>
      <c r="ERZ12" s="133"/>
      <c r="ESA12" s="133"/>
      <c r="ESB12" s="133"/>
      <c r="ESC12" s="133"/>
      <c r="ESD12" s="133"/>
      <c r="ESE12" s="133"/>
      <c r="ESF12" s="133"/>
      <c r="ESG12" s="133"/>
      <c r="ESH12" s="133"/>
      <c r="ESI12" s="133"/>
      <c r="ESJ12" s="133"/>
      <c r="ESK12" s="133"/>
      <c r="ESL12" s="133"/>
      <c r="ESM12" s="133"/>
      <c r="ESN12" s="133"/>
      <c r="ESO12" s="133"/>
      <c r="ESP12" s="133"/>
      <c r="ESQ12" s="133"/>
      <c r="ESR12" s="133"/>
      <c r="ESS12" s="133"/>
      <c r="EST12" s="133"/>
      <c r="ESU12" s="133"/>
      <c r="ESV12" s="133"/>
      <c r="ESW12" s="133"/>
      <c r="ESX12" s="133"/>
      <c r="ESY12" s="133"/>
      <c r="ESZ12" s="133"/>
      <c r="ETA12" s="133"/>
      <c r="ETB12" s="133"/>
      <c r="ETC12" s="133"/>
      <c r="ETD12" s="133"/>
      <c r="ETE12" s="133"/>
      <c r="ETF12" s="133"/>
      <c r="ETG12" s="133"/>
      <c r="ETH12" s="133"/>
      <c r="ETI12" s="133"/>
      <c r="ETJ12" s="133"/>
      <c r="ETK12" s="133"/>
      <c r="ETL12" s="133"/>
      <c r="ETM12" s="133"/>
      <c r="ETN12" s="133"/>
      <c r="ETO12" s="133"/>
      <c r="ETP12" s="133"/>
      <c r="ETQ12" s="133"/>
      <c r="ETR12" s="133"/>
      <c r="ETS12" s="133"/>
      <c r="ETT12" s="133"/>
      <c r="ETU12" s="133"/>
      <c r="ETV12" s="133"/>
      <c r="ETW12" s="133"/>
      <c r="ETX12" s="133"/>
      <c r="ETY12" s="133"/>
      <c r="ETZ12" s="133"/>
      <c r="EUA12" s="133"/>
      <c r="EUB12" s="133"/>
      <c r="EUC12" s="133"/>
      <c r="EUD12" s="133"/>
      <c r="EUE12" s="133"/>
      <c r="EUF12" s="133"/>
      <c r="EUG12" s="133"/>
      <c r="EUH12" s="133"/>
      <c r="EUI12" s="133"/>
      <c r="EUJ12" s="133"/>
      <c r="EUK12" s="133"/>
      <c r="EUL12" s="133"/>
      <c r="EUM12" s="133"/>
      <c r="EUN12" s="133"/>
      <c r="EUO12" s="133"/>
      <c r="EUP12" s="133"/>
      <c r="EUQ12" s="133"/>
      <c r="EUR12" s="133"/>
      <c r="EUS12" s="133"/>
      <c r="EUT12" s="133"/>
      <c r="EUU12" s="133"/>
      <c r="EUV12" s="133"/>
      <c r="EUW12" s="133"/>
      <c r="EUX12" s="133"/>
      <c r="EUY12" s="133"/>
      <c r="EUZ12" s="133"/>
      <c r="EVA12" s="133"/>
      <c r="EVB12" s="133"/>
      <c r="EVC12" s="133"/>
      <c r="EVD12" s="133"/>
      <c r="EVE12" s="133"/>
      <c r="EVF12" s="133"/>
      <c r="EVG12" s="133"/>
      <c r="EVH12" s="133"/>
      <c r="EVI12" s="133"/>
      <c r="EVJ12" s="133"/>
      <c r="EVK12" s="133"/>
      <c r="EVL12" s="133"/>
      <c r="EVM12" s="133"/>
      <c r="EVN12" s="133"/>
      <c r="EVO12" s="133"/>
      <c r="EVP12" s="133"/>
      <c r="EVQ12" s="133"/>
      <c r="EVR12" s="133"/>
      <c r="EVS12" s="133"/>
      <c r="EVT12" s="133"/>
      <c r="EVU12" s="133"/>
      <c r="EVV12" s="133"/>
      <c r="EVW12" s="133"/>
      <c r="EVX12" s="133"/>
      <c r="EVY12" s="133"/>
      <c r="EVZ12" s="133"/>
      <c r="EWA12" s="133"/>
      <c r="EWB12" s="133"/>
      <c r="EWC12" s="133"/>
      <c r="EWD12" s="133"/>
      <c r="EWE12" s="133"/>
      <c r="EWF12" s="133"/>
      <c r="EWG12" s="133"/>
      <c r="EWH12" s="133"/>
      <c r="EWI12" s="133"/>
      <c r="EWJ12" s="133"/>
      <c r="EWK12" s="133"/>
      <c r="EWL12" s="133"/>
      <c r="EWM12" s="133"/>
      <c r="EWN12" s="133"/>
      <c r="EWO12" s="133"/>
      <c r="EWP12" s="133"/>
      <c r="EWQ12" s="133"/>
      <c r="EWR12" s="133"/>
      <c r="EWS12" s="133"/>
      <c r="EWT12" s="133"/>
      <c r="EWU12" s="133"/>
      <c r="EWV12" s="133"/>
      <c r="EWW12" s="133"/>
      <c r="EWX12" s="133"/>
      <c r="EWY12" s="133"/>
      <c r="EWZ12" s="133"/>
      <c r="EXA12" s="133"/>
      <c r="EXB12" s="133"/>
      <c r="EXC12" s="133"/>
      <c r="EXD12" s="133"/>
      <c r="EXE12" s="133"/>
      <c r="EXF12" s="133"/>
      <c r="EXG12" s="133"/>
      <c r="EXH12" s="133"/>
      <c r="EXI12" s="133"/>
      <c r="EXJ12" s="133"/>
      <c r="EXK12" s="133"/>
      <c r="EXL12" s="133"/>
      <c r="EXM12" s="133"/>
      <c r="EXN12" s="133"/>
      <c r="EXO12" s="133"/>
      <c r="EXP12" s="133"/>
      <c r="EXQ12" s="133"/>
      <c r="EXR12" s="133"/>
      <c r="EXS12" s="133"/>
      <c r="EXT12" s="133"/>
      <c r="EXU12" s="133"/>
      <c r="EXV12" s="133"/>
      <c r="EXW12" s="133"/>
      <c r="EXX12" s="133"/>
      <c r="EXY12" s="133"/>
      <c r="EXZ12" s="133"/>
      <c r="EYA12" s="133"/>
      <c r="EYB12" s="133"/>
      <c r="EYC12" s="133"/>
      <c r="EYD12" s="133"/>
      <c r="EYE12" s="133"/>
      <c r="EYF12" s="133"/>
      <c r="EYG12" s="133"/>
      <c r="EYH12" s="133"/>
      <c r="EYI12" s="133"/>
      <c r="EYJ12" s="133"/>
      <c r="EYK12" s="133"/>
      <c r="EYL12" s="133"/>
      <c r="EYM12" s="133"/>
      <c r="EYN12" s="133"/>
      <c r="EYO12" s="133"/>
      <c r="EYP12" s="133"/>
      <c r="EYQ12" s="133"/>
      <c r="EYR12" s="133"/>
      <c r="EYS12" s="133"/>
      <c r="EYT12" s="133"/>
      <c r="EYU12" s="133"/>
      <c r="EYV12" s="133"/>
      <c r="EYW12" s="133"/>
      <c r="EYX12" s="133"/>
      <c r="EYY12" s="133"/>
      <c r="EYZ12" s="133"/>
      <c r="EZA12" s="133"/>
      <c r="EZB12" s="133"/>
      <c r="EZC12" s="133"/>
      <c r="EZD12" s="133"/>
      <c r="EZE12" s="133"/>
      <c r="EZF12" s="133"/>
      <c r="EZG12" s="133"/>
      <c r="EZH12" s="133"/>
      <c r="EZI12" s="133"/>
      <c r="EZJ12" s="133"/>
      <c r="EZK12" s="133"/>
      <c r="EZL12" s="133"/>
      <c r="EZM12" s="133"/>
      <c r="EZN12" s="133"/>
      <c r="EZO12" s="133"/>
      <c r="EZP12" s="133"/>
      <c r="EZQ12" s="133"/>
      <c r="EZR12" s="133"/>
      <c r="EZS12" s="133"/>
      <c r="EZT12" s="133"/>
      <c r="EZU12" s="133"/>
      <c r="EZV12" s="133"/>
      <c r="EZW12" s="133"/>
      <c r="EZX12" s="133"/>
      <c r="EZY12" s="133"/>
      <c r="EZZ12" s="133"/>
      <c r="FAA12" s="133"/>
      <c r="FAB12" s="133"/>
      <c r="FAC12" s="133"/>
      <c r="FAP12" s="133"/>
      <c r="FAQ12" s="133"/>
      <c r="FAR12" s="133"/>
      <c r="FAS12" s="133"/>
      <c r="FAT12" s="133"/>
      <c r="FAU12" s="133"/>
      <c r="FAV12" s="133"/>
      <c r="FAW12" s="133"/>
      <c r="FAX12" s="133"/>
      <c r="FAY12" s="133"/>
      <c r="FAZ12" s="133"/>
      <c r="FBA12" s="133"/>
      <c r="FBB12" s="133"/>
      <c r="FBC12" s="133"/>
      <c r="FBD12" s="133"/>
      <c r="FBE12" s="133"/>
      <c r="FBF12" s="133"/>
      <c r="FBG12" s="133"/>
      <c r="FBH12" s="133"/>
      <c r="FBI12" s="133"/>
      <c r="FBJ12" s="133"/>
      <c r="FBK12" s="133"/>
      <c r="FBL12" s="133"/>
      <c r="FBM12" s="133"/>
      <c r="FBN12" s="133"/>
      <c r="FBO12" s="133"/>
      <c r="FBP12" s="133"/>
      <c r="FBQ12" s="133"/>
      <c r="FBR12" s="133"/>
      <c r="FBS12" s="133"/>
      <c r="FBT12" s="133"/>
      <c r="FBU12" s="133"/>
      <c r="FBV12" s="133"/>
      <c r="FBW12" s="133"/>
      <c r="FBX12" s="133"/>
      <c r="FBY12" s="133"/>
      <c r="FBZ12" s="133"/>
      <c r="FCA12" s="133"/>
      <c r="FCB12" s="133"/>
      <c r="FCC12" s="133"/>
      <c r="FCD12" s="133"/>
      <c r="FCE12" s="133"/>
      <c r="FCF12" s="133"/>
      <c r="FCG12" s="133"/>
      <c r="FCH12" s="133"/>
      <c r="FCI12" s="133"/>
      <c r="FCJ12" s="133"/>
      <c r="FCK12" s="133"/>
      <c r="FCL12" s="133"/>
      <c r="FCM12" s="133"/>
      <c r="FCN12" s="133"/>
      <c r="FCO12" s="133"/>
      <c r="FCP12" s="133"/>
      <c r="FCQ12" s="133"/>
      <c r="FCR12" s="133"/>
      <c r="FCS12" s="133"/>
      <c r="FCT12" s="133"/>
      <c r="FCU12" s="133"/>
      <c r="FCV12" s="133"/>
      <c r="FCW12" s="133"/>
      <c r="FCX12" s="133"/>
      <c r="FCY12" s="133"/>
      <c r="FCZ12" s="133"/>
      <c r="FDA12" s="133"/>
      <c r="FDB12" s="133"/>
      <c r="FDC12" s="133"/>
      <c r="FDD12" s="133"/>
      <c r="FDE12" s="133"/>
      <c r="FDF12" s="133"/>
      <c r="FDG12" s="133"/>
      <c r="FDH12" s="133"/>
      <c r="FDI12" s="133"/>
      <c r="FDJ12" s="133"/>
      <c r="FDK12" s="133"/>
      <c r="FDL12" s="133"/>
      <c r="FDM12" s="133"/>
      <c r="FDN12" s="133"/>
      <c r="FDO12" s="133"/>
      <c r="FDP12" s="133"/>
      <c r="FDQ12" s="133"/>
      <c r="FDR12" s="133"/>
      <c r="FDS12" s="133"/>
      <c r="FDT12" s="133"/>
      <c r="FDU12" s="133"/>
      <c r="FDV12" s="133"/>
      <c r="FDW12" s="133"/>
      <c r="FDX12" s="133"/>
      <c r="FDY12" s="133"/>
      <c r="FDZ12" s="133"/>
      <c r="FEA12" s="133"/>
      <c r="FEB12" s="133"/>
      <c r="FEC12" s="133"/>
      <c r="FED12" s="133"/>
      <c r="FEE12" s="133"/>
      <c r="FEF12" s="133"/>
      <c r="FEG12" s="133"/>
      <c r="FEH12" s="133"/>
      <c r="FEI12" s="133"/>
      <c r="FEJ12" s="133"/>
      <c r="FEK12" s="133"/>
      <c r="FEL12" s="133"/>
      <c r="FEM12" s="133"/>
      <c r="FEN12" s="133"/>
      <c r="FEO12" s="133"/>
      <c r="FEP12" s="133"/>
      <c r="FEQ12" s="133"/>
      <c r="FER12" s="133"/>
      <c r="FES12" s="133"/>
      <c r="FET12" s="133"/>
      <c r="FEU12" s="133"/>
      <c r="FEV12" s="133"/>
      <c r="FEW12" s="133"/>
      <c r="FEX12" s="133"/>
      <c r="FEY12" s="133"/>
      <c r="FEZ12" s="133"/>
      <c r="FFA12" s="133"/>
      <c r="FFB12" s="133"/>
      <c r="FFC12" s="133"/>
      <c r="FFD12" s="133"/>
      <c r="FFE12" s="133"/>
      <c r="FFF12" s="133"/>
      <c r="FFG12" s="133"/>
      <c r="FFH12" s="133"/>
      <c r="FFI12" s="133"/>
      <c r="FFJ12" s="133"/>
      <c r="FFK12" s="133"/>
      <c r="FFL12" s="133"/>
      <c r="FFM12" s="133"/>
      <c r="FFN12" s="133"/>
      <c r="FFO12" s="133"/>
      <c r="FFP12" s="133"/>
      <c r="FFQ12" s="133"/>
      <c r="FFR12" s="133"/>
      <c r="FFS12" s="133"/>
      <c r="FFT12" s="133"/>
      <c r="FFU12" s="133"/>
      <c r="FFV12" s="133"/>
      <c r="FFW12" s="133"/>
      <c r="FFX12" s="133"/>
      <c r="FFY12" s="133"/>
      <c r="FFZ12" s="133"/>
      <c r="FGA12" s="133"/>
      <c r="FGB12" s="133"/>
      <c r="FGC12" s="133"/>
      <c r="FGD12" s="133"/>
      <c r="FGE12" s="133"/>
      <c r="FGF12" s="133"/>
      <c r="FGG12" s="133"/>
      <c r="FGH12" s="133"/>
      <c r="FGI12" s="133"/>
      <c r="FGJ12" s="133"/>
      <c r="FGK12" s="133"/>
      <c r="FGL12" s="133"/>
      <c r="FGM12" s="133"/>
      <c r="FGN12" s="133"/>
      <c r="FGO12" s="133"/>
      <c r="FGP12" s="133"/>
      <c r="FGQ12" s="133"/>
      <c r="FGR12" s="133"/>
      <c r="FGS12" s="133"/>
      <c r="FGT12" s="133"/>
      <c r="FGU12" s="133"/>
      <c r="FGV12" s="133"/>
      <c r="FGW12" s="133"/>
      <c r="FGX12" s="133"/>
      <c r="FGY12" s="133"/>
      <c r="FGZ12" s="133"/>
      <c r="FHA12" s="133"/>
      <c r="FHB12" s="133"/>
      <c r="FHC12" s="133"/>
      <c r="FHD12" s="133"/>
      <c r="FHE12" s="133"/>
      <c r="FHF12" s="133"/>
      <c r="FHG12" s="133"/>
      <c r="FHH12" s="133"/>
      <c r="FHI12" s="133"/>
      <c r="FHJ12" s="133"/>
      <c r="FHK12" s="133"/>
      <c r="FHL12" s="133"/>
      <c r="FHM12" s="133"/>
      <c r="FHN12" s="133"/>
      <c r="FHO12" s="133"/>
      <c r="FHP12" s="133"/>
      <c r="FHQ12" s="133"/>
      <c r="FHR12" s="133"/>
      <c r="FHS12" s="133"/>
      <c r="FHT12" s="133"/>
      <c r="FHU12" s="133"/>
      <c r="FHV12" s="133"/>
      <c r="FHW12" s="133"/>
      <c r="FHX12" s="133"/>
      <c r="FHY12" s="133"/>
      <c r="FHZ12" s="133"/>
      <c r="FIA12" s="133"/>
      <c r="FIB12" s="133"/>
      <c r="FIC12" s="133"/>
      <c r="FID12" s="133"/>
      <c r="FIE12" s="133"/>
      <c r="FIF12" s="133"/>
      <c r="FIG12" s="133"/>
      <c r="FIH12" s="133"/>
      <c r="FII12" s="133"/>
      <c r="FIJ12" s="133"/>
      <c r="FIK12" s="133"/>
      <c r="FIL12" s="133"/>
      <c r="FIM12" s="133"/>
      <c r="FIN12" s="133"/>
      <c r="FIO12" s="133"/>
      <c r="FIP12" s="133"/>
      <c r="FIQ12" s="133"/>
      <c r="FIR12" s="133"/>
      <c r="FIS12" s="133"/>
      <c r="FIT12" s="133"/>
      <c r="FIU12" s="133"/>
      <c r="FIV12" s="133"/>
      <c r="FIW12" s="133"/>
      <c r="FIX12" s="133"/>
      <c r="FIY12" s="133"/>
      <c r="FIZ12" s="133"/>
      <c r="FJA12" s="133"/>
      <c r="FJB12" s="133"/>
      <c r="FJC12" s="133"/>
      <c r="FJD12" s="133"/>
      <c r="FJE12" s="133"/>
      <c r="FJF12" s="133"/>
      <c r="FJG12" s="133"/>
      <c r="FJH12" s="133"/>
      <c r="FJI12" s="133"/>
      <c r="FJJ12" s="133"/>
      <c r="FJK12" s="133"/>
      <c r="FJL12" s="133"/>
      <c r="FJM12" s="133"/>
      <c r="FJN12" s="133"/>
      <c r="FJO12" s="133"/>
      <c r="FJP12" s="133"/>
      <c r="FJQ12" s="133"/>
      <c r="FJR12" s="133"/>
      <c r="FJS12" s="133"/>
      <c r="FJT12" s="133"/>
      <c r="FJU12" s="133"/>
      <c r="FJV12" s="133"/>
      <c r="FJW12" s="133"/>
      <c r="FJX12" s="133"/>
      <c r="FJY12" s="133"/>
      <c r="FJZ12" s="133"/>
      <c r="FKA12" s="133"/>
      <c r="FKB12" s="133"/>
      <c r="FKC12" s="133"/>
      <c r="FKD12" s="133"/>
      <c r="FKE12" s="133"/>
      <c r="FKF12" s="133"/>
      <c r="FKG12" s="133"/>
      <c r="FKH12" s="133"/>
      <c r="FKI12" s="133"/>
      <c r="FKJ12" s="133"/>
      <c r="FKK12" s="133"/>
      <c r="FKL12" s="133"/>
      <c r="FKM12" s="133"/>
      <c r="FKN12" s="133"/>
      <c r="FKO12" s="133"/>
      <c r="FKP12" s="133"/>
      <c r="FKQ12" s="133"/>
      <c r="FKR12" s="133"/>
      <c r="FKS12" s="133"/>
      <c r="FKT12" s="133"/>
      <c r="FKU12" s="133"/>
      <c r="FKV12" s="133"/>
      <c r="FKW12" s="133"/>
      <c r="FKX12" s="133"/>
      <c r="FKY12" s="133"/>
      <c r="FKZ12" s="133"/>
      <c r="FLA12" s="133"/>
      <c r="FLB12" s="133"/>
      <c r="FLC12" s="133"/>
      <c r="FLD12" s="133"/>
      <c r="FLE12" s="133"/>
      <c r="FLF12" s="133"/>
      <c r="FLG12" s="133"/>
      <c r="FLH12" s="133"/>
      <c r="FLI12" s="133"/>
      <c r="FLJ12" s="133"/>
      <c r="FLK12" s="133"/>
      <c r="FLL12" s="133"/>
      <c r="FLM12" s="133"/>
      <c r="FLN12" s="133"/>
      <c r="FLO12" s="133"/>
      <c r="FLP12" s="133"/>
      <c r="FLQ12" s="133"/>
      <c r="FLR12" s="133"/>
      <c r="FLS12" s="133"/>
      <c r="FLT12" s="133"/>
      <c r="FLU12" s="133"/>
      <c r="FLV12" s="133"/>
      <c r="FLW12" s="133"/>
      <c r="FLX12" s="133"/>
      <c r="FLY12" s="133"/>
      <c r="FLZ12" s="133"/>
      <c r="FMA12" s="133"/>
      <c r="FMB12" s="133"/>
      <c r="FMC12" s="133"/>
      <c r="FMD12" s="133"/>
      <c r="FME12" s="133"/>
      <c r="FMF12" s="133"/>
      <c r="FMG12" s="133"/>
      <c r="FMH12" s="133"/>
      <c r="FMI12" s="133"/>
      <c r="FMJ12" s="133"/>
      <c r="FMK12" s="133"/>
      <c r="FML12" s="133"/>
      <c r="FMM12" s="133"/>
      <c r="FMN12" s="133"/>
      <c r="FMO12" s="133"/>
      <c r="FMP12" s="133"/>
      <c r="FMQ12" s="133"/>
      <c r="FMR12" s="133"/>
      <c r="FMS12" s="133"/>
      <c r="FMT12" s="133"/>
      <c r="FMU12" s="133"/>
      <c r="FMV12" s="133"/>
      <c r="FMW12" s="133"/>
      <c r="FMX12" s="133"/>
      <c r="FMY12" s="133"/>
      <c r="FMZ12" s="133"/>
      <c r="FNA12" s="133"/>
      <c r="FNB12" s="133"/>
      <c r="FNC12" s="133"/>
      <c r="FND12" s="133"/>
      <c r="FNE12" s="133"/>
      <c r="FNF12" s="133"/>
      <c r="FNG12" s="133"/>
      <c r="FNH12" s="133"/>
      <c r="FNI12" s="133"/>
      <c r="FNJ12" s="133"/>
      <c r="FNK12" s="133"/>
      <c r="FNL12" s="133"/>
      <c r="FNM12" s="133"/>
      <c r="FNN12" s="133"/>
      <c r="FNO12" s="133"/>
      <c r="FNP12" s="133"/>
      <c r="FNQ12" s="133"/>
      <c r="FNR12" s="133"/>
      <c r="FNS12" s="133"/>
      <c r="FNT12" s="133"/>
      <c r="FNU12" s="133"/>
      <c r="FNV12" s="133"/>
      <c r="FNW12" s="133"/>
      <c r="FNX12" s="133"/>
      <c r="FNY12" s="133"/>
      <c r="FNZ12" s="133"/>
      <c r="FOA12" s="133"/>
      <c r="FOB12" s="133"/>
      <c r="FOC12" s="133"/>
      <c r="FOD12" s="133"/>
      <c r="FOE12" s="133"/>
      <c r="FOF12" s="133"/>
      <c r="FOG12" s="133"/>
      <c r="FOH12" s="133"/>
      <c r="FOI12" s="133"/>
      <c r="FOJ12" s="133"/>
      <c r="FOK12" s="133"/>
      <c r="FOL12" s="133"/>
      <c r="FOM12" s="133"/>
      <c r="FON12" s="133"/>
      <c r="FOO12" s="133"/>
      <c r="FOP12" s="133"/>
      <c r="FOQ12" s="133"/>
      <c r="FOR12" s="133"/>
      <c r="FOS12" s="133"/>
      <c r="FOT12" s="133"/>
      <c r="FOU12" s="133"/>
      <c r="FOV12" s="133"/>
      <c r="FOW12" s="133"/>
      <c r="FOX12" s="133"/>
      <c r="FOY12" s="133"/>
      <c r="FOZ12" s="133"/>
      <c r="FPA12" s="133"/>
      <c r="FPB12" s="133"/>
      <c r="FPC12" s="133"/>
      <c r="FPD12" s="133"/>
      <c r="FPE12" s="133"/>
      <c r="FPF12" s="133"/>
      <c r="FPG12" s="133"/>
      <c r="FPH12" s="133"/>
      <c r="FPI12" s="133"/>
      <c r="FPJ12" s="133"/>
      <c r="FPK12" s="133"/>
      <c r="FPL12" s="133"/>
      <c r="FPM12" s="133"/>
      <c r="FPN12" s="133"/>
      <c r="FPO12" s="133"/>
      <c r="FPP12" s="133"/>
      <c r="FPQ12" s="133"/>
      <c r="FPR12" s="133"/>
      <c r="FPS12" s="133"/>
      <c r="FPT12" s="133"/>
      <c r="FPU12" s="133"/>
      <c r="FPV12" s="133"/>
      <c r="FPW12" s="133"/>
      <c r="FPX12" s="133"/>
      <c r="FPY12" s="133"/>
      <c r="FPZ12" s="133"/>
      <c r="FQA12" s="133"/>
      <c r="FQB12" s="133"/>
      <c r="FQC12" s="133"/>
      <c r="FQD12" s="133"/>
      <c r="FQE12" s="133"/>
      <c r="FQF12" s="133"/>
      <c r="FQG12" s="133"/>
      <c r="FQH12" s="133"/>
      <c r="FQI12" s="133"/>
      <c r="FQJ12" s="133"/>
      <c r="FQK12" s="133"/>
      <c r="FQL12" s="133"/>
      <c r="FQM12" s="133"/>
      <c r="FQN12" s="133"/>
      <c r="FQO12" s="133"/>
      <c r="FQP12" s="133"/>
      <c r="FQQ12" s="133"/>
      <c r="FQR12" s="133"/>
      <c r="FQS12" s="133"/>
      <c r="FQT12" s="133"/>
      <c r="FQU12" s="133"/>
      <c r="FQV12" s="133"/>
      <c r="FQW12" s="133"/>
      <c r="FQX12" s="133"/>
      <c r="FQY12" s="133"/>
      <c r="FQZ12" s="133"/>
      <c r="FRA12" s="133"/>
      <c r="FRB12" s="133"/>
      <c r="FRC12" s="133"/>
      <c r="FRD12" s="133"/>
      <c r="FRE12" s="133"/>
      <c r="FRF12" s="133"/>
      <c r="FRG12" s="133"/>
      <c r="FRH12" s="133"/>
      <c r="FRI12" s="133"/>
      <c r="FRJ12" s="133"/>
      <c r="FRK12" s="133"/>
      <c r="FRL12" s="133"/>
      <c r="FRM12" s="133"/>
      <c r="FRN12" s="133"/>
      <c r="FRO12" s="133"/>
      <c r="FRP12" s="133"/>
      <c r="FRQ12" s="133"/>
      <c r="FRR12" s="133"/>
      <c r="FRS12" s="133"/>
      <c r="FRT12" s="133"/>
      <c r="FRU12" s="133"/>
      <c r="FRV12" s="133"/>
      <c r="FRW12" s="133"/>
      <c r="FRX12" s="133"/>
      <c r="FRY12" s="133"/>
      <c r="FRZ12" s="133"/>
      <c r="FSA12" s="133"/>
      <c r="FSB12" s="133"/>
      <c r="FSC12" s="133"/>
      <c r="FSD12" s="133"/>
      <c r="FSE12" s="133"/>
      <c r="FSF12" s="133"/>
      <c r="FSG12" s="133"/>
      <c r="FSH12" s="133"/>
      <c r="FSI12" s="133"/>
      <c r="FSJ12" s="133"/>
      <c r="FSK12" s="133"/>
      <c r="FSL12" s="133"/>
      <c r="FSM12" s="133"/>
      <c r="FSN12" s="133"/>
      <c r="FSO12" s="133"/>
      <c r="FSP12" s="133"/>
      <c r="FSQ12" s="133"/>
      <c r="FSR12" s="133"/>
      <c r="FSS12" s="133"/>
      <c r="FST12" s="133"/>
      <c r="FSU12" s="133"/>
      <c r="FSV12" s="133"/>
      <c r="FSW12" s="133"/>
      <c r="FSX12" s="133"/>
      <c r="FSY12" s="133"/>
      <c r="FSZ12" s="133"/>
      <c r="FTA12" s="133"/>
      <c r="FTB12" s="133"/>
      <c r="FTC12" s="133"/>
      <c r="FTD12" s="133"/>
      <c r="FTE12" s="133"/>
      <c r="FTF12" s="133"/>
      <c r="FTG12" s="133"/>
      <c r="FTH12" s="133"/>
      <c r="FTI12" s="133"/>
      <c r="FTJ12" s="133"/>
      <c r="FTK12" s="133"/>
      <c r="FTL12" s="133"/>
      <c r="FTM12" s="133"/>
      <c r="FTN12" s="133"/>
      <c r="FTO12" s="133"/>
      <c r="FTP12" s="133"/>
      <c r="FTQ12" s="133"/>
      <c r="FTR12" s="133"/>
      <c r="FTS12" s="133"/>
      <c r="FTT12" s="133"/>
      <c r="FTU12" s="133"/>
      <c r="FTV12" s="133"/>
      <c r="FTW12" s="133"/>
      <c r="FTX12" s="133"/>
      <c r="FTY12" s="133"/>
      <c r="FTZ12" s="133"/>
      <c r="FUA12" s="133"/>
      <c r="FUB12" s="133"/>
      <c r="FUC12" s="133"/>
      <c r="FUD12" s="133"/>
      <c r="FUE12" s="133"/>
      <c r="FUF12" s="133"/>
      <c r="FUG12" s="133"/>
      <c r="FUH12" s="133"/>
      <c r="FUI12" s="133"/>
      <c r="FUJ12" s="133"/>
      <c r="FUK12" s="133"/>
      <c r="FUL12" s="133"/>
      <c r="FUM12" s="133"/>
      <c r="FUN12" s="133"/>
      <c r="FUO12" s="133"/>
      <c r="FUP12" s="133"/>
      <c r="FUQ12" s="133"/>
      <c r="FUR12" s="133"/>
      <c r="FUS12" s="133"/>
      <c r="FUT12" s="133"/>
      <c r="FUU12" s="133"/>
      <c r="FUV12" s="133"/>
      <c r="FUW12" s="133"/>
      <c r="FUX12" s="133"/>
      <c r="FUY12" s="133"/>
      <c r="FUZ12" s="133"/>
      <c r="FVA12" s="133"/>
      <c r="FVB12" s="133"/>
      <c r="FVC12" s="133"/>
      <c r="FVD12" s="133"/>
      <c r="FVE12" s="133"/>
      <c r="FVF12" s="133"/>
      <c r="FVG12" s="133"/>
      <c r="FVH12" s="133"/>
      <c r="FVI12" s="133"/>
      <c r="FVJ12" s="133"/>
      <c r="FVK12" s="133"/>
      <c r="FVL12" s="133"/>
      <c r="FVM12" s="133"/>
      <c r="FVN12" s="133"/>
      <c r="FVO12" s="133"/>
      <c r="FVP12" s="133"/>
      <c r="FVQ12" s="133"/>
      <c r="FVR12" s="133"/>
      <c r="FVS12" s="133"/>
      <c r="FVT12" s="133"/>
      <c r="FVU12" s="133"/>
      <c r="FVV12" s="133"/>
      <c r="FVW12" s="133"/>
      <c r="FVX12" s="133"/>
      <c r="FVY12" s="133"/>
      <c r="FVZ12" s="133"/>
      <c r="FWA12" s="133"/>
      <c r="FWB12" s="133"/>
      <c r="FWC12" s="133"/>
      <c r="FWD12" s="133"/>
      <c r="FWE12" s="133"/>
      <c r="FWF12" s="133"/>
      <c r="FWG12" s="133"/>
      <c r="FWH12" s="133"/>
      <c r="FWI12" s="133"/>
      <c r="FWJ12" s="133"/>
      <c r="FWK12" s="133"/>
      <c r="FWL12" s="133"/>
      <c r="FWM12" s="133"/>
      <c r="FWN12" s="133"/>
      <c r="FWO12" s="133"/>
      <c r="FWP12" s="133"/>
      <c r="FWQ12" s="133"/>
      <c r="FWR12" s="133"/>
      <c r="FWS12" s="133"/>
      <c r="FWT12" s="133"/>
      <c r="FWU12" s="133"/>
      <c r="FWV12" s="133"/>
      <c r="FWW12" s="133"/>
      <c r="FWX12" s="133"/>
      <c r="FWY12" s="133"/>
      <c r="FWZ12" s="133"/>
      <c r="FXA12" s="133"/>
      <c r="FXB12" s="133"/>
      <c r="FXC12" s="133"/>
      <c r="FXD12" s="133"/>
      <c r="FXE12" s="133"/>
      <c r="FXF12" s="133"/>
      <c r="FXG12" s="133"/>
      <c r="FXH12" s="133"/>
      <c r="FXI12" s="133"/>
      <c r="FXJ12" s="133"/>
      <c r="FXK12" s="133"/>
      <c r="FXL12" s="133"/>
      <c r="FXM12" s="133"/>
      <c r="FXN12" s="133"/>
      <c r="FXO12" s="133"/>
      <c r="FXP12" s="133"/>
      <c r="FXQ12" s="133"/>
      <c r="FXR12" s="133"/>
      <c r="FXS12" s="133"/>
      <c r="FXT12" s="133"/>
      <c r="FXU12" s="133"/>
      <c r="FXV12" s="133"/>
      <c r="FXW12" s="133"/>
      <c r="FXX12" s="133"/>
      <c r="FXY12" s="133"/>
      <c r="FXZ12" s="133"/>
      <c r="FYA12" s="133"/>
      <c r="FYB12" s="133"/>
      <c r="FYC12" s="133"/>
      <c r="FYD12" s="133"/>
      <c r="FYE12" s="133"/>
      <c r="FYF12" s="133"/>
      <c r="FYG12" s="133"/>
      <c r="FYH12" s="133"/>
      <c r="FYI12" s="133"/>
      <c r="FYJ12" s="133"/>
      <c r="FYK12" s="133"/>
      <c r="FYL12" s="133"/>
      <c r="FYM12" s="133"/>
      <c r="FYN12" s="133"/>
      <c r="FYO12" s="133"/>
      <c r="FYP12" s="133"/>
      <c r="FYQ12" s="133"/>
      <c r="FYR12" s="133"/>
      <c r="FYS12" s="133"/>
      <c r="FYT12" s="133"/>
      <c r="FYU12" s="133"/>
      <c r="FYV12" s="133"/>
      <c r="FYW12" s="133"/>
      <c r="FYX12" s="133"/>
      <c r="FYY12" s="133"/>
      <c r="FYZ12" s="133"/>
      <c r="FZA12" s="133"/>
      <c r="FZB12" s="133"/>
      <c r="FZC12" s="133"/>
      <c r="FZD12" s="133"/>
      <c r="FZE12" s="133"/>
      <c r="FZF12" s="133"/>
      <c r="FZG12" s="133"/>
      <c r="FZH12" s="133"/>
      <c r="FZI12" s="133"/>
      <c r="FZJ12" s="133"/>
      <c r="FZK12" s="133"/>
      <c r="FZL12" s="133"/>
      <c r="FZM12" s="133"/>
      <c r="FZN12" s="133"/>
      <c r="FZO12" s="133"/>
      <c r="FZP12" s="133"/>
      <c r="FZQ12" s="133"/>
      <c r="FZR12" s="133"/>
      <c r="FZS12" s="133"/>
      <c r="FZT12" s="133"/>
      <c r="FZU12" s="133"/>
      <c r="FZV12" s="133"/>
      <c r="FZW12" s="133"/>
      <c r="FZX12" s="133"/>
      <c r="FZY12" s="133"/>
      <c r="FZZ12" s="133"/>
      <c r="GAA12" s="133"/>
      <c r="GAB12" s="133"/>
      <c r="GAC12" s="133"/>
      <c r="GAD12" s="133"/>
      <c r="GAE12" s="133"/>
      <c r="GAF12" s="133"/>
      <c r="GAG12" s="133"/>
      <c r="GAH12" s="133"/>
      <c r="GAI12" s="133"/>
      <c r="GAJ12" s="133"/>
      <c r="GAK12" s="133"/>
      <c r="GAL12" s="133"/>
      <c r="GAM12" s="133"/>
      <c r="GAN12" s="133"/>
      <c r="GAO12" s="133"/>
      <c r="GAP12" s="133"/>
      <c r="GAQ12" s="133"/>
      <c r="GAR12" s="133"/>
      <c r="GAS12" s="133"/>
      <c r="GAT12" s="133"/>
      <c r="GAU12" s="133"/>
      <c r="GAV12" s="133"/>
      <c r="GAW12" s="133"/>
      <c r="GAX12" s="133"/>
      <c r="GAY12" s="133"/>
      <c r="GAZ12" s="133"/>
      <c r="GBA12" s="133"/>
      <c r="GBB12" s="133"/>
      <c r="GBC12" s="133"/>
      <c r="GBD12" s="133"/>
      <c r="GBE12" s="133"/>
      <c r="GBF12" s="133"/>
      <c r="GBG12" s="133"/>
      <c r="GBH12" s="133"/>
      <c r="GBI12" s="133"/>
      <c r="GBJ12" s="133"/>
      <c r="GBK12" s="133"/>
      <c r="GBL12" s="133"/>
      <c r="GBM12" s="133"/>
      <c r="GBN12" s="133"/>
      <c r="GBO12" s="133"/>
      <c r="GBP12" s="133"/>
      <c r="GBQ12" s="133"/>
      <c r="GBR12" s="133"/>
      <c r="GBS12" s="133"/>
      <c r="GBT12" s="133"/>
      <c r="GBU12" s="133"/>
      <c r="GBV12" s="133"/>
      <c r="GBW12" s="133"/>
      <c r="GBX12" s="133"/>
      <c r="GBY12" s="133"/>
      <c r="GBZ12" s="133"/>
      <c r="GCA12" s="133"/>
      <c r="GCB12" s="133"/>
      <c r="GCC12" s="133"/>
      <c r="GCD12" s="133"/>
      <c r="GCE12" s="133"/>
      <c r="GCF12" s="133"/>
      <c r="GCG12" s="133"/>
      <c r="GCH12" s="133"/>
      <c r="GCI12" s="133"/>
      <c r="GCJ12" s="133"/>
      <c r="GCK12" s="133"/>
      <c r="GCL12" s="133"/>
      <c r="GCM12" s="133"/>
      <c r="GCN12" s="133"/>
      <c r="GCO12" s="133"/>
      <c r="GCP12" s="133"/>
      <c r="GCQ12" s="133"/>
      <c r="GCR12" s="133"/>
      <c r="GCS12" s="133"/>
      <c r="GCT12" s="133"/>
      <c r="GCU12" s="133"/>
      <c r="GCV12" s="133"/>
      <c r="GCW12" s="133"/>
      <c r="GCX12" s="133"/>
      <c r="GCY12" s="133"/>
      <c r="GCZ12" s="133"/>
      <c r="GDA12" s="133"/>
      <c r="GDB12" s="133"/>
      <c r="GDC12" s="133"/>
      <c r="GDD12" s="133"/>
      <c r="GDE12" s="133"/>
      <c r="GDF12" s="133"/>
      <c r="GDG12" s="133"/>
      <c r="GDH12" s="133"/>
      <c r="GDI12" s="133"/>
      <c r="GDJ12" s="133"/>
      <c r="GDK12" s="133"/>
      <c r="GDL12" s="133"/>
      <c r="GDM12" s="133"/>
      <c r="GDN12" s="133"/>
      <c r="GDO12" s="133"/>
      <c r="GDP12" s="133"/>
      <c r="GDQ12" s="133"/>
      <c r="GDR12" s="133"/>
      <c r="GDS12" s="133"/>
      <c r="GDT12" s="133"/>
      <c r="GDU12" s="133"/>
      <c r="GDV12" s="133"/>
      <c r="GDW12" s="133"/>
      <c r="GDX12" s="133"/>
      <c r="GDY12" s="133"/>
      <c r="GDZ12" s="133"/>
      <c r="GEA12" s="133"/>
      <c r="GEB12" s="133"/>
      <c r="GEC12" s="133"/>
      <c r="GED12" s="133"/>
      <c r="GEE12" s="133"/>
      <c r="GEF12" s="133"/>
      <c r="GEG12" s="133"/>
      <c r="GEH12" s="133"/>
      <c r="GEI12" s="133"/>
      <c r="GEJ12" s="133"/>
      <c r="GEK12" s="133"/>
      <c r="GEL12" s="133"/>
      <c r="GEM12" s="133"/>
      <c r="GEN12" s="133"/>
      <c r="GEO12" s="133"/>
      <c r="GEP12" s="133"/>
      <c r="GEQ12" s="133"/>
      <c r="GER12" s="133"/>
      <c r="GES12" s="133"/>
      <c r="GET12" s="133"/>
      <c r="GEU12" s="133"/>
      <c r="GEV12" s="133"/>
      <c r="GEW12" s="133"/>
      <c r="GEX12" s="133"/>
      <c r="GEY12" s="133"/>
      <c r="GEZ12" s="133"/>
      <c r="GFA12" s="133"/>
      <c r="GFB12" s="133"/>
      <c r="GFC12" s="133"/>
      <c r="GFD12" s="133"/>
      <c r="GFE12" s="133"/>
      <c r="GFF12" s="133"/>
      <c r="GFG12" s="133"/>
      <c r="GFH12" s="133"/>
      <c r="GFI12" s="133"/>
      <c r="GFJ12" s="133"/>
      <c r="GFK12" s="133"/>
      <c r="GFL12" s="133"/>
      <c r="GFM12" s="133"/>
      <c r="GFN12" s="133"/>
      <c r="GFO12" s="133"/>
      <c r="GFP12" s="133"/>
      <c r="GFQ12" s="133"/>
      <c r="GFR12" s="133"/>
      <c r="GFS12" s="133"/>
      <c r="GFT12" s="133"/>
      <c r="GFU12" s="133"/>
      <c r="GFV12" s="133"/>
      <c r="GFW12" s="133"/>
      <c r="GFX12" s="133"/>
      <c r="GFY12" s="133"/>
      <c r="GFZ12" s="133"/>
      <c r="GGA12" s="133"/>
      <c r="GGB12" s="133"/>
      <c r="GGC12" s="133"/>
      <c r="GGD12" s="133"/>
      <c r="GGE12" s="133"/>
      <c r="GGF12" s="133"/>
      <c r="GGG12" s="133"/>
      <c r="GGH12" s="133"/>
      <c r="GGI12" s="133"/>
      <c r="GGJ12" s="133"/>
      <c r="GGK12" s="133"/>
      <c r="GGL12" s="133"/>
      <c r="GGM12" s="133"/>
      <c r="GGN12" s="133"/>
      <c r="GGO12" s="133"/>
      <c r="GGP12" s="133"/>
      <c r="GGQ12" s="133"/>
      <c r="GGR12" s="133"/>
      <c r="GGS12" s="133"/>
      <c r="GGT12" s="133"/>
      <c r="GGU12" s="133"/>
      <c r="GGV12" s="133"/>
      <c r="GGW12" s="133"/>
      <c r="GGX12" s="133"/>
      <c r="GGY12" s="133"/>
      <c r="GGZ12" s="133"/>
      <c r="GHA12" s="133"/>
      <c r="GHB12" s="133"/>
      <c r="GHC12" s="133"/>
      <c r="GHD12" s="133"/>
      <c r="GHE12" s="133"/>
      <c r="GHF12" s="133"/>
      <c r="GHG12" s="133"/>
      <c r="GHH12" s="133"/>
      <c r="GHI12" s="133"/>
      <c r="GHJ12" s="133"/>
      <c r="GHK12" s="133"/>
      <c r="GHL12" s="133"/>
      <c r="GHM12" s="133"/>
      <c r="GHN12" s="133"/>
      <c r="GHO12" s="133"/>
      <c r="GHP12" s="133"/>
      <c r="GHQ12" s="133"/>
      <c r="GHR12" s="133"/>
      <c r="GHS12" s="133"/>
      <c r="GHT12" s="133"/>
      <c r="GHU12" s="133"/>
      <c r="GHV12" s="133"/>
      <c r="GHW12" s="133"/>
      <c r="GHX12" s="133"/>
      <c r="GHY12" s="133"/>
      <c r="GHZ12" s="133"/>
      <c r="GIA12" s="133"/>
      <c r="GIB12" s="133"/>
      <c r="GIC12" s="133"/>
      <c r="GID12" s="133"/>
      <c r="GIE12" s="133"/>
      <c r="GIF12" s="133"/>
      <c r="GIG12" s="133"/>
      <c r="GIH12" s="133"/>
      <c r="GII12" s="133"/>
      <c r="GIJ12" s="133"/>
      <c r="GIK12" s="133"/>
      <c r="GIL12" s="133"/>
      <c r="GIM12" s="133"/>
      <c r="GIN12" s="133"/>
      <c r="GIO12" s="133"/>
      <c r="GIP12" s="133"/>
      <c r="GIQ12" s="133"/>
      <c r="GIR12" s="133"/>
      <c r="GIS12" s="133"/>
      <c r="GIT12" s="133"/>
      <c r="GIU12" s="133"/>
      <c r="GIV12" s="133"/>
      <c r="GIW12" s="133"/>
      <c r="GIX12" s="133"/>
      <c r="GIY12" s="133"/>
      <c r="GIZ12" s="133"/>
      <c r="GJA12" s="133"/>
      <c r="GJB12" s="133"/>
      <c r="GJC12" s="133"/>
      <c r="GJD12" s="133"/>
      <c r="GJE12" s="133"/>
      <c r="GJF12" s="133"/>
      <c r="GJG12" s="133"/>
      <c r="GJH12" s="133"/>
      <c r="GJI12" s="133"/>
      <c r="GJJ12" s="133"/>
      <c r="GJK12" s="133"/>
      <c r="GJL12" s="133"/>
      <c r="GJM12" s="133"/>
      <c r="GJN12" s="133"/>
      <c r="GJO12" s="133"/>
      <c r="GJP12" s="133"/>
      <c r="GJQ12" s="133"/>
      <c r="GJR12" s="133"/>
      <c r="GJS12" s="133"/>
      <c r="GJT12" s="133"/>
      <c r="GJU12" s="133"/>
      <c r="GJV12" s="133"/>
      <c r="GJW12" s="133"/>
      <c r="GJX12" s="133"/>
      <c r="GJY12" s="133"/>
      <c r="GJZ12" s="133"/>
      <c r="GKA12" s="133"/>
      <c r="GKB12" s="133"/>
      <c r="GKC12" s="133"/>
      <c r="GKD12" s="133"/>
      <c r="GKE12" s="133"/>
      <c r="GKF12" s="133"/>
      <c r="GKG12" s="133"/>
      <c r="GKH12" s="133"/>
      <c r="GKI12" s="133"/>
      <c r="GKJ12" s="133"/>
      <c r="GKK12" s="133"/>
      <c r="GKL12" s="133"/>
      <c r="GKM12" s="133"/>
      <c r="GKN12" s="133"/>
      <c r="GKO12" s="133"/>
      <c r="GKP12" s="133"/>
      <c r="GKQ12" s="133"/>
      <c r="GKR12" s="133"/>
      <c r="GKS12" s="133"/>
      <c r="GKT12" s="133"/>
      <c r="GKU12" s="133"/>
      <c r="GKV12" s="133"/>
      <c r="GKW12" s="133"/>
      <c r="GKX12" s="133"/>
      <c r="GKY12" s="133"/>
      <c r="GKZ12" s="133"/>
      <c r="GLA12" s="133"/>
      <c r="GLB12" s="133"/>
      <c r="GLC12" s="133"/>
      <c r="GLD12" s="133"/>
      <c r="GLE12" s="133"/>
      <c r="GLF12" s="133"/>
      <c r="GLG12" s="133"/>
      <c r="GLH12" s="133"/>
      <c r="GLI12" s="133"/>
      <c r="GLJ12" s="133"/>
      <c r="GLK12" s="133"/>
      <c r="GLL12" s="133"/>
      <c r="GLM12" s="133"/>
      <c r="GLN12" s="133"/>
      <c r="GLO12" s="133"/>
      <c r="GLP12" s="133"/>
      <c r="GLQ12" s="133"/>
      <c r="GLR12" s="133"/>
      <c r="GLS12" s="133"/>
      <c r="GLT12" s="133"/>
      <c r="GLU12" s="133"/>
      <c r="GLV12" s="133"/>
      <c r="GLW12" s="133"/>
      <c r="GLX12" s="133"/>
      <c r="GLY12" s="133"/>
      <c r="GLZ12" s="133"/>
      <c r="GMA12" s="133"/>
      <c r="GMB12" s="133"/>
      <c r="GMC12" s="133"/>
      <c r="GMD12" s="133"/>
      <c r="GME12" s="133"/>
      <c r="GMF12" s="133"/>
      <c r="GMG12" s="133"/>
      <c r="GMH12" s="133"/>
      <c r="GMI12" s="133"/>
      <c r="GMJ12" s="133"/>
      <c r="GMK12" s="133"/>
      <c r="GML12" s="133"/>
      <c r="GMM12" s="133"/>
      <c r="GMN12" s="133"/>
      <c r="GMO12" s="133"/>
      <c r="GMP12" s="133"/>
      <c r="GMQ12" s="133"/>
      <c r="GMR12" s="133"/>
      <c r="GMS12" s="133"/>
      <c r="GMT12" s="133"/>
      <c r="GMU12" s="133"/>
      <c r="GMV12" s="133"/>
      <c r="GMW12" s="133"/>
      <c r="GMX12" s="133"/>
      <c r="GMY12" s="133"/>
      <c r="GMZ12" s="133"/>
      <c r="GNA12" s="133"/>
      <c r="GNB12" s="133"/>
      <c r="GNC12" s="133"/>
      <c r="GND12" s="133"/>
      <c r="GNE12" s="133"/>
      <c r="GNF12" s="133"/>
      <c r="GNG12" s="133"/>
      <c r="GNH12" s="133"/>
      <c r="GNI12" s="133"/>
      <c r="GNJ12" s="133"/>
      <c r="GNK12" s="133"/>
      <c r="GNL12" s="133"/>
      <c r="GNM12" s="133"/>
      <c r="GNZ12" s="133"/>
      <c r="GOA12" s="133"/>
      <c r="GOB12" s="133"/>
      <c r="GOC12" s="133"/>
      <c r="GOD12" s="133"/>
      <c r="GOE12" s="133"/>
      <c r="GOF12" s="133"/>
      <c r="GOG12" s="133"/>
      <c r="GOH12" s="133"/>
      <c r="GOI12" s="133"/>
      <c r="GOJ12" s="133"/>
      <c r="GOK12" s="133"/>
      <c r="GOL12" s="133"/>
      <c r="GOM12" s="133"/>
      <c r="GON12" s="133"/>
      <c r="GOO12" s="133"/>
      <c r="GOP12" s="133"/>
      <c r="GOQ12" s="133"/>
      <c r="GOR12" s="133"/>
      <c r="GOS12" s="133"/>
      <c r="GOT12" s="133"/>
      <c r="GOU12" s="133"/>
      <c r="GOV12" s="133"/>
      <c r="GOW12" s="133"/>
      <c r="GOX12" s="133"/>
      <c r="GOY12" s="133"/>
      <c r="GOZ12" s="133"/>
      <c r="GPA12" s="133"/>
      <c r="GPB12" s="133"/>
      <c r="GPC12" s="133"/>
      <c r="GPD12" s="133"/>
      <c r="GPE12" s="133"/>
      <c r="GPF12" s="133"/>
      <c r="GPG12" s="133"/>
      <c r="GPH12" s="133"/>
      <c r="GPI12" s="133"/>
      <c r="GPJ12" s="133"/>
      <c r="GPK12" s="133"/>
      <c r="GPL12" s="133"/>
      <c r="GPM12" s="133"/>
      <c r="GPN12" s="133"/>
      <c r="GPO12" s="133"/>
      <c r="GPP12" s="133"/>
      <c r="GPQ12" s="133"/>
      <c r="GPR12" s="133"/>
      <c r="GPS12" s="133"/>
      <c r="GPT12" s="133"/>
      <c r="GPU12" s="133"/>
      <c r="GPV12" s="133"/>
      <c r="GPW12" s="133"/>
      <c r="GPX12" s="133"/>
      <c r="GPY12" s="133"/>
      <c r="GPZ12" s="133"/>
      <c r="GQA12" s="133"/>
      <c r="GQB12" s="133"/>
      <c r="GQC12" s="133"/>
      <c r="GQD12" s="133"/>
      <c r="GQE12" s="133"/>
      <c r="GQF12" s="133"/>
      <c r="GQG12" s="133"/>
      <c r="GQH12" s="133"/>
      <c r="GQI12" s="133"/>
      <c r="GQJ12" s="133"/>
      <c r="GQK12" s="133"/>
      <c r="GQL12" s="133"/>
      <c r="GQM12" s="133"/>
      <c r="GQN12" s="133"/>
      <c r="GQO12" s="133"/>
      <c r="GQP12" s="133"/>
      <c r="GQQ12" s="133"/>
      <c r="GQR12" s="133"/>
      <c r="GQS12" s="133"/>
      <c r="GQT12" s="133"/>
      <c r="GQU12" s="133"/>
      <c r="GQV12" s="133"/>
      <c r="GQW12" s="133"/>
      <c r="GQX12" s="133"/>
      <c r="GQY12" s="133"/>
      <c r="GQZ12" s="133"/>
      <c r="GRA12" s="133"/>
      <c r="GRB12" s="133"/>
      <c r="GRC12" s="133"/>
      <c r="GRD12" s="133"/>
      <c r="GRE12" s="133"/>
      <c r="GRF12" s="133"/>
      <c r="GRG12" s="133"/>
      <c r="GRH12" s="133"/>
      <c r="GRI12" s="133"/>
      <c r="GRJ12" s="133"/>
      <c r="GRK12" s="133"/>
      <c r="GRL12" s="133"/>
      <c r="GRM12" s="133"/>
      <c r="GRN12" s="133"/>
      <c r="GRO12" s="133"/>
      <c r="GRP12" s="133"/>
      <c r="GRQ12" s="133"/>
      <c r="GRR12" s="133"/>
      <c r="GRS12" s="133"/>
      <c r="GRT12" s="133"/>
      <c r="GRU12" s="133"/>
      <c r="GRV12" s="133"/>
      <c r="GRW12" s="133"/>
      <c r="GRX12" s="133"/>
      <c r="GRY12" s="133"/>
      <c r="GRZ12" s="133"/>
      <c r="GSA12" s="133"/>
      <c r="GSB12" s="133"/>
      <c r="GSC12" s="133"/>
      <c r="GSD12" s="133"/>
      <c r="GSE12" s="133"/>
      <c r="GSF12" s="133"/>
      <c r="GSG12" s="133"/>
      <c r="GSH12" s="133"/>
      <c r="GSI12" s="133"/>
      <c r="GSJ12" s="133"/>
      <c r="GSK12" s="133"/>
      <c r="GSL12" s="133"/>
      <c r="GSM12" s="133"/>
      <c r="GSN12" s="133"/>
      <c r="GSO12" s="133"/>
      <c r="GSP12" s="133"/>
      <c r="GSQ12" s="133"/>
      <c r="GSR12" s="133"/>
      <c r="GSS12" s="133"/>
      <c r="GST12" s="133"/>
      <c r="GSU12" s="133"/>
      <c r="GSV12" s="133"/>
      <c r="GSW12" s="133"/>
      <c r="GSX12" s="133"/>
      <c r="GSY12" s="133"/>
      <c r="GSZ12" s="133"/>
      <c r="GTA12" s="133"/>
      <c r="GTB12" s="133"/>
      <c r="GTC12" s="133"/>
      <c r="GTD12" s="133"/>
      <c r="GTE12" s="133"/>
      <c r="GTF12" s="133"/>
      <c r="GTG12" s="133"/>
      <c r="GTH12" s="133"/>
      <c r="GTI12" s="133"/>
      <c r="GTJ12" s="133"/>
      <c r="GTK12" s="133"/>
      <c r="GTL12" s="133"/>
      <c r="GTM12" s="133"/>
      <c r="GTN12" s="133"/>
      <c r="GTO12" s="133"/>
      <c r="GTP12" s="133"/>
      <c r="GTQ12" s="133"/>
      <c r="GTR12" s="133"/>
      <c r="GTS12" s="133"/>
      <c r="GTT12" s="133"/>
      <c r="GTU12" s="133"/>
      <c r="GTV12" s="133"/>
      <c r="GTW12" s="133"/>
      <c r="GTX12" s="133"/>
      <c r="GTY12" s="133"/>
      <c r="GTZ12" s="133"/>
      <c r="GUA12" s="133"/>
      <c r="GUB12" s="133"/>
      <c r="GUC12" s="133"/>
      <c r="GUD12" s="133"/>
      <c r="GUE12" s="133"/>
      <c r="GUF12" s="133"/>
      <c r="GUG12" s="133"/>
      <c r="GUH12" s="133"/>
      <c r="GUI12" s="133"/>
      <c r="GUJ12" s="133"/>
      <c r="GUK12" s="133"/>
      <c r="GUL12" s="133"/>
      <c r="GUM12" s="133"/>
      <c r="GUN12" s="133"/>
      <c r="GUO12" s="133"/>
      <c r="GUP12" s="133"/>
      <c r="GUQ12" s="133"/>
      <c r="GUR12" s="133"/>
      <c r="GUS12" s="133"/>
      <c r="GUT12" s="133"/>
      <c r="GUU12" s="133"/>
      <c r="GUV12" s="133"/>
      <c r="GUW12" s="133"/>
      <c r="GUX12" s="133"/>
      <c r="GUY12" s="133"/>
      <c r="GUZ12" s="133"/>
      <c r="GVA12" s="133"/>
      <c r="GVB12" s="133"/>
      <c r="GVC12" s="133"/>
      <c r="GVD12" s="133"/>
      <c r="GVE12" s="133"/>
      <c r="GVF12" s="133"/>
      <c r="GVG12" s="133"/>
      <c r="GVH12" s="133"/>
      <c r="GVI12" s="133"/>
      <c r="GVJ12" s="133"/>
      <c r="GVK12" s="133"/>
      <c r="GVL12" s="133"/>
      <c r="GVM12" s="133"/>
      <c r="GVN12" s="133"/>
      <c r="GVO12" s="133"/>
      <c r="GVP12" s="133"/>
      <c r="GVQ12" s="133"/>
      <c r="GVR12" s="133"/>
      <c r="GVS12" s="133"/>
      <c r="GVT12" s="133"/>
      <c r="GVU12" s="133"/>
      <c r="GVV12" s="133"/>
      <c r="GVW12" s="133"/>
      <c r="GVX12" s="133"/>
      <c r="GVY12" s="133"/>
      <c r="GVZ12" s="133"/>
      <c r="GWA12" s="133"/>
      <c r="GWB12" s="133"/>
      <c r="GWC12" s="133"/>
      <c r="GWD12" s="133"/>
      <c r="GWE12" s="133"/>
      <c r="GWF12" s="133"/>
      <c r="GWG12" s="133"/>
      <c r="GWH12" s="133"/>
      <c r="GWI12" s="133"/>
      <c r="GWJ12" s="133"/>
      <c r="GWK12" s="133"/>
      <c r="GWL12" s="133"/>
      <c r="GWM12" s="133"/>
      <c r="GWN12" s="133"/>
      <c r="GWO12" s="133"/>
      <c r="GWP12" s="133"/>
      <c r="GWQ12" s="133"/>
      <c r="GWR12" s="133"/>
      <c r="GWS12" s="133"/>
      <c r="GWT12" s="133"/>
      <c r="GWU12" s="133"/>
      <c r="GWV12" s="133"/>
      <c r="GWW12" s="133"/>
      <c r="GWX12" s="133"/>
      <c r="GWY12" s="133"/>
      <c r="GWZ12" s="133"/>
      <c r="GXA12" s="133"/>
      <c r="GXB12" s="133"/>
      <c r="GXC12" s="133"/>
      <c r="GXD12" s="133"/>
      <c r="GXE12" s="133"/>
      <c r="GXF12" s="133"/>
      <c r="GXG12" s="133"/>
      <c r="GXH12" s="133"/>
      <c r="GXI12" s="133"/>
      <c r="GXJ12" s="133"/>
      <c r="GXK12" s="133"/>
      <c r="GXL12" s="133"/>
      <c r="GXM12" s="133"/>
      <c r="GXN12" s="133"/>
      <c r="GXO12" s="133"/>
      <c r="GXP12" s="133"/>
      <c r="GXQ12" s="133"/>
      <c r="GXR12" s="133"/>
      <c r="GXS12" s="133"/>
      <c r="GXT12" s="133"/>
      <c r="GXU12" s="133"/>
      <c r="GXV12" s="133"/>
      <c r="GXW12" s="133"/>
      <c r="GXX12" s="133"/>
      <c r="GXY12" s="133"/>
      <c r="GXZ12" s="133"/>
      <c r="GYA12" s="133"/>
      <c r="GYB12" s="133"/>
      <c r="GYC12" s="133"/>
      <c r="GYD12" s="133"/>
      <c r="GYE12" s="133"/>
      <c r="GYF12" s="133"/>
      <c r="GYG12" s="133"/>
      <c r="GYH12" s="133"/>
      <c r="GYI12" s="133"/>
      <c r="GYJ12" s="133"/>
      <c r="GYK12" s="133"/>
      <c r="GYL12" s="133"/>
      <c r="GYM12" s="133"/>
      <c r="GYN12" s="133"/>
      <c r="GYO12" s="133"/>
      <c r="GYP12" s="133"/>
      <c r="GYQ12" s="133"/>
      <c r="GYR12" s="133"/>
      <c r="GYS12" s="133"/>
      <c r="GYT12" s="133"/>
      <c r="GYU12" s="133"/>
      <c r="GYV12" s="133"/>
      <c r="GYW12" s="133"/>
      <c r="GYX12" s="133"/>
      <c r="GYY12" s="133"/>
      <c r="GYZ12" s="133"/>
      <c r="GZA12" s="133"/>
      <c r="GZB12" s="133"/>
      <c r="GZC12" s="133"/>
      <c r="GZD12" s="133"/>
      <c r="GZE12" s="133"/>
      <c r="GZF12" s="133"/>
      <c r="GZG12" s="133"/>
      <c r="GZH12" s="133"/>
      <c r="GZI12" s="133"/>
      <c r="GZJ12" s="133"/>
      <c r="GZK12" s="133"/>
      <c r="GZL12" s="133"/>
      <c r="GZM12" s="133"/>
      <c r="GZN12" s="133"/>
      <c r="GZO12" s="133"/>
      <c r="GZP12" s="133"/>
      <c r="GZQ12" s="133"/>
      <c r="GZR12" s="133"/>
      <c r="GZS12" s="133"/>
      <c r="GZT12" s="133"/>
      <c r="GZU12" s="133"/>
      <c r="GZV12" s="133"/>
      <c r="GZW12" s="133"/>
      <c r="GZX12" s="133"/>
      <c r="GZY12" s="133"/>
      <c r="GZZ12" s="133"/>
      <c r="HAA12" s="133"/>
      <c r="HAB12" s="133"/>
      <c r="HAC12" s="133"/>
      <c r="HAD12" s="133"/>
      <c r="HAE12" s="133"/>
      <c r="HAF12" s="133"/>
      <c r="HAG12" s="133"/>
      <c r="HAH12" s="133"/>
      <c r="HAI12" s="133"/>
      <c r="HAJ12" s="133"/>
      <c r="HAK12" s="133"/>
      <c r="HAL12" s="133"/>
      <c r="HAM12" s="133"/>
      <c r="HAN12" s="133"/>
      <c r="HAO12" s="133"/>
      <c r="HAP12" s="133"/>
      <c r="HAQ12" s="133"/>
      <c r="HAR12" s="133"/>
      <c r="HAS12" s="133"/>
      <c r="HAT12" s="133"/>
      <c r="HAU12" s="133"/>
      <c r="HAV12" s="133"/>
      <c r="HAW12" s="133"/>
      <c r="HAX12" s="133"/>
      <c r="HAY12" s="133"/>
      <c r="HAZ12" s="133"/>
      <c r="HBA12" s="133"/>
      <c r="HBB12" s="133"/>
      <c r="HBC12" s="133"/>
      <c r="HBD12" s="133"/>
      <c r="HBE12" s="133"/>
      <c r="HBF12" s="133"/>
      <c r="HBG12" s="133"/>
      <c r="HBH12" s="133"/>
      <c r="HBI12" s="133"/>
      <c r="HBJ12" s="133"/>
      <c r="HBK12" s="133"/>
      <c r="HBL12" s="133"/>
      <c r="HBM12" s="133"/>
      <c r="HBN12" s="133"/>
      <c r="HBO12" s="133"/>
      <c r="HBP12" s="133"/>
      <c r="HBQ12" s="133"/>
      <c r="HBR12" s="133"/>
      <c r="HBS12" s="133"/>
      <c r="HBT12" s="133"/>
      <c r="HBU12" s="133"/>
      <c r="HBV12" s="133"/>
      <c r="HBW12" s="133"/>
      <c r="HBX12" s="133"/>
      <c r="HBY12" s="133"/>
      <c r="HBZ12" s="133"/>
      <c r="HCA12" s="133"/>
      <c r="HCB12" s="133"/>
      <c r="HCC12" s="133"/>
      <c r="HCD12" s="133"/>
      <c r="HCE12" s="133"/>
      <c r="HCF12" s="133"/>
      <c r="HCG12" s="133"/>
      <c r="HCH12" s="133"/>
      <c r="HCI12" s="133"/>
      <c r="HCJ12" s="133"/>
      <c r="HCK12" s="133"/>
      <c r="HCL12" s="133"/>
      <c r="HCM12" s="133"/>
      <c r="HCN12" s="133"/>
      <c r="HCO12" s="133"/>
      <c r="HCP12" s="133"/>
      <c r="HCQ12" s="133"/>
      <c r="HCR12" s="133"/>
      <c r="HCS12" s="133"/>
      <c r="HCT12" s="133"/>
      <c r="HCU12" s="133"/>
      <c r="HCV12" s="133"/>
      <c r="HCW12" s="133"/>
      <c r="HCX12" s="133"/>
      <c r="HCY12" s="133"/>
      <c r="HCZ12" s="133"/>
      <c r="HDA12" s="133"/>
      <c r="HDB12" s="133"/>
      <c r="HDC12" s="133"/>
      <c r="HDD12" s="133"/>
      <c r="HDE12" s="133"/>
      <c r="HDF12" s="133"/>
      <c r="HDG12" s="133"/>
      <c r="HDH12" s="133"/>
      <c r="HDI12" s="133"/>
      <c r="HDJ12" s="133"/>
      <c r="HDK12" s="133"/>
      <c r="HDL12" s="133"/>
      <c r="HDM12" s="133"/>
      <c r="HDN12" s="133"/>
      <c r="HDO12" s="133"/>
      <c r="HDP12" s="133"/>
      <c r="HDQ12" s="133"/>
      <c r="HDR12" s="133"/>
      <c r="HDS12" s="133"/>
      <c r="HDT12" s="133"/>
      <c r="HDU12" s="133"/>
      <c r="HDV12" s="133"/>
      <c r="HDW12" s="133"/>
      <c r="HDX12" s="133"/>
      <c r="HDY12" s="133"/>
      <c r="HDZ12" s="133"/>
      <c r="HEA12" s="133"/>
      <c r="HEB12" s="133"/>
      <c r="HEC12" s="133"/>
      <c r="HED12" s="133"/>
      <c r="HEE12" s="133"/>
      <c r="HEF12" s="133"/>
      <c r="HEG12" s="133"/>
      <c r="HEH12" s="133"/>
      <c r="HEI12" s="133"/>
      <c r="HEJ12" s="133"/>
      <c r="HEK12" s="133"/>
      <c r="HEL12" s="133"/>
      <c r="HEM12" s="133"/>
      <c r="HEN12" s="133"/>
      <c r="HEO12" s="133"/>
      <c r="HEP12" s="133"/>
      <c r="HEQ12" s="133"/>
      <c r="HER12" s="133"/>
      <c r="HES12" s="133"/>
      <c r="HET12" s="133"/>
      <c r="HEU12" s="133"/>
      <c r="HEV12" s="133"/>
      <c r="HEW12" s="133"/>
      <c r="HEX12" s="133"/>
      <c r="HEY12" s="133"/>
      <c r="HEZ12" s="133"/>
      <c r="HFA12" s="133"/>
      <c r="HFB12" s="133"/>
      <c r="HFC12" s="133"/>
      <c r="HFD12" s="133"/>
      <c r="HFE12" s="133"/>
      <c r="HFF12" s="133"/>
      <c r="HFG12" s="133"/>
      <c r="HFH12" s="133"/>
      <c r="HFI12" s="133"/>
      <c r="HFJ12" s="133"/>
      <c r="HFK12" s="133"/>
      <c r="HFL12" s="133"/>
      <c r="HFM12" s="133"/>
      <c r="HFN12" s="133"/>
      <c r="HFO12" s="133"/>
      <c r="HFP12" s="133"/>
      <c r="HFQ12" s="133"/>
      <c r="HFR12" s="133"/>
      <c r="HFS12" s="133"/>
      <c r="HFT12" s="133"/>
      <c r="HFU12" s="133"/>
      <c r="HFV12" s="133"/>
      <c r="HFW12" s="133"/>
      <c r="HFX12" s="133"/>
      <c r="HFY12" s="133"/>
      <c r="HFZ12" s="133"/>
      <c r="HGA12" s="133"/>
      <c r="HGB12" s="133"/>
      <c r="HGC12" s="133"/>
      <c r="HGD12" s="133"/>
      <c r="HGE12" s="133"/>
      <c r="HGF12" s="133"/>
      <c r="HGG12" s="133"/>
      <c r="HGH12" s="133"/>
      <c r="HGI12" s="133"/>
      <c r="HGJ12" s="133"/>
      <c r="HGK12" s="133"/>
      <c r="HGL12" s="133"/>
      <c r="HGM12" s="133"/>
      <c r="HGN12" s="133"/>
      <c r="HGO12" s="133"/>
      <c r="HGP12" s="133"/>
      <c r="HGQ12" s="133"/>
      <c r="HGR12" s="133"/>
      <c r="HGS12" s="133"/>
      <c r="HGT12" s="133"/>
      <c r="HGU12" s="133"/>
      <c r="HGV12" s="133"/>
      <c r="HGW12" s="133"/>
      <c r="HGX12" s="133"/>
      <c r="HGY12" s="133"/>
      <c r="HGZ12" s="133"/>
      <c r="HHA12" s="133"/>
      <c r="HHB12" s="133"/>
      <c r="HHC12" s="133"/>
      <c r="HHD12" s="133"/>
      <c r="HHE12" s="133"/>
      <c r="HHF12" s="133"/>
      <c r="HHG12" s="133"/>
      <c r="HHH12" s="133"/>
      <c r="HHI12" s="133"/>
      <c r="HHJ12" s="133"/>
      <c r="HHK12" s="133"/>
      <c r="HHL12" s="133"/>
      <c r="HHM12" s="133"/>
      <c r="HHN12" s="133"/>
      <c r="HHO12" s="133"/>
      <c r="HHP12" s="133"/>
      <c r="HHQ12" s="133"/>
      <c r="HHR12" s="133"/>
      <c r="HHS12" s="133"/>
      <c r="HHT12" s="133"/>
      <c r="HHU12" s="133"/>
      <c r="HHV12" s="133"/>
      <c r="HHW12" s="133"/>
      <c r="HHX12" s="133"/>
      <c r="HHY12" s="133"/>
      <c r="HHZ12" s="133"/>
      <c r="HIA12" s="133"/>
      <c r="HIB12" s="133"/>
      <c r="HIC12" s="133"/>
      <c r="HID12" s="133"/>
      <c r="HIE12" s="133"/>
      <c r="HIF12" s="133"/>
      <c r="HIG12" s="133"/>
      <c r="HIH12" s="133"/>
      <c r="HII12" s="133"/>
      <c r="HIJ12" s="133"/>
      <c r="HIK12" s="133"/>
      <c r="HIL12" s="133"/>
      <c r="HIM12" s="133"/>
      <c r="HIN12" s="133"/>
      <c r="HIO12" s="133"/>
      <c r="HIP12" s="133"/>
      <c r="HIQ12" s="133"/>
      <c r="HIR12" s="133"/>
      <c r="HIS12" s="133"/>
      <c r="HIT12" s="133"/>
      <c r="HIU12" s="133"/>
      <c r="HIV12" s="133"/>
      <c r="HIW12" s="133"/>
      <c r="HIX12" s="133"/>
      <c r="HIY12" s="133"/>
      <c r="HIZ12" s="133"/>
      <c r="HJA12" s="133"/>
      <c r="HJB12" s="133"/>
      <c r="HJC12" s="133"/>
      <c r="HJD12" s="133"/>
      <c r="HJE12" s="133"/>
      <c r="HJF12" s="133"/>
      <c r="HJG12" s="133"/>
      <c r="HJH12" s="133"/>
      <c r="HJI12" s="133"/>
      <c r="HJJ12" s="133"/>
      <c r="HJK12" s="133"/>
      <c r="HJL12" s="133"/>
      <c r="HJM12" s="133"/>
      <c r="HJN12" s="133"/>
      <c r="HJO12" s="133"/>
      <c r="HJP12" s="133"/>
      <c r="HJQ12" s="133"/>
      <c r="HJR12" s="133"/>
      <c r="HJS12" s="133"/>
      <c r="HJT12" s="133"/>
      <c r="HJU12" s="133"/>
      <c r="HJV12" s="133"/>
      <c r="HJW12" s="133"/>
      <c r="HJX12" s="133"/>
      <c r="HJY12" s="133"/>
      <c r="HJZ12" s="133"/>
      <c r="HKA12" s="133"/>
      <c r="HKB12" s="133"/>
      <c r="HKC12" s="133"/>
      <c r="HKD12" s="133"/>
      <c r="HKE12" s="133"/>
      <c r="HKF12" s="133"/>
      <c r="HKG12" s="133"/>
      <c r="HKH12" s="133"/>
      <c r="HKI12" s="133"/>
      <c r="HKJ12" s="133"/>
      <c r="HKK12" s="133"/>
      <c r="HKL12" s="133"/>
      <c r="HKM12" s="133"/>
      <c r="HKN12" s="133"/>
      <c r="HKO12" s="133"/>
      <c r="HKP12" s="133"/>
      <c r="HKQ12" s="133"/>
      <c r="HKR12" s="133"/>
      <c r="HKS12" s="133"/>
      <c r="HKT12" s="133"/>
      <c r="HKU12" s="133"/>
      <c r="HKV12" s="133"/>
      <c r="HKW12" s="133"/>
      <c r="HKX12" s="133"/>
      <c r="HKY12" s="133"/>
      <c r="HKZ12" s="133"/>
      <c r="HLA12" s="133"/>
      <c r="HLB12" s="133"/>
      <c r="HLC12" s="133"/>
      <c r="HLD12" s="133"/>
      <c r="HLE12" s="133"/>
      <c r="HLF12" s="133"/>
      <c r="HLG12" s="133"/>
      <c r="HLH12" s="133"/>
      <c r="HLI12" s="133"/>
      <c r="HLJ12" s="133"/>
      <c r="HLK12" s="133"/>
      <c r="HLL12" s="133"/>
      <c r="HLM12" s="133"/>
      <c r="HLN12" s="133"/>
      <c r="HLO12" s="133"/>
      <c r="HLP12" s="133"/>
      <c r="HLQ12" s="133"/>
      <c r="HLR12" s="133"/>
      <c r="HLS12" s="133"/>
      <c r="HLT12" s="133"/>
      <c r="HLU12" s="133"/>
      <c r="HLV12" s="133"/>
      <c r="HLW12" s="133"/>
      <c r="HLX12" s="133"/>
      <c r="HLY12" s="133"/>
      <c r="HLZ12" s="133"/>
      <c r="HMA12" s="133"/>
      <c r="HMB12" s="133"/>
      <c r="HMC12" s="133"/>
      <c r="HMD12" s="133"/>
      <c r="HME12" s="133"/>
      <c r="HMF12" s="133"/>
      <c r="HMG12" s="133"/>
      <c r="HMH12" s="133"/>
      <c r="HMI12" s="133"/>
      <c r="HMJ12" s="133"/>
      <c r="HMK12" s="133"/>
      <c r="HML12" s="133"/>
      <c r="HMM12" s="133"/>
      <c r="HMN12" s="133"/>
      <c r="HMO12" s="133"/>
      <c r="HMP12" s="133"/>
      <c r="HMQ12" s="133"/>
      <c r="HMR12" s="133"/>
      <c r="HMS12" s="133"/>
      <c r="HMT12" s="133"/>
      <c r="HMU12" s="133"/>
      <c r="HMV12" s="133"/>
      <c r="HMW12" s="133"/>
      <c r="HMX12" s="133"/>
      <c r="HMY12" s="133"/>
      <c r="HMZ12" s="133"/>
      <c r="HNA12" s="133"/>
      <c r="HNB12" s="133"/>
      <c r="HNC12" s="133"/>
      <c r="HND12" s="133"/>
      <c r="HNE12" s="133"/>
      <c r="HNF12" s="133"/>
      <c r="HNG12" s="133"/>
      <c r="HNH12" s="133"/>
      <c r="HNI12" s="133"/>
      <c r="HNJ12" s="133"/>
      <c r="HNK12" s="133"/>
      <c r="HNL12" s="133"/>
      <c r="HNM12" s="133"/>
      <c r="HNN12" s="133"/>
      <c r="HNO12" s="133"/>
      <c r="HNP12" s="133"/>
      <c r="HNQ12" s="133"/>
      <c r="HNR12" s="133"/>
      <c r="HNS12" s="133"/>
      <c r="HNT12" s="133"/>
      <c r="HNU12" s="133"/>
      <c r="HNV12" s="133"/>
      <c r="HNW12" s="133"/>
      <c r="HNX12" s="133"/>
      <c r="HNY12" s="133"/>
      <c r="HNZ12" s="133"/>
      <c r="HOA12" s="133"/>
      <c r="HOB12" s="133"/>
      <c r="HOC12" s="133"/>
      <c r="HOD12" s="133"/>
      <c r="HOE12" s="133"/>
      <c r="HOF12" s="133"/>
      <c r="HOG12" s="133"/>
      <c r="HOH12" s="133"/>
      <c r="HOI12" s="133"/>
      <c r="HOJ12" s="133"/>
      <c r="HOK12" s="133"/>
      <c r="HOL12" s="133"/>
      <c r="HOM12" s="133"/>
      <c r="HON12" s="133"/>
      <c r="HOO12" s="133"/>
      <c r="HOP12" s="133"/>
      <c r="HOQ12" s="133"/>
      <c r="HOR12" s="133"/>
      <c r="HOS12" s="133"/>
      <c r="HOT12" s="133"/>
      <c r="HOU12" s="133"/>
      <c r="HOV12" s="133"/>
      <c r="HOW12" s="133"/>
      <c r="HOX12" s="133"/>
      <c r="HOY12" s="133"/>
      <c r="HOZ12" s="133"/>
      <c r="HPA12" s="133"/>
      <c r="HPB12" s="133"/>
      <c r="HPC12" s="133"/>
      <c r="HPD12" s="133"/>
      <c r="HPE12" s="133"/>
      <c r="HPF12" s="133"/>
      <c r="HPG12" s="133"/>
      <c r="HPH12" s="133"/>
      <c r="HPI12" s="133"/>
      <c r="HPJ12" s="133"/>
      <c r="HPK12" s="133"/>
      <c r="HPL12" s="133"/>
      <c r="HPM12" s="133"/>
      <c r="HPN12" s="133"/>
      <c r="HPO12" s="133"/>
      <c r="HPP12" s="133"/>
      <c r="HPQ12" s="133"/>
      <c r="HPR12" s="133"/>
      <c r="HPS12" s="133"/>
      <c r="HPT12" s="133"/>
      <c r="HPU12" s="133"/>
      <c r="HPV12" s="133"/>
      <c r="HPW12" s="133"/>
      <c r="HPX12" s="133"/>
      <c r="HPY12" s="133"/>
      <c r="HPZ12" s="133"/>
      <c r="HQA12" s="133"/>
      <c r="HQB12" s="133"/>
      <c r="HQC12" s="133"/>
      <c r="HQD12" s="133"/>
      <c r="HQE12" s="133"/>
      <c r="HQF12" s="133"/>
      <c r="HQG12" s="133"/>
      <c r="HQH12" s="133"/>
      <c r="HQI12" s="133"/>
      <c r="HQJ12" s="133"/>
      <c r="HQK12" s="133"/>
      <c r="HQL12" s="133"/>
      <c r="HQM12" s="133"/>
      <c r="HQN12" s="133"/>
      <c r="HQO12" s="133"/>
      <c r="HQP12" s="133"/>
      <c r="HQQ12" s="133"/>
      <c r="HQR12" s="133"/>
      <c r="HQS12" s="133"/>
      <c r="HQT12" s="133"/>
      <c r="HQU12" s="133"/>
      <c r="HQV12" s="133"/>
      <c r="HQW12" s="133"/>
      <c r="HQX12" s="133"/>
      <c r="HQY12" s="133"/>
      <c r="HQZ12" s="133"/>
      <c r="HRA12" s="133"/>
      <c r="HRB12" s="133"/>
      <c r="HRC12" s="133"/>
      <c r="HRD12" s="133"/>
      <c r="HRE12" s="133"/>
      <c r="HRF12" s="133"/>
      <c r="HRG12" s="133"/>
      <c r="HRH12" s="133"/>
      <c r="HRI12" s="133"/>
      <c r="HRJ12" s="133"/>
      <c r="HRK12" s="133"/>
      <c r="HRL12" s="133"/>
      <c r="HRM12" s="133"/>
      <c r="HRN12" s="133"/>
      <c r="HRO12" s="133"/>
      <c r="HRP12" s="133"/>
      <c r="HRQ12" s="133"/>
      <c r="HRR12" s="133"/>
      <c r="HRS12" s="133"/>
      <c r="HRT12" s="133"/>
      <c r="HRU12" s="133"/>
      <c r="HRV12" s="133"/>
      <c r="HRW12" s="133"/>
      <c r="HRX12" s="133"/>
      <c r="HRY12" s="133"/>
      <c r="HRZ12" s="133"/>
      <c r="HSA12" s="133"/>
      <c r="HSB12" s="133"/>
      <c r="HSC12" s="133"/>
      <c r="HSD12" s="133"/>
      <c r="HSE12" s="133"/>
      <c r="HSF12" s="133"/>
      <c r="HSG12" s="133"/>
      <c r="HSH12" s="133"/>
      <c r="HSI12" s="133"/>
      <c r="HSJ12" s="133"/>
      <c r="HSK12" s="133"/>
      <c r="HSL12" s="133"/>
      <c r="HSM12" s="133"/>
      <c r="HSN12" s="133"/>
      <c r="HSO12" s="133"/>
      <c r="HSP12" s="133"/>
      <c r="HSQ12" s="133"/>
      <c r="HSR12" s="133"/>
      <c r="HSS12" s="133"/>
      <c r="HST12" s="133"/>
      <c r="HSU12" s="133"/>
      <c r="HSV12" s="133"/>
      <c r="HSW12" s="133"/>
      <c r="HSX12" s="133"/>
      <c r="HSY12" s="133"/>
      <c r="HSZ12" s="133"/>
      <c r="HTA12" s="133"/>
      <c r="HTB12" s="133"/>
      <c r="HTC12" s="133"/>
      <c r="HTD12" s="133"/>
      <c r="HTE12" s="133"/>
      <c r="HTF12" s="133"/>
      <c r="HTG12" s="133"/>
      <c r="HTH12" s="133"/>
      <c r="HTI12" s="133"/>
      <c r="HTJ12" s="133"/>
      <c r="HTK12" s="133"/>
      <c r="HTL12" s="133"/>
      <c r="HTM12" s="133"/>
      <c r="HTN12" s="133"/>
      <c r="HTO12" s="133"/>
      <c r="HTP12" s="133"/>
      <c r="HTQ12" s="133"/>
      <c r="HTR12" s="133"/>
      <c r="HTS12" s="133"/>
      <c r="HTT12" s="133"/>
      <c r="HTU12" s="133"/>
      <c r="HTV12" s="133"/>
      <c r="HTW12" s="133"/>
      <c r="HTX12" s="133"/>
      <c r="HTY12" s="133"/>
      <c r="HTZ12" s="133"/>
      <c r="HUA12" s="133"/>
      <c r="HUB12" s="133"/>
      <c r="HUC12" s="133"/>
      <c r="HUD12" s="133"/>
      <c r="HUE12" s="133"/>
      <c r="HUF12" s="133"/>
      <c r="HUG12" s="133"/>
      <c r="HUH12" s="133"/>
      <c r="HUI12" s="133"/>
      <c r="HUJ12" s="133"/>
      <c r="HUK12" s="133"/>
      <c r="HUL12" s="133"/>
      <c r="HUM12" s="133"/>
      <c r="HUN12" s="133"/>
      <c r="HUO12" s="133"/>
      <c r="HUP12" s="133"/>
      <c r="HUQ12" s="133"/>
      <c r="HUR12" s="133"/>
      <c r="HUS12" s="133"/>
      <c r="HUT12" s="133"/>
      <c r="HUU12" s="133"/>
      <c r="HUV12" s="133"/>
      <c r="HUW12" s="133"/>
      <c r="HUX12" s="133"/>
      <c r="HUY12" s="133"/>
      <c r="HUZ12" s="133"/>
      <c r="HVA12" s="133"/>
      <c r="HVB12" s="133"/>
      <c r="HVC12" s="133"/>
      <c r="HVD12" s="133"/>
      <c r="HVE12" s="133"/>
      <c r="HVF12" s="133"/>
      <c r="HVG12" s="133"/>
      <c r="HVH12" s="133"/>
      <c r="HVI12" s="133"/>
      <c r="HVJ12" s="133"/>
      <c r="HVK12" s="133"/>
      <c r="HVL12" s="133"/>
      <c r="HVM12" s="133"/>
      <c r="HVN12" s="133"/>
      <c r="HVO12" s="133"/>
      <c r="HVP12" s="133"/>
      <c r="HVQ12" s="133"/>
      <c r="HVR12" s="133"/>
      <c r="HVS12" s="133"/>
      <c r="HVT12" s="133"/>
      <c r="HVU12" s="133"/>
      <c r="HVV12" s="133"/>
      <c r="HVW12" s="133"/>
      <c r="HVX12" s="133"/>
      <c r="HVY12" s="133"/>
      <c r="HVZ12" s="133"/>
      <c r="HWA12" s="133"/>
      <c r="HWB12" s="133"/>
      <c r="HWC12" s="133"/>
      <c r="HWD12" s="133"/>
      <c r="HWE12" s="133"/>
      <c r="HWF12" s="133"/>
      <c r="HWG12" s="133"/>
      <c r="HWH12" s="133"/>
      <c r="HWI12" s="133"/>
      <c r="HWJ12" s="133"/>
      <c r="HWK12" s="133"/>
      <c r="HWL12" s="133"/>
      <c r="HWM12" s="133"/>
      <c r="HWN12" s="133"/>
      <c r="HWO12" s="133"/>
      <c r="HWP12" s="133"/>
      <c r="HWQ12" s="133"/>
      <c r="HWR12" s="133"/>
      <c r="HWS12" s="133"/>
      <c r="HWT12" s="133"/>
      <c r="HWU12" s="133"/>
      <c r="HWV12" s="133"/>
      <c r="HWW12" s="133"/>
      <c r="HWX12" s="133"/>
      <c r="HWY12" s="133"/>
      <c r="HWZ12" s="133"/>
      <c r="HXA12" s="133"/>
      <c r="HXB12" s="133"/>
      <c r="HXC12" s="133"/>
      <c r="HXD12" s="133"/>
      <c r="HXE12" s="133"/>
      <c r="HXF12" s="133"/>
      <c r="HXG12" s="133"/>
      <c r="HXH12" s="133"/>
      <c r="HXI12" s="133"/>
      <c r="HXJ12" s="133"/>
      <c r="HXK12" s="133"/>
      <c r="HXL12" s="133"/>
      <c r="HXM12" s="133"/>
      <c r="HXN12" s="133"/>
      <c r="HXO12" s="133"/>
      <c r="HXP12" s="133"/>
      <c r="HXQ12" s="133"/>
      <c r="HXR12" s="133"/>
      <c r="HXS12" s="133"/>
      <c r="HXT12" s="133"/>
      <c r="HXU12" s="133"/>
      <c r="HXV12" s="133"/>
      <c r="HXW12" s="133"/>
      <c r="HXX12" s="133"/>
      <c r="HXY12" s="133"/>
      <c r="HXZ12" s="133"/>
      <c r="HYA12" s="133"/>
      <c r="HYB12" s="133"/>
      <c r="HYC12" s="133"/>
      <c r="HYD12" s="133"/>
      <c r="HYE12" s="133"/>
      <c r="HYF12" s="133"/>
      <c r="HYG12" s="133"/>
      <c r="HYH12" s="133"/>
      <c r="HYI12" s="133"/>
      <c r="HYJ12" s="133"/>
      <c r="HYK12" s="133"/>
      <c r="HYL12" s="133"/>
      <c r="HYM12" s="133"/>
      <c r="HYN12" s="133"/>
      <c r="HYO12" s="133"/>
      <c r="HYP12" s="133"/>
      <c r="HYQ12" s="133"/>
      <c r="HYR12" s="133"/>
      <c r="HYS12" s="133"/>
      <c r="HYT12" s="133"/>
      <c r="HYU12" s="133"/>
      <c r="HYV12" s="133"/>
      <c r="HYW12" s="133"/>
      <c r="HYX12" s="133"/>
      <c r="HYY12" s="133"/>
      <c r="HYZ12" s="133"/>
      <c r="HZA12" s="133"/>
      <c r="HZB12" s="133"/>
      <c r="HZC12" s="133"/>
      <c r="HZD12" s="133"/>
      <c r="HZE12" s="133"/>
      <c r="HZF12" s="133"/>
      <c r="HZG12" s="133"/>
      <c r="HZH12" s="133"/>
      <c r="HZI12" s="133"/>
      <c r="HZJ12" s="133"/>
      <c r="HZK12" s="133"/>
      <c r="HZL12" s="133"/>
      <c r="HZM12" s="133"/>
      <c r="HZN12" s="133"/>
      <c r="HZO12" s="133"/>
      <c r="HZP12" s="133"/>
      <c r="HZQ12" s="133"/>
      <c r="HZR12" s="133"/>
      <c r="HZS12" s="133"/>
      <c r="HZT12" s="133"/>
      <c r="HZU12" s="133"/>
      <c r="HZV12" s="133"/>
      <c r="HZW12" s="133"/>
      <c r="HZX12" s="133"/>
      <c r="HZY12" s="133"/>
      <c r="HZZ12" s="133"/>
      <c r="IAA12" s="133"/>
      <c r="IAB12" s="133"/>
      <c r="IAC12" s="133"/>
      <c r="IAD12" s="133"/>
      <c r="IAE12" s="133"/>
      <c r="IAF12" s="133"/>
      <c r="IAG12" s="133"/>
      <c r="IAH12" s="133"/>
      <c r="IAI12" s="133"/>
      <c r="IAJ12" s="133"/>
      <c r="IAK12" s="133"/>
      <c r="IAL12" s="133"/>
      <c r="IAM12" s="133"/>
      <c r="IAN12" s="133"/>
      <c r="IAO12" s="133"/>
      <c r="IAP12" s="133"/>
      <c r="IAQ12" s="133"/>
      <c r="IAR12" s="133"/>
      <c r="IAS12" s="133"/>
      <c r="IAT12" s="133"/>
      <c r="IAU12" s="133"/>
      <c r="IAV12" s="133"/>
      <c r="IAW12" s="133"/>
      <c r="IBJ12" s="133"/>
      <c r="IBK12" s="133"/>
      <c r="IBL12" s="133"/>
      <c r="IBM12" s="133"/>
      <c r="IBN12" s="133"/>
      <c r="IBO12" s="133"/>
      <c r="IBP12" s="133"/>
      <c r="IBQ12" s="133"/>
      <c r="IBR12" s="133"/>
      <c r="IBS12" s="133"/>
      <c r="IBT12" s="133"/>
      <c r="IBU12" s="133"/>
      <c r="IBV12" s="133"/>
      <c r="IBW12" s="133"/>
      <c r="IBX12" s="133"/>
      <c r="IBY12" s="133"/>
      <c r="IBZ12" s="133"/>
      <c r="ICA12" s="133"/>
      <c r="ICB12" s="133"/>
      <c r="ICC12" s="133"/>
      <c r="ICD12" s="133"/>
      <c r="ICE12" s="133"/>
      <c r="ICF12" s="133"/>
      <c r="ICG12" s="133"/>
      <c r="ICH12" s="133"/>
      <c r="ICI12" s="133"/>
      <c r="ICJ12" s="133"/>
      <c r="ICK12" s="133"/>
      <c r="ICL12" s="133"/>
      <c r="ICM12" s="133"/>
      <c r="ICN12" s="133"/>
      <c r="ICO12" s="133"/>
      <c r="ICP12" s="133"/>
      <c r="ICQ12" s="133"/>
      <c r="ICR12" s="133"/>
      <c r="ICS12" s="133"/>
      <c r="ICT12" s="133"/>
      <c r="ICU12" s="133"/>
      <c r="ICV12" s="133"/>
      <c r="ICW12" s="133"/>
      <c r="ICX12" s="133"/>
      <c r="ICY12" s="133"/>
      <c r="ICZ12" s="133"/>
      <c r="IDA12" s="133"/>
      <c r="IDB12" s="133"/>
      <c r="IDC12" s="133"/>
      <c r="IDD12" s="133"/>
      <c r="IDE12" s="133"/>
      <c r="IDF12" s="133"/>
      <c r="IDG12" s="133"/>
      <c r="IDH12" s="133"/>
      <c r="IDI12" s="133"/>
      <c r="IDJ12" s="133"/>
      <c r="IDK12" s="133"/>
      <c r="IDL12" s="133"/>
      <c r="IDM12" s="133"/>
      <c r="IDN12" s="133"/>
      <c r="IDO12" s="133"/>
      <c r="IDP12" s="133"/>
      <c r="IDQ12" s="133"/>
      <c r="IDR12" s="133"/>
      <c r="IDS12" s="133"/>
      <c r="IDT12" s="133"/>
      <c r="IDU12" s="133"/>
      <c r="IDV12" s="133"/>
      <c r="IDW12" s="133"/>
      <c r="IDX12" s="133"/>
      <c r="IDY12" s="133"/>
      <c r="IDZ12" s="133"/>
      <c r="IEA12" s="133"/>
      <c r="IEB12" s="133"/>
      <c r="IEC12" s="133"/>
      <c r="IED12" s="133"/>
      <c r="IEE12" s="133"/>
      <c r="IEF12" s="133"/>
      <c r="IEG12" s="133"/>
      <c r="IEH12" s="133"/>
      <c r="IEI12" s="133"/>
      <c r="IEJ12" s="133"/>
      <c r="IEK12" s="133"/>
      <c r="IEL12" s="133"/>
      <c r="IEM12" s="133"/>
      <c r="IEN12" s="133"/>
      <c r="IEO12" s="133"/>
      <c r="IEP12" s="133"/>
      <c r="IEQ12" s="133"/>
      <c r="IER12" s="133"/>
      <c r="IES12" s="133"/>
      <c r="IET12" s="133"/>
      <c r="IEU12" s="133"/>
      <c r="IEV12" s="133"/>
      <c r="IEW12" s="133"/>
      <c r="IEX12" s="133"/>
      <c r="IEY12" s="133"/>
      <c r="IEZ12" s="133"/>
      <c r="IFA12" s="133"/>
      <c r="IFB12" s="133"/>
      <c r="IFC12" s="133"/>
      <c r="IFD12" s="133"/>
      <c r="IFE12" s="133"/>
      <c r="IFF12" s="133"/>
      <c r="IFG12" s="133"/>
      <c r="IFH12" s="133"/>
      <c r="IFI12" s="133"/>
      <c r="IFJ12" s="133"/>
      <c r="IFK12" s="133"/>
      <c r="IFL12" s="133"/>
      <c r="IFM12" s="133"/>
      <c r="IFN12" s="133"/>
      <c r="IFO12" s="133"/>
      <c r="IFP12" s="133"/>
      <c r="IFQ12" s="133"/>
      <c r="IFR12" s="133"/>
      <c r="IFS12" s="133"/>
      <c r="IFT12" s="133"/>
      <c r="IFU12" s="133"/>
      <c r="IFV12" s="133"/>
      <c r="IFW12" s="133"/>
      <c r="IFX12" s="133"/>
      <c r="IFY12" s="133"/>
      <c r="IFZ12" s="133"/>
      <c r="IGA12" s="133"/>
      <c r="IGB12" s="133"/>
      <c r="IGC12" s="133"/>
      <c r="IGD12" s="133"/>
      <c r="IGE12" s="133"/>
      <c r="IGF12" s="133"/>
      <c r="IGG12" s="133"/>
      <c r="IGH12" s="133"/>
      <c r="IGI12" s="133"/>
      <c r="IGJ12" s="133"/>
      <c r="IGK12" s="133"/>
      <c r="IGL12" s="133"/>
      <c r="IGM12" s="133"/>
      <c r="IGN12" s="133"/>
      <c r="IGO12" s="133"/>
      <c r="IGP12" s="133"/>
      <c r="IGQ12" s="133"/>
      <c r="IGR12" s="133"/>
      <c r="IGS12" s="133"/>
      <c r="IGT12" s="133"/>
      <c r="IGU12" s="133"/>
      <c r="IGV12" s="133"/>
      <c r="IGW12" s="133"/>
      <c r="IGX12" s="133"/>
      <c r="IGY12" s="133"/>
      <c r="IGZ12" s="133"/>
      <c r="IHA12" s="133"/>
      <c r="IHB12" s="133"/>
      <c r="IHC12" s="133"/>
      <c r="IHD12" s="133"/>
      <c r="IHE12" s="133"/>
      <c r="IHF12" s="133"/>
      <c r="IHG12" s="133"/>
      <c r="IHH12" s="133"/>
      <c r="IHI12" s="133"/>
      <c r="IHJ12" s="133"/>
      <c r="IHK12" s="133"/>
      <c r="IHL12" s="133"/>
      <c r="IHM12" s="133"/>
      <c r="IHN12" s="133"/>
      <c r="IHO12" s="133"/>
      <c r="IHP12" s="133"/>
      <c r="IHQ12" s="133"/>
      <c r="IHR12" s="133"/>
      <c r="IHS12" s="133"/>
      <c r="IHT12" s="133"/>
      <c r="IHU12" s="133"/>
      <c r="IHV12" s="133"/>
      <c r="IHW12" s="133"/>
      <c r="IHX12" s="133"/>
      <c r="IHY12" s="133"/>
      <c r="IHZ12" s="133"/>
      <c r="IIA12" s="133"/>
      <c r="IIB12" s="133"/>
      <c r="IIC12" s="133"/>
      <c r="IID12" s="133"/>
      <c r="IIE12" s="133"/>
      <c r="IIF12" s="133"/>
      <c r="IIG12" s="133"/>
      <c r="IIH12" s="133"/>
      <c r="III12" s="133"/>
      <c r="IIJ12" s="133"/>
      <c r="IIK12" s="133"/>
      <c r="IIL12" s="133"/>
      <c r="IIM12" s="133"/>
      <c r="IIN12" s="133"/>
      <c r="IIO12" s="133"/>
      <c r="IIP12" s="133"/>
      <c r="IIQ12" s="133"/>
      <c r="IIR12" s="133"/>
      <c r="IIS12" s="133"/>
      <c r="IIT12" s="133"/>
      <c r="IIU12" s="133"/>
      <c r="IIV12" s="133"/>
      <c r="IIW12" s="133"/>
      <c r="IIX12" s="133"/>
      <c r="IIY12" s="133"/>
      <c r="IIZ12" s="133"/>
      <c r="IJA12" s="133"/>
      <c r="IJB12" s="133"/>
      <c r="IJC12" s="133"/>
      <c r="IJD12" s="133"/>
      <c r="IJE12" s="133"/>
      <c r="IJF12" s="133"/>
      <c r="IJG12" s="133"/>
      <c r="IJH12" s="133"/>
      <c r="IJI12" s="133"/>
      <c r="IJJ12" s="133"/>
      <c r="IJK12" s="133"/>
      <c r="IJL12" s="133"/>
      <c r="IJM12" s="133"/>
      <c r="IJN12" s="133"/>
      <c r="IJO12" s="133"/>
      <c r="IJP12" s="133"/>
      <c r="IJQ12" s="133"/>
      <c r="IJR12" s="133"/>
      <c r="IJS12" s="133"/>
      <c r="IJT12" s="133"/>
      <c r="IJU12" s="133"/>
      <c r="IJV12" s="133"/>
      <c r="IJW12" s="133"/>
      <c r="IJX12" s="133"/>
      <c r="IJY12" s="133"/>
      <c r="IJZ12" s="133"/>
      <c r="IKA12" s="133"/>
      <c r="IKB12" s="133"/>
      <c r="IKC12" s="133"/>
      <c r="IKD12" s="133"/>
      <c r="IKE12" s="133"/>
      <c r="IKF12" s="133"/>
      <c r="IKG12" s="133"/>
      <c r="IKH12" s="133"/>
      <c r="IKI12" s="133"/>
      <c r="IKJ12" s="133"/>
      <c r="IKK12" s="133"/>
      <c r="IKL12" s="133"/>
      <c r="IKM12" s="133"/>
      <c r="IKN12" s="133"/>
      <c r="IKO12" s="133"/>
      <c r="IKP12" s="133"/>
      <c r="IKQ12" s="133"/>
      <c r="IKR12" s="133"/>
      <c r="IKS12" s="133"/>
      <c r="IKT12" s="133"/>
      <c r="IKU12" s="133"/>
      <c r="IKV12" s="133"/>
      <c r="IKW12" s="133"/>
      <c r="IKX12" s="133"/>
      <c r="IKY12" s="133"/>
      <c r="IKZ12" s="133"/>
      <c r="ILA12" s="133"/>
      <c r="ILB12" s="133"/>
      <c r="ILC12" s="133"/>
      <c r="ILD12" s="133"/>
      <c r="ILE12" s="133"/>
      <c r="ILF12" s="133"/>
      <c r="ILG12" s="133"/>
      <c r="ILH12" s="133"/>
      <c r="ILI12" s="133"/>
      <c r="ILJ12" s="133"/>
      <c r="ILK12" s="133"/>
      <c r="ILL12" s="133"/>
      <c r="ILM12" s="133"/>
      <c r="ILN12" s="133"/>
      <c r="ILO12" s="133"/>
      <c r="ILP12" s="133"/>
      <c r="ILQ12" s="133"/>
      <c r="ILR12" s="133"/>
      <c r="ILS12" s="133"/>
      <c r="ILT12" s="133"/>
      <c r="ILU12" s="133"/>
      <c r="ILV12" s="133"/>
      <c r="ILW12" s="133"/>
      <c r="ILX12" s="133"/>
      <c r="ILY12" s="133"/>
      <c r="ILZ12" s="133"/>
      <c r="IMA12" s="133"/>
      <c r="IMB12" s="133"/>
      <c r="IMC12" s="133"/>
      <c r="IMD12" s="133"/>
      <c r="IME12" s="133"/>
      <c r="IMF12" s="133"/>
      <c r="IMG12" s="133"/>
      <c r="IMH12" s="133"/>
      <c r="IMI12" s="133"/>
      <c r="IMJ12" s="133"/>
      <c r="IMK12" s="133"/>
      <c r="IML12" s="133"/>
      <c r="IMM12" s="133"/>
      <c r="IMN12" s="133"/>
      <c r="IMO12" s="133"/>
      <c r="IMP12" s="133"/>
      <c r="IMQ12" s="133"/>
      <c r="IMR12" s="133"/>
      <c r="IMS12" s="133"/>
      <c r="IMT12" s="133"/>
      <c r="IMU12" s="133"/>
      <c r="IMV12" s="133"/>
      <c r="IMW12" s="133"/>
      <c r="IMX12" s="133"/>
      <c r="IMY12" s="133"/>
      <c r="IMZ12" s="133"/>
      <c r="INA12" s="133"/>
      <c r="INB12" s="133"/>
      <c r="INC12" s="133"/>
      <c r="IND12" s="133"/>
      <c r="INE12" s="133"/>
      <c r="INF12" s="133"/>
      <c r="ING12" s="133"/>
      <c r="INH12" s="133"/>
      <c r="INI12" s="133"/>
      <c r="INJ12" s="133"/>
      <c r="INK12" s="133"/>
      <c r="INL12" s="133"/>
      <c r="INM12" s="133"/>
      <c r="INN12" s="133"/>
      <c r="INO12" s="133"/>
      <c r="INP12" s="133"/>
      <c r="INQ12" s="133"/>
      <c r="INR12" s="133"/>
      <c r="INS12" s="133"/>
      <c r="INT12" s="133"/>
      <c r="INU12" s="133"/>
      <c r="INV12" s="133"/>
      <c r="INW12" s="133"/>
      <c r="INX12" s="133"/>
      <c r="INY12" s="133"/>
      <c r="INZ12" s="133"/>
      <c r="IOA12" s="133"/>
      <c r="IOB12" s="133"/>
      <c r="IOC12" s="133"/>
      <c r="IOD12" s="133"/>
      <c r="IOE12" s="133"/>
      <c r="IOF12" s="133"/>
      <c r="IOG12" s="133"/>
      <c r="IOH12" s="133"/>
      <c r="IOI12" s="133"/>
      <c r="IOJ12" s="133"/>
      <c r="IOK12" s="133"/>
      <c r="IOL12" s="133"/>
      <c r="IOM12" s="133"/>
      <c r="ION12" s="133"/>
      <c r="IOO12" s="133"/>
      <c r="IOP12" s="133"/>
      <c r="IOQ12" s="133"/>
      <c r="IOR12" s="133"/>
      <c r="IOS12" s="133"/>
      <c r="IOT12" s="133"/>
      <c r="IOU12" s="133"/>
      <c r="IOV12" s="133"/>
      <c r="IOW12" s="133"/>
      <c r="IOX12" s="133"/>
      <c r="IOY12" s="133"/>
      <c r="IOZ12" s="133"/>
      <c r="IPA12" s="133"/>
      <c r="IPB12" s="133"/>
      <c r="IPC12" s="133"/>
      <c r="IPD12" s="133"/>
      <c r="IPE12" s="133"/>
      <c r="IPF12" s="133"/>
      <c r="IPG12" s="133"/>
      <c r="IPH12" s="133"/>
      <c r="IPI12" s="133"/>
      <c r="IPJ12" s="133"/>
      <c r="IPK12" s="133"/>
      <c r="IPL12" s="133"/>
      <c r="IPM12" s="133"/>
      <c r="IPN12" s="133"/>
      <c r="IPO12" s="133"/>
      <c r="IPP12" s="133"/>
      <c r="IPQ12" s="133"/>
      <c r="IPR12" s="133"/>
      <c r="IPS12" s="133"/>
      <c r="IPT12" s="133"/>
      <c r="IPU12" s="133"/>
      <c r="IPV12" s="133"/>
      <c r="IPW12" s="133"/>
      <c r="IPX12" s="133"/>
      <c r="IPY12" s="133"/>
      <c r="IPZ12" s="133"/>
      <c r="IQA12" s="133"/>
      <c r="IQB12" s="133"/>
      <c r="IQC12" s="133"/>
      <c r="IQD12" s="133"/>
      <c r="IQE12" s="133"/>
      <c r="IQF12" s="133"/>
      <c r="IQG12" s="133"/>
      <c r="IQH12" s="133"/>
      <c r="IQI12" s="133"/>
      <c r="IQJ12" s="133"/>
      <c r="IQK12" s="133"/>
      <c r="IQL12" s="133"/>
      <c r="IQM12" s="133"/>
      <c r="IQN12" s="133"/>
      <c r="IQO12" s="133"/>
      <c r="IQP12" s="133"/>
      <c r="IQQ12" s="133"/>
      <c r="IQR12" s="133"/>
      <c r="IQS12" s="133"/>
      <c r="IQT12" s="133"/>
      <c r="IQU12" s="133"/>
      <c r="IQV12" s="133"/>
      <c r="IQW12" s="133"/>
      <c r="IQX12" s="133"/>
      <c r="IQY12" s="133"/>
      <c r="IQZ12" s="133"/>
      <c r="IRA12" s="133"/>
      <c r="IRB12" s="133"/>
      <c r="IRC12" s="133"/>
      <c r="IRD12" s="133"/>
      <c r="IRE12" s="133"/>
      <c r="IRF12" s="133"/>
      <c r="IRG12" s="133"/>
      <c r="IRH12" s="133"/>
      <c r="IRI12" s="133"/>
      <c r="IRJ12" s="133"/>
      <c r="IRK12" s="133"/>
      <c r="IRL12" s="133"/>
      <c r="IRM12" s="133"/>
      <c r="IRN12" s="133"/>
      <c r="IRO12" s="133"/>
      <c r="IRP12" s="133"/>
      <c r="IRQ12" s="133"/>
      <c r="IRR12" s="133"/>
      <c r="IRS12" s="133"/>
      <c r="IRT12" s="133"/>
      <c r="IRU12" s="133"/>
      <c r="IRV12" s="133"/>
      <c r="IRW12" s="133"/>
      <c r="IRX12" s="133"/>
      <c r="IRY12" s="133"/>
      <c r="IRZ12" s="133"/>
      <c r="ISA12" s="133"/>
      <c r="ISB12" s="133"/>
      <c r="ISC12" s="133"/>
      <c r="ISD12" s="133"/>
      <c r="ISE12" s="133"/>
      <c r="ISF12" s="133"/>
      <c r="ISG12" s="133"/>
      <c r="ISH12" s="133"/>
      <c r="ISI12" s="133"/>
      <c r="ISJ12" s="133"/>
      <c r="ISK12" s="133"/>
      <c r="ISL12" s="133"/>
      <c r="ISM12" s="133"/>
      <c r="ISN12" s="133"/>
      <c r="ISO12" s="133"/>
      <c r="ISP12" s="133"/>
      <c r="ISQ12" s="133"/>
      <c r="ISR12" s="133"/>
      <c r="ISS12" s="133"/>
      <c r="IST12" s="133"/>
      <c r="ISU12" s="133"/>
      <c r="ISV12" s="133"/>
      <c r="ISW12" s="133"/>
      <c r="ISX12" s="133"/>
      <c r="ISY12" s="133"/>
      <c r="ISZ12" s="133"/>
      <c r="ITA12" s="133"/>
      <c r="ITB12" s="133"/>
      <c r="ITC12" s="133"/>
      <c r="ITD12" s="133"/>
      <c r="ITE12" s="133"/>
      <c r="ITF12" s="133"/>
      <c r="ITG12" s="133"/>
      <c r="ITH12" s="133"/>
      <c r="ITI12" s="133"/>
      <c r="ITJ12" s="133"/>
      <c r="ITK12" s="133"/>
      <c r="ITL12" s="133"/>
      <c r="ITM12" s="133"/>
      <c r="ITN12" s="133"/>
      <c r="ITO12" s="133"/>
      <c r="ITP12" s="133"/>
      <c r="ITQ12" s="133"/>
      <c r="ITR12" s="133"/>
      <c r="ITS12" s="133"/>
      <c r="ITT12" s="133"/>
      <c r="ITU12" s="133"/>
      <c r="ITV12" s="133"/>
      <c r="ITW12" s="133"/>
      <c r="ITX12" s="133"/>
      <c r="ITY12" s="133"/>
      <c r="ITZ12" s="133"/>
      <c r="IUA12" s="133"/>
      <c r="IUB12" s="133"/>
      <c r="IUC12" s="133"/>
      <c r="IUD12" s="133"/>
      <c r="IUE12" s="133"/>
      <c r="IUF12" s="133"/>
      <c r="IUG12" s="133"/>
      <c r="IUH12" s="133"/>
      <c r="IUI12" s="133"/>
      <c r="IUJ12" s="133"/>
      <c r="IUK12" s="133"/>
      <c r="IUL12" s="133"/>
      <c r="IUM12" s="133"/>
      <c r="IUN12" s="133"/>
      <c r="IUO12" s="133"/>
      <c r="IUP12" s="133"/>
      <c r="IUQ12" s="133"/>
      <c r="IUR12" s="133"/>
      <c r="IUS12" s="133"/>
      <c r="IUT12" s="133"/>
      <c r="IUU12" s="133"/>
      <c r="IUV12" s="133"/>
      <c r="IUW12" s="133"/>
      <c r="IUX12" s="133"/>
      <c r="IUY12" s="133"/>
      <c r="IUZ12" s="133"/>
      <c r="IVA12" s="133"/>
      <c r="IVB12" s="133"/>
      <c r="IVC12" s="133"/>
      <c r="IVD12" s="133"/>
      <c r="IVE12" s="133"/>
      <c r="IVF12" s="133"/>
      <c r="IVG12" s="133"/>
      <c r="IVH12" s="133"/>
      <c r="IVI12" s="133"/>
      <c r="IVJ12" s="133"/>
      <c r="IVK12" s="133"/>
      <c r="IVL12" s="133"/>
      <c r="IVM12" s="133"/>
      <c r="IVN12" s="133"/>
      <c r="IVO12" s="133"/>
      <c r="IVP12" s="133"/>
      <c r="IVQ12" s="133"/>
      <c r="IVR12" s="133"/>
      <c r="IVS12" s="133"/>
      <c r="IVT12" s="133"/>
      <c r="IVU12" s="133"/>
      <c r="IVV12" s="133"/>
      <c r="IVW12" s="133"/>
      <c r="IVX12" s="133"/>
      <c r="IVY12" s="133"/>
      <c r="IVZ12" s="133"/>
      <c r="IWA12" s="133"/>
      <c r="IWB12" s="133"/>
      <c r="IWC12" s="133"/>
      <c r="IWD12" s="133"/>
      <c r="IWE12" s="133"/>
      <c r="IWF12" s="133"/>
      <c r="IWG12" s="133"/>
      <c r="IWH12" s="133"/>
      <c r="IWI12" s="133"/>
      <c r="IWJ12" s="133"/>
      <c r="IWK12" s="133"/>
      <c r="IWL12" s="133"/>
      <c r="IWM12" s="133"/>
      <c r="IWN12" s="133"/>
      <c r="IWO12" s="133"/>
      <c r="IWP12" s="133"/>
      <c r="IWQ12" s="133"/>
      <c r="IWR12" s="133"/>
      <c r="IWS12" s="133"/>
      <c r="IWT12" s="133"/>
      <c r="IWU12" s="133"/>
      <c r="IWV12" s="133"/>
      <c r="IWW12" s="133"/>
      <c r="IWX12" s="133"/>
      <c r="IWY12" s="133"/>
      <c r="IWZ12" s="133"/>
      <c r="IXA12" s="133"/>
      <c r="IXB12" s="133"/>
      <c r="IXC12" s="133"/>
      <c r="IXD12" s="133"/>
      <c r="IXE12" s="133"/>
      <c r="IXF12" s="133"/>
      <c r="IXG12" s="133"/>
      <c r="IXH12" s="133"/>
      <c r="IXI12" s="133"/>
      <c r="IXJ12" s="133"/>
      <c r="IXK12" s="133"/>
      <c r="IXL12" s="133"/>
      <c r="IXM12" s="133"/>
      <c r="IXN12" s="133"/>
      <c r="IXO12" s="133"/>
      <c r="IXP12" s="133"/>
      <c r="IXQ12" s="133"/>
      <c r="IXR12" s="133"/>
      <c r="IXS12" s="133"/>
      <c r="IXT12" s="133"/>
      <c r="IXU12" s="133"/>
      <c r="IXV12" s="133"/>
      <c r="IXW12" s="133"/>
      <c r="IXX12" s="133"/>
      <c r="IXY12" s="133"/>
      <c r="IXZ12" s="133"/>
      <c r="IYA12" s="133"/>
      <c r="IYB12" s="133"/>
      <c r="IYC12" s="133"/>
      <c r="IYD12" s="133"/>
      <c r="IYE12" s="133"/>
      <c r="IYF12" s="133"/>
      <c r="IYG12" s="133"/>
      <c r="IYH12" s="133"/>
      <c r="IYI12" s="133"/>
      <c r="IYJ12" s="133"/>
      <c r="IYK12" s="133"/>
      <c r="IYL12" s="133"/>
      <c r="IYM12" s="133"/>
      <c r="IYN12" s="133"/>
      <c r="IYO12" s="133"/>
      <c r="IYP12" s="133"/>
      <c r="IYQ12" s="133"/>
      <c r="IYR12" s="133"/>
      <c r="IYS12" s="133"/>
      <c r="IYT12" s="133"/>
      <c r="IYU12" s="133"/>
      <c r="IYV12" s="133"/>
      <c r="IYW12" s="133"/>
      <c r="IYX12" s="133"/>
      <c r="IYY12" s="133"/>
      <c r="IYZ12" s="133"/>
      <c r="IZA12" s="133"/>
      <c r="IZB12" s="133"/>
      <c r="IZC12" s="133"/>
      <c r="IZD12" s="133"/>
      <c r="IZE12" s="133"/>
      <c r="IZF12" s="133"/>
      <c r="IZG12" s="133"/>
      <c r="IZH12" s="133"/>
      <c r="IZI12" s="133"/>
      <c r="IZJ12" s="133"/>
      <c r="IZK12" s="133"/>
      <c r="IZL12" s="133"/>
      <c r="IZM12" s="133"/>
      <c r="IZN12" s="133"/>
      <c r="IZO12" s="133"/>
      <c r="IZP12" s="133"/>
      <c r="IZQ12" s="133"/>
      <c r="IZR12" s="133"/>
      <c r="IZS12" s="133"/>
      <c r="IZT12" s="133"/>
      <c r="IZU12" s="133"/>
      <c r="IZV12" s="133"/>
      <c r="IZW12" s="133"/>
      <c r="IZX12" s="133"/>
      <c r="IZY12" s="133"/>
      <c r="IZZ12" s="133"/>
      <c r="JAA12" s="133"/>
      <c r="JAB12" s="133"/>
      <c r="JAC12" s="133"/>
      <c r="JAD12" s="133"/>
      <c r="JAE12" s="133"/>
      <c r="JAF12" s="133"/>
      <c r="JAG12" s="133"/>
      <c r="JAH12" s="133"/>
      <c r="JAI12" s="133"/>
      <c r="JAJ12" s="133"/>
      <c r="JAK12" s="133"/>
      <c r="JAL12" s="133"/>
      <c r="JAM12" s="133"/>
      <c r="JAN12" s="133"/>
      <c r="JAO12" s="133"/>
      <c r="JAP12" s="133"/>
      <c r="JAQ12" s="133"/>
      <c r="JAR12" s="133"/>
      <c r="JAS12" s="133"/>
      <c r="JAT12" s="133"/>
      <c r="JAU12" s="133"/>
      <c r="JAV12" s="133"/>
      <c r="JAW12" s="133"/>
      <c r="JAX12" s="133"/>
      <c r="JAY12" s="133"/>
      <c r="JAZ12" s="133"/>
      <c r="JBA12" s="133"/>
      <c r="JBB12" s="133"/>
      <c r="JBC12" s="133"/>
      <c r="JBD12" s="133"/>
      <c r="JBE12" s="133"/>
      <c r="JBF12" s="133"/>
      <c r="JBG12" s="133"/>
      <c r="JBH12" s="133"/>
      <c r="JBI12" s="133"/>
      <c r="JBJ12" s="133"/>
      <c r="JBK12" s="133"/>
      <c r="JBL12" s="133"/>
      <c r="JBM12" s="133"/>
      <c r="JBN12" s="133"/>
      <c r="JBO12" s="133"/>
      <c r="JBP12" s="133"/>
      <c r="JBQ12" s="133"/>
      <c r="JBR12" s="133"/>
      <c r="JBS12" s="133"/>
      <c r="JBT12" s="133"/>
      <c r="JBU12" s="133"/>
      <c r="JBV12" s="133"/>
      <c r="JBW12" s="133"/>
      <c r="JBX12" s="133"/>
      <c r="JBY12" s="133"/>
      <c r="JBZ12" s="133"/>
      <c r="JCA12" s="133"/>
      <c r="JCB12" s="133"/>
      <c r="JCC12" s="133"/>
      <c r="JCD12" s="133"/>
      <c r="JCE12" s="133"/>
      <c r="JCF12" s="133"/>
      <c r="JCG12" s="133"/>
      <c r="JCH12" s="133"/>
      <c r="JCI12" s="133"/>
      <c r="JCJ12" s="133"/>
      <c r="JCK12" s="133"/>
      <c r="JCL12" s="133"/>
      <c r="JCM12" s="133"/>
      <c r="JCN12" s="133"/>
      <c r="JCO12" s="133"/>
      <c r="JCP12" s="133"/>
      <c r="JCQ12" s="133"/>
      <c r="JCR12" s="133"/>
      <c r="JCS12" s="133"/>
      <c r="JCT12" s="133"/>
      <c r="JCU12" s="133"/>
      <c r="JCV12" s="133"/>
      <c r="JCW12" s="133"/>
      <c r="JCX12" s="133"/>
      <c r="JCY12" s="133"/>
      <c r="JCZ12" s="133"/>
      <c r="JDA12" s="133"/>
      <c r="JDB12" s="133"/>
      <c r="JDC12" s="133"/>
      <c r="JDD12" s="133"/>
      <c r="JDE12" s="133"/>
      <c r="JDF12" s="133"/>
      <c r="JDG12" s="133"/>
      <c r="JDH12" s="133"/>
      <c r="JDI12" s="133"/>
      <c r="JDJ12" s="133"/>
      <c r="JDK12" s="133"/>
      <c r="JDL12" s="133"/>
      <c r="JDM12" s="133"/>
      <c r="JDN12" s="133"/>
      <c r="JDO12" s="133"/>
      <c r="JDP12" s="133"/>
      <c r="JDQ12" s="133"/>
      <c r="JDR12" s="133"/>
      <c r="JDS12" s="133"/>
      <c r="JDT12" s="133"/>
      <c r="JDU12" s="133"/>
      <c r="JDV12" s="133"/>
      <c r="JDW12" s="133"/>
      <c r="JDX12" s="133"/>
      <c r="JDY12" s="133"/>
      <c r="JDZ12" s="133"/>
      <c r="JEA12" s="133"/>
      <c r="JEB12" s="133"/>
      <c r="JEC12" s="133"/>
      <c r="JED12" s="133"/>
      <c r="JEE12" s="133"/>
      <c r="JEF12" s="133"/>
      <c r="JEG12" s="133"/>
      <c r="JEH12" s="133"/>
      <c r="JEI12" s="133"/>
      <c r="JEJ12" s="133"/>
      <c r="JEK12" s="133"/>
      <c r="JEL12" s="133"/>
      <c r="JEM12" s="133"/>
      <c r="JEN12" s="133"/>
      <c r="JEO12" s="133"/>
      <c r="JEP12" s="133"/>
      <c r="JEQ12" s="133"/>
      <c r="JER12" s="133"/>
      <c r="JES12" s="133"/>
      <c r="JET12" s="133"/>
      <c r="JEU12" s="133"/>
      <c r="JEV12" s="133"/>
      <c r="JEW12" s="133"/>
      <c r="JEX12" s="133"/>
      <c r="JEY12" s="133"/>
      <c r="JEZ12" s="133"/>
      <c r="JFA12" s="133"/>
      <c r="JFB12" s="133"/>
      <c r="JFC12" s="133"/>
      <c r="JFD12" s="133"/>
      <c r="JFE12" s="133"/>
      <c r="JFF12" s="133"/>
      <c r="JFG12" s="133"/>
      <c r="JFH12" s="133"/>
      <c r="JFI12" s="133"/>
      <c r="JFJ12" s="133"/>
      <c r="JFK12" s="133"/>
      <c r="JFL12" s="133"/>
      <c r="JFM12" s="133"/>
      <c r="JFN12" s="133"/>
      <c r="JFO12" s="133"/>
      <c r="JFP12" s="133"/>
      <c r="JFQ12" s="133"/>
      <c r="JFR12" s="133"/>
      <c r="JFS12" s="133"/>
      <c r="JFT12" s="133"/>
      <c r="JFU12" s="133"/>
      <c r="JFV12" s="133"/>
      <c r="JFW12" s="133"/>
      <c r="JFX12" s="133"/>
      <c r="JFY12" s="133"/>
      <c r="JFZ12" s="133"/>
      <c r="JGA12" s="133"/>
      <c r="JGB12" s="133"/>
      <c r="JGC12" s="133"/>
      <c r="JGD12" s="133"/>
      <c r="JGE12" s="133"/>
      <c r="JGF12" s="133"/>
      <c r="JGG12" s="133"/>
      <c r="JGH12" s="133"/>
      <c r="JGI12" s="133"/>
      <c r="JGJ12" s="133"/>
      <c r="JGK12" s="133"/>
      <c r="JGL12" s="133"/>
      <c r="JGM12" s="133"/>
      <c r="JGN12" s="133"/>
      <c r="JGO12" s="133"/>
      <c r="JGP12" s="133"/>
      <c r="JGQ12" s="133"/>
      <c r="JGR12" s="133"/>
      <c r="JGS12" s="133"/>
      <c r="JGT12" s="133"/>
      <c r="JGU12" s="133"/>
      <c r="JGV12" s="133"/>
      <c r="JGW12" s="133"/>
      <c r="JGX12" s="133"/>
      <c r="JGY12" s="133"/>
      <c r="JGZ12" s="133"/>
      <c r="JHA12" s="133"/>
      <c r="JHB12" s="133"/>
      <c r="JHC12" s="133"/>
      <c r="JHD12" s="133"/>
      <c r="JHE12" s="133"/>
      <c r="JHF12" s="133"/>
      <c r="JHG12" s="133"/>
      <c r="JHH12" s="133"/>
      <c r="JHI12" s="133"/>
      <c r="JHJ12" s="133"/>
      <c r="JHK12" s="133"/>
      <c r="JHL12" s="133"/>
      <c r="JHM12" s="133"/>
      <c r="JHN12" s="133"/>
      <c r="JHO12" s="133"/>
      <c r="JHP12" s="133"/>
      <c r="JHQ12" s="133"/>
      <c r="JHR12" s="133"/>
      <c r="JHS12" s="133"/>
      <c r="JHT12" s="133"/>
      <c r="JHU12" s="133"/>
      <c r="JHV12" s="133"/>
      <c r="JHW12" s="133"/>
      <c r="JHX12" s="133"/>
      <c r="JHY12" s="133"/>
      <c r="JHZ12" s="133"/>
      <c r="JIA12" s="133"/>
      <c r="JIB12" s="133"/>
      <c r="JIC12" s="133"/>
      <c r="JID12" s="133"/>
      <c r="JIE12" s="133"/>
      <c r="JIF12" s="133"/>
      <c r="JIG12" s="133"/>
      <c r="JIH12" s="133"/>
      <c r="JII12" s="133"/>
      <c r="JIJ12" s="133"/>
      <c r="JIK12" s="133"/>
      <c r="JIL12" s="133"/>
      <c r="JIM12" s="133"/>
      <c r="JIN12" s="133"/>
      <c r="JIO12" s="133"/>
      <c r="JIP12" s="133"/>
      <c r="JIQ12" s="133"/>
      <c r="JIR12" s="133"/>
      <c r="JIS12" s="133"/>
      <c r="JIT12" s="133"/>
      <c r="JIU12" s="133"/>
      <c r="JIV12" s="133"/>
      <c r="JIW12" s="133"/>
      <c r="JIX12" s="133"/>
      <c r="JIY12" s="133"/>
      <c r="JIZ12" s="133"/>
      <c r="JJA12" s="133"/>
      <c r="JJB12" s="133"/>
      <c r="JJC12" s="133"/>
      <c r="JJD12" s="133"/>
      <c r="JJE12" s="133"/>
      <c r="JJF12" s="133"/>
      <c r="JJG12" s="133"/>
      <c r="JJH12" s="133"/>
      <c r="JJI12" s="133"/>
      <c r="JJJ12" s="133"/>
      <c r="JJK12" s="133"/>
      <c r="JJL12" s="133"/>
      <c r="JJM12" s="133"/>
      <c r="JJN12" s="133"/>
      <c r="JJO12" s="133"/>
      <c r="JJP12" s="133"/>
      <c r="JJQ12" s="133"/>
      <c r="JJR12" s="133"/>
      <c r="JJS12" s="133"/>
      <c r="JJT12" s="133"/>
      <c r="JJU12" s="133"/>
      <c r="JJV12" s="133"/>
      <c r="JJW12" s="133"/>
      <c r="JJX12" s="133"/>
      <c r="JJY12" s="133"/>
      <c r="JJZ12" s="133"/>
      <c r="JKA12" s="133"/>
      <c r="JKB12" s="133"/>
      <c r="JKC12" s="133"/>
      <c r="JKD12" s="133"/>
      <c r="JKE12" s="133"/>
      <c r="JKF12" s="133"/>
      <c r="JKG12" s="133"/>
      <c r="JKH12" s="133"/>
      <c r="JKI12" s="133"/>
      <c r="JKJ12" s="133"/>
      <c r="JKK12" s="133"/>
      <c r="JKL12" s="133"/>
      <c r="JKM12" s="133"/>
      <c r="JKN12" s="133"/>
      <c r="JKO12" s="133"/>
      <c r="JKP12" s="133"/>
      <c r="JKQ12" s="133"/>
      <c r="JKR12" s="133"/>
      <c r="JKS12" s="133"/>
      <c r="JKT12" s="133"/>
      <c r="JKU12" s="133"/>
      <c r="JKV12" s="133"/>
      <c r="JKW12" s="133"/>
      <c r="JKX12" s="133"/>
      <c r="JKY12" s="133"/>
      <c r="JKZ12" s="133"/>
      <c r="JLA12" s="133"/>
      <c r="JLB12" s="133"/>
      <c r="JLC12" s="133"/>
      <c r="JLD12" s="133"/>
      <c r="JLE12" s="133"/>
      <c r="JLF12" s="133"/>
      <c r="JLG12" s="133"/>
      <c r="JLH12" s="133"/>
      <c r="JLI12" s="133"/>
      <c r="JLJ12" s="133"/>
      <c r="JLK12" s="133"/>
      <c r="JLL12" s="133"/>
      <c r="JLM12" s="133"/>
      <c r="JLN12" s="133"/>
      <c r="JLO12" s="133"/>
      <c r="JLP12" s="133"/>
      <c r="JLQ12" s="133"/>
      <c r="JLR12" s="133"/>
      <c r="JLS12" s="133"/>
      <c r="JLT12" s="133"/>
      <c r="JLU12" s="133"/>
      <c r="JLV12" s="133"/>
      <c r="JLW12" s="133"/>
      <c r="JLX12" s="133"/>
      <c r="JLY12" s="133"/>
      <c r="JLZ12" s="133"/>
      <c r="JMA12" s="133"/>
      <c r="JMB12" s="133"/>
      <c r="JMC12" s="133"/>
      <c r="JMD12" s="133"/>
      <c r="JME12" s="133"/>
      <c r="JMF12" s="133"/>
      <c r="JMG12" s="133"/>
      <c r="JMH12" s="133"/>
      <c r="JMI12" s="133"/>
      <c r="JMJ12" s="133"/>
      <c r="JMK12" s="133"/>
      <c r="JML12" s="133"/>
      <c r="JMM12" s="133"/>
      <c r="JMN12" s="133"/>
      <c r="JMO12" s="133"/>
      <c r="JMP12" s="133"/>
      <c r="JMQ12" s="133"/>
      <c r="JMR12" s="133"/>
      <c r="JMS12" s="133"/>
      <c r="JMT12" s="133"/>
      <c r="JMU12" s="133"/>
      <c r="JMV12" s="133"/>
      <c r="JMW12" s="133"/>
      <c r="JMX12" s="133"/>
      <c r="JMY12" s="133"/>
      <c r="JMZ12" s="133"/>
      <c r="JNA12" s="133"/>
      <c r="JNB12" s="133"/>
      <c r="JNC12" s="133"/>
      <c r="JND12" s="133"/>
      <c r="JNE12" s="133"/>
      <c r="JNF12" s="133"/>
      <c r="JNG12" s="133"/>
      <c r="JNH12" s="133"/>
      <c r="JNI12" s="133"/>
      <c r="JNJ12" s="133"/>
      <c r="JNK12" s="133"/>
      <c r="JNL12" s="133"/>
      <c r="JNM12" s="133"/>
      <c r="JNN12" s="133"/>
      <c r="JNO12" s="133"/>
      <c r="JNP12" s="133"/>
      <c r="JNQ12" s="133"/>
      <c r="JNR12" s="133"/>
      <c r="JNS12" s="133"/>
      <c r="JNT12" s="133"/>
      <c r="JNU12" s="133"/>
      <c r="JNV12" s="133"/>
      <c r="JNW12" s="133"/>
      <c r="JNX12" s="133"/>
      <c r="JNY12" s="133"/>
      <c r="JNZ12" s="133"/>
      <c r="JOA12" s="133"/>
      <c r="JOB12" s="133"/>
      <c r="JOC12" s="133"/>
      <c r="JOD12" s="133"/>
      <c r="JOE12" s="133"/>
      <c r="JOF12" s="133"/>
      <c r="JOG12" s="133"/>
      <c r="JOT12" s="133"/>
      <c r="JOU12" s="133"/>
      <c r="JOV12" s="133"/>
      <c r="JOW12" s="133"/>
      <c r="JOX12" s="133"/>
      <c r="JOY12" s="133"/>
      <c r="JOZ12" s="133"/>
      <c r="JPA12" s="133"/>
      <c r="JPB12" s="133"/>
      <c r="JPC12" s="133"/>
      <c r="JPD12" s="133"/>
      <c r="JPE12" s="133"/>
      <c r="JPF12" s="133"/>
      <c r="JPG12" s="133"/>
      <c r="JPH12" s="133"/>
      <c r="JPI12" s="133"/>
      <c r="JPJ12" s="133"/>
      <c r="JPK12" s="133"/>
      <c r="JPL12" s="133"/>
      <c r="JPM12" s="133"/>
      <c r="JPN12" s="133"/>
      <c r="JPO12" s="133"/>
      <c r="JPP12" s="133"/>
      <c r="JPQ12" s="133"/>
      <c r="JPR12" s="133"/>
      <c r="JPS12" s="133"/>
      <c r="JPT12" s="133"/>
      <c r="JPU12" s="133"/>
      <c r="JPV12" s="133"/>
      <c r="JPW12" s="133"/>
      <c r="JPX12" s="133"/>
      <c r="JPY12" s="133"/>
      <c r="JPZ12" s="133"/>
      <c r="JQA12" s="133"/>
      <c r="JQB12" s="133"/>
      <c r="JQC12" s="133"/>
      <c r="JQD12" s="133"/>
      <c r="JQE12" s="133"/>
      <c r="JQF12" s="133"/>
      <c r="JQG12" s="133"/>
      <c r="JQH12" s="133"/>
      <c r="JQI12" s="133"/>
      <c r="JQJ12" s="133"/>
      <c r="JQK12" s="133"/>
      <c r="JQL12" s="133"/>
      <c r="JQM12" s="133"/>
      <c r="JQN12" s="133"/>
      <c r="JQO12" s="133"/>
      <c r="JQP12" s="133"/>
      <c r="JQQ12" s="133"/>
      <c r="JQR12" s="133"/>
      <c r="JQS12" s="133"/>
      <c r="JQT12" s="133"/>
      <c r="JQU12" s="133"/>
      <c r="JQV12" s="133"/>
      <c r="JQW12" s="133"/>
      <c r="JQX12" s="133"/>
      <c r="JQY12" s="133"/>
      <c r="JQZ12" s="133"/>
      <c r="JRA12" s="133"/>
      <c r="JRB12" s="133"/>
      <c r="JRC12" s="133"/>
      <c r="JRD12" s="133"/>
      <c r="JRE12" s="133"/>
      <c r="JRF12" s="133"/>
      <c r="JRG12" s="133"/>
      <c r="JRH12" s="133"/>
      <c r="JRI12" s="133"/>
      <c r="JRJ12" s="133"/>
      <c r="JRK12" s="133"/>
      <c r="JRL12" s="133"/>
      <c r="JRM12" s="133"/>
      <c r="JRN12" s="133"/>
      <c r="JRO12" s="133"/>
      <c r="JRP12" s="133"/>
      <c r="JRQ12" s="133"/>
      <c r="JRR12" s="133"/>
      <c r="JRS12" s="133"/>
      <c r="JRT12" s="133"/>
      <c r="JRU12" s="133"/>
      <c r="JRV12" s="133"/>
      <c r="JRW12" s="133"/>
      <c r="JRX12" s="133"/>
      <c r="JRY12" s="133"/>
      <c r="JRZ12" s="133"/>
      <c r="JSA12" s="133"/>
      <c r="JSB12" s="133"/>
      <c r="JSC12" s="133"/>
      <c r="JSD12" s="133"/>
      <c r="JSE12" s="133"/>
      <c r="JSF12" s="133"/>
      <c r="JSG12" s="133"/>
      <c r="JSH12" s="133"/>
      <c r="JSI12" s="133"/>
      <c r="JSJ12" s="133"/>
      <c r="JSK12" s="133"/>
      <c r="JSL12" s="133"/>
      <c r="JSM12" s="133"/>
      <c r="JSN12" s="133"/>
      <c r="JSO12" s="133"/>
      <c r="JSP12" s="133"/>
      <c r="JSQ12" s="133"/>
      <c r="JSR12" s="133"/>
      <c r="JSS12" s="133"/>
      <c r="JST12" s="133"/>
      <c r="JSU12" s="133"/>
      <c r="JSV12" s="133"/>
      <c r="JSW12" s="133"/>
      <c r="JSX12" s="133"/>
      <c r="JSY12" s="133"/>
      <c r="JSZ12" s="133"/>
      <c r="JTA12" s="133"/>
      <c r="JTB12" s="133"/>
      <c r="JTC12" s="133"/>
      <c r="JTD12" s="133"/>
      <c r="JTE12" s="133"/>
      <c r="JTF12" s="133"/>
      <c r="JTG12" s="133"/>
      <c r="JTH12" s="133"/>
      <c r="JTI12" s="133"/>
      <c r="JTJ12" s="133"/>
      <c r="JTK12" s="133"/>
      <c r="JTL12" s="133"/>
      <c r="JTM12" s="133"/>
      <c r="JTN12" s="133"/>
      <c r="JTO12" s="133"/>
      <c r="JTP12" s="133"/>
      <c r="JTQ12" s="133"/>
      <c r="JTR12" s="133"/>
      <c r="JTS12" s="133"/>
      <c r="JTT12" s="133"/>
      <c r="JTU12" s="133"/>
      <c r="JTV12" s="133"/>
      <c r="JTW12" s="133"/>
      <c r="JTX12" s="133"/>
      <c r="JTY12" s="133"/>
      <c r="JTZ12" s="133"/>
      <c r="JUA12" s="133"/>
      <c r="JUB12" s="133"/>
      <c r="JUC12" s="133"/>
      <c r="JUD12" s="133"/>
      <c r="JUE12" s="133"/>
      <c r="JUF12" s="133"/>
      <c r="JUG12" s="133"/>
      <c r="JUH12" s="133"/>
      <c r="JUI12" s="133"/>
      <c r="JUJ12" s="133"/>
      <c r="JUK12" s="133"/>
      <c r="JUL12" s="133"/>
      <c r="JUM12" s="133"/>
      <c r="JUN12" s="133"/>
      <c r="JUO12" s="133"/>
      <c r="JUP12" s="133"/>
      <c r="JUQ12" s="133"/>
      <c r="JUR12" s="133"/>
      <c r="JUS12" s="133"/>
      <c r="JUT12" s="133"/>
      <c r="JUU12" s="133"/>
      <c r="JUV12" s="133"/>
      <c r="JUW12" s="133"/>
      <c r="JUX12" s="133"/>
      <c r="JUY12" s="133"/>
      <c r="JUZ12" s="133"/>
      <c r="JVA12" s="133"/>
      <c r="JVB12" s="133"/>
      <c r="JVC12" s="133"/>
      <c r="JVD12" s="133"/>
      <c r="JVE12" s="133"/>
      <c r="JVF12" s="133"/>
      <c r="JVG12" s="133"/>
      <c r="JVH12" s="133"/>
      <c r="JVI12" s="133"/>
      <c r="JVJ12" s="133"/>
      <c r="JVK12" s="133"/>
      <c r="JVL12" s="133"/>
      <c r="JVM12" s="133"/>
      <c r="JVN12" s="133"/>
      <c r="JVO12" s="133"/>
      <c r="JVP12" s="133"/>
      <c r="JVQ12" s="133"/>
      <c r="JVR12" s="133"/>
      <c r="JVS12" s="133"/>
      <c r="JVT12" s="133"/>
      <c r="JVU12" s="133"/>
      <c r="JVV12" s="133"/>
      <c r="JVW12" s="133"/>
      <c r="JVX12" s="133"/>
      <c r="JVY12" s="133"/>
      <c r="JVZ12" s="133"/>
      <c r="JWA12" s="133"/>
      <c r="JWB12" s="133"/>
      <c r="JWC12" s="133"/>
      <c r="JWD12" s="133"/>
      <c r="JWE12" s="133"/>
      <c r="JWF12" s="133"/>
      <c r="JWG12" s="133"/>
      <c r="JWH12" s="133"/>
      <c r="JWI12" s="133"/>
      <c r="JWJ12" s="133"/>
      <c r="JWK12" s="133"/>
      <c r="JWL12" s="133"/>
      <c r="JWM12" s="133"/>
      <c r="JWN12" s="133"/>
      <c r="JWO12" s="133"/>
      <c r="JWP12" s="133"/>
      <c r="JWQ12" s="133"/>
      <c r="JWR12" s="133"/>
      <c r="JWS12" s="133"/>
      <c r="JWT12" s="133"/>
      <c r="JWU12" s="133"/>
      <c r="JWV12" s="133"/>
      <c r="JWW12" s="133"/>
      <c r="JWX12" s="133"/>
      <c r="JWY12" s="133"/>
      <c r="JWZ12" s="133"/>
      <c r="JXA12" s="133"/>
      <c r="JXB12" s="133"/>
      <c r="JXC12" s="133"/>
      <c r="JXD12" s="133"/>
      <c r="JXE12" s="133"/>
      <c r="JXF12" s="133"/>
      <c r="JXG12" s="133"/>
      <c r="JXH12" s="133"/>
      <c r="JXI12" s="133"/>
      <c r="JXJ12" s="133"/>
      <c r="JXK12" s="133"/>
      <c r="JXL12" s="133"/>
      <c r="JXM12" s="133"/>
      <c r="JXN12" s="133"/>
      <c r="JXO12" s="133"/>
      <c r="JXP12" s="133"/>
      <c r="JXQ12" s="133"/>
      <c r="JXR12" s="133"/>
      <c r="JXS12" s="133"/>
      <c r="JXT12" s="133"/>
      <c r="JXU12" s="133"/>
      <c r="JXV12" s="133"/>
      <c r="JXW12" s="133"/>
      <c r="JXX12" s="133"/>
      <c r="JXY12" s="133"/>
      <c r="JXZ12" s="133"/>
      <c r="JYA12" s="133"/>
      <c r="JYB12" s="133"/>
      <c r="JYC12" s="133"/>
      <c r="JYD12" s="133"/>
      <c r="JYE12" s="133"/>
      <c r="JYF12" s="133"/>
      <c r="JYG12" s="133"/>
      <c r="JYH12" s="133"/>
      <c r="JYI12" s="133"/>
      <c r="JYJ12" s="133"/>
      <c r="JYK12" s="133"/>
      <c r="JYL12" s="133"/>
      <c r="JYM12" s="133"/>
      <c r="JYN12" s="133"/>
      <c r="JYO12" s="133"/>
      <c r="JYP12" s="133"/>
      <c r="JYQ12" s="133"/>
      <c r="JYR12" s="133"/>
      <c r="JYS12" s="133"/>
      <c r="JYT12" s="133"/>
      <c r="JYU12" s="133"/>
      <c r="JYV12" s="133"/>
      <c r="JYW12" s="133"/>
      <c r="JYX12" s="133"/>
      <c r="JYY12" s="133"/>
      <c r="JYZ12" s="133"/>
      <c r="JZA12" s="133"/>
      <c r="JZB12" s="133"/>
      <c r="JZC12" s="133"/>
      <c r="JZD12" s="133"/>
      <c r="JZE12" s="133"/>
      <c r="JZF12" s="133"/>
      <c r="JZG12" s="133"/>
      <c r="JZH12" s="133"/>
      <c r="JZI12" s="133"/>
      <c r="JZJ12" s="133"/>
      <c r="JZK12" s="133"/>
      <c r="JZL12" s="133"/>
      <c r="JZM12" s="133"/>
      <c r="JZN12" s="133"/>
      <c r="JZO12" s="133"/>
      <c r="JZP12" s="133"/>
      <c r="JZQ12" s="133"/>
      <c r="JZR12" s="133"/>
      <c r="JZS12" s="133"/>
      <c r="JZT12" s="133"/>
      <c r="JZU12" s="133"/>
      <c r="JZV12" s="133"/>
      <c r="JZW12" s="133"/>
      <c r="JZX12" s="133"/>
      <c r="JZY12" s="133"/>
      <c r="JZZ12" s="133"/>
      <c r="KAA12" s="133"/>
      <c r="KAB12" s="133"/>
      <c r="KAC12" s="133"/>
      <c r="KAD12" s="133"/>
      <c r="KAE12" s="133"/>
      <c r="KAF12" s="133"/>
      <c r="KAG12" s="133"/>
      <c r="KAH12" s="133"/>
      <c r="KAI12" s="133"/>
      <c r="KAJ12" s="133"/>
      <c r="KAK12" s="133"/>
      <c r="KAL12" s="133"/>
      <c r="KAM12" s="133"/>
      <c r="KAN12" s="133"/>
      <c r="KAO12" s="133"/>
      <c r="KAP12" s="133"/>
      <c r="KAQ12" s="133"/>
      <c r="KAR12" s="133"/>
      <c r="KAS12" s="133"/>
      <c r="KAT12" s="133"/>
      <c r="KAU12" s="133"/>
      <c r="KAV12" s="133"/>
      <c r="KAW12" s="133"/>
      <c r="KAX12" s="133"/>
      <c r="KAY12" s="133"/>
      <c r="KAZ12" s="133"/>
      <c r="KBA12" s="133"/>
      <c r="KBB12" s="133"/>
      <c r="KBC12" s="133"/>
      <c r="KBD12" s="133"/>
      <c r="KBE12" s="133"/>
      <c r="KBF12" s="133"/>
      <c r="KBG12" s="133"/>
      <c r="KBH12" s="133"/>
      <c r="KBI12" s="133"/>
      <c r="KBJ12" s="133"/>
      <c r="KBK12" s="133"/>
      <c r="KBL12" s="133"/>
      <c r="KBM12" s="133"/>
      <c r="KBN12" s="133"/>
      <c r="KBO12" s="133"/>
      <c r="KBP12" s="133"/>
      <c r="KBQ12" s="133"/>
      <c r="KBR12" s="133"/>
      <c r="KBS12" s="133"/>
      <c r="KBT12" s="133"/>
      <c r="KBU12" s="133"/>
      <c r="KBV12" s="133"/>
      <c r="KBW12" s="133"/>
      <c r="KBX12" s="133"/>
      <c r="KBY12" s="133"/>
      <c r="KBZ12" s="133"/>
      <c r="KCA12" s="133"/>
      <c r="KCB12" s="133"/>
      <c r="KCC12" s="133"/>
      <c r="KCD12" s="133"/>
      <c r="KCE12" s="133"/>
      <c r="KCF12" s="133"/>
      <c r="KCG12" s="133"/>
      <c r="KCH12" s="133"/>
      <c r="KCI12" s="133"/>
      <c r="KCJ12" s="133"/>
      <c r="KCK12" s="133"/>
      <c r="KCL12" s="133"/>
      <c r="KCM12" s="133"/>
      <c r="KCN12" s="133"/>
      <c r="KCO12" s="133"/>
      <c r="KCP12" s="133"/>
      <c r="KCQ12" s="133"/>
      <c r="KCR12" s="133"/>
      <c r="KCS12" s="133"/>
      <c r="KCT12" s="133"/>
      <c r="KCU12" s="133"/>
      <c r="KCV12" s="133"/>
      <c r="KCW12" s="133"/>
      <c r="KCX12" s="133"/>
      <c r="KCY12" s="133"/>
      <c r="KCZ12" s="133"/>
      <c r="KDA12" s="133"/>
      <c r="KDB12" s="133"/>
      <c r="KDC12" s="133"/>
      <c r="KDD12" s="133"/>
      <c r="KDE12" s="133"/>
      <c r="KDF12" s="133"/>
      <c r="KDG12" s="133"/>
      <c r="KDH12" s="133"/>
      <c r="KDI12" s="133"/>
      <c r="KDJ12" s="133"/>
      <c r="KDK12" s="133"/>
      <c r="KDL12" s="133"/>
      <c r="KDM12" s="133"/>
      <c r="KDN12" s="133"/>
      <c r="KDO12" s="133"/>
      <c r="KDP12" s="133"/>
      <c r="KDQ12" s="133"/>
      <c r="KDR12" s="133"/>
      <c r="KDS12" s="133"/>
      <c r="KDT12" s="133"/>
      <c r="KDU12" s="133"/>
      <c r="KDV12" s="133"/>
      <c r="KDW12" s="133"/>
      <c r="KDX12" s="133"/>
      <c r="KDY12" s="133"/>
      <c r="KDZ12" s="133"/>
      <c r="KEA12" s="133"/>
      <c r="KEB12" s="133"/>
      <c r="KEC12" s="133"/>
      <c r="KED12" s="133"/>
      <c r="KEE12" s="133"/>
      <c r="KEF12" s="133"/>
      <c r="KEG12" s="133"/>
      <c r="KEH12" s="133"/>
      <c r="KEI12" s="133"/>
      <c r="KEJ12" s="133"/>
      <c r="KEK12" s="133"/>
      <c r="KEL12" s="133"/>
      <c r="KEM12" s="133"/>
      <c r="KEN12" s="133"/>
      <c r="KEO12" s="133"/>
      <c r="KEP12" s="133"/>
      <c r="KEQ12" s="133"/>
      <c r="KER12" s="133"/>
      <c r="KES12" s="133"/>
      <c r="KET12" s="133"/>
      <c r="KEU12" s="133"/>
      <c r="KEV12" s="133"/>
      <c r="KEW12" s="133"/>
      <c r="KEX12" s="133"/>
      <c r="KEY12" s="133"/>
      <c r="KEZ12" s="133"/>
      <c r="KFA12" s="133"/>
      <c r="KFB12" s="133"/>
      <c r="KFC12" s="133"/>
      <c r="KFD12" s="133"/>
      <c r="KFE12" s="133"/>
      <c r="KFF12" s="133"/>
      <c r="KFG12" s="133"/>
      <c r="KFH12" s="133"/>
      <c r="KFI12" s="133"/>
      <c r="KFJ12" s="133"/>
      <c r="KFK12" s="133"/>
      <c r="KFL12" s="133"/>
      <c r="KFM12" s="133"/>
      <c r="KFN12" s="133"/>
      <c r="KFO12" s="133"/>
      <c r="KFP12" s="133"/>
      <c r="KFQ12" s="133"/>
      <c r="KFR12" s="133"/>
      <c r="KFS12" s="133"/>
      <c r="KFT12" s="133"/>
      <c r="KFU12" s="133"/>
      <c r="KFV12" s="133"/>
      <c r="KFW12" s="133"/>
      <c r="KFX12" s="133"/>
      <c r="KFY12" s="133"/>
      <c r="KFZ12" s="133"/>
      <c r="KGA12" s="133"/>
      <c r="KGB12" s="133"/>
      <c r="KGC12" s="133"/>
      <c r="KGD12" s="133"/>
      <c r="KGE12" s="133"/>
      <c r="KGF12" s="133"/>
      <c r="KGG12" s="133"/>
      <c r="KGH12" s="133"/>
      <c r="KGI12" s="133"/>
      <c r="KGJ12" s="133"/>
      <c r="KGK12" s="133"/>
      <c r="KGL12" s="133"/>
      <c r="KGM12" s="133"/>
      <c r="KGN12" s="133"/>
      <c r="KGO12" s="133"/>
      <c r="KGP12" s="133"/>
      <c r="KGQ12" s="133"/>
      <c r="KGR12" s="133"/>
      <c r="KGS12" s="133"/>
      <c r="KGT12" s="133"/>
      <c r="KGU12" s="133"/>
      <c r="KGV12" s="133"/>
      <c r="KGW12" s="133"/>
      <c r="KGX12" s="133"/>
      <c r="KGY12" s="133"/>
      <c r="KGZ12" s="133"/>
      <c r="KHA12" s="133"/>
      <c r="KHB12" s="133"/>
      <c r="KHC12" s="133"/>
      <c r="KHD12" s="133"/>
      <c r="KHE12" s="133"/>
      <c r="KHF12" s="133"/>
      <c r="KHG12" s="133"/>
      <c r="KHH12" s="133"/>
      <c r="KHI12" s="133"/>
      <c r="KHJ12" s="133"/>
      <c r="KHK12" s="133"/>
      <c r="KHL12" s="133"/>
      <c r="KHM12" s="133"/>
      <c r="KHN12" s="133"/>
      <c r="KHO12" s="133"/>
      <c r="KHP12" s="133"/>
      <c r="KHQ12" s="133"/>
      <c r="KHR12" s="133"/>
      <c r="KHS12" s="133"/>
      <c r="KHT12" s="133"/>
      <c r="KHU12" s="133"/>
      <c r="KHV12" s="133"/>
      <c r="KHW12" s="133"/>
      <c r="KHX12" s="133"/>
      <c r="KHY12" s="133"/>
      <c r="KHZ12" s="133"/>
      <c r="KIA12" s="133"/>
      <c r="KIB12" s="133"/>
      <c r="KIC12" s="133"/>
      <c r="KID12" s="133"/>
      <c r="KIE12" s="133"/>
      <c r="KIF12" s="133"/>
      <c r="KIG12" s="133"/>
      <c r="KIH12" s="133"/>
      <c r="KII12" s="133"/>
      <c r="KIJ12" s="133"/>
      <c r="KIK12" s="133"/>
      <c r="KIL12" s="133"/>
      <c r="KIM12" s="133"/>
      <c r="KIN12" s="133"/>
      <c r="KIO12" s="133"/>
      <c r="KIP12" s="133"/>
      <c r="KIQ12" s="133"/>
      <c r="KIR12" s="133"/>
      <c r="KIS12" s="133"/>
      <c r="KIT12" s="133"/>
      <c r="KIU12" s="133"/>
      <c r="KIV12" s="133"/>
      <c r="KIW12" s="133"/>
      <c r="KIX12" s="133"/>
      <c r="KIY12" s="133"/>
      <c r="KIZ12" s="133"/>
      <c r="KJA12" s="133"/>
      <c r="KJB12" s="133"/>
      <c r="KJC12" s="133"/>
      <c r="KJD12" s="133"/>
      <c r="KJE12" s="133"/>
      <c r="KJF12" s="133"/>
      <c r="KJG12" s="133"/>
      <c r="KJH12" s="133"/>
      <c r="KJI12" s="133"/>
      <c r="KJJ12" s="133"/>
      <c r="KJK12" s="133"/>
      <c r="KJL12" s="133"/>
      <c r="KJM12" s="133"/>
      <c r="KJN12" s="133"/>
      <c r="KJO12" s="133"/>
      <c r="KJP12" s="133"/>
      <c r="KJQ12" s="133"/>
      <c r="KJR12" s="133"/>
      <c r="KJS12" s="133"/>
      <c r="KJT12" s="133"/>
      <c r="KJU12" s="133"/>
      <c r="KJV12" s="133"/>
      <c r="KJW12" s="133"/>
      <c r="KJX12" s="133"/>
      <c r="KJY12" s="133"/>
      <c r="KJZ12" s="133"/>
      <c r="KKA12" s="133"/>
      <c r="KKB12" s="133"/>
      <c r="KKC12" s="133"/>
      <c r="KKD12" s="133"/>
      <c r="KKE12" s="133"/>
      <c r="KKF12" s="133"/>
      <c r="KKG12" s="133"/>
      <c r="KKH12" s="133"/>
      <c r="KKI12" s="133"/>
      <c r="KKJ12" s="133"/>
      <c r="KKK12" s="133"/>
      <c r="KKL12" s="133"/>
      <c r="KKM12" s="133"/>
      <c r="KKN12" s="133"/>
      <c r="KKO12" s="133"/>
      <c r="KKP12" s="133"/>
      <c r="KKQ12" s="133"/>
      <c r="KKR12" s="133"/>
      <c r="KKS12" s="133"/>
      <c r="KKT12" s="133"/>
      <c r="KKU12" s="133"/>
      <c r="KKV12" s="133"/>
      <c r="KKW12" s="133"/>
      <c r="KKX12" s="133"/>
      <c r="KKY12" s="133"/>
      <c r="KKZ12" s="133"/>
      <c r="KLA12" s="133"/>
      <c r="KLB12" s="133"/>
      <c r="KLC12" s="133"/>
      <c r="KLD12" s="133"/>
      <c r="KLE12" s="133"/>
      <c r="KLF12" s="133"/>
      <c r="KLG12" s="133"/>
      <c r="KLH12" s="133"/>
      <c r="KLI12" s="133"/>
      <c r="KLJ12" s="133"/>
      <c r="KLK12" s="133"/>
      <c r="KLL12" s="133"/>
      <c r="KLM12" s="133"/>
      <c r="KLN12" s="133"/>
      <c r="KLO12" s="133"/>
      <c r="KLP12" s="133"/>
      <c r="KLQ12" s="133"/>
      <c r="KLR12" s="133"/>
      <c r="KLS12" s="133"/>
      <c r="KLT12" s="133"/>
      <c r="KLU12" s="133"/>
      <c r="KLV12" s="133"/>
      <c r="KLW12" s="133"/>
      <c r="KLX12" s="133"/>
      <c r="KLY12" s="133"/>
      <c r="KLZ12" s="133"/>
      <c r="KMA12" s="133"/>
      <c r="KMB12" s="133"/>
      <c r="KMC12" s="133"/>
      <c r="KMD12" s="133"/>
      <c r="KME12" s="133"/>
      <c r="KMF12" s="133"/>
      <c r="KMG12" s="133"/>
      <c r="KMH12" s="133"/>
      <c r="KMI12" s="133"/>
      <c r="KMJ12" s="133"/>
      <c r="KMK12" s="133"/>
      <c r="KML12" s="133"/>
      <c r="KMM12" s="133"/>
      <c r="KMN12" s="133"/>
      <c r="KMO12" s="133"/>
      <c r="KMP12" s="133"/>
      <c r="KMQ12" s="133"/>
      <c r="KMR12" s="133"/>
      <c r="KMS12" s="133"/>
      <c r="KMT12" s="133"/>
      <c r="KMU12" s="133"/>
      <c r="KMV12" s="133"/>
      <c r="KMW12" s="133"/>
      <c r="KMX12" s="133"/>
      <c r="KMY12" s="133"/>
      <c r="KMZ12" s="133"/>
      <c r="KNA12" s="133"/>
      <c r="KNB12" s="133"/>
      <c r="KNC12" s="133"/>
      <c r="KND12" s="133"/>
      <c r="KNE12" s="133"/>
      <c r="KNF12" s="133"/>
      <c r="KNG12" s="133"/>
      <c r="KNH12" s="133"/>
      <c r="KNI12" s="133"/>
      <c r="KNJ12" s="133"/>
      <c r="KNK12" s="133"/>
      <c r="KNL12" s="133"/>
      <c r="KNM12" s="133"/>
      <c r="KNN12" s="133"/>
      <c r="KNO12" s="133"/>
      <c r="KNP12" s="133"/>
      <c r="KNQ12" s="133"/>
      <c r="KNR12" s="133"/>
      <c r="KNS12" s="133"/>
      <c r="KNT12" s="133"/>
      <c r="KNU12" s="133"/>
      <c r="KNV12" s="133"/>
      <c r="KNW12" s="133"/>
      <c r="KNX12" s="133"/>
      <c r="KNY12" s="133"/>
      <c r="KNZ12" s="133"/>
      <c r="KOA12" s="133"/>
      <c r="KOB12" s="133"/>
      <c r="KOC12" s="133"/>
      <c r="KOD12" s="133"/>
      <c r="KOE12" s="133"/>
      <c r="KOF12" s="133"/>
      <c r="KOG12" s="133"/>
      <c r="KOH12" s="133"/>
      <c r="KOI12" s="133"/>
      <c r="KOJ12" s="133"/>
      <c r="KOK12" s="133"/>
      <c r="KOL12" s="133"/>
      <c r="KOM12" s="133"/>
      <c r="KON12" s="133"/>
      <c r="KOO12" s="133"/>
      <c r="KOP12" s="133"/>
      <c r="KOQ12" s="133"/>
      <c r="KOR12" s="133"/>
      <c r="KOS12" s="133"/>
      <c r="KOT12" s="133"/>
      <c r="KOU12" s="133"/>
      <c r="KOV12" s="133"/>
      <c r="KOW12" s="133"/>
      <c r="KOX12" s="133"/>
      <c r="KOY12" s="133"/>
      <c r="KOZ12" s="133"/>
      <c r="KPA12" s="133"/>
      <c r="KPB12" s="133"/>
      <c r="KPC12" s="133"/>
      <c r="KPD12" s="133"/>
      <c r="KPE12" s="133"/>
      <c r="KPF12" s="133"/>
      <c r="KPG12" s="133"/>
      <c r="KPH12" s="133"/>
      <c r="KPI12" s="133"/>
      <c r="KPJ12" s="133"/>
      <c r="KPK12" s="133"/>
      <c r="KPL12" s="133"/>
      <c r="KPM12" s="133"/>
      <c r="KPN12" s="133"/>
      <c r="KPO12" s="133"/>
      <c r="KPP12" s="133"/>
      <c r="KPQ12" s="133"/>
      <c r="KPR12" s="133"/>
      <c r="KPS12" s="133"/>
      <c r="KPT12" s="133"/>
      <c r="KPU12" s="133"/>
      <c r="KPV12" s="133"/>
      <c r="KPW12" s="133"/>
      <c r="KPX12" s="133"/>
      <c r="KPY12" s="133"/>
      <c r="KPZ12" s="133"/>
      <c r="KQA12" s="133"/>
      <c r="KQB12" s="133"/>
      <c r="KQC12" s="133"/>
      <c r="KQD12" s="133"/>
      <c r="KQE12" s="133"/>
      <c r="KQF12" s="133"/>
      <c r="KQG12" s="133"/>
      <c r="KQH12" s="133"/>
      <c r="KQI12" s="133"/>
      <c r="KQJ12" s="133"/>
      <c r="KQK12" s="133"/>
      <c r="KQL12" s="133"/>
      <c r="KQM12" s="133"/>
      <c r="KQN12" s="133"/>
      <c r="KQO12" s="133"/>
      <c r="KQP12" s="133"/>
      <c r="KQQ12" s="133"/>
      <c r="KQR12" s="133"/>
      <c r="KQS12" s="133"/>
      <c r="KQT12" s="133"/>
      <c r="KQU12" s="133"/>
      <c r="KQV12" s="133"/>
      <c r="KQW12" s="133"/>
      <c r="KQX12" s="133"/>
      <c r="KQY12" s="133"/>
      <c r="KQZ12" s="133"/>
      <c r="KRA12" s="133"/>
      <c r="KRB12" s="133"/>
      <c r="KRC12" s="133"/>
      <c r="KRD12" s="133"/>
      <c r="KRE12" s="133"/>
      <c r="KRF12" s="133"/>
      <c r="KRG12" s="133"/>
      <c r="KRH12" s="133"/>
      <c r="KRI12" s="133"/>
      <c r="KRJ12" s="133"/>
      <c r="KRK12" s="133"/>
      <c r="KRL12" s="133"/>
      <c r="KRM12" s="133"/>
      <c r="KRN12" s="133"/>
      <c r="KRO12" s="133"/>
      <c r="KRP12" s="133"/>
      <c r="KRQ12" s="133"/>
      <c r="KRR12" s="133"/>
      <c r="KRS12" s="133"/>
      <c r="KRT12" s="133"/>
      <c r="KRU12" s="133"/>
      <c r="KRV12" s="133"/>
      <c r="KRW12" s="133"/>
      <c r="KRX12" s="133"/>
      <c r="KRY12" s="133"/>
      <c r="KRZ12" s="133"/>
      <c r="KSA12" s="133"/>
      <c r="KSB12" s="133"/>
      <c r="KSC12" s="133"/>
      <c r="KSD12" s="133"/>
      <c r="KSE12" s="133"/>
      <c r="KSF12" s="133"/>
      <c r="KSG12" s="133"/>
      <c r="KSH12" s="133"/>
      <c r="KSI12" s="133"/>
      <c r="KSJ12" s="133"/>
      <c r="KSK12" s="133"/>
      <c r="KSL12" s="133"/>
      <c r="KSM12" s="133"/>
      <c r="KSN12" s="133"/>
      <c r="KSO12" s="133"/>
      <c r="KSP12" s="133"/>
      <c r="KSQ12" s="133"/>
      <c r="KSR12" s="133"/>
      <c r="KSS12" s="133"/>
      <c r="KST12" s="133"/>
      <c r="KSU12" s="133"/>
      <c r="KSV12" s="133"/>
      <c r="KSW12" s="133"/>
      <c r="KSX12" s="133"/>
      <c r="KSY12" s="133"/>
      <c r="KSZ12" s="133"/>
      <c r="KTA12" s="133"/>
      <c r="KTB12" s="133"/>
      <c r="KTC12" s="133"/>
      <c r="KTD12" s="133"/>
      <c r="KTE12" s="133"/>
      <c r="KTF12" s="133"/>
      <c r="KTG12" s="133"/>
      <c r="KTH12" s="133"/>
      <c r="KTI12" s="133"/>
      <c r="KTJ12" s="133"/>
      <c r="KTK12" s="133"/>
      <c r="KTL12" s="133"/>
      <c r="KTM12" s="133"/>
      <c r="KTN12" s="133"/>
      <c r="KTO12" s="133"/>
      <c r="KTP12" s="133"/>
      <c r="KTQ12" s="133"/>
      <c r="KTR12" s="133"/>
      <c r="KTS12" s="133"/>
      <c r="KTT12" s="133"/>
      <c r="KTU12" s="133"/>
      <c r="KTV12" s="133"/>
      <c r="KTW12" s="133"/>
      <c r="KTX12" s="133"/>
      <c r="KTY12" s="133"/>
      <c r="KTZ12" s="133"/>
      <c r="KUA12" s="133"/>
      <c r="KUB12" s="133"/>
      <c r="KUC12" s="133"/>
      <c r="KUD12" s="133"/>
      <c r="KUE12" s="133"/>
      <c r="KUF12" s="133"/>
      <c r="KUG12" s="133"/>
      <c r="KUH12" s="133"/>
      <c r="KUI12" s="133"/>
      <c r="KUJ12" s="133"/>
      <c r="KUK12" s="133"/>
      <c r="KUL12" s="133"/>
      <c r="KUM12" s="133"/>
      <c r="KUN12" s="133"/>
      <c r="KUO12" s="133"/>
      <c r="KUP12" s="133"/>
      <c r="KUQ12" s="133"/>
      <c r="KUR12" s="133"/>
      <c r="KUS12" s="133"/>
      <c r="KUT12" s="133"/>
      <c r="KUU12" s="133"/>
      <c r="KUV12" s="133"/>
      <c r="KUW12" s="133"/>
      <c r="KUX12" s="133"/>
      <c r="KUY12" s="133"/>
      <c r="KUZ12" s="133"/>
      <c r="KVA12" s="133"/>
      <c r="KVB12" s="133"/>
      <c r="KVC12" s="133"/>
      <c r="KVD12" s="133"/>
      <c r="KVE12" s="133"/>
      <c r="KVF12" s="133"/>
      <c r="KVG12" s="133"/>
      <c r="KVH12" s="133"/>
      <c r="KVI12" s="133"/>
      <c r="KVJ12" s="133"/>
      <c r="KVK12" s="133"/>
      <c r="KVL12" s="133"/>
      <c r="KVM12" s="133"/>
      <c r="KVN12" s="133"/>
      <c r="KVO12" s="133"/>
      <c r="KVP12" s="133"/>
      <c r="KVQ12" s="133"/>
      <c r="KVR12" s="133"/>
      <c r="KVS12" s="133"/>
      <c r="KVT12" s="133"/>
      <c r="KVU12" s="133"/>
      <c r="KVV12" s="133"/>
      <c r="KVW12" s="133"/>
      <c r="KVX12" s="133"/>
      <c r="KVY12" s="133"/>
      <c r="KVZ12" s="133"/>
      <c r="KWA12" s="133"/>
      <c r="KWB12" s="133"/>
      <c r="KWC12" s="133"/>
      <c r="KWD12" s="133"/>
      <c r="KWE12" s="133"/>
      <c r="KWF12" s="133"/>
      <c r="KWG12" s="133"/>
      <c r="KWH12" s="133"/>
      <c r="KWI12" s="133"/>
      <c r="KWJ12" s="133"/>
      <c r="KWK12" s="133"/>
      <c r="KWL12" s="133"/>
      <c r="KWM12" s="133"/>
      <c r="KWN12" s="133"/>
      <c r="KWO12" s="133"/>
      <c r="KWP12" s="133"/>
      <c r="KWQ12" s="133"/>
      <c r="KWR12" s="133"/>
      <c r="KWS12" s="133"/>
      <c r="KWT12" s="133"/>
      <c r="KWU12" s="133"/>
      <c r="KWV12" s="133"/>
      <c r="KWW12" s="133"/>
      <c r="KWX12" s="133"/>
      <c r="KWY12" s="133"/>
      <c r="KWZ12" s="133"/>
      <c r="KXA12" s="133"/>
      <c r="KXB12" s="133"/>
      <c r="KXC12" s="133"/>
      <c r="KXD12" s="133"/>
      <c r="KXE12" s="133"/>
      <c r="KXF12" s="133"/>
      <c r="KXG12" s="133"/>
      <c r="KXH12" s="133"/>
      <c r="KXI12" s="133"/>
      <c r="KXJ12" s="133"/>
      <c r="KXK12" s="133"/>
      <c r="KXL12" s="133"/>
      <c r="KXM12" s="133"/>
      <c r="KXN12" s="133"/>
      <c r="KXO12" s="133"/>
      <c r="KXP12" s="133"/>
      <c r="KXQ12" s="133"/>
      <c r="KXR12" s="133"/>
      <c r="KXS12" s="133"/>
      <c r="KXT12" s="133"/>
      <c r="KXU12" s="133"/>
      <c r="KXV12" s="133"/>
      <c r="KXW12" s="133"/>
      <c r="KXX12" s="133"/>
      <c r="KXY12" s="133"/>
      <c r="KXZ12" s="133"/>
      <c r="KYA12" s="133"/>
      <c r="KYB12" s="133"/>
      <c r="KYC12" s="133"/>
      <c r="KYD12" s="133"/>
      <c r="KYE12" s="133"/>
      <c r="KYF12" s="133"/>
      <c r="KYG12" s="133"/>
      <c r="KYH12" s="133"/>
      <c r="KYI12" s="133"/>
      <c r="KYJ12" s="133"/>
      <c r="KYK12" s="133"/>
      <c r="KYL12" s="133"/>
      <c r="KYM12" s="133"/>
      <c r="KYN12" s="133"/>
      <c r="KYO12" s="133"/>
      <c r="KYP12" s="133"/>
      <c r="KYQ12" s="133"/>
      <c r="KYR12" s="133"/>
      <c r="KYS12" s="133"/>
      <c r="KYT12" s="133"/>
      <c r="KYU12" s="133"/>
      <c r="KYV12" s="133"/>
      <c r="KYW12" s="133"/>
      <c r="KYX12" s="133"/>
      <c r="KYY12" s="133"/>
      <c r="KYZ12" s="133"/>
      <c r="KZA12" s="133"/>
      <c r="KZB12" s="133"/>
      <c r="KZC12" s="133"/>
      <c r="KZD12" s="133"/>
      <c r="KZE12" s="133"/>
      <c r="KZF12" s="133"/>
      <c r="KZG12" s="133"/>
      <c r="KZH12" s="133"/>
      <c r="KZI12" s="133"/>
      <c r="KZJ12" s="133"/>
      <c r="KZK12" s="133"/>
      <c r="KZL12" s="133"/>
      <c r="KZM12" s="133"/>
      <c r="KZN12" s="133"/>
      <c r="KZO12" s="133"/>
      <c r="KZP12" s="133"/>
      <c r="KZQ12" s="133"/>
      <c r="KZR12" s="133"/>
      <c r="KZS12" s="133"/>
      <c r="KZT12" s="133"/>
      <c r="KZU12" s="133"/>
      <c r="KZV12" s="133"/>
      <c r="KZW12" s="133"/>
      <c r="KZX12" s="133"/>
      <c r="KZY12" s="133"/>
      <c r="KZZ12" s="133"/>
      <c r="LAA12" s="133"/>
      <c r="LAB12" s="133"/>
      <c r="LAC12" s="133"/>
      <c r="LAD12" s="133"/>
      <c r="LAE12" s="133"/>
      <c r="LAF12" s="133"/>
      <c r="LAG12" s="133"/>
      <c r="LAH12" s="133"/>
      <c r="LAI12" s="133"/>
      <c r="LAJ12" s="133"/>
      <c r="LAK12" s="133"/>
      <c r="LAL12" s="133"/>
      <c r="LAM12" s="133"/>
      <c r="LAN12" s="133"/>
      <c r="LAO12" s="133"/>
      <c r="LAP12" s="133"/>
      <c r="LAQ12" s="133"/>
      <c r="LAR12" s="133"/>
      <c r="LAS12" s="133"/>
      <c r="LAT12" s="133"/>
      <c r="LAU12" s="133"/>
      <c r="LAV12" s="133"/>
      <c r="LAW12" s="133"/>
      <c r="LAX12" s="133"/>
      <c r="LAY12" s="133"/>
      <c r="LAZ12" s="133"/>
      <c r="LBA12" s="133"/>
      <c r="LBB12" s="133"/>
      <c r="LBC12" s="133"/>
      <c r="LBD12" s="133"/>
      <c r="LBE12" s="133"/>
      <c r="LBF12" s="133"/>
      <c r="LBG12" s="133"/>
      <c r="LBH12" s="133"/>
      <c r="LBI12" s="133"/>
      <c r="LBJ12" s="133"/>
      <c r="LBK12" s="133"/>
      <c r="LBL12" s="133"/>
      <c r="LBM12" s="133"/>
      <c r="LBN12" s="133"/>
      <c r="LBO12" s="133"/>
      <c r="LBP12" s="133"/>
      <c r="LBQ12" s="133"/>
      <c r="LCD12" s="133"/>
      <c r="LCE12" s="133"/>
      <c r="LCF12" s="133"/>
      <c r="LCG12" s="133"/>
      <c r="LCH12" s="133"/>
      <c r="LCI12" s="133"/>
      <c r="LCJ12" s="133"/>
      <c r="LCK12" s="133"/>
      <c r="LCL12" s="133"/>
      <c r="LCM12" s="133"/>
      <c r="LCN12" s="133"/>
      <c r="LCO12" s="133"/>
      <c r="LCP12" s="133"/>
      <c r="LCQ12" s="133"/>
      <c r="LCR12" s="133"/>
      <c r="LCS12" s="133"/>
      <c r="LCT12" s="133"/>
      <c r="LCU12" s="133"/>
      <c r="LCV12" s="133"/>
      <c r="LCW12" s="133"/>
      <c r="LCX12" s="133"/>
      <c r="LCY12" s="133"/>
      <c r="LCZ12" s="133"/>
      <c r="LDA12" s="133"/>
      <c r="LDB12" s="133"/>
      <c r="LDC12" s="133"/>
      <c r="LDD12" s="133"/>
      <c r="LDE12" s="133"/>
      <c r="LDF12" s="133"/>
      <c r="LDG12" s="133"/>
      <c r="LDH12" s="133"/>
      <c r="LDI12" s="133"/>
      <c r="LDJ12" s="133"/>
      <c r="LDK12" s="133"/>
      <c r="LDL12" s="133"/>
      <c r="LDM12" s="133"/>
      <c r="LDN12" s="133"/>
      <c r="LDO12" s="133"/>
      <c r="LDP12" s="133"/>
      <c r="LDQ12" s="133"/>
      <c r="LDR12" s="133"/>
      <c r="LDS12" s="133"/>
      <c r="LDT12" s="133"/>
      <c r="LDU12" s="133"/>
      <c r="LDV12" s="133"/>
      <c r="LDW12" s="133"/>
      <c r="LDX12" s="133"/>
      <c r="LDY12" s="133"/>
      <c r="LDZ12" s="133"/>
      <c r="LEA12" s="133"/>
      <c r="LEB12" s="133"/>
      <c r="LEC12" s="133"/>
      <c r="LED12" s="133"/>
      <c r="LEE12" s="133"/>
      <c r="LEF12" s="133"/>
      <c r="LEG12" s="133"/>
      <c r="LEH12" s="133"/>
      <c r="LEI12" s="133"/>
      <c r="LEJ12" s="133"/>
      <c r="LEK12" s="133"/>
      <c r="LEL12" s="133"/>
      <c r="LEM12" s="133"/>
      <c r="LEN12" s="133"/>
      <c r="LEO12" s="133"/>
      <c r="LEP12" s="133"/>
      <c r="LEQ12" s="133"/>
      <c r="LER12" s="133"/>
      <c r="LES12" s="133"/>
      <c r="LET12" s="133"/>
      <c r="LEU12" s="133"/>
      <c r="LEV12" s="133"/>
      <c r="LEW12" s="133"/>
      <c r="LEX12" s="133"/>
      <c r="LEY12" s="133"/>
      <c r="LEZ12" s="133"/>
      <c r="LFA12" s="133"/>
      <c r="LFB12" s="133"/>
      <c r="LFC12" s="133"/>
      <c r="LFD12" s="133"/>
      <c r="LFE12" s="133"/>
      <c r="LFF12" s="133"/>
      <c r="LFG12" s="133"/>
      <c r="LFH12" s="133"/>
      <c r="LFI12" s="133"/>
      <c r="LFJ12" s="133"/>
      <c r="LFK12" s="133"/>
      <c r="LFL12" s="133"/>
      <c r="LFM12" s="133"/>
      <c r="LFN12" s="133"/>
      <c r="LFO12" s="133"/>
      <c r="LFP12" s="133"/>
      <c r="LFQ12" s="133"/>
      <c r="LFR12" s="133"/>
      <c r="LFS12" s="133"/>
      <c r="LFT12" s="133"/>
      <c r="LFU12" s="133"/>
      <c r="LFV12" s="133"/>
      <c r="LFW12" s="133"/>
      <c r="LFX12" s="133"/>
      <c r="LFY12" s="133"/>
      <c r="LFZ12" s="133"/>
      <c r="LGA12" s="133"/>
      <c r="LGB12" s="133"/>
      <c r="LGC12" s="133"/>
      <c r="LGD12" s="133"/>
      <c r="LGE12" s="133"/>
      <c r="LGF12" s="133"/>
      <c r="LGG12" s="133"/>
      <c r="LGH12" s="133"/>
      <c r="LGI12" s="133"/>
      <c r="LGJ12" s="133"/>
      <c r="LGK12" s="133"/>
      <c r="LGL12" s="133"/>
      <c r="LGM12" s="133"/>
      <c r="LGN12" s="133"/>
      <c r="LGO12" s="133"/>
      <c r="LGP12" s="133"/>
      <c r="LGQ12" s="133"/>
      <c r="LGR12" s="133"/>
      <c r="LGS12" s="133"/>
      <c r="LGT12" s="133"/>
      <c r="LGU12" s="133"/>
      <c r="LGV12" s="133"/>
      <c r="LGW12" s="133"/>
      <c r="LGX12" s="133"/>
      <c r="LGY12" s="133"/>
      <c r="LGZ12" s="133"/>
      <c r="LHA12" s="133"/>
      <c r="LHB12" s="133"/>
      <c r="LHC12" s="133"/>
      <c r="LHD12" s="133"/>
      <c r="LHE12" s="133"/>
      <c r="LHF12" s="133"/>
      <c r="LHG12" s="133"/>
      <c r="LHH12" s="133"/>
      <c r="LHI12" s="133"/>
      <c r="LHJ12" s="133"/>
      <c r="LHK12" s="133"/>
      <c r="LHL12" s="133"/>
      <c r="LHM12" s="133"/>
      <c r="LHN12" s="133"/>
      <c r="LHO12" s="133"/>
      <c r="LHP12" s="133"/>
      <c r="LHQ12" s="133"/>
      <c r="LHR12" s="133"/>
      <c r="LHS12" s="133"/>
      <c r="LHT12" s="133"/>
      <c r="LHU12" s="133"/>
      <c r="LHV12" s="133"/>
      <c r="LHW12" s="133"/>
      <c r="LHX12" s="133"/>
      <c r="LHY12" s="133"/>
      <c r="LHZ12" s="133"/>
      <c r="LIA12" s="133"/>
      <c r="LIB12" s="133"/>
      <c r="LIC12" s="133"/>
      <c r="LID12" s="133"/>
      <c r="LIE12" s="133"/>
      <c r="LIF12" s="133"/>
      <c r="LIG12" s="133"/>
      <c r="LIH12" s="133"/>
      <c r="LII12" s="133"/>
      <c r="LIJ12" s="133"/>
      <c r="LIK12" s="133"/>
      <c r="LIL12" s="133"/>
      <c r="LIM12" s="133"/>
      <c r="LIN12" s="133"/>
      <c r="LIO12" s="133"/>
      <c r="LIP12" s="133"/>
      <c r="LIQ12" s="133"/>
      <c r="LIR12" s="133"/>
      <c r="LIS12" s="133"/>
      <c r="LIT12" s="133"/>
      <c r="LIU12" s="133"/>
      <c r="LIV12" s="133"/>
      <c r="LIW12" s="133"/>
      <c r="LIX12" s="133"/>
      <c r="LIY12" s="133"/>
      <c r="LIZ12" s="133"/>
      <c r="LJA12" s="133"/>
      <c r="LJB12" s="133"/>
      <c r="LJC12" s="133"/>
      <c r="LJD12" s="133"/>
      <c r="LJE12" s="133"/>
      <c r="LJF12" s="133"/>
      <c r="LJG12" s="133"/>
      <c r="LJH12" s="133"/>
      <c r="LJI12" s="133"/>
      <c r="LJJ12" s="133"/>
      <c r="LJK12" s="133"/>
      <c r="LJL12" s="133"/>
      <c r="LJM12" s="133"/>
      <c r="LJN12" s="133"/>
      <c r="LJO12" s="133"/>
      <c r="LJP12" s="133"/>
      <c r="LJQ12" s="133"/>
      <c r="LJR12" s="133"/>
      <c r="LJS12" s="133"/>
      <c r="LJT12" s="133"/>
      <c r="LJU12" s="133"/>
      <c r="LJV12" s="133"/>
      <c r="LJW12" s="133"/>
      <c r="LJX12" s="133"/>
      <c r="LJY12" s="133"/>
      <c r="LJZ12" s="133"/>
      <c r="LKA12" s="133"/>
      <c r="LKB12" s="133"/>
      <c r="LKC12" s="133"/>
      <c r="LKD12" s="133"/>
      <c r="LKE12" s="133"/>
      <c r="LKF12" s="133"/>
      <c r="LKG12" s="133"/>
      <c r="LKH12" s="133"/>
      <c r="LKI12" s="133"/>
      <c r="LKJ12" s="133"/>
      <c r="LKK12" s="133"/>
      <c r="LKL12" s="133"/>
      <c r="LKM12" s="133"/>
      <c r="LKN12" s="133"/>
      <c r="LKO12" s="133"/>
      <c r="LKP12" s="133"/>
      <c r="LKQ12" s="133"/>
      <c r="LKR12" s="133"/>
      <c r="LKS12" s="133"/>
      <c r="LKT12" s="133"/>
      <c r="LKU12" s="133"/>
      <c r="LKV12" s="133"/>
      <c r="LKW12" s="133"/>
      <c r="LKX12" s="133"/>
      <c r="LKY12" s="133"/>
      <c r="LKZ12" s="133"/>
      <c r="LLA12" s="133"/>
      <c r="LLB12" s="133"/>
      <c r="LLC12" s="133"/>
      <c r="LLD12" s="133"/>
      <c r="LLE12" s="133"/>
      <c r="LLF12" s="133"/>
      <c r="LLG12" s="133"/>
      <c r="LLH12" s="133"/>
      <c r="LLI12" s="133"/>
      <c r="LLJ12" s="133"/>
      <c r="LLK12" s="133"/>
      <c r="LLL12" s="133"/>
      <c r="LLM12" s="133"/>
      <c r="LLN12" s="133"/>
      <c r="LLO12" s="133"/>
      <c r="LLP12" s="133"/>
      <c r="LLQ12" s="133"/>
      <c r="LLR12" s="133"/>
      <c r="LLS12" s="133"/>
      <c r="LLT12" s="133"/>
      <c r="LLU12" s="133"/>
      <c r="LLV12" s="133"/>
      <c r="LLW12" s="133"/>
      <c r="LLX12" s="133"/>
      <c r="LLY12" s="133"/>
      <c r="LLZ12" s="133"/>
      <c r="LMA12" s="133"/>
      <c r="LMB12" s="133"/>
      <c r="LMC12" s="133"/>
      <c r="LMD12" s="133"/>
      <c r="LME12" s="133"/>
      <c r="LMF12" s="133"/>
      <c r="LMG12" s="133"/>
      <c r="LMH12" s="133"/>
      <c r="LMI12" s="133"/>
      <c r="LMJ12" s="133"/>
      <c r="LMK12" s="133"/>
      <c r="LML12" s="133"/>
      <c r="LMM12" s="133"/>
      <c r="LMN12" s="133"/>
      <c r="LMO12" s="133"/>
      <c r="LMP12" s="133"/>
      <c r="LMQ12" s="133"/>
      <c r="LMR12" s="133"/>
      <c r="LMS12" s="133"/>
      <c r="LMT12" s="133"/>
      <c r="LMU12" s="133"/>
      <c r="LMV12" s="133"/>
      <c r="LMW12" s="133"/>
      <c r="LMX12" s="133"/>
      <c r="LMY12" s="133"/>
      <c r="LMZ12" s="133"/>
      <c r="LNA12" s="133"/>
      <c r="LNB12" s="133"/>
      <c r="LNC12" s="133"/>
      <c r="LND12" s="133"/>
      <c r="LNE12" s="133"/>
      <c r="LNF12" s="133"/>
      <c r="LNG12" s="133"/>
      <c r="LNH12" s="133"/>
      <c r="LNI12" s="133"/>
      <c r="LNJ12" s="133"/>
      <c r="LNK12" s="133"/>
      <c r="LNL12" s="133"/>
      <c r="LNM12" s="133"/>
      <c r="LNN12" s="133"/>
      <c r="LNO12" s="133"/>
      <c r="LNP12" s="133"/>
      <c r="LNQ12" s="133"/>
      <c r="LNR12" s="133"/>
      <c r="LNS12" s="133"/>
      <c r="LNT12" s="133"/>
      <c r="LNU12" s="133"/>
      <c r="LNV12" s="133"/>
      <c r="LNW12" s="133"/>
      <c r="LNX12" s="133"/>
      <c r="LNY12" s="133"/>
      <c r="LNZ12" s="133"/>
      <c r="LOA12" s="133"/>
      <c r="LOB12" s="133"/>
      <c r="LOC12" s="133"/>
      <c r="LOD12" s="133"/>
      <c r="LOE12" s="133"/>
      <c r="LOF12" s="133"/>
      <c r="LOG12" s="133"/>
      <c r="LOH12" s="133"/>
      <c r="LOI12" s="133"/>
      <c r="LOJ12" s="133"/>
      <c r="LOK12" s="133"/>
      <c r="LOL12" s="133"/>
      <c r="LOM12" s="133"/>
      <c r="LON12" s="133"/>
      <c r="LOO12" s="133"/>
      <c r="LOP12" s="133"/>
      <c r="LOQ12" s="133"/>
      <c r="LOR12" s="133"/>
      <c r="LOS12" s="133"/>
      <c r="LOT12" s="133"/>
      <c r="LOU12" s="133"/>
      <c r="LOV12" s="133"/>
      <c r="LOW12" s="133"/>
      <c r="LOX12" s="133"/>
      <c r="LOY12" s="133"/>
      <c r="LOZ12" s="133"/>
      <c r="LPA12" s="133"/>
      <c r="LPB12" s="133"/>
      <c r="LPC12" s="133"/>
      <c r="LPD12" s="133"/>
      <c r="LPE12" s="133"/>
      <c r="LPF12" s="133"/>
      <c r="LPG12" s="133"/>
      <c r="LPH12" s="133"/>
      <c r="LPI12" s="133"/>
      <c r="LPJ12" s="133"/>
      <c r="LPK12" s="133"/>
      <c r="LPL12" s="133"/>
      <c r="LPM12" s="133"/>
      <c r="LPN12" s="133"/>
      <c r="LPO12" s="133"/>
      <c r="LPP12" s="133"/>
      <c r="LPQ12" s="133"/>
      <c r="LPR12" s="133"/>
      <c r="LPS12" s="133"/>
      <c r="LPT12" s="133"/>
      <c r="LPU12" s="133"/>
      <c r="LPV12" s="133"/>
      <c r="LPW12" s="133"/>
      <c r="LPX12" s="133"/>
      <c r="LPY12" s="133"/>
      <c r="LPZ12" s="133"/>
      <c r="LQA12" s="133"/>
      <c r="LQB12" s="133"/>
      <c r="LQC12" s="133"/>
      <c r="LQD12" s="133"/>
      <c r="LQE12" s="133"/>
      <c r="LQF12" s="133"/>
      <c r="LQG12" s="133"/>
      <c r="LQH12" s="133"/>
      <c r="LQI12" s="133"/>
      <c r="LQJ12" s="133"/>
      <c r="LQK12" s="133"/>
      <c r="LQL12" s="133"/>
      <c r="LQM12" s="133"/>
      <c r="LQN12" s="133"/>
      <c r="LQO12" s="133"/>
      <c r="LQP12" s="133"/>
      <c r="LQQ12" s="133"/>
      <c r="LQR12" s="133"/>
      <c r="LQS12" s="133"/>
      <c r="LQT12" s="133"/>
      <c r="LQU12" s="133"/>
      <c r="LQV12" s="133"/>
      <c r="LQW12" s="133"/>
      <c r="LQX12" s="133"/>
      <c r="LQY12" s="133"/>
      <c r="LQZ12" s="133"/>
      <c r="LRA12" s="133"/>
      <c r="LRB12" s="133"/>
      <c r="LRC12" s="133"/>
      <c r="LRD12" s="133"/>
      <c r="LRE12" s="133"/>
      <c r="LRF12" s="133"/>
      <c r="LRG12" s="133"/>
      <c r="LRH12" s="133"/>
      <c r="LRI12" s="133"/>
      <c r="LRJ12" s="133"/>
      <c r="LRK12" s="133"/>
      <c r="LRL12" s="133"/>
      <c r="LRM12" s="133"/>
      <c r="LRN12" s="133"/>
      <c r="LRO12" s="133"/>
      <c r="LRP12" s="133"/>
      <c r="LRQ12" s="133"/>
      <c r="LRR12" s="133"/>
      <c r="LRS12" s="133"/>
      <c r="LRT12" s="133"/>
      <c r="LRU12" s="133"/>
      <c r="LRV12" s="133"/>
      <c r="LRW12" s="133"/>
      <c r="LRX12" s="133"/>
      <c r="LRY12" s="133"/>
      <c r="LRZ12" s="133"/>
      <c r="LSA12" s="133"/>
      <c r="LSB12" s="133"/>
      <c r="LSC12" s="133"/>
      <c r="LSD12" s="133"/>
      <c r="LSE12" s="133"/>
      <c r="LSF12" s="133"/>
      <c r="LSG12" s="133"/>
      <c r="LSH12" s="133"/>
      <c r="LSI12" s="133"/>
      <c r="LSJ12" s="133"/>
      <c r="LSK12" s="133"/>
      <c r="LSL12" s="133"/>
      <c r="LSM12" s="133"/>
      <c r="LSN12" s="133"/>
      <c r="LSO12" s="133"/>
      <c r="LSP12" s="133"/>
      <c r="LSQ12" s="133"/>
      <c r="LSR12" s="133"/>
      <c r="LSS12" s="133"/>
      <c r="LST12" s="133"/>
      <c r="LSU12" s="133"/>
      <c r="LSV12" s="133"/>
      <c r="LSW12" s="133"/>
      <c r="LSX12" s="133"/>
      <c r="LSY12" s="133"/>
      <c r="LSZ12" s="133"/>
      <c r="LTA12" s="133"/>
      <c r="LTB12" s="133"/>
      <c r="LTC12" s="133"/>
      <c r="LTD12" s="133"/>
      <c r="LTE12" s="133"/>
      <c r="LTF12" s="133"/>
      <c r="LTG12" s="133"/>
      <c r="LTH12" s="133"/>
      <c r="LTI12" s="133"/>
      <c r="LTJ12" s="133"/>
      <c r="LTK12" s="133"/>
      <c r="LTL12" s="133"/>
      <c r="LTM12" s="133"/>
      <c r="LTN12" s="133"/>
      <c r="LTO12" s="133"/>
      <c r="LTP12" s="133"/>
      <c r="LTQ12" s="133"/>
      <c r="LTR12" s="133"/>
      <c r="LTS12" s="133"/>
      <c r="LTT12" s="133"/>
      <c r="LTU12" s="133"/>
      <c r="LTV12" s="133"/>
      <c r="LTW12" s="133"/>
      <c r="LTX12" s="133"/>
      <c r="LTY12" s="133"/>
      <c r="LTZ12" s="133"/>
      <c r="LUA12" s="133"/>
      <c r="LUB12" s="133"/>
      <c r="LUC12" s="133"/>
      <c r="LUD12" s="133"/>
      <c r="LUE12" s="133"/>
      <c r="LUF12" s="133"/>
      <c r="LUG12" s="133"/>
      <c r="LUH12" s="133"/>
      <c r="LUI12" s="133"/>
      <c r="LUJ12" s="133"/>
      <c r="LUK12" s="133"/>
      <c r="LUL12" s="133"/>
      <c r="LUM12" s="133"/>
      <c r="LUN12" s="133"/>
      <c r="LUO12" s="133"/>
      <c r="LUP12" s="133"/>
      <c r="LUQ12" s="133"/>
      <c r="LUR12" s="133"/>
      <c r="LUS12" s="133"/>
      <c r="LUT12" s="133"/>
      <c r="LUU12" s="133"/>
      <c r="LUV12" s="133"/>
      <c r="LUW12" s="133"/>
      <c r="LUX12" s="133"/>
      <c r="LUY12" s="133"/>
      <c r="LUZ12" s="133"/>
      <c r="LVA12" s="133"/>
      <c r="LVB12" s="133"/>
      <c r="LVC12" s="133"/>
      <c r="LVD12" s="133"/>
      <c r="LVE12" s="133"/>
      <c r="LVF12" s="133"/>
      <c r="LVG12" s="133"/>
      <c r="LVH12" s="133"/>
      <c r="LVI12" s="133"/>
      <c r="LVJ12" s="133"/>
      <c r="LVK12" s="133"/>
      <c r="LVL12" s="133"/>
      <c r="LVM12" s="133"/>
      <c r="LVN12" s="133"/>
      <c r="LVO12" s="133"/>
      <c r="LVP12" s="133"/>
      <c r="LVQ12" s="133"/>
      <c r="LVR12" s="133"/>
      <c r="LVS12" s="133"/>
      <c r="LVT12" s="133"/>
      <c r="LVU12" s="133"/>
      <c r="LVV12" s="133"/>
      <c r="LVW12" s="133"/>
      <c r="LVX12" s="133"/>
      <c r="LVY12" s="133"/>
      <c r="LVZ12" s="133"/>
      <c r="LWA12" s="133"/>
      <c r="LWB12" s="133"/>
      <c r="LWC12" s="133"/>
      <c r="LWD12" s="133"/>
      <c r="LWE12" s="133"/>
      <c r="LWF12" s="133"/>
      <c r="LWG12" s="133"/>
      <c r="LWH12" s="133"/>
      <c r="LWI12" s="133"/>
      <c r="LWJ12" s="133"/>
      <c r="LWK12" s="133"/>
      <c r="LWL12" s="133"/>
      <c r="LWM12" s="133"/>
      <c r="LWN12" s="133"/>
      <c r="LWO12" s="133"/>
      <c r="LWP12" s="133"/>
      <c r="LWQ12" s="133"/>
      <c r="LWR12" s="133"/>
      <c r="LWS12" s="133"/>
      <c r="LWT12" s="133"/>
      <c r="LWU12" s="133"/>
      <c r="LWV12" s="133"/>
      <c r="LWW12" s="133"/>
      <c r="LWX12" s="133"/>
      <c r="LWY12" s="133"/>
      <c r="LWZ12" s="133"/>
      <c r="LXA12" s="133"/>
      <c r="LXB12" s="133"/>
      <c r="LXC12" s="133"/>
      <c r="LXD12" s="133"/>
      <c r="LXE12" s="133"/>
      <c r="LXF12" s="133"/>
      <c r="LXG12" s="133"/>
      <c r="LXH12" s="133"/>
      <c r="LXI12" s="133"/>
      <c r="LXJ12" s="133"/>
      <c r="LXK12" s="133"/>
      <c r="LXL12" s="133"/>
      <c r="LXM12" s="133"/>
      <c r="LXN12" s="133"/>
      <c r="LXO12" s="133"/>
      <c r="LXP12" s="133"/>
      <c r="LXQ12" s="133"/>
      <c r="LXR12" s="133"/>
      <c r="LXS12" s="133"/>
      <c r="LXT12" s="133"/>
      <c r="LXU12" s="133"/>
      <c r="LXV12" s="133"/>
      <c r="LXW12" s="133"/>
      <c r="LXX12" s="133"/>
      <c r="LXY12" s="133"/>
      <c r="LXZ12" s="133"/>
      <c r="LYA12" s="133"/>
      <c r="LYB12" s="133"/>
      <c r="LYC12" s="133"/>
      <c r="LYD12" s="133"/>
      <c r="LYE12" s="133"/>
      <c r="LYF12" s="133"/>
      <c r="LYG12" s="133"/>
      <c r="LYH12" s="133"/>
      <c r="LYI12" s="133"/>
      <c r="LYJ12" s="133"/>
      <c r="LYK12" s="133"/>
      <c r="LYL12" s="133"/>
      <c r="LYM12" s="133"/>
      <c r="LYN12" s="133"/>
      <c r="LYO12" s="133"/>
      <c r="LYP12" s="133"/>
      <c r="LYQ12" s="133"/>
      <c r="LYR12" s="133"/>
      <c r="LYS12" s="133"/>
      <c r="LYT12" s="133"/>
      <c r="LYU12" s="133"/>
      <c r="LYV12" s="133"/>
      <c r="LYW12" s="133"/>
      <c r="LYX12" s="133"/>
      <c r="LYY12" s="133"/>
      <c r="LYZ12" s="133"/>
      <c r="LZA12" s="133"/>
      <c r="LZB12" s="133"/>
      <c r="LZC12" s="133"/>
      <c r="LZD12" s="133"/>
      <c r="LZE12" s="133"/>
      <c r="LZF12" s="133"/>
      <c r="LZG12" s="133"/>
      <c r="LZH12" s="133"/>
      <c r="LZI12" s="133"/>
      <c r="LZJ12" s="133"/>
      <c r="LZK12" s="133"/>
      <c r="LZL12" s="133"/>
      <c r="LZM12" s="133"/>
      <c r="LZN12" s="133"/>
      <c r="LZO12" s="133"/>
      <c r="LZP12" s="133"/>
      <c r="LZQ12" s="133"/>
      <c r="LZR12" s="133"/>
      <c r="LZS12" s="133"/>
      <c r="LZT12" s="133"/>
      <c r="LZU12" s="133"/>
      <c r="LZV12" s="133"/>
      <c r="LZW12" s="133"/>
      <c r="LZX12" s="133"/>
      <c r="LZY12" s="133"/>
      <c r="LZZ12" s="133"/>
      <c r="MAA12" s="133"/>
      <c r="MAB12" s="133"/>
      <c r="MAC12" s="133"/>
      <c r="MAD12" s="133"/>
      <c r="MAE12" s="133"/>
      <c r="MAF12" s="133"/>
      <c r="MAG12" s="133"/>
      <c r="MAH12" s="133"/>
      <c r="MAI12" s="133"/>
      <c r="MAJ12" s="133"/>
      <c r="MAK12" s="133"/>
      <c r="MAL12" s="133"/>
      <c r="MAM12" s="133"/>
      <c r="MAN12" s="133"/>
      <c r="MAO12" s="133"/>
      <c r="MAP12" s="133"/>
      <c r="MAQ12" s="133"/>
      <c r="MAR12" s="133"/>
      <c r="MAS12" s="133"/>
      <c r="MAT12" s="133"/>
      <c r="MAU12" s="133"/>
      <c r="MAV12" s="133"/>
      <c r="MAW12" s="133"/>
      <c r="MAX12" s="133"/>
      <c r="MAY12" s="133"/>
      <c r="MAZ12" s="133"/>
      <c r="MBA12" s="133"/>
      <c r="MBB12" s="133"/>
      <c r="MBC12" s="133"/>
      <c r="MBD12" s="133"/>
      <c r="MBE12" s="133"/>
      <c r="MBF12" s="133"/>
      <c r="MBG12" s="133"/>
      <c r="MBH12" s="133"/>
      <c r="MBI12" s="133"/>
      <c r="MBJ12" s="133"/>
      <c r="MBK12" s="133"/>
      <c r="MBL12" s="133"/>
      <c r="MBM12" s="133"/>
      <c r="MBN12" s="133"/>
      <c r="MBO12" s="133"/>
      <c r="MBP12" s="133"/>
      <c r="MBQ12" s="133"/>
      <c r="MBR12" s="133"/>
      <c r="MBS12" s="133"/>
      <c r="MBT12" s="133"/>
      <c r="MBU12" s="133"/>
      <c r="MBV12" s="133"/>
      <c r="MBW12" s="133"/>
      <c r="MBX12" s="133"/>
      <c r="MBY12" s="133"/>
      <c r="MBZ12" s="133"/>
      <c r="MCA12" s="133"/>
      <c r="MCB12" s="133"/>
      <c r="MCC12" s="133"/>
      <c r="MCD12" s="133"/>
      <c r="MCE12" s="133"/>
      <c r="MCF12" s="133"/>
      <c r="MCG12" s="133"/>
      <c r="MCH12" s="133"/>
      <c r="MCI12" s="133"/>
      <c r="MCJ12" s="133"/>
      <c r="MCK12" s="133"/>
      <c r="MCL12" s="133"/>
      <c r="MCM12" s="133"/>
      <c r="MCN12" s="133"/>
      <c r="MCO12" s="133"/>
      <c r="MCP12" s="133"/>
      <c r="MCQ12" s="133"/>
      <c r="MCR12" s="133"/>
      <c r="MCS12" s="133"/>
      <c r="MCT12" s="133"/>
      <c r="MCU12" s="133"/>
      <c r="MCV12" s="133"/>
      <c r="MCW12" s="133"/>
      <c r="MCX12" s="133"/>
      <c r="MCY12" s="133"/>
      <c r="MCZ12" s="133"/>
      <c r="MDA12" s="133"/>
      <c r="MDB12" s="133"/>
      <c r="MDC12" s="133"/>
      <c r="MDD12" s="133"/>
      <c r="MDE12" s="133"/>
      <c r="MDF12" s="133"/>
      <c r="MDG12" s="133"/>
      <c r="MDH12" s="133"/>
      <c r="MDI12" s="133"/>
      <c r="MDJ12" s="133"/>
      <c r="MDK12" s="133"/>
      <c r="MDL12" s="133"/>
      <c r="MDM12" s="133"/>
      <c r="MDN12" s="133"/>
      <c r="MDO12" s="133"/>
      <c r="MDP12" s="133"/>
      <c r="MDQ12" s="133"/>
      <c r="MDR12" s="133"/>
      <c r="MDS12" s="133"/>
      <c r="MDT12" s="133"/>
      <c r="MDU12" s="133"/>
      <c r="MDV12" s="133"/>
      <c r="MDW12" s="133"/>
      <c r="MDX12" s="133"/>
      <c r="MDY12" s="133"/>
      <c r="MDZ12" s="133"/>
      <c r="MEA12" s="133"/>
      <c r="MEB12" s="133"/>
      <c r="MEC12" s="133"/>
      <c r="MED12" s="133"/>
      <c r="MEE12" s="133"/>
      <c r="MEF12" s="133"/>
      <c r="MEG12" s="133"/>
      <c r="MEH12" s="133"/>
      <c r="MEI12" s="133"/>
      <c r="MEJ12" s="133"/>
      <c r="MEK12" s="133"/>
      <c r="MEL12" s="133"/>
      <c r="MEM12" s="133"/>
      <c r="MEN12" s="133"/>
      <c r="MEO12" s="133"/>
      <c r="MEP12" s="133"/>
      <c r="MEQ12" s="133"/>
      <c r="MER12" s="133"/>
      <c r="MES12" s="133"/>
      <c r="MET12" s="133"/>
      <c r="MEU12" s="133"/>
      <c r="MEV12" s="133"/>
      <c r="MEW12" s="133"/>
      <c r="MEX12" s="133"/>
      <c r="MEY12" s="133"/>
      <c r="MEZ12" s="133"/>
      <c r="MFA12" s="133"/>
      <c r="MFB12" s="133"/>
      <c r="MFC12" s="133"/>
      <c r="MFD12" s="133"/>
      <c r="MFE12" s="133"/>
      <c r="MFF12" s="133"/>
      <c r="MFG12" s="133"/>
      <c r="MFH12" s="133"/>
      <c r="MFI12" s="133"/>
      <c r="MFJ12" s="133"/>
      <c r="MFK12" s="133"/>
      <c r="MFL12" s="133"/>
      <c r="MFM12" s="133"/>
      <c r="MFN12" s="133"/>
      <c r="MFO12" s="133"/>
      <c r="MFP12" s="133"/>
      <c r="MFQ12" s="133"/>
      <c r="MFR12" s="133"/>
      <c r="MFS12" s="133"/>
      <c r="MFT12" s="133"/>
      <c r="MFU12" s="133"/>
      <c r="MFV12" s="133"/>
      <c r="MFW12" s="133"/>
      <c r="MFX12" s="133"/>
      <c r="MFY12" s="133"/>
      <c r="MFZ12" s="133"/>
      <c r="MGA12" s="133"/>
      <c r="MGB12" s="133"/>
      <c r="MGC12" s="133"/>
      <c r="MGD12" s="133"/>
      <c r="MGE12" s="133"/>
      <c r="MGF12" s="133"/>
      <c r="MGG12" s="133"/>
      <c r="MGH12" s="133"/>
      <c r="MGI12" s="133"/>
      <c r="MGJ12" s="133"/>
      <c r="MGK12" s="133"/>
      <c r="MGL12" s="133"/>
      <c r="MGM12" s="133"/>
      <c r="MGN12" s="133"/>
      <c r="MGO12" s="133"/>
      <c r="MGP12" s="133"/>
      <c r="MGQ12" s="133"/>
      <c r="MGR12" s="133"/>
      <c r="MGS12" s="133"/>
      <c r="MGT12" s="133"/>
      <c r="MGU12" s="133"/>
      <c r="MGV12" s="133"/>
      <c r="MGW12" s="133"/>
      <c r="MGX12" s="133"/>
      <c r="MGY12" s="133"/>
      <c r="MGZ12" s="133"/>
      <c r="MHA12" s="133"/>
      <c r="MHB12" s="133"/>
      <c r="MHC12" s="133"/>
      <c r="MHD12" s="133"/>
      <c r="MHE12" s="133"/>
      <c r="MHF12" s="133"/>
      <c r="MHG12" s="133"/>
      <c r="MHH12" s="133"/>
      <c r="MHI12" s="133"/>
      <c r="MHJ12" s="133"/>
      <c r="MHK12" s="133"/>
      <c r="MHL12" s="133"/>
      <c r="MHM12" s="133"/>
      <c r="MHN12" s="133"/>
      <c r="MHO12" s="133"/>
      <c r="MHP12" s="133"/>
      <c r="MHQ12" s="133"/>
      <c r="MHR12" s="133"/>
      <c r="MHS12" s="133"/>
      <c r="MHT12" s="133"/>
      <c r="MHU12" s="133"/>
      <c r="MHV12" s="133"/>
      <c r="MHW12" s="133"/>
      <c r="MHX12" s="133"/>
      <c r="MHY12" s="133"/>
      <c r="MHZ12" s="133"/>
      <c r="MIA12" s="133"/>
      <c r="MIB12" s="133"/>
      <c r="MIC12" s="133"/>
      <c r="MID12" s="133"/>
      <c r="MIE12" s="133"/>
      <c r="MIF12" s="133"/>
      <c r="MIG12" s="133"/>
      <c r="MIH12" s="133"/>
      <c r="MII12" s="133"/>
      <c r="MIJ12" s="133"/>
      <c r="MIK12" s="133"/>
      <c r="MIL12" s="133"/>
      <c r="MIM12" s="133"/>
      <c r="MIN12" s="133"/>
      <c r="MIO12" s="133"/>
      <c r="MIP12" s="133"/>
      <c r="MIQ12" s="133"/>
      <c r="MIR12" s="133"/>
      <c r="MIS12" s="133"/>
      <c r="MIT12" s="133"/>
      <c r="MIU12" s="133"/>
      <c r="MIV12" s="133"/>
      <c r="MIW12" s="133"/>
      <c r="MIX12" s="133"/>
      <c r="MIY12" s="133"/>
      <c r="MIZ12" s="133"/>
      <c r="MJA12" s="133"/>
      <c r="MJB12" s="133"/>
      <c r="MJC12" s="133"/>
      <c r="MJD12" s="133"/>
      <c r="MJE12" s="133"/>
      <c r="MJF12" s="133"/>
      <c r="MJG12" s="133"/>
      <c r="MJH12" s="133"/>
      <c r="MJI12" s="133"/>
      <c r="MJJ12" s="133"/>
      <c r="MJK12" s="133"/>
      <c r="MJL12" s="133"/>
      <c r="MJM12" s="133"/>
      <c r="MJN12" s="133"/>
      <c r="MJO12" s="133"/>
      <c r="MJP12" s="133"/>
      <c r="MJQ12" s="133"/>
      <c r="MJR12" s="133"/>
      <c r="MJS12" s="133"/>
      <c r="MJT12" s="133"/>
      <c r="MJU12" s="133"/>
      <c r="MJV12" s="133"/>
      <c r="MJW12" s="133"/>
      <c r="MJX12" s="133"/>
      <c r="MJY12" s="133"/>
      <c r="MJZ12" s="133"/>
      <c r="MKA12" s="133"/>
      <c r="MKB12" s="133"/>
      <c r="MKC12" s="133"/>
      <c r="MKD12" s="133"/>
      <c r="MKE12" s="133"/>
      <c r="MKF12" s="133"/>
      <c r="MKG12" s="133"/>
      <c r="MKH12" s="133"/>
      <c r="MKI12" s="133"/>
      <c r="MKJ12" s="133"/>
      <c r="MKK12" s="133"/>
      <c r="MKL12" s="133"/>
      <c r="MKM12" s="133"/>
      <c r="MKN12" s="133"/>
      <c r="MKO12" s="133"/>
      <c r="MKP12" s="133"/>
      <c r="MKQ12" s="133"/>
      <c r="MKR12" s="133"/>
      <c r="MKS12" s="133"/>
      <c r="MKT12" s="133"/>
      <c r="MKU12" s="133"/>
      <c r="MKV12" s="133"/>
      <c r="MKW12" s="133"/>
      <c r="MKX12" s="133"/>
      <c r="MKY12" s="133"/>
      <c r="MKZ12" s="133"/>
      <c r="MLA12" s="133"/>
      <c r="MLB12" s="133"/>
      <c r="MLC12" s="133"/>
      <c r="MLD12" s="133"/>
      <c r="MLE12" s="133"/>
      <c r="MLF12" s="133"/>
      <c r="MLG12" s="133"/>
      <c r="MLH12" s="133"/>
      <c r="MLI12" s="133"/>
      <c r="MLJ12" s="133"/>
      <c r="MLK12" s="133"/>
      <c r="MLL12" s="133"/>
      <c r="MLM12" s="133"/>
      <c r="MLN12" s="133"/>
      <c r="MLO12" s="133"/>
      <c r="MLP12" s="133"/>
      <c r="MLQ12" s="133"/>
      <c r="MLR12" s="133"/>
      <c r="MLS12" s="133"/>
      <c r="MLT12" s="133"/>
      <c r="MLU12" s="133"/>
      <c r="MLV12" s="133"/>
      <c r="MLW12" s="133"/>
      <c r="MLX12" s="133"/>
      <c r="MLY12" s="133"/>
      <c r="MLZ12" s="133"/>
      <c r="MMA12" s="133"/>
      <c r="MMB12" s="133"/>
      <c r="MMC12" s="133"/>
      <c r="MMD12" s="133"/>
      <c r="MME12" s="133"/>
      <c r="MMF12" s="133"/>
      <c r="MMG12" s="133"/>
      <c r="MMH12" s="133"/>
      <c r="MMI12" s="133"/>
      <c r="MMJ12" s="133"/>
      <c r="MMK12" s="133"/>
      <c r="MML12" s="133"/>
      <c r="MMM12" s="133"/>
      <c r="MMN12" s="133"/>
      <c r="MMO12" s="133"/>
      <c r="MMP12" s="133"/>
      <c r="MMQ12" s="133"/>
      <c r="MMR12" s="133"/>
      <c r="MMS12" s="133"/>
      <c r="MMT12" s="133"/>
      <c r="MMU12" s="133"/>
      <c r="MMV12" s="133"/>
      <c r="MMW12" s="133"/>
      <c r="MMX12" s="133"/>
      <c r="MMY12" s="133"/>
      <c r="MMZ12" s="133"/>
      <c r="MNA12" s="133"/>
      <c r="MNB12" s="133"/>
      <c r="MNC12" s="133"/>
      <c r="MND12" s="133"/>
      <c r="MNE12" s="133"/>
      <c r="MNF12" s="133"/>
      <c r="MNG12" s="133"/>
      <c r="MNH12" s="133"/>
      <c r="MNI12" s="133"/>
      <c r="MNJ12" s="133"/>
      <c r="MNK12" s="133"/>
      <c r="MNL12" s="133"/>
      <c r="MNM12" s="133"/>
      <c r="MNN12" s="133"/>
      <c r="MNO12" s="133"/>
      <c r="MNP12" s="133"/>
      <c r="MNQ12" s="133"/>
      <c r="MNR12" s="133"/>
      <c r="MNS12" s="133"/>
      <c r="MNT12" s="133"/>
      <c r="MNU12" s="133"/>
      <c r="MNV12" s="133"/>
      <c r="MNW12" s="133"/>
      <c r="MNX12" s="133"/>
      <c r="MNY12" s="133"/>
      <c r="MNZ12" s="133"/>
      <c r="MOA12" s="133"/>
      <c r="MOB12" s="133"/>
      <c r="MOC12" s="133"/>
      <c r="MOD12" s="133"/>
      <c r="MOE12" s="133"/>
      <c r="MOF12" s="133"/>
      <c r="MOG12" s="133"/>
      <c r="MOH12" s="133"/>
      <c r="MOI12" s="133"/>
      <c r="MOJ12" s="133"/>
      <c r="MOK12" s="133"/>
      <c r="MOL12" s="133"/>
      <c r="MOM12" s="133"/>
      <c r="MON12" s="133"/>
      <c r="MOO12" s="133"/>
      <c r="MOP12" s="133"/>
      <c r="MOQ12" s="133"/>
      <c r="MOR12" s="133"/>
      <c r="MOS12" s="133"/>
      <c r="MOT12" s="133"/>
      <c r="MOU12" s="133"/>
      <c r="MOV12" s="133"/>
      <c r="MOW12" s="133"/>
      <c r="MOX12" s="133"/>
      <c r="MOY12" s="133"/>
      <c r="MOZ12" s="133"/>
      <c r="MPA12" s="133"/>
      <c r="MPN12" s="133"/>
      <c r="MPO12" s="133"/>
      <c r="MPP12" s="133"/>
      <c r="MPQ12" s="133"/>
      <c r="MPR12" s="133"/>
      <c r="MPS12" s="133"/>
      <c r="MPT12" s="133"/>
      <c r="MPU12" s="133"/>
      <c r="MPV12" s="133"/>
      <c r="MPW12" s="133"/>
      <c r="MPX12" s="133"/>
      <c r="MPY12" s="133"/>
      <c r="MPZ12" s="133"/>
      <c r="MQA12" s="133"/>
      <c r="MQB12" s="133"/>
      <c r="MQC12" s="133"/>
      <c r="MQD12" s="133"/>
      <c r="MQE12" s="133"/>
      <c r="MQF12" s="133"/>
      <c r="MQG12" s="133"/>
      <c r="MQH12" s="133"/>
      <c r="MQI12" s="133"/>
      <c r="MQJ12" s="133"/>
      <c r="MQK12" s="133"/>
      <c r="MQL12" s="133"/>
      <c r="MQM12" s="133"/>
      <c r="MQN12" s="133"/>
      <c r="MQO12" s="133"/>
      <c r="MQP12" s="133"/>
      <c r="MQQ12" s="133"/>
      <c r="MQR12" s="133"/>
      <c r="MQS12" s="133"/>
      <c r="MQT12" s="133"/>
      <c r="MQU12" s="133"/>
      <c r="MQV12" s="133"/>
      <c r="MQW12" s="133"/>
      <c r="MQX12" s="133"/>
      <c r="MQY12" s="133"/>
      <c r="MQZ12" s="133"/>
      <c r="MRA12" s="133"/>
      <c r="MRB12" s="133"/>
      <c r="MRC12" s="133"/>
      <c r="MRD12" s="133"/>
      <c r="MRE12" s="133"/>
      <c r="MRF12" s="133"/>
      <c r="MRG12" s="133"/>
      <c r="MRH12" s="133"/>
      <c r="MRI12" s="133"/>
      <c r="MRJ12" s="133"/>
      <c r="MRK12" s="133"/>
      <c r="MRL12" s="133"/>
      <c r="MRM12" s="133"/>
      <c r="MRN12" s="133"/>
      <c r="MRO12" s="133"/>
      <c r="MRP12" s="133"/>
      <c r="MRQ12" s="133"/>
      <c r="MRR12" s="133"/>
      <c r="MRS12" s="133"/>
      <c r="MRT12" s="133"/>
      <c r="MRU12" s="133"/>
      <c r="MRV12" s="133"/>
      <c r="MRW12" s="133"/>
      <c r="MRX12" s="133"/>
      <c r="MRY12" s="133"/>
      <c r="MRZ12" s="133"/>
      <c r="MSA12" s="133"/>
      <c r="MSB12" s="133"/>
      <c r="MSC12" s="133"/>
      <c r="MSD12" s="133"/>
      <c r="MSE12" s="133"/>
      <c r="MSF12" s="133"/>
      <c r="MSG12" s="133"/>
      <c r="MSH12" s="133"/>
      <c r="MSI12" s="133"/>
      <c r="MSJ12" s="133"/>
      <c r="MSK12" s="133"/>
      <c r="MSL12" s="133"/>
      <c r="MSM12" s="133"/>
      <c r="MSN12" s="133"/>
      <c r="MSO12" s="133"/>
      <c r="MSP12" s="133"/>
      <c r="MSQ12" s="133"/>
      <c r="MSR12" s="133"/>
      <c r="MSS12" s="133"/>
      <c r="MST12" s="133"/>
      <c r="MSU12" s="133"/>
      <c r="MSV12" s="133"/>
      <c r="MSW12" s="133"/>
      <c r="MSX12" s="133"/>
      <c r="MSY12" s="133"/>
      <c r="MSZ12" s="133"/>
      <c r="MTA12" s="133"/>
      <c r="MTB12" s="133"/>
      <c r="MTC12" s="133"/>
      <c r="MTD12" s="133"/>
      <c r="MTE12" s="133"/>
      <c r="MTF12" s="133"/>
      <c r="MTG12" s="133"/>
      <c r="MTH12" s="133"/>
      <c r="MTI12" s="133"/>
      <c r="MTJ12" s="133"/>
      <c r="MTK12" s="133"/>
      <c r="MTL12" s="133"/>
      <c r="MTM12" s="133"/>
      <c r="MTN12" s="133"/>
      <c r="MTO12" s="133"/>
      <c r="MTP12" s="133"/>
      <c r="MTQ12" s="133"/>
      <c r="MTR12" s="133"/>
      <c r="MTS12" s="133"/>
      <c r="MTT12" s="133"/>
      <c r="MTU12" s="133"/>
      <c r="MTV12" s="133"/>
      <c r="MTW12" s="133"/>
      <c r="MTX12" s="133"/>
      <c r="MTY12" s="133"/>
      <c r="MTZ12" s="133"/>
      <c r="MUA12" s="133"/>
      <c r="MUB12" s="133"/>
      <c r="MUC12" s="133"/>
      <c r="MUD12" s="133"/>
      <c r="MUE12" s="133"/>
      <c r="MUF12" s="133"/>
      <c r="MUG12" s="133"/>
      <c r="MUH12" s="133"/>
      <c r="MUI12" s="133"/>
      <c r="MUJ12" s="133"/>
      <c r="MUK12" s="133"/>
      <c r="MUL12" s="133"/>
      <c r="MUM12" s="133"/>
      <c r="MUN12" s="133"/>
      <c r="MUO12" s="133"/>
      <c r="MUP12" s="133"/>
      <c r="MUQ12" s="133"/>
      <c r="MUR12" s="133"/>
      <c r="MUS12" s="133"/>
      <c r="MUT12" s="133"/>
      <c r="MUU12" s="133"/>
      <c r="MUV12" s="133"/>
      <c r="MUW12" s="133"/>
      <c r="MUX12" s="133"/>
      <c r="MUY12" s="133"/>
      <c r="MUZ12" s="133"/>
      <c r="MVA12" s="133"/>
      <c r="MVB12" s="133"/>
      <c r="MVC12" s="133"/>
      <c r="MVD12" s="133"/>
      <c r="MVE12" s="133"/>
      <c r="MVF12" s="133"/>
      <c r="MVG12" s="133"/>
      <c r="MVH12" s="133"/>
      <c r="MVI12" s="133"/>
      <c r="MVJ12" s="133"/>
      <c r="MVK12" s="133"/>
      <c r="MVL12" s="133"/>
      <c r="MVM12" s="133"/>
      <c r="MVN12" s="133"/>
      <c r="MVO12" s="133"/>
      <c r="MVP12" s="133"/>
      <c r="MVQ12" s="133"/>
      <c r="MVR12" s="133"/>
      <c r="MVS12" s="133"/>
      <c r="MVT12" s="133"/>
      <c r="MVU12" s="133"/>
      <c r="MVV12" s="133"/>
      <c r="MVW12" s="133"/>
      <c r="MVX12" s="133"/>
      <c r="MVY12" s="133"/>
      <c r="MVZ12" s="133"/>
      <c r="MWA12" s="133"/>
      <c r="MWB12" s="133"/>
      <c r="MWC12" s="133"/>
      <c r="MWD12" s="133"/>
      <c r="MWE12" s="133"/>
      <c r="MWF12" s="133"/>
      <c r="MWG12" s="133"/>
      <c r="MWH12" s="133"/>
      <c r="MWI12" s="133"/>
      <c r="MWJ12" s="133"/>
      <c r="MWK12" s="133"/>
      <c r="MWL12" s="133"/>
      <c r="MWM12" s="133"/>
      <c r="MWN12" s="133"/>
      <c r="MWO12" s="133"/>
      <c r="MWP12" s="133"/>
      <c r="MWQ12" s="133"/>
      <c r="MWR12" s="133"/>
      <c r="MWS12" s="133"/>
      <c r="MWT12" s="133"/>
      <c r="MWU12" s="133"/>
      <c r="MWV12" s="133"/>
      <c r="MWW12" s="133"/>
      <c r="MWX12" s="133"/>
      <c r="MWY12" s="133"/>
      <c r="MWZ12" s="133"/>
      <c r="MXA12" s="133"/>
      <c r="MXB12" s="133"/>
      <c r="MXC12" s="133"/>
      <c r="MXD12" s="133"/>
      <c r="MXE12" s="133"/>
      <c r="MXF12" s="133"/>
      <c r="MXG12" s="133"/>
      <c r="MXH12" s="133"/>
      <c r="MXI12" s="133"/>
      <c r="MXJ12" s="133"/>
      <c r="MXK12" s="133"/>
      <c r="MXL12" s="133"/>
      <c r="MXM12" s="133"/>
      <c r="MXN12" s="133"/>
      <c r="MXO12" s="133"/>
      <c r="MXP12" s="133"/>
      <c r="MXQ12" s="133"/>
      <c r="MXR12" s="133"/>
      <c r="MXS12" s="133"/>
      <c r="MXT12" s="133"/>
      <c r="MXU12" s="133"/>
      <c r="MXV12" s="133"/>
      <c r="MXW12" s="133"/>
      <c r="MXX12" s="133"/>
      <c r="MXY12" s="133"/>
      <c r="MXZ12" s="133"/>
      <c r="MYA12" s="133"/>
      <c r="MYB12" s="133"/>
      <c r="MYC12" s="133"/>
      <c r="MYD12" s="133"/>
      <c r="MYE12" s="133"/>
      <c r="MYF12" s="133"/>
      <c r="MYG12" s="133"/>
      <c r="MYH12" s="133"/>
      <c r="MYI12" s="133"/>
      <c r="MYJ12" s="133"/>
      <c r="MYK12" s="133"/>
      <c r="MYL12" s="133"/>
      <c r="MYM12" s="133"/>
      <c r="MYN12" s="133"/>
      <c r="MYO12" s="133"/>
      <c r="MYP12" s="133"/>
      <c r="MYQ12" s="133"/>
      <c r="MYR12" s="133"/>
      <c r="MYS12" s="133"/>
      <c r="MYT12" s="133"/>
      <c r="MYU12" s="133"/>
      <c r="MYV12" s="133"/>
      <c r="MYW12" s="133"/>
      <c r="MYX12" s="133"/>
      <c r="MYY12" s="133"/>
      <c r="MYZ12" s="133"/>
      <c r="MZA12" s="133"/>
      <c r="MZB12" s="133"/>
      <c r="MZC12" s="133"/>
      <c r="MZD12" s="133"/>
      <c r="MZE12" s="133"/>
      <c r="MZF12" s="133"/>
      <c r="MZG12" s="133"/>
      <c r="MZH12" s="133"/>
      <c r="MZI12" s="133"/>
      <c r="MZJ12" s="133"/>
      <c r="MZK12" s="133"/>
      <c r="MZL12" s="133"/>
      <c r="MZM12" s="133"/>
      <c r="MZN12" s="133"/>
      <c r="MZO12" s="133"/>
      <c r="MZP12" s="133"/>
      <c r="MZQ12" s="133"/>
      <c r="MZR12" s="133"/>
      <c r="MZS12" s="133"/>
      <c r="MZT12" s="133"/>
      <c r="MZU12" s="133"/>
      <c r="MZV12" s="133"/>
      <c r="MZW12" s="133"/>
      <c r="MZX12" s="133"/>
      <c r="MZY12" s="133"/>
      <c r="MZZ12" s="133"/>
      <c r="NAA12" s="133"/>
      <c r="NAB12" s="133"/>
      <c r="NAC12" s="133"/>
      <c r="NAD12" s="133"/>
      <c r="NAE12" s="133"/>
      <c r="NAF12" s="133"/>
      <c r="NAG12" s="133"/>
      <c r="NAH12" s="133"/>
      <c r="NAI12" s="133"/>
      <c r="NAJ12" s="133"/>
      <c r="NAK12" s="133"/>
      <c r="NAL12" s="133"/>
      <c r="NAM12" s="133"/>
      <c r="NAN12" s="133"/>
      <c r="NAO12" s="133"/>
      <c r="NAP12" s="133"/>
      <c r="NAQ12" s="133"/>
      <c r="NAR12" s="133"/>
      <c r="NAS12" s="133"/>
      <c r="NAT12" s="133"/>
      <c r="NAU12" s="133"/>
      <c r="NAV12" s="133"/>
      <c r="NAW12" s="133"/>
      <c r="NAX12" s="133"/>
      <c r="NAY12" s="133"/>
      <c r="NAZ12" s="133"/>
      <c r="NBA12" s="133"/>
      <c r="NBB12" s="133"/>
      <c r="NBC12" s="133"/>
      <c r="NBD12" s="133"/>
      <c r="NBE12" s="133"/>
      <c r="NBF12" s="133"/>
      <c r="NBG12" s="133"/>
      <c r="NBH12" s="133"/>
      <c r="NBI12" s="133"/>
      <c r="NBJ12" s="133"/>
      <c r="NBK12" s="133"/>
      <c r="NBL12" s="133"/>
      <c r="NBM12" s="133"/>
      <c r="NBN12" s="133"/>
      <c r="NBO12" s="133"/>
      <c r="NBP12" s="133"/>
      <c r="NBQ12" s="133"/>
      <c r="NBR12" s="133"/>
      <c r="NBS12" s="133"/>
      <c r="NBT12" s="133"/>
      <c r="NBU12" s="133"/>
      <c r="NBV12" s="133"/>
      <c r="NBW12" s="133"/>
      <c r="NBX12" s="133"/>
      <c r="NBY12" s="133"/>
      <c r="NBZ12" s="133"/>
      <c r="NCA12" s="133"/>
      <c r="NCB12" s="133"/>
      <c r="NCC12" s="133"/>
      <c r="NCD12" s="133"/>
      <c r="NCE12" s="133"/>
      <c r="NCF12" s="133"/>
      <c r="NCG12" s="133"/>
      <c r="NCH12" s="133"/>
      <c r="NCI12" s="133"/>
      <c r="NCJ12" s="133"/>
      <c r="NCK12" s="133"/>
      <c r="NCL12" s="133"/>
      <c r="NCM12" s="133"/>
      <c r="NCN12" s="133"/>
      <c r="NCO12" s="133"/>
      <c r="NCP12" s="133"/>
      <c r="NCQ12" s="133"/>
      <c r="NCR12" s="133"/>
      <c r="NCS12" s="133"/>
      <c r="NCT12" s="133"/>
      <c r="NCU12" s="133"/>
      <c r="NCV12" s="133"/>
      <c r="NCW12" s="133"/>
      <c r="NCX12" s="133"/>
      <c r="NCY12" s="133"/>
      <c r="NCZ12" s="133"/>
      <c r="NDA12" s="133"/>
      <c r="NDB12" s="133"/>
      <c r="NDC12" s="133"/>
      <c r="NDD12" s="133"/>
      <c r="NDE12" s="133"/>
      <c r="NDF12" s="133"/>
      <c r="NDG12" s="133"/>
      <c r="NDH12" s="133"/>
      <c r="NDI12" s="133"/>
      <c r="NDJ12" s="133"/>
      <c r="NDK12" s="133"/>
      <c r="NDL12" s="133"/>
      <c r="NDM12" s="133"/>
      <c r="NDN12" s="133"/>
      <c r="NDO12" s="133"/>
      <c r="NDP12" s="133"/>
      <c r="NDQ12" s="133"/>
      <c r="NDR12" s="133"/>
      <c r="NDS12" s="133"/>
      <c r="NDT12" s="133"/>
      <c r="NDU12" s="133"/>
      <c r="NDV12" s="133"/>
      <c r="NDW12" s="133"/>
      <c r="NDX12" s="133"/>
      <c r="NDY12" s="133"/>
      <c r="NDZ12" s="133"/>
      <c r="NEA12" s="133"/>
      <c r="NEB12" s="133"/>
      <c r="NEC12" s="133"/>
      <c r="NED12" s="133"/>
      <c r="NEE12" s="133"/>
      <c r="NEF12" s="133"/>
      <c r="NEG12" s="133"/>
      <c r="NEH12" s="133"/>
      <c r="NEI12" s="133"/>
      <c r="NEJ12" s="133"/>
      <c r="NEK12" s="133"/>
      <c r="NEL12" s="133"/>
      <c r="NEM12" s="133"/>
      <c r="NEN12" s="133"/>
      <c r="NEO12" s="133"/>
      <c r="NEP12" s="133"/>
      <c r="NEQ12" s="133"/>
      <c r="NER12" s="133"/>
      <c r="NES12" s="133"/>
      <c r="NET12" s="133"/>
      <c r="NEU12" s="133"/>
      <c r="NEV12" s="133"/>
      <c r="NEW12" s="133"/>
      <c r="NEX12" s="133"/>
      <c r="NEY12" s="133"/>
      <c r="NEZ12" s="133"/>
      <c r="NFA12" s="133"/>
      <c r="NFB12" s="133"/>
      <c r="NFC12" s="133"/>
      <c r="NFD12" s="133"/>
      <c r="NFE12" s="133"/>
      <c r="NFF12" s="133"/>
      <c r="NFG12" s="133"/>
      <c r="NFH12" s="133"/>
      <c r="NFI12" s="133"/>
      <c r="NFJ12" s="133"/>
      <c r="NFK12" s="133"/>
      <c r="NFL12" s="133"/>
      <c r="NFM12" s="133"/>
      <c r="NFN12" s="133"/>
      <c r="NFO12" s="133"/>
      <c r="NFP12" s="133"/>
      <c r="NFQ12" s="133"/>
      <c r="NFR12" s="133"/>
      <c r="NFS12" s="133"/>
      <c r="NFT12" s="133"/>
      <c r="NFU12" s="133"/>
      <c r="NFV12" s="133"/>
      <c r="NFW12" s="133"/>
      <c r="NFX12" s="133"/>
      <c r="NFY12" s="133"/>
      <c r="NFZ12" s="133"/>
      <c r="NGA12" s="133"/>
      <c r="NGB12" s="133"/>
      <c r="NGC12" s="133"/>
      <c r="NGD12" s="133"/>
      <c r="NGE12" s="133"/>
      <c r="NGF12" s="133"/>
      <c r="NGG12" s="133"/>
      <c r="NGH12" s="133"/>
      <c r="NGI12" s="133"/>
      <c r="NGJ12" s="133"/>
      <c r="NGK12" s="133"/>
      <c r="NGL12" s="133"/>
      <c r="NGM12" s="133"/>
      <c r="NGN12" s="133"/>
      <c r="NGO12" s="133"/>
      <c r="NGP12" s="133"/>
      <c r="NGQ12" s="133"/>
      <c r="NGR12" s="133"/>
      <c r="NGS12" s="133"/>
      <c r="NGT12" s="133"/>
      <c r="NGU12" s="133"/>
      <c r="NGV12" s="133"/>
      <c r="NGW12" s="133"/>
      <c r="NGX12" s="133"/>
      <c r="NGY12" s="133"/>
      <c r="NGZ12" s="133"/>
      <c r="NHA12" s="133"/>
      <c r="NHB12" s="133"/>
      <c r="NHC12" s="133"/>
      <c r="NHD12" s="133"/>
      <c r="NHE12" s="133"/>
      <c r="NHF12" s="133"/>
      <c r="NHG12" s="133"/>
      <c r="NHH12" s="133"/>
      <c r="NHI12" s="133"/>
      <c r="NHJ12" s="133"/>
      <c r="NHK12" s="133"/>
      <c r="NHL12" s="133"/>
      <c r="NHM12" s="133"/>
      <c r="NHN12" s="133"/>
      <c r="NHO12" s="133"/>
      <c r="NHP12" s="133"/>
      <c r="NHQ12" s="133"/>
      <c r="NHR12" s="133"/>
      <c r="NHS12" s="133"/>
      <c r="NHT12" s="133"/>
      <c r="NHU12" s="133"/>
      <c r="NHV12" s="133"/>
      <c r="NHW12" s="133"/>
      <c r="NHX12" s="133"/>
      <c r="NHY12" s="133"/>
      <c r="NHZ12" s="133"/>
      <c r="NIA12" s="133"/>
      <c r="NIB12" s="133"/>
      <c r="NIC12" s="133"/>
      <c r="NID12" s="133"/>
      <c r="NIE12" s="133"/>
      <c r="NIF12" s="133"/>
      <c r="NIG12" s="133"/>
      <c r="NIH12" s="133"/>
      <c r="NII12" s="133"/>
      <c r="NIJ12" s="133"/>
      <c r="NIK12" s="133"/>
      <c r="NIL12" s="133"/>
      <c r="NIM12" s="133"/>
      <c r="NIN12" s="133"/>
      <c r="NIO12" s="133"/>
      <c r="NIP12" s="133"/>
      <c r="NIQ12" s="133"/>
      <c r="NIR12" s="133"/>
      <c r="NIS12" s="133"/>
      <c r="NIT12" s="133"/>
      <c r="NIU12" s="133"/>
      <c r="NIV12" s="133"/>
      <c r="NIW12" s="133"/>
      <c r="NIX12" s="133"/>
      <c r="NIY12" s="133"/>
      <c r="NIZ12" s="133"/>
      <c r="NJA12" s="133"/>
      <c r="NJB12" s="133"/>
      <c r="NJC12" s="133"/>
      <c r="NJD12" s="133"/>
      <c r="NJE12" s="133"/>
      <c r="NJF12" s="133"/>
      <c r="NJG12" s="133"/>
      <c r="NJH12" s="133"/>
      <c r="NJI12" s="133"/>
      <c r="NJJ12" s="133"/>
      <c r="NJK12" s="133"/>
      <c r="NJL12" s="133"/>
      <c r="NJM12" s="133"/>
      <c r="NJN12" s="133"/>
      <c r="NJO12" s="133"/>
      <c r="NJP12" s="133"/>
      <c r="NJQ12" s="133"/>
      <c r="NJR12" s="133"/>
      <c r="NJS12" s="133"/>
      <c r="NJT12" s="133"/>
      <c r="NJU12" s="133"/>
      <c r="NJV12" s="133"/>
      <c r="NJW12" s="133"/>
      <c r="NJX12" s="133"/>
      <c r="NJY12" s="133"/>
      <c r="NJZ12" s="133"/>
      <c r="NKA12" s="133"/>
      <c r="NKB12" s="133"/>
      <c r="NKC12" s="133"/>
      <c r="NKD12" s="133"/>
      <c r="NKE12" s="133"/>
      <c r="NKF12" s="133"/>
      <c r="NKG12" s="133"/>
      <c r="NKH12" s="133"/>
      <c r="NKI12" s="133"/>
      <c r="NKJ12" s="133"/>
      <c r="NKK12" s="133"/>
      <c r="NKL12" s="133"/>
      <c r="NKM12" s="133"/>
      <c r="NKN12" s="133"/>
      <c r="NKO12" s="133"/>
      <c r="NKP12" s="133"/>
      <c r="NKQ12" s="133"/>
      <c r="NKR12" s="133"/>
      <c r="NKS12" s="133"/>
      <c r="NKT12" s="133"/>
      <c r="NKU12" s="133"/>
      <c r="NKV12" s="133"/>
      <c r="NKW12" s="133"/>
      <c r="NKX12" s="133"/>
      <c r="NKY12" s="133"/>
      <c r="NKZ12" s="133"/>
      <c r="NLA12" s="133"/>
      <c r="NLB12" s="133"/>
      <c r="NLC12" s="133"/>
      <c r="NLD12" s="133"/>
      <c r="NLE12" s="133"/>
      <c r="NLF12" s="133"/>
      <c r="NLG12" s="133"/>
      <c r="NLH12" s="133"/>
      <c r="NLI12" s="133"/>
      <c r="NLJ12" s="133"/>
      <c r="NLK12" s="133"/>
      <c r="NLL12" s="133"/>
      <c r="NLM12" s="133"/>
      <c r="NLN12" s="133"/>
      <c r="NLO12" s="133"/>
      <c r="NLP12" s="133"/>
      <c r="NLQ12" s="133"/>
      <c r="NLR12" s="133"/>
      <c r="NLS12" s="133"/>
      <c r="NLT12" s="133"/>
      <c r="NLU12" s="133"/>
      <c r="NLV12" s="133"/>
      <c r="NLW12" s="133"/>
      <c r="NLX12" s="133"/>
      <c r="NLY12" s="133"/>
      <c r="NLZ12" s="133"/>
      <c r="NMA12" s="133"/>
      <c r="NMB12" s="133"/>
      <c r="NMC12" s="133"/>
      <c r="NMD12" s="133"/>
      <c r="NME12" s="133"/>
      <c r="NMF12" s="133"/>
      <c r="NMG12" s="133"/>
      <c r="NMH12" s="133"/>
      <c r="NMI12" s="133"/>
      <c r="NMJ12" s="133"/>
      <c r="NMK12" s="133"/>
      <c r="NML12" s="133"/>
      <c r="NMM12" s="133"/>
      <c r="NMN12" s="133"/>
      <c r="NMO12" s="133"/>
      <c r="NMP12" s="133"/>
      <c r="NMQ12" s="133"/>
      <c r="NMR12" s="133"/>
      <c r="NMS12" s="133"/>
      <c r="NMT12" s="133"/>
      <c r="NMU12" s="133"/>
      <c r="NMV12" s="133"/>
      <c r="NMW12" s="133"/>
      <c r="NMX12" s="133"/>
      <c r="NMY12" s="133"/>
      <c r="NMZ12" s="133"/>
      <c r="NNA12" s="133"/>
      <c r="NNB12" s="133"/>
      <c r="NNC12" s="133"/>
      <c r="NND12" s="133"/>
      <c r="NNE12" s="133"/>
      <c r="NNF12" s="133"/>
      <c r="NNG12" s="133"/>
      <c r="NNH12" s="133"/>
      <c r="NNI12" s="133"/>
      <c r="NNJ12" s="133"/>
      <c r="NNK12" s="133"/>
      <c r="NNL12" s="133"/>
      <c r="NNM12" s="133"/>
      <c r="NNN12" s="133"/>
      <c r="NNO12" s="133"/>
      <c r="NNP12" s="133"/>
      <c r="NNQ12" s="133"/>
      <c r="NNR12" s="133"/>
      <c r="NNS12" s="133"/>
      <c r="NNT12" s="133"/>
      <c r="NNU12" s="133"/>
      <c r="NNV12" s="133"/>
      <c r="NNW12" s="133"/>
      <c r="NNX12" s="133"/>
      <c r="NNY12" s="133"/>
      <c r="NNZ12" s="133"/>
      <c r="NOA12" s="133"/>
      <c r="NOB12" s="133"/>
      <c r="NOC12" s="133"/>
      <c r="NOD12" s="133"/>
      <c r="NOE12" s="133"/>
      <c r="NOF12" s="133"/>
      <c r="NOG12" s="133"/>
      <c r="NOH12" s="133"/>
      <c r="NOI12" s="133"/>
      <c r="NOJ12" s="133"/>
      <c r="NOK12" s="133"/>
      <c r="NOL12" s="133"/>
      <c r="NOM12" s="133"/>
      <c r="NON12" s="133"/>
      <c r="NOO12" s="133"/>
      <c r="NOP12" s="133"/>
      <c r="NOQ12" s="133"/>
      <c r="NOR12" s="133"/>
      <c r="NOS12" s="133"/>
      <c r="NOT12" s="133"/>
      <c r="NOU12" s="133"/>
      <c r="NOV12" s="133"/>
      <c r="NOW12" s="133"/>
      <c r="NOX12" s="133"/>
      <c r="NOY12" s="133"/>
      <c r="NOZ12" s="133"/>
      <c r="NPA12" s="133"/>
      <c r="NPB12" s="133"/>
      <c r="NPC12" s="133"/>
      <c r="NPD12" s="133"/>
      <c r="NPE12" s="133"/>
      <c r="NPF12" s="133"/>
      <c r="NPG12" s="133"/>
      <c r="NPH12" s="133"/>
      <c r="NPI12" s="133"/>
      <c r="NPJ12" s="133"/>
      <c r="NPK12" s="133"/>
      <c r="NPL12" s="133"/>
      <c r="NPM12" s="133"/>
      <c r="NPN12" s="133"/>
      <c r="NPO12" s="133"/>
      <c r="NPP12" s="133"/>
      <c r="NPQ12" s="133"/>
      <c r="NPR12" s="133"/>
      <c r="NPS12" s="133"/>
      <c r="NPT12" s="133"/>
      <c r="NPU12" s="133"/>
      <c r="NPV12" s="133"/>
      <c r="NPW12" s="133"/>
      <c r="NPX12" s="133"/>
      <c r="NPY12" s="133"/>
      <c r="NPZ12" s="133"/>
      <c r="NQA12" s="133"/>
      <c r="NQB12" s="133"/>
      <c r="NQC12" s="133"/>
      <c r="NQD12" s="133"/>
      <c r="NQE12" s="133"/>
      <c r="NQF12" s="133"/>
      <c r="NQG12" s="133"/>
      <c r="NQH12" s="133"/>
      <c r="NQI12" s="133"/>
      <c r="NQJ12" s="133"/>
      <c r="NQK12" s="133"/>
      <c r="NQL12" s="133"/>
      <c r="NQM12" s="133"/>
      <c r="NQN12" s="133"/>
      <c r="NQO12" s="133"/>
      <c r="NQP12" s="133"/>
      <c r="NQQ12" s="133"/>
      <c r="NQR12" s="133"/>
      <c r="NQS12" s="133"/>
      <c r="NQT12" s="133"/>
      <c r="NQU12" s="133"/>
      <c r="NQV12" s="133"/>
      <c r="NQW12" s="133"/>
      <c r="NQX12" s="133"/>
      <c r="NQY12" s="133"/>
      <c r="NQZ12" s="133"/>
      <c r="NRA12" s="133"/>
      <c r="NRB12" s="133"/>
      <c r="NRC12" s="133"/>
      <c r="NRD12" s="133"/>
      <c r="NRE12" s="133"/>
      <c r="NRF12" s="133"/>
      <c r="NRG12" s="133"/>
      <c r="NRH12" s="133"/>
      <c r="NRI12" s="133"/>
      <c r="NRJ12" s="133"/>
      <c r="NRK12" s="133"/>
      <c r="NRL12" s="133"/>
      <c r="NRM12" s="133"/>
      <c r="NRN12" s="133"/>
      <c r="NRO12" s="133"/>
      <c r="NRP12" s="133"/>
      <c r="NRQ12" s="133"/>
      <c r="NRR12" s="133"/>
      <c r="NRS12" s="133"/>
      <c r="NRT12" s="133"/>
      <c r="NRU12" s="133"/>
      <c r="NRV12" s="133"/>
      <c r="NRW12" s="133"/>
      <c r="NRX12" s="133"/>
      <c r="NRY12" s="133"/>
      <c r="NRZ12" s="133"/>
      <c r="NSA12" s="133"/>
      <c r="NSB12" s="133"/>
      <c r="NSC12" s="133"/>
      <c r="NSD12" s="133"/>
      <c r="NSE12" s="133"/>
      <c r="NSF12" s="133"/>
      <c r="NSG12" s="133"/>
      <c r="NSH12" s="133"/>
      <c r="NSI12" s="133"/>
      <c r="NSJ12" s="133"/>
      <c r="NSK12" s="133"/>
      <c r="NSL12" s="133"/>
      <c r="NSM12" s="133"/>
      <c r="NSN12" s="133"/>
      <c r="NSO12" s="133"/>
      <c r="NSP12" s="133"/>
      <c r="NSQ12" s="133"/>
      <c r="NSR12" s="133"/>
      <c r="NSS12" s="133"/>
      <c r="NST12" s="133"/>
      <c r="NSU12" s="133"/>
      <c r="NSV12" s="133"/>
      <c r="NSW12" s="133"/>
      <c r="NSX12" s="133"/>
      <c r="NSY12" s="133"/>
      <c r="NSZ12" s="133"/>
      <c r="NTA12" s="133"/>
      <c r="NTB12" s="133"/>
      <c r="NTC12" s="133"/>
      <c r="NTD12" s="133"/>
      <c r="NTE12" s="133"/>
      <c r="NTF12" s="133"/>
      <c r="NTG12" s="133"/>
      <c r="NTH12" s="133"/>
      <c r="NTI12" s="133"/>
      <c r="NTJ12" s="133"/>
      <c r="NTK12" s="133"/>
      <c r="NTL12" s="133"/>
      <c r="NTM12" s="133"/>
      <c r="NTN12" s="133"/>
      <c r="NTO12" s="133"/>
      <c r="NTP12" s="133"/>
      <c r="NTQ12" s="133"/>
      <c r="NTR12" s="133"/>
      <c r="NTS12" s="133"/>
      <c r="NTT12" s="133"/>
      <c r="NTU12" s="133"/>
      <c r="NTV12" s="133"/>
      <c r="NTW12" s="133"/>
      <c r="NTX12" s="133"/>
      <c r="NTY12" s="133"/>
      <c r="NTZ12" s="133"/>
      <c r="NUA12" s="133"/>
      <c r="NUB12" s="133"/>
      <c r="NUC12" s="133"/>
      <c r="NUD12" s="133"/>
      <c r="NUE12" s="133"/>
      <c r="NUF12" s="133"/>
      <c r="NUG12" s="133"/>
      <c r="NUH12" s="133"/>
      <c r="NUI12" s="133"/>
      <c r="NUJ12" s="133"/>
      <c r="NUK12" s="133"/>
      <c r="NUL12" s="133"/>
      <c r="NUM12" s="133"/>
      <c r="NUN12" s="133"/>
      <c r="NUO12" s="133"/>
      <c r="NUP12" s="133"/>
      <c r="NUQ12" s="133"/>
      <c r="NUR12" s="133"/>
      <c r="NUS12" s="133"/>
      <c r="NUT12" s="133"/>
      <c r="NUU12" s="133"/>
      <c r="NUV12" s="133"/>
      <c r="NUW12" s="133"/>
      <c r="NUX12" s="133"/>
      <c r="NUY12" s="133"/>
      <c r="NUZ12" s="133"/>
      <c r="NVA12" s="133"/>
      <c r="NVB12" s="133"/>
      <c r="NVC12" s="133"/>
      <c r="NVD12" s="133"/>
      <c r="NVE12" s="133"/>
      <c r="NVF12" s="133"/>
      <c r="NVG12" s="133"/>
      <c r="NVH12" s="133"/>
      <c r="NVI12" s="133"/>
      <c r="NVJ12" s="133"/>
      <c r="NVK12" s="133"/>
      <c r="NVL12" s="133"/>
      <c r="NVM12" s="133"/>
      <c r="NVN12" s="133"/>
      <c r="NVO12" s="133"/>
      <c r="NVP12" s="133"/>
      <c r="NVQ12" s="133"/>
      <c r="NVR12" s="133"/>
      <c r="NVS12" s="133"/>
      <c r="NVT12" s="133"/>
      <c r="NVU12" s="133"/>
      <c r="NVV12" s="133"/>
      <c r="NVW12" s="133"/>
      <c r="NVX12" s="133"/>
      <c r="NVY12" s="133"/>
      <c r="NVZ12" s="133"/>
      <c r="NWA12" s="133"/>
      <c r="NWB12" s="133"/>
      <c r="NWC12" s="133"/>
      <c r="NWD12" s="133"/>
      <c r="NWE12" s="133"/>
      <c r="NWF12" s="133"/>
      <c r="NWG12" s="133"/>
      <c r="NWH12" s="133"/>
      <c r="NWI12" s="133"/>
      <c r="NWJ12" s="133"/>
      <c r="NWK12" s="133"/>
      <c r="NWL12" s="133"/>
      <c r="NWM12" s="133"/>
      <c r="NWN12" s="133"/>
      <c r="NWO12" s="133"/>
      <c r="NWP12" s="133"/>
      <c r="NWQ12" s="133"/>
      <c r="NWR12" s="133"/>
      <c r="NWS12" s="133"/>
      <c r="NWT12" s="133"/>
      <c r="NWU12" s="133"/>
      <c r="NWV12" s="133"/>
      <c r="NWW12" s="133"/>
      <c r="NWX12" s="133"/>
      <c r="NWY12" s="133"/>
      <c r="NWZ12" s="133"/>
      <c r="NXA12" s="133"/>
      <c r="NXB12" s="133"/>
      <c r="NXC12" s="133"/>
      <c r="NXD12" s="133"/>
      <c r="NXE12" s="133"/>
      <c r="NXF12" s="133"/>
      <c r="NXG12" s="133"/>
      <c r="NXH12" s="133"/>
      <c r="NXI12" s="133"/>
      <c r="NXJ12" s="133"/>
      <c r="NXK12" s="133"/>
      <c r="NXL12" s="133"/>
      <c r="NXM12" s="133"/>
      <c r="NXN12" s="133"/>
      <c r="NXO12" s="133"/>
      <c r="NXP12" s="133"/>
      <c r="NXQ12" s="133"/>
      <c r="NXR12" s="133"/>
      <c r="NXS12" s="133"/>
      <c r="NXT12" s="133"/>
      <c r="NXU12" s="133"/>
      <c r="NXV12" s="133"/>
      <c r="NXW12" s="133"/>
      <c r="NXX12" s="133"/>
      <c r="NXY12" s="133"/>
      <c r="NXZ12" s="133"/>
      <c r="NYA12" s="133"/>
      <c r="NYB12" s="133"/>
      <c r="NYC12" s="133"/>
      <c r="NYD12" s="133"/>
      <c r="NYE12" s="133"/>
      <c r="NYF12" s="133"/>
      <c r="NYG12" s="133"/>
      <c r="NYH12" s="133"/>
      <c r="NYI12" s="133"/>
      <c r="NYJ12" s="133"/>
      <c r="NYK12" s="133"/>
      <c r="NYL12" s="133"/>
      <c r="NYM12" s="133"/>
      <c r="NYN12" s="133"/>
      <c r="NYO12" s="133"/>
      <c r="NYP12" s="133"/>
      <c r="NYQ12" s="133"/>
      <c r="NYR12" s="133"/>
      <c r="NYS12" s="133"/>
      <c r="NYT12" s="133"/>
      <c r="NYU12" s="133"/>
      <c r="NYV12" s="133"/>
      <c r="NYW12" s="133"/>
      <c r="NYX12" s="133"/>
      <c r="NYY12" s="133"/>
      <c r="NYZ12" s="133"/>
      <c r="NZA12" s="133"/>
      <c r="NZB12" s="133"/>
      <c r="NZC12" s="133"/>
      <c r="NZD12" s="133"/>
      <c r="NZE12" s="133"/>
      <c r="NZF12" s="133"/>
      <c r="NZG12" s="133"/>
      <c r="NZH12" s="133"/>
      <c r="NZI12" s="133"/>
      <c r="NZJ12" s="133"/>
      <c r="NZK12" s="133"/>
      <c r="NZL12" s="133"/>
      <c r="NZM12" s="133"/>
      <c r="NZN12" s="133"/>
      <c r="NZO12" s="133"/>
      <c r="NZP12" s="133"/>
      <c r="NZQ12" s="133"/>
      <c r="NZR12" s="133"/>
      <c r="NZS12" s="133"/>
      <c r="NZT12" s="133"/>
      <c r="NZU12" s="133"/>
      <c r="NZV12" s="133"/>
      <c r="NZW12" s="133"/>
      <c r="NZX12" s="133"/>
      <c r="NZY12" s="133"/>
      <c r="NZZ12" s="133"/>
      <c r="OAA12" s="133"/>
      <c r="OAB12" s="133"/>
      <c r="OAC12" s="133"/>
      <c r="OAD12" s="133"/>
      <c r="OAE12" s="133"/>
      <c r="OAF12" s="133"/>
      <c r="OAG12" s="133"/>
      <c r="OAH12" s="133"/>
      <c r="OAI12" s="133"/>
      <c r="OAJ12" s="133"/>
      <c r="OAK12" s="133"/>
      <c r="OAL12" s="133"/>
      <c r="OAM12" s="133"/>
      <c r="OAN12" s="133"/>
      <c r="OAO12" s="133"/>
      <c r="OAP12" s="133"/>
      <c r="OAQ12" s="133"/>
      <c r="OAR12" s="133"/>
      <c r="OAS12" s="133"/>
      <c r="OAT12" s="133"/>
      <c r="OAU12" s="133"/>
      <c r="OAV12" s="133"/>
      <c r="OAW12" s="133"/>
      <c r="OAX12" s="133"/>
      <c r="OAY12" s="133"/>
      <c r="OAZ12" s="133"/>
      <c r="OBA12" s="133"/>
      <c r="OBB12" s="133"/>
      <c r="OBC12" s="133"/>
      <c r="OBD12" s="133"/>
      <c r="OBE12" s="133"/>
      <c r="OBF12" s="133"/>
      <c r="OBG12" s="133"/>
      <c r="OBH12" s="133"/>
      <c r="OBI12" s="133"/>
      <c r="OBJ12" s="133"/>
      <c r="OBK12" s="133"/>
      <c r="OBL12" s="133"/>
      <c r="OBM12" s="133"/>
      <c r="OBN12" s="133"/>
      <c r="OBO12" s="133"/>
      <c r="OBP12" s="133"/>
      <c r="OBQ12" s="133"/>
      <c r="OBR12" s="133"/>
      <c r="OBS12" s="133"/>
      <c r="OBT12" s="133"/>
      <c r="OBU12" s="133"/>
      <c r="OBV12" s="133"/>
      <c r="OBW12" s="133"/>
      <c r="OBX12" s="133"/>
      <c r="OBY12" s="133"/>
      <c r="OBZ12" s="133"/>
      <c r="OCA12" s="133"/>
      <c r="OCB12" s="133"/>
      <c r="OCC12" s="133"/>
      <c r="OCD12" s="133"/>
      <c r="OCE12" s="133"/>
      <c r="OCF12" s="133"/>
      <c r="OCG12" s="133"/>
      <c r="OCH12" s="133"/>
      <c r="OCI12" s="133"/>
      <c r="OCJ12" s="133"/>
      <c r="OCK12" s="133"/>
      <c r="OCX12" s="133"/>
      <c r="OCY12" s="133"/>
      <c r="OCZ12" s="133"/>
      <c r="ODA12" s="133"/>
      <c r="ODB12" s="133"/>
      <c r="ODC12" s="133"/>
      <c r="ODD12" s="133"/>
      <c r="ODE12" s="133"/>
      <c r="ODF12" s="133"/>
      <c r="ODG12" s="133"/>
      <c r="ODH12" s="133"/>
      <c r="ODI12" s="133"/>
      <c r="ODJ12" s="133"/>
      <c r="ODK12" s="133"/>
      <c r="ODL12" s="133"/>
      <c r="ODM12" s="133"/>
      <c r="ODN12" s="133"/>
      <c r="ODO12" s="133"/>
      <c r="ODP12" s="133"/>
      <c r="ODQ12" s="133"/>
      <c r="ODR12" s="133"/>
      <c r="ODS12" s="133"/>
      <c r="ODT12" s="133"/>
      <c r="ODU12" s="133"/>
      <c r="ODV12" s="133"/>
      <c r="ODW12" s="133"/>
      <c r="ODX12" s="133"/>
      <c r="ODY12" s="133"/>
      <c r="ODZ12" s="133"/>
      <c r="OEA12" s="133"/>
      <c r="OEB12" s="133"/>
      <c r="OEC12" s="133"/>
      <c r="OED12" s="133"/>
      <c r="OEE12" s="133"/>
      <c r="OEF12" s="133"/>
      <c r="OEG12" s="133"/>
      <c r="OEH12" s="133"/>
      <c r="OEI12" s="133"/>
      <c r="OEJ12" s="133"/>
      <c r="OEK12" s="133"/>
      <c r="OEL12" s="133"/>
      <c r="OEM12" s="133"/>
      <c r="OEN12" s="133"/>
      <c r="OEO12" s="133"/>
      <c r="OEP12" s="133"/>
      <c r="OEQ12" s="133"/>
      <c r="OER12" s="133"/>
      <c r="OES12" s="133"/>
      <c r="OET12" s="133"/>
      <c r="OEU12" s="133"/>
      <c r="OEV12" s="133"/>
      <c r="OEW12" s="133"/>
      <c r="OEX12" s="133"/>
      <c r="OEY12" s="133"/>
      <c r="OEZ12" s="133"/>
      <c r="OFA12" s="133"/>
      <c r="OFB12" s="133"/>
      <c r="OFC12" s="133"/>
      <c r="OFD12" s="133"/>
      <c r="OFE12" s="133"/>
      <c r="OFF12" s="133"/>
      <c r="OFG12" s="133"/>
      <c r="OFH12" s="133"/>
      <c r="OFI12" s="133"/>
      <c r="OFJ12" s="133"/>
      <c r="OFK12" s="133"/>
      <c r="OFL12" s="133"/>
      <c r="OFM12" s="133"/>
      <c r="OFN12" s="133"/>
      <c r="OFO12" s="133"/>
      <c r="OFP12" s="133"/>
      <c r="OFQ12" s="133"/>
      <c r="OFR12" s="133"/>
      <c r="OFS12" s="133"/>
      <c r="OFT12" s="133"/>
      <c r="OFU12" s="133"/>
      <c r="OFV12" s="133"/>
      <c r="OFW12" s="133"/>
      <c r="OFX12" s="133"/>
      <c r="OFY12" s="133"/>
      <c r="OFZ12" s="133"/>
      <c r="OGA12" s="133"/>
      <c r="OGB12" s="133"/>
      <c r="OGC12" s="133"/>
      <c r="OGD12" s="133"/>
      <c r="OGE12" s="133"/>
      <c r="OGF12" s="133"/>
      <c r="OGG12" s="133"/>
      <c r="OGH12" s="133"/>
      <c r="OGI12" s="133"/>
      <c r="OGJ12" s="133"/>
      <c r="OGK12" s="133"/>
      <c r="OGL12" s="133"/>
      <c r="OGM12" s="133"/>
      <c r="OGN12" s="133"/>
      <c r="OGO12" s="133"/>
      <c r="OGP12" s="133"/>
      <c r="OGQ12" s="133"/>
      <c r="OGR12" s="133"/>
      <c r="OGS12" s="133"/>
      <c r="OGT12" s="133"/>
      <c r="OGU12" s="133"/>
      <c r="OGV12" s="133"/>
      <c r="OGW12" s="133"/>
      <c r="OGX12" s="133"/>
      <c r="OGY12" s="133"/>
      <c r="OGZ12" s="133"/>
      <c r="OHA12" s="133"/>
      <c r="OHB12" s="133"/>
      <c r="OHC12" s="133"/>
      <c r="OHD12" s="133"/>
      <c r="OHE12" s="133"/>
      <c r="OHF12" s="133"/>
      <c r="OHG12" s="133"/>
      <c r="OHH12" s="133"/>
      <c r="OHI12" s="133"/>
      <c r="OHJ12" s="133"/>
      <c r="OHK12" s="133"/>
      <c r="OHL12" s="133"/>
      <c r="OHM12" s="133"/>
      <c r="OHN12" s="133"/>
      <c r="OHO12" s="133"/>
      <c r="OHP12" s="133"/>
      <c r="OHQ12" s="133"/>
      <c r="OHR12" s="133"/>
      <c r="OHS12" s="133"/>
      <c r="OHT12" s="133"/>
      <c r="OHU12" s="133"/>
      <c r="OHV12" s="133"/>
      <c r="OHW12" s="133"/>
      <c r="OHX12" s="133"/>
      <c r="OHY12" s="133"/>
      <c r="OHZ12" s="133"/>
      <c r="OIA12" s="133"/>
      <c r="OIB12" s="133"/>
      <c r="OIC12" s="133"/>
      <c r="OID12" s="133"/>
      <c r="OIE12" s="133"/>
      <c r="OIF12" s="133"/>
      <c r="OIG12" s="133"/>
      <c r="OIH12" s="133"/>
      <c r="OII12" s="133"/>
      <c r="OIJ12" s="133"/>
      <c r="OIK12" s="133"/>
      <c r="OIL12" s="133"/>
      <c r="OIM12" s="133"/>
      <c r="OIN12" s="133"/>
      <c r="OIO12" s="133"/>
      <c r="OIP12" s="133"/>
      <c r="OIQ12" s="133"/>
      <c r="OIR12" s="133"/>
      <c r="OIS12" s="133"/>
      <c r="OIT12" s="133"/>
      <c r="OIU12" s="133"/>
      <c r="OIV12" s="133"/>
      <c r="OIW12" s="133"/>
      <c r="OIX12" s="133"/>
      <c r="OIY12" s="133"/>
      <c r="OIZ12" s="133"/>
      <c r="OJA12" s="133"/>
      <c r="OJB12" s="133"/>
      <c r="OJC12" s="133"/>
      <c r="OJD12" s="133"/>
      <c r="OJE12" s="133"/>
      <c r="OJF12" s="133"/>
      <c r="OJG12" s="133"/>
      <c r="OJH12" s="133"/>
      <c r="OJI12" s="133"/>
      <c r="OJJ12" s="133"/>
      <c r="OJK12" s="133"/>
      <c r="OJL12" s="133"/>
      <c r="OJM12" s="133"/>
      <c r="OJN12" s="133"/>
      <c r="OJO12" s="133"/>
      <c r="OJP12" s="133"/>
      <c r="OJQ12" s="133"/>
      <c r="OJR12" s="133"/>
      <c r="OJS12" s="133"/>
      <c r="OJT12" s="133"/>
      <c r="OJU12" s="133"/>
      <c r="OJV12" s="133"/>
      <c r="OJW12" s="133"/>
      <c r="OJX12" s="133"/>
      <c r="OJY12" s="133"/>
      <c r="OJZ12" s="133"/>
      <c r="OKA12" s="133"/>
      <c r="OKB12" s="133"/>
      <c r="OKC12" s="133"/>
      <c r="OKD12" s="133"/>
      <c r="OKE12" s="133"/>
      <c r="OKF12" s="133"/>
      <c r="OKG12" s="133"/>
      <c r="OKH12" s="133"/>
      <c r="OKI12" s="133"/>
      <c r="OKJ12" s="133"/>
      <c r="OKK12" s="133"/>
      <c r="OKL12" s="133"/>
      <c r="OKM12" s="133"/>
      <c r="OKN12" s="133"/>
      <c r="OKO12" s="133"/>
      <c r="OKP12" s="133"/>
      <c r="OKQ12" s="133"/>
      <c r="OKR12" s="133"/>
      <c r="OKS12" s="133"/>
      <c r="OKT12" s="133"/>
      <c r="OKU12" s="133"/>
      <c r="OKV12" s="133"/>
      <c r="OKW12" s="133"/>
      <c r="OKX12" s="133"/>
      <c r="OKY12" s="133"/>
      <c r="OKZ12" s="133"/>
      <c r="OLA12" s="133"/>
      <c r="OLB12" s="133"/>
      <c r="OLC12" s="133"/>
      <c r="OLD12" s="133"/>
      <c r="OLE12" s="133"/>
      <c r="OLF12" s="133"/>
      <c r="OLG12" s="133"/>
      <c r="OLH12" s="133"/>
      <c r="OLI12" s="133"/>
      <c r="OLJ12" s="133"/>
      <c r="OLK12" s="133"/>
      <c r="OLL12" s="133"/>
      <c r="OLM12" s="133"/>
      <c r="OLN12" s="133"/>
      <c r="OLO12" s="133"/>
      <c r="OLP12" s="133"/>
      <c r="OLQ12" s="133"/>
      <c r="OLR12" s="133"/>
      <c r="OLS12" s="133"/>
      <c r="OLT12" s="133"/>
      <c r="OLU12" s="133"/>
      <c r="OLV12" s="133"/>
      <c r="OLW12" s="133"/>
      <c r="OLX12" s="133"/>
      <c r="OLY12" s="133"/>
      <c r="OLZ12" s="133"/>
      <c r="OMA12" s="133"/>
      <c r="OMB12" s="133"/>
      <c r="OMC12" s="133"/>
      <c r="OMD12" s="133"/>
      <c r="OME12" s="133"/>
      <c r="OMF12" s="133"/>
      <c r="OMG12" s="133"/>
      <c r="OMH12" s="133"/>
      <c r="OMI12" s="133"/>
      <c r="OMJ12" s="133"/>
      <c r="OMK12" s="133"/>
      <c r="OML12" s="133"/>
      <c r="OMM12" s="133"/>
      <c r="OMN12" s="133"/>
      <c r="OMO12" s="133"/>
      <c r="OMP12" s="133"/>
      <c r="OMQ12" s="133"/>
      <c r="OMR12" s="133"/>
      <c r="OMS12" s="133"/>
      <c r="OMT12" s="133"/>
      <c r="OMU12" s="133"/>
      <c r="OMV12" s="133"/>
      <c r="OMW12" s="133"/>
      <c r="OMX12" s="133"/>
      <c r="OMY12" s="133"/>
      <c r="OMZ12" s="133"/>
      <c r="ONA12" s="133"/>
      <c r="ONB12" s="133"/>
      <c r="ONC12" s="133"/>
      <c r="OND12" s="133"/>
      <c r="ONE12" s="133"/>
      <c r="ONF12" s="133"/>
      <c r="ONG12" s="133"/>
      <c r="ONH12" s="133"/>
      <c r="ONI12" s="133"/>
      <c r="ONJ12" s="133"/>
      <c r="ONK12" s="133"/>
      <c r="ONL12" s="133"/>
      <c r="ONM12" s="133"/>
      <c r="ONN12" s="133"/>
      <c r="ONO12" s="133"/>
      <c r="ONP12" s="133"/>
      <c r="ONQ12" s="133"/>
      <c r="ONR12" s="133"/>
      <c r="ONS12" s="133"/>
      <c r="ONT12" s="133"/>
      <c r="ONU12" s="133"/>
      <c r="ONV12" s="133"/>
      <c r="ONW12" s="133"/>
      <c r="ONX12" s="133"/>
      <c r="ONY12" s="133"/>
      <c r="ONZ12" s="133"/>
      <c r="OOA12" s="133"/>
      <c r="OOB12" s="133"/>
      <c r="OOC12" s="133"/>
      <c r="OOD12" s="133"/>
      <c r="OOE12" s="133"/>
      <c r="OOF12" s="133"/>
      <c r="OOG12" s="133"/>
      <c r="OOH12" s="133"/>
      <c r="OOI12" s="133"/>
      <c r="OOJ12" s="133"/>
      <c r="OOK12" s="133"/>
      <c r="OOL12" s="133"/>
      <c r="OOM12" s="133"/>
      <c r="OON12" s="133"/>
      <c r="OOO12" s="133"/>
      <c r="OOP12" s="133"/>
      <c r="OOQ12" s="133"/>
      <c r="OOR12" s="133"/>
      <c r="OOS12" s="133"/>
      <c r="OOT12" s="133"/>
      <c r="OOU12" s="133"/>
      <c r="OOV12" s="133"/>
      <c r="OOW12" s="133"/>
      <c r="OOX12" s="133"/>
      <c r="OOY12" s="133"/>
      <c r="OOZ12" s="133"/>
      <c r="OPA12" s="133"/>
      <c r="OPB12" s="133"/>
      <c r="OPC12" s="133"/>
      <c r="OPD12" s="133"/>
      <c r="OPE12" s="133"/>
      <c r="OPF12" s="133"/>
      <c r="OPG12" s="133"/>
      <c r="OPH12" s="133"/>
      <c r="OPI12" s="133"/>
      <c r="OPJ12" s="133"/>
      <c r="OPK12" s="133"/>
      <c r="OPL12" s="133"/>
      <c r="OPM12" s="133"/>
      <c r="OPN12" s="133"/>
      <c r="OPO12" s="133"/>
      <c r="OPP12" s="133"/>
      <c r="OPQ12" s="133"/>
      <c r="OPR12" s="133"/>
      <c r="OPS12" s="133"/>
      <c r="OPT12" s="133"/>
      <c r="OPU12" s="133"/>
      <c r="OPV12" s="133"/>
      <c r="OPW12" s="133"/>
      <c r="OPX12" s="133"/>
      <c r="OPY12" s="133"/>
      <c r="OPZ12" s="133"/>
      <c r="OQA12" s="133"/>
      <c r="OQB12" s="133"/>
      <c r="OQC12" s="133"/>
      <c r="OQD12" s="133"/>
      <c r="OQE12" s="133"/>
      <c r="OQF12" s="133"/>
      <c r="OQG12" s="133"/>
      <c r="OQH12" s="133"/>
      <c r="OQI12" s="133"/>
      <c r="OQJ12" s="133"/>
      <c r="OQK12" s="133"/>
      <c r="OQL12" s="133"/>
      <c r="OQM12" s="133"/>
      <c r="OQN12" s="133"/>
      <c r="OQO12" s="133"/>
      <c r="OQP12" s="133"/>
      <c r="OQQ12" s="133"/>
      <c r="OQR12" s="133"/>
      <c r="OQS12" s="133"/>
      <c r="OQT12" s="133"/>
      <c r="OQU12" s="133"/>
      <c r="OQV12" s="133"/>
      <c r="OQW12" s="133"/>
      <c r="OQX12" s="133"/>
      <c r="OQY12" s="133"/>
      <c r="OQZ12" s="133"/>
      <c r="ORA12" s="133"/>
      <c r="ORB12" s="133"/>
      <c r="ORC12" s="133"/>
      <c r="ORD12" s="133"/>
      <c r="ORE12" s="133"/>
      <c r="ORF12" s="133"/>
      <c r="ORG12" s="133"/>
      <c r="ORH12" s="133"/>
      <c r="ORI12" s="133"/>
      <c r="ORJ12" s="133"/>
      <c r="ORK12" s="133"/>
      <c r="ORL12" s="133"/>
      <c r="ORM12" s="133"/>
      <c r="ORN12" s="133"/>
      <c r="ORO12" s="133"/>
      <c r="ORP12" s="133"/>
      <c r="ORQ12" s="133"/>
      <c r="ORR12" s="133"/>
      <c r="ORS12" s="133"/>
      <c r="ORT12" s="133"/>
      <c r="ORU12" s="133"/>
      <c r="ORV12" s="133"/>
      <c r="ORW12" s="133"/>
      <c r="ORX12" s="133"/>
      <c r="ORY12" s="133"/>
      <c r="ORZ12" s="133"/>
      <c r="OSA12" s="133"/>
      <c r="OSB12" s="133"/>
      <c r="OSC12" s="133"/>
      <c r="OSD12" s="133"/>
      <c r="OSE12" s="133"/>
      <c r="OSF12" s="133"/>
      <c r="OSG12" s="133"/>
      <c r="OSH12" s="133"/>
      <c r="OSI12" s="133"/>
      <c r="OSJ12" s="133"/>
      <c r="OSK12" s="133"/>
      <c r="OSL12" s="133"/>
      <c r="OSM12" s="133"/>
      <c r="OSN12" s="133"/>
      <c r="OSO12" s="133"/>
      <c r="OSP12" s="133"/>
      <c r="OSQ12" s="133"/>
      <c r="OSR12" s="133"/>
      <c r="OSS12" s="133"/>
      <c r="OST12" s="133"/>
      <c r="OSU12" s="133"/>
      <c r="OSV12" s="133"/>
      <c r="OSW12" s="133"/>
      <c r="OSX12" s="133"/>
      <c r="OSY12" s="133"/>
      <c r="OSZ12" s="133"/>
      <c r="OTA12" s="133"/>
      <c r="OTB12" s="133"/>
      <c r="OTC12" s="133"/>
      <c r="OTD12" s="133"/>
      <c r="OTE12" s="133"/>
      <c r="OTF12" s="133"/>
      <c r="OTG12" s="133"/>
      <c r="OTH12" s="133"/>
      <c r="OTI12" s="133"/>
      <c r="OTJ12" s="133"/>
      <c r="OTK12" s="133"/>
      <c r="OTL12" s="133"/>
      <c r="OTM12" s="133"/>
      <c r="OTN12" s="133"/>
      <c r="OTO12" s="133"/>
      <c r="OTP12" s="133"/>
      <c r="OTQ12" s="133"/>
      <c r="OTR12" s="133"/>
      <c r="OTS12" s="133"/>
      <c r="OTT12" s="133"/>
      <c r="OTU12" s="133"/>
      <c r="OTV12" s="133"/>
      <c r="OTW12" s="133"/>
      <c r="OTX12" s="133"/>
      <c r="OTY12" s="133"/>
      <c r="OTZ12" s="133"/>
      <c r="OUA12" s="133"/>
      <c r="OUB12" s="133"/>
      <c r="OUC12" s="133"/>
      <c r="OUD12" s="133"/>
      <c r="OUE12" s="133"/>
      <c r="OUF12" s="133"/>
      <c r="OUG12" s="133"/>
      <c r="OUH12" s="133"/>
      <c r="OUI12" s="133"/>
      <c r="OUJ12" s="133"/>
      <c r="OUK12" s="133"/>
      <c r="OUL12" s="133"/>
      <c r="OUM12" s="133"/>
      <c r="OUN12" s="133"/>
      <c r="OUO12" s="133"/>
      <c r="OUP12" s="133"/>
      <c r="OUQ12" s="133"/>
      <c r="OUR12" s="133"/>
      <c r="OUS12" s="133"/>
      <c r="OUT12" s="133"/>
      <c r="OUU12" s="133"/>
      <c r="OUV12" s="133"/>
      <c r="OUW12" s="133"/>
      <c r="OUX12" s="133"/>
      <c r="OUY12" s="133"/>
      <c r="OUZ12" s="133"/>
      <c r="OVA12" s="133"/>
      <c r="OVB12" s="133"/>
      <c r="OVC12" s="133"/>
      <c r="OVD12" s="133"/>
      <c r="OVE12" s="133"/>
      <c r="OVF12" s="133"/>
      <c r="OVG12" s="133"/>
      <c r="OVH12" s="133"/>
      <c r="OVI12" s="133"/>
      <c r="OVJ12" s="133"/>
      <c r="OVK12" s="133"/>
      <c r="OVL12" s="133"/>
      <c r="OVM12" s="133"/>
      <c r="OVN12" s="133"/>
      <c r="OVO12" s="133"/>
      <c r="OVP12" s="133"/>
      <c r="OVQ12" s="133"/>
      <c r="OVR12" s="133"/>
      <c r="OVS12" s="133"/>
      <c r="OVT12" s="133"/>
      <c r="OVU12" s="133"/>
      <c r="OVV12" s="133"/>
      <c r="OVW12" s="133"/>
      <c r="OVX12" s="133"/>
      <c r="OVY12" s="133"/>
      <c r="OVZ12" s="133"/>
      <c r="OWA12" s="133"/>
      <c r="OWB12" s="133"/>
      <c r="OWC12" s="133"/>
      <c r="OWD12" s="133"/>
      <c r="OWE12" s="133"/>
      <c r="OWF12" s="133"/>
      <c r="OWG12" s="133"/>
      <c r="OWH12" s="133"/>
      <c r="OWI12" s="133"/>
      <c r="OWJ12" s="133"/>
      <c r="OWK12" s="133"/>
      <c r="OWL12" s="133"/>
      <c r="OWM12" s="133"/>
      <c r="OWN12" s="133"/>
      <c r="OWO12" s="133"/>
      <c r="OWP12" s="133"/>
      <c r="OWQ12" s="133"/>
      <c r="OWR12" s="133"/>
      <c r="OWS12" s="133"/>
      <c r="OWT12" s="133"/>
      <c r="OWU12" s="133"/>
      <c r="OWV12" s="133"/>
      <c r="OWW12" s="133"/>
      <c r="OWX12" s="133"/>
      <c r="OWY12" s="133"/>
      <c r="OWZ12" s="133"/>
      <c r="OXA12" s="133"/>
      <c r="OXB12" s="133"/>
      <c r="OXC12" s="133"/>
      <c r="OXD12" s="133"/>
      <c r="OXE12" s="133"/>
      <c r="OXF12" s="133"/>
      <c r="OXG12" s="133"/>
      <c r="OXH12" s="133"/>
      <c r="OXI12" s="133"/>
      <c r="OXJ12" s="133"/>
      <c r="OXK12" s="133"/>
      <c r="OXL12" s="133"/>
      <c r="OXM12" s="133"/>
      <c r="OXN12" s="133"/>
      <c r="OXO12" s="133"/>
      <c r="OXP12" s="133"/>
      <c r="OXQ12" s="133"/>
      <c r="OXR12" s="133"/>
      <c r="OXS12" s="133"/>
      <c r="OXT12" s="133"/>
      <c r="OXU12" s="133"/>
      <c r="OXV12" s="133"/>
      <c r="OXW12" s="133"/>
      <c r="OXX12" s="133"/>
      <c r="OXY12" s="133"/>
      <c r="OXZ12" s="133"/>
      <c r="OYA12" s="133"/>
      <c r="OYB12" s="133"/>
      <c r="OYC12" s="133"/>
      <c r="OYD12" s="133"/>
      <c r="OYE12" s="133"/>
      <c r="OYF12" s="133"/>
      <c r="OYG12" s="133"/>
      <c r="OYH12" s="133"/>
      <c r="OYI12" s="133"/>
      <c r="OYJ12" s="133"/>
      <c r="OYK12" s="133"/>
      <c r="OYL12" s="133"/>
      <c r="OYM12" s="133"/>
      <c r="OYN12" s="133"/>
      <c r="OYO12" s="133"/>
      <c r="OYP12" s="133"/>
      <c r="OYQ12" s="133"/>
      <c r="OYR12" s="133"/>
      <c r="OYS12" s="133"/>
      <c r="OYT12" s="133"/>
      <c r="OYU12" s="133"/>
      <c r="OYV12" s="133"/>
      <c r="OYW12" s="133"/>
      <c r="OYX12" s="133"/>
      <c r="OYY12" s="133"/>
      <c r="OYZ12" s="133"/>
      <c r="OZA12" s="133"/>
      <c r="OZB12" s="133"/>
      <c r="OZC12" s="133"/>
      <c r="OZD12" s="133"/>
      <c r="OZE12" s="133"/>
      <c r="OZF12" s="133"/>
      <c r="OZG12" s="133"/>
      <c r="OZH12" s="133"/>
      <c r="OZI12" s="133"/>
      <c r="OZJ12" s="133"/>
      <c r="OZK12" s="133"/>
      <c r="OZL12" s="133"/>
      <c r="OZM12" s="133"/>
      <c r="OZN12" s="133"/>
      <c r="OZO12" s="133"/>
      <c r="OZP12" s="133"/>
      <c r="OZQ12" s="133"/>
      <c r="OZR12" s="133"/>
      <c r="OZS12" s="133"/>
      <c r="OZT12" s="133"/>
      <c r="OZU12" s="133"/>
      <c r="OZV12" s="133"/>
      <c r="OZW12" s="133"/>
      <c r="OZX12" s="133"/>
      <c r="OZY12" s="133"/>
      <c r="OZZ12" s="133"/>
      <c r="PAA12" s="133"/>
      <c r="PAB12" s="133"/>
      <c r="PAC12" s="133"/>
      <c r="PAD12" s="133"/>
      <c r="PAE12" s="133"/>
      <c r="PAF12" s="133"/>
      <c r="PAG12" s="133"/>
      <c r="PAH12" s="133"/>
      <c r="PAI12" s="133"/>
      <c r="PAJ12" s="133"/>
      <c r="PAK12" s="133"/>
      <c r="PAL12" s="133"/>
      <c r="PAM12" s="133"/>
      <c r="PAN12" s="133"/>
      <c r="PAO12" s="133"/>
      <c r="PAP12" s="133"/>
      <c r="PAQ12" s="133"/>
      <c r="PAR12" s="133"/>
      <c r="PAS12" s="133"/>
      <c r="PAT12" s="133"/>
      <c r="PAU12" s="133"/>
      <c r="PAV12" s="133"/>
      <c r="PAW12" s="133"/>
      <c r="PAX12" s="133"/>
      <c r="PAY12" s="133"/>
      <c r="PAZ12" s="133"/>
      <c r="PBA12" s="133"/>
      <c r="PBB12" s="133"/>
      <c r="PBC12" s="133"/>
      <c r="PBD12" s="133"/>
      <c r="PBE12" s="133"/>
      <c r="PBF12" s="133"/>
      <c r="PBG12" s="133"/>
      <c r="PBH12" s="133"/>
      <c r="PBI12" s="133"/>
      <c r="PBJ12" s="133"/>
      <c r="PBK12" s="133"/>
      <c r="PBL12" s="133"/>
      <c r="PBM12" s="133"/>
      <c r="PBN12" s="133"/>
      <c r="PBO12" s="133"/>
      <c r="PBP12" s="133"/>
      <c r="PBQ12" s="133"/>
      <c r="PBR12" s="133"/>
      <c r="PBS12" s="133"/>
      <c r="PBT12" s="133"/>
      <c r="PBU12" s="133"/>
      <c r="PBV12" s="133"/>
      <c r="PBW12" s="133"/>
      <c r="PBX12" s="133"/>
      <c r="PBY12" s="133"/>
      <c r="PBZ12" s="133"/>
      <c r="PCA12" s="133"/>
      <c r="PCB12" s="133"/>
      <c r="PCC12" s="133"/>
      <c r="PCD12" s="133"/>
      <c r="PCE12" s="133"/>
      <c r="PCF12" s="133"/>
      <c r="PCG12" s="133"/>
      <c r="PCH12" s="133"/>
      <c r="PCI12" s="133"/>
      <c r="PCJ12" s="133"/>
      <c r="PCK12" s="133"/>
      <c r="PCL12" s="133"/>
      <c r="PCM12" s="133"/>
      <c r="PCN12" s="133"/>
      <c r="PCO12" s="133"/>
      <c r="PCP12" s="133"/>
      <c r="PCQ12" s="133"/>
      <c r="PCR12" s="133"/>
      <c r="PCS12" s="133"/>
      <c r="PCT12" s="133"/>
      <c r="PCU12" s="133"/>
      <c r="PCV12" s="133"/>
      <c r="PCW12" s="133"/>
      <c r="PCX12" s="133"/>
      <c r="PCY12" s="133"/>
      <c r="PCZ12" s="133"/>
      <c r="PDA12" s="133"/>
      <c r="PDB12" s="133"/>
      <c r="PDC12" s="133"/>
      <c r="PDD12" s="133"/>
      <c r="PDE12" s="133"/>
      <c r="PDF12" s="133"/>
      <c r="PDG12" s="133"/>
      <c r="PDH12" s="133"/>
      <c r="PDI12" s="133"/>
      <c r="PDJ12" s="133"/>
      <c r="PDK12" s="133"/>
      <c r="PDL12" s="133"/>
      <c r="PDM12" s="133"/>
      <c r="PDN12" s="133"/>
      <c r="PDO12" s="133"/>
      <c r="PDP12" s="133"/>
      <c r="PDQ12" s="133"/>
      <c r="PDR12" s="133"/>
      <c r="PDS12" s="133"/>
      <c r="PDT12" s="133"/>
      <c r="PDU12" s="133"/>
      <c r="PDV12" s="133"/>
      <c r="PDW12" s="133"/>
      <c r="PDX12" s="133"/>
      <c r="PDY12" s="133"/>
      <c r="PDZ12" s="133"/>
      <c r="PEA12" s="133"/>
      <c r="PEB12" s="133"/>
      <c r="PEC12" s="133"/>
      <c r="PED12" s="133"/>
      <c r="PEE12" s="133"/>
      <c r="PEF12" s="133"/>
      <c r="PEG12" s="133"/>
      <c r="PEH12" s="133"/>
      <c r="PEI12" s="133"/>
      <c r="PEJ12" s="133"/>
      <c r="PEK12" s="133"/>
      <c r="PEL12" s="133"/>
      <c r="PEM12" s="133"/>
      <c r="PEN12" s="133"/>
      <c r="PEO12" s="133"/>
      <c r="PEP12" s="133"/>
      <c r="PEQ12" s="133"/>
      <c r="PER12" s="133"/>
      <c r="PES12" s="133"/>
      <c r="PET12" s="133"/>
      <c r="PEU12" s="133"/>
      <c r="PEV12" s="133"/>
      <c r="PEW12" s="133"/>
      <c r="PEX12" s="133"/>
      <c r="PEY12" s="133"/>
      <c r="PEZ12" s="133"/>
      <c r="PFA12" s="133"/>
      <c r="PFB12" s="133"/>
      <c r="PFC12" s="133"/>
      <c r="PFD12" s="133"/>
      <c r="PFE12" s="133"/>
      <c r="PFF12" s="133"/>
      <c r="PFG12" s="133"/>
      <c r="PFH12" s="133"/>
      <c r="PFI12" s="133"/>
      <c r="PFJ12" s="133"/>
      <c r="PFK12" s="133"/>
      <c r="PFL12" s="133"/>
      <c r="PFM12" s="133"/>
      <c r="PFN12" s="133"/>
      <c r="PFO12" s="133"/>
      <c r="PFP12" s="133"/>
      <c r="PFQ12" s="133"/>
      <c r="PFR12" s="133"/>
      <c r="PFS12" s="133"/>
      <c r="PFT12" s="133"/>
      <c r="PFU12" s="133"/>
      <c r="PFV12" s="133"/>
      <c r="PFW12" s="133"/>
      <c r="PFX12" s="133"/>
      <c r="PFY12" s="133"/>
      <c r="PFZ12" s="133"/>
      <c r="PGA12" s="133"/>
      <c r="PGB12" s="133"/>
      <c r="PGC12" s="133"/>
      <c r="PGD12" s="133"/>
      <c r="PGE12" s="133"/>
      <c r="PGF12" s="133"/>
      <c r="PGG12" s="133"/>
      <c r="PGH12" s="133"/>
      <c r="PGI12" s="133"/>
      <c r="PGJ12" s="133"/>
      <c r="PGK12" s="133"/>
      <c r="PGL12" s="133"/>
      <c r="PGM12" s="133"/>
      <c r="PGN12" s="133"/>
      <c r="PGO12" s="133"/>
      <c r="PGP12" s="133"/>
      <c r="PGQ12" s="133"/>
      <c r="PGR12" s="133"/>
      <c r="PGS12" s="133"/>
      <c r="PGT12" s="133"/>
      <c r="PGU12" s="133"/>
      <c r="PGV12" s="133"/>
      <c r="PGW12" s="133"/>
      <c r="PGX12" s="133"/>
      <c r="PGY12" s="133"/>
      <c r="PGZ12" s="133"/>
      <c r="PHA12" s="133"/>
      <c r="PHB12" s="133"/>
      <c r="PHC12" s="133"/>
      <c r="PHD12" s="133"/>
      <c r="PHE12" s="133"/>
      <c r="PHF12" s="133"/>
      <c r="PHG12" s="133"/>
      <c r="PHH12" s="133"/>
      <c r="PHI12" s="133"/>
      <c r="PHJ12" s="133"/>
      <c r="PHK12" s="133"/>
      <c r="PHL12" s="133"/>
      <c r="PHM12" s="133"/>
      <c r="PHN12" s="133"/>
      <c r="PHO12" s="133"/>
      <c r="PHP12" s="133"/>
      <c r="PHQ12" s="133"/>
      <c r="PHR12" s="133"/>
      <c r="PHS12" s="133"/>
      <c r="PHT12" s="133"/>
      <c r="PHU12" s="133"/>
      <c r="PHV12" s="133"/>
      <c r="PHW12" s="133"/>
      <c r="PHX12" s="133"/>
      <c r="PHY12" s="133"/>
      <c r="PHZ12" s="133"/>
      <c r="PIA12" s="133"/>
      <c r="PIB12" s="133"/>
      <c r="PIC12" s="133"/>
      <c r="PID12" s="133"/>
      <c r="PIE12" s="133"/>
      <c r="PIF12" s="133"/>
      <c r="PIG12" s="133"/>
      <c r="PIH12" s="133"/>
      <c r="PII12" s="133"/>
      <c r="PIJ12" s="133"/>
      <c r="PIK12" s="133"/>
      <c r="PIL12" s="133"/>
      <c r="PIM12" s="133"/>
      <c r="PIN12" s="133"/>
      <c r="PIO12" s="133"/>
      <c r="PIP12" s="133"/>
      <c r="PIQ12" s="133"/>
      <c r="PIR12" s="133"/>
      <c r="PIS12" s="133"/>
      <c r="PIT12" s="133"/>
      <c r="PIU12" s="133"/>
      <c r="PIV12" s="133"/>
      <c r="PIW12" s="133"/>
      <c r="PIX12" s="133"/>
      <c r="PIY12" s="133"/>
      <c r="PIZ12" s="133"/>
      <c r="PJA12" s="133"/>
      <c r="PJB12" s="133"/>
      <c r="PJC12" s="133"/>
      <c r="PJD12" s="133"/>
      <c r="PJE12" s="133"/>
      <c r="PJF12" s="133"/>
      <c r="PJG12" s="133"/>
      <c r="PJH12" s="133"/>
      <c r="PJI12" s="133"/>
      <c r="PJJ12" s="133"/>
      <c r="PJK12" s="133"/>
      <c r="PJL12" s="133"/>
      <c r="PJM12" s="133"/>
      <c r="PJN12" s="133"/>
      <c r="PJO12" s="133"/>
      <c r="PJP12" s="133"/>
      <c r="PJQ12" s="133"/>
      <c r="PJR12" s="133"/>
      <c r="PJS12" s="133"/>
      <c r="PJT12" s="133"/>
      <c r="PJU12" s="133"/>
      <c r="PJV12" s="133"/>
      <c r="PJW12" s="133"/>
      <c r="PJX12" s="133"/>
      <c r="PJY12" s="133"/>
      <c r="PJZ12" s="133"/>
      <c r="PKA12" s="133"/>
      <c r="PKB12" s="133"/>
      <c r="PKC12" s="133"/>
      <c r="PKD12" s="133"/>
      <c r="PKE12" s="133"/>
      <c r="PKF12" s="133"/>
      <c r="PKG12" s="133"/>
      <c r="PKH12" s="133"/>
      <c r="PKI12" s="133"/>
      <c r="PKJ12" s="133"/>
      <c r="PKK12" s="133"/>
      <c r="PKL12" s="133"/>
      <c r="PKM12" s="133"/>
      <c r="PKN12" s="133"/>
      <c r="PKO12" s="133"/>
      <c r="PKP12" s="133"/>
      <c r="PKQ12" s="133"/>
      <c r="PKR12" s="133"/>
      <c r="PKS12" s="133"/>
      <c r="PKT12" s="133"/>
      <c r="PKU12" s="133"/>
      <c r="PKV12" s="133"/>
      <c r="PKW12" s="133"/>
      <c r="PKX12" s="133"/>
      <c r="PKY12" s="133"/>
      <c r="PKZ12" s="133"/>
      <c r="PLA12" s="133"/>
      <c r="PLB12" s="133"/>
      <c r="PLC12" s="133"/>
      <c r="PLD12" s="133"/>
      <c r="PLE12" s="133"/>
      <c r="PLF12" s="133"/>
      <c r="PLG12" s="133"/>
      <c r="PLH12" s="133"/>
      <c r="PLI12" s="133"/>
      <c r="PLJ12" s="133"/>
      <c r="PLK12" s="133"/>
      <c r="PLL12" s="133"/>
      <c r="PLM12" s="133"/>
      <c r="PLN12" s="133"/>
      <c r="PLO12" s="133"/>
      <c r="PLP12" s="133"/>
      <c r="PLQ12" s="133"/>
      <c r="PLR12" s="133"/>
      <c r="PLS12" s="133"/>
      <c r="PLT12" s="133"/>
      <c r="PLU12" s="133"/>
      <c r="PLV12" s="133"/>
      <c r="PLW12" s="133"/>
      <c r="PLX12" s="133"/>
      <c r="PLY12" s="133"/>
      <c r="PLZ12" s="133"/>
      <c r="PMA12" s="133"/>
      <c r="PMB12" s="133"/>
      <c r="PMC12" s="133"/>
      <c r="PMD12" s="133"/>
      <c r="PME12" s="133"/>
      <c r="PMF12" s="133"/>
      <c r="PMG12" s="133"/>
      <c r="PMH12" s="133"/>
      <c r="PMI12" s="133"/>
      <c r="PMJ12" s="133"/>
      <c r="PMK12" s="133"/>
      <c r="PML12" s="133"/>
      <c r="PMM12" s="133"/>
      <c r="PMN12" s="133"/>
      <c r="PMO12" s="133"/>
      <c r="PMP12" s="133"/>
      <c r="PMQ12" s="133"/>
      <c r="PMR12" s="133"/>
      <c r="PMS12" s="133"/>
      <c r="PMT12" s="133"/>
      <c r="PMU12" s="133"/>
      <c r="PMV12" s="133"/>
      <c r="PMW12" s="133"/>
      <c r="PMX12" s="133"/>
      <c r="PMY12" s="133"/>
      <c r="PMZ12" s="133"/>
      <c r="PNA12" s="133"/>
      <c r="PNB12" s="133"/>
      <c r="PNC12" s="133"/>
      <c r="PND12" s="133"/>
      <c r="PNE12" s="133"/>
      <c r="PNF12" s="133"/>
      <c r="PNG12" s="133"/>
      <c r="PNH12" s="133"/>
      <c r="PNI12" s="133"/>
      <c r="PNJ12" s="133"/>
      <c r="PNK12" s="133"/>
      <c r="PNL12" s="133"/>
      <c r="PNM12" s="133"/>
      <c r="PNN12" s="133"/>
      <c r="PNO12" s="133"/>
      <c r="PNP12" s="133"/>
      <c r="PNQ12" s="133"/>
      <c r="PNR12" s="133"/>
      <c r="PNS12" s="133"/>
      <c r="PNT12" s="133"/>
      <c r="PNU12" s="133"/>
      <c r="PNV12" s="133"/>
      <c r="PNW12" s="133"/>
      <c r="PNX12" s="133"/>
      <c r="PNY12" s="133"/>
      <c r="PNZ12" s="133"/>
      <c r="POA12" s="133"/>
      <c r="POB12" s="133"/>
      <c r="POC12" s="133"/>
      <c r="POD12" s="133"/>
      <c r="POE12" s="133"/>
      <c r="POF12" s="133"/>
      <c r="POG12" s="133"/>
      <c r="POH12" s="133"/>
      <c r="POI12" s="133"/>
      <c r="POJ12" s="133"/>
      <c r="POK12" s="133"/>
      <c r="POL12" s="133"/>
      <c r="POM12" s="133"/>
      <c r="PON12" s="133"/>
      <c r="POO12" s="133"/>
    </row>
    <row r="13" spans="1:1013 1026:2037 2050:3061 3074:4085 4098:5109 5122:6133 6146:7157 7170:8181 8194:9205 9218:10229 10242:11221" s="33" customFormat="1" ht="14.95" customHeight="1" thickBot="1" x14ac:dyDescent="0.3">
      <c r="A13" s="468" t="s">
        <v>428</v>
      </c>
      <c r="B13" s="469" t="s">
        <v>199</v>
      </c>
      <c r="C13" s="470" t="s">
        <v>19</v>
      </c>
      <c r="D13" s="471" t="s">
        <v>299</v>
      </c>
      <c r="E13" s="471" t="s">
        <v>34</v>
      </c>
      <c r="F13" s="471">
        <v>12</v>
      </c>
      <c r="G13" s="471">
        <v>25</v>
      </c>
      <c r="H13" s="471">
        <v>0</v>
      </c>
      <c r="I13" s="471">
        <v>0</v>
      </c>
      <c r="J13" s="471">
        <v>0</v>
      </c>
      <c r="K13" s="471">
        <v>0</v>
      </c>
      <c r="L13" s="471">
        <v>0</v>
      </c>
      <c r="M13" s="471">
        <v>4</v>
      </c>
      <c r="N13" s="471">
        <v>0</v>
      </c>
      <c r="O13" s="471">
        <v>0</v>
      </c>
      <c r="P13" s="471">
        <v>0</v>
      </c>
      <c r="Q13" s="471">
        <v>0</v>
      </c>
      <c r="R13" s="471">
        <v>1</v>
      </c>
      <c r="S13" s="472">
        <v>14509</v>
      </c>
      <c r="T13" s="477" t="s">
        <v>623</v>
      </c>
      <c r="U13" s="478" t="s">
        <v>624</v>
      </c>
      <c r="V13" s="472" t="s">
        <v>625</v>
      </c>
      <c r="W13" s="472" t="s">
        <v>626</v>
      </c>
      <c r="X13" s="473" t="s">
        <v>627</v>
      </c>
      <c r="Y13" s="472">
        <v>1</v>
      </c>
      <c r="Z13" s="472">
        <v>0</v>
      </c>
      <c r="AA13" s="472">
        <v>0</v>
      </c>
      <c r="AB13" s="472">
        <v>1</v>
      </c>
      <c r="AC13" s="472">
        <v>1</v>
      </c>
      <c r="AD13" s="472">
        <v>0</v>
      </c>
      <c r="AE13" s="472">
        <v>0</v>
      </c>
      <c r="AF13" s="472">
        <v>1</v>
      </c>
      <c r="AG13" s="472">
        <v>0</v>
      </c>
      <c r="AH13" s="472">
        <v>0</v>
      </c>
      <c r="AI13" s="472">
        <v>0</v>
      </c>
      <c r="AJ13" s="478">
        <v>0</v>
      </c>
      <c r="AK13" s="472">
        <v>0</v>
      </c>
      <c r="AL13" s="472">
        <v>0</v>
      </c>
      <c r="AM13" s="472">
        <v>0</v>
      </c>
      <c r="AN13" s="478">
        <v>0</v>
      </c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  <c r="BRS13" s="131"/>
      <c r="BRT13" s="131"/>
      <c r="BRU13" s="131"/>
      <c r="BRV13" s="131"/>
      <c r="BRW13" s="131"/>
      <c r="BRX13" s="131"/>
      <c r="BRY13" s="131"/>
      <c r="BRZ13" s="131"/>
      <c r="BSA13" s="131"/>
      <c r="BSB13" s="131"/>
      <c r="BSC13" s="131"/>
      <c r="BSD13" s="131"/>
      <c r="BSE13" s="131"/>
      <c r="BSF13" s="131"/>
      <c r="BSG13" s="131"/>
      <c r="BSH13" s="131"/>
      <c r="BSI13" s="131"/>
      <c r="BSJ13" s="131"/>
      <c r="BSK13" s="131"/>
      <c r="BSL13" s="131"/>
      <c r="BSM13" s="131"/>
      <c r="BSN13" s="131"/>
      <c r="BSO13" s="131"/>
      <c r="BSP13" s="131"/>
      <c r="BSQ13" s="131"/>
      <c r="BSR13" s="131"/>
      <c r="BSS13" s="131"/>
      <c r="BST13" s="131"/>
      <c r="BSU13" s="131"/>
      <c r="BSV13" s="131"/>
      <c r="BSW13" s="131"/>
      <c r="BSX13" s="131"/>
      <c r="BSY13" s="131"/>
      <c r="BSZ13" s="131"/>
      <c r="BTA13" s="131"/>
      <c r="BTB13" s="131"/>
      <c r="BTC13" s="131"/>
      <c r="BTD13" s="131"/>
      <c r="BTE13" s="131"/>
      <c r="BTF13" s="131"/>
      <c r="BTG13" s="131"/>
      <c r="BTH13" s="131"/>
      <c r="BTI13" s="131"/>
      <c r="BTJ13" s="131"/>
      <c r="BTK13" s="131"/>
      <c r="BTL13" s="131"/>
      <c r="BTM13" s="131"/>
      <c r="BTN13" s="131"/>
      <c r="BTO13" s="131"/>
      <c r="BTP13" s="131"/>
      <c r="BTQ13" s="131"/>
      <c r="BTR13" s="131"/>
      <c r="BTS13" s="131"/>
      <c r="BTT13" s="131"/>
      <c r="BTU13" s="131"/>
      <c r="BTV13" s="131"/>
      <c r="BTW13" s="131"/>
      <c r="BTX13" s="131"/>
      <c r="BTY13" s="131"/>
      <c r="BTZ13" s="131"/>
      <c r="BUA13" s="131"/>
      <c r="BUB13" s="131"/>
      <c r="BUC13" s="131"/>
      <c r="BUD13" s="131"/>
      <c r="BUE13" s="131"/>
      <c r="BUF13" s="131"/>
      <c r="BUG13" s="131"/>
      <c r="BUH13" s="131"/>
      <c r="BUI13" s="131"/>
      <c r="BUJ13" s="131"/>
      <c r="BUK13" s="131"/>
      <c r="BUL13" s="131"/>
      <c r="BUM13" s="131"/>
      <c r="BUN13" s="131"/>
      <c r="BUO13" s="131"/>
      <c r="BUP13" s="131"/>
      <c r="BUQ13" s="131"/>
      <c r="BUR13" s="131"/>
      <c r="BUS13" s="131"/>
      <c r="BUT13" s="131"/>
      <c r="BUU13" s="131"/>
      <c r="BUV13" s="131"/>
      <c r="BUW13" s="131"/>
      <c r="BUX13" s="131"/>
      <c r="BUY13" s="131"/>
      <c r="BUZ13" s="131"/>
      <c r="BVA13" s="131"/>
      <c r="BVB13" s="131"/>
      <c r="BVC13" s="131"/>
      <c r="BVD13" s="131"/>
      <c r="BVE13" s="131"/>
      <c r="BVF13" s="131"/>
      <c r="BVG13" s="131"/>
      <c r="BVH13" s="131"/>
      <c r="BVI13" s="131"/>
      <c r="BVJ13" s="131"/>
      <c r="BVK13" s="131"/>
      <c r="BVL13" s="131"/>
      <c r="BVM13" s="131"/>
      <c r="BVN13" s="131"/>
      <c r="BVO13" s="131"/>
      <c r="BVP13" s="131"/>
      <c r="BVQ13" s="131"/>
      <c r="BVR13" s="131"/>
      <c r="BVS13" s="131"/>
      <c r="BVT13" s="131"/>
      <c r="BVU13" s="131"/>
      <c r="BVV13" s="131"/>
      <c r="BVW13" s="131"/>
      <c r="BVX13" s="131"/>
      <c r="BVY13" s="131"/>
      <c r="BVZ13" s="131"/>
      <c r="BWA13" s="131"/>
      <c r="BWB13" s="131"/>
      <c r="BWC13" s="131"/>
      <c r="BWD13" s="131"/>
      <c r="BWE13" s="131"/>
      <c r="BWF13" s="131"/>
      <c r="BWG13" s="131"/>
      <c r="BWH13" s="131"/>
      <c r="BWI13" s="131"/>
      <c r="BWJ13" s="131"/>
      <c r="BWK13" s="131"/>
      <c r="BWL13" s="131"/>
      <c r="BWM13" s="131"/>
      <c r="BWN13" s="131"/>
      <c r="BWO13" s="131"/>
      <c r="BWP13" s="131"/>
      <c r="BWQ13" s="131"/>
      <c r="BWR13" s="131"/>
      <c r="BWS13" s="131"/>
      <c r="BWT13" s="131"/>
      <c r="BWU13" s="131"/>
      <c r="BWV13" s="131"/>
      <c r="BWW13" s="131"/>
      <c r="BWX13" s="131"/>
      <c r="BWY13" s="131"/>
      <c r="BWZ13" s="131"/>
      <c r="BXA13" s="131"/>
      <c r="BXB13" s="131"/>
      <c r="BXC13" s="131"/>
      <c r="BXD13" s="131"/>
      <c r="BXE13" s="131"/>
      <c r="BXF13" s="131"/>
      <c r="BXG13" s="131"/>
      <c r="BXH13" s="131"/>
      <c r="BXI13" s="131"/>
      <c r="BXJ13" s="131"/>
      <c r="BXK13" s="131"/>
      <c r="BXL13" s="131"/>
      <c r="BXM13" s="131"/>
      <c r="BXN13" s="131"/>
      <c r="BXO13" s="131"/>
      <c r="BXP13" s="131"/>
      <c r="BXQ13" s="131"/>
      <c r="BXR13" s="131"/>
      <c r="BXS13" s="131"/>
      <c r="BXT13" s="131"/>
      <c r="BXU13" s="131"/>
      <c r="BXV13" s="131"/>
      <c r="BXW13" s="131"/>
      <c r="BXX13" s="131"/>
      <c r="BXY13" s="131"/>
      <c r="BXZ13" s="131"/>
      <c r="BYA13" s="131"/>
      <c r="BYB13" s="131"/>
      <c r="BYC13" s="131"/>
      <c r="BYD13" s="131"/>
      <c r="BYE13" s="131"/>
      <c r="BYF13" s="131"/>
      <c r="BYG13" s="131"/>
      <c r="BYH13" s="131"/>
      <c r="BYI13" s="131"/>
      <c r="BYJ13" s="131"/>
      <c r="BYK13" s="131"/>
      <c r="BYL13" s="131"/>
      <c r="BYM13" s="131"/>
      <c r="BYN13" s="131"/>
      <c r="BYO13" s="131"/>
      <c r="BYP13" s="131"/>
      <c r="BYQ13" s="131"/>
      <c r="BYR13" s="131"/>
      <c r="BYS13" s="131"/>
      <c r="BYT13" s="131"/>
      <c r="BYU13" s="131"/>
      <c r="BYV13" s="131"/>
      <c r="BYW13" s="131"/>
      <c r="BYX13" s="131"/>
      <c r="BYY13" s="131"/>
      <c r="BYZ13" s="131"/>
      <c r="BZA13" s="131"/>
      <c r="BZB13" s="131"/>
      <c r="BZC13" s="131"/>
      <c r="BZD13" s="131"/>
      <c r="BZE13" s="131"/>
      <c r="BZF13" s="131"/>
      <c r="BZG13" s="131"/>
      <c r="BZH13" s="131"/>
      <c r="BZI13" s="131"/>
      <c r="BZV13" s="131"/>
      <c r="BZW13" s="131"/>
      <c r="BZX13" s="131"/>
      <c r="BZY13" s="131"/>
      <c r="BZZ13" s="131"/>
      <c r="CAA13" s="131"/>
      <c r="CAB13" s="131"/>
      <c r="CAC13" s="131"/>
      <c r="CAD13" s="131"/>
      <c r="CAE13" s="131"/>
      <c r="CAF13" s="131"/>
      <c r="CAG13" s="131"/>
      <c r="CAH13" s="131"/>
      <c r="CAI13" s="131"/>
      <c r="CAJ13" s="131"/>
      <c r="CAK13" s="131"/>
      <c r="CAL13" s="131"/>
      <c r="CAM13" s="131"/>
      <c r="CAN13" s="131"/>
      <c r="CAO13" s="131"/>
      <c r="CAP13" s="131"/>
      <c r="CAQ13" s="131"/>
      <c r="CAR13" s="131"/>
      <c r="CAS13" s="131"/>
      <c r="CAT13" s="131"/>
      <c r="CAU13" s="131"/>
      <c r="CAV13" s="131"/>
      <c r="CAW13" s="131"/>
      <c r="CAX13" s="131"/>
      <c r="CAY13" s="131"/>
      <c r="CAZ13" s="131"/>
      <c r="CBA13" s="131"/>
      <c r="CBB13" s="131"/>
      <c r="CBC13" s="131"/>
      <c r="CBD13" s="131"/>
      <c r="CBE13" s="131"/>
      <c r="CBF13" s="131"/>
      <c r="CBG13" s="131"/>
      <c r="CBH13" s="131"/>
      <c r="CBI13" s="131"/>
      <c r="CBJ13" s="131"/>
      <c r="CBK13" s="131"/>
      <c r="CBL13" s="131"/>
      <c r="CBM13" s="131"/>
      <c r="CBN13" s="131"/>
      <c r="CBO13" s="131"/>
      <c r="CBP13" s="131"/>
      <c r="CBQ13" s="131"/>
      <c r="CBR13" s="131"/>
      <c r="CBS13" s="131"/>
      <c r="CBT13" s="131"/>
      <c r="CBU13" s="131"/>
      <c r="CBV13" s="131"/>
      <c r="CBW13" s="131"/>
      <c r="CBX13" s="131"/>
      <c r="CBY13" s="131"/>
      <c r="CBZ13" s="131"/>
      <c r="CCA13" s="131"/>
      <c r="CCB13" s="131"/>
      <c r="CCC13" s="131"/>
      <c r="CCD13" s="131"/>
      <c r="CCE13" s="131"/>
      <c r="CCF13" s="131"/>
      <c r="CCG13" s="131"/>
      <c r="CCH13" s="131"/>
      <c r="CCI13" s="131"/>
      <c r="CCJ13" s="131"/>
      <c r="CCK13" s="131"/>
      <c r="CCL13" s="131"/>
      <c r="CCM13" s="131"/>
      <c r="CCN13" s="131"/>
      <c r="CCO13" s="131"/>
      <c r="CCP13" s="131"/>
      <c r="CCQ13" s="131"/>
      <c r="CCR13" s="131"/>
      <c r="CCS13" s="131"/>
      <c r="CCT13" s="131"/>
      <c r="CCU13" s="131"/>
      <c r="CCV13" s="131"/>
      <c r="CCW13" s="131"/>
      <c r="CCX13" s="131"/>
      <c r="CCY13" s="131"/>
      <c r="CCZ13" s="131"/>
      <c r="CDA13" s="131"/>
      <c r="CDB13" s="131"/>
      <c r="CDC13" s="131"/>
      <c r="CDD13" s="131"/>
      <c r="CDE13" s="131"/>
      <c r="CDF13" s="131"/>
      <c r="CDG13" s="131"/>
      <c r="CDH13" s="131"/>
      <c r="CDI13" s="131"/>
      <c r="CDJ13" s="131"/>
      <c r="CDK13" s="131"/>
      <c r="CDL13" s="131"/>
      <c r="CDM13" s="131"/>
      <c r="CDN13" s="131"/>
      <c r="CDO13" s="131"/>
      <c r="CDP13" s="131"/>
      <c r="CDQ13" s="131"/>
      <c r="CDR13" s="131"/>
      <c r="CDS13" s="131"/>
      <c r="CDT13" s="131"/>
      <c r="CDU13" s="131"/>
      <c r="CDV13" s="131"/>
      <c r="CDW13" s="131"/>
      <c r="CDX13" s="131"/>
      <c r="CDY13" s="131"/>
      <c r="CDZ13" s="131"/>
      <c r="CEA13" s="131"/>
      <c r="CEB13" s="131"/>
      <c r="CEC13" s="131"/>
      <c r="CED13" s="131"/>
      <c r="CEE13" s="131"/>
      <c r="CEF13" s="131"/>
      <c r="CEG13" s="131"/>
      <c r="CEH13" s="131"/>
      <c r="CEI13" s="131"/>
      <c r="CEJ13" s="131"/>
      <c r="CEK13" s="131"/>
      <c r="CEL13" s="131"/>
      <c r="CEM13" s="131"/>
      <c r="CEN13" s="131"/>
      <c r="CEO13" s="131"/>
      <c r="CEP13" s="131"/>
      <c r="CEQ13" s="131"/>
      <c r="CER13" s="131"/>
      <c r="CES13" s="131"/>
      <c r="CET13" s="131"/>
      <c r="CEU13" s="131"/>
      <c r="CEV13" s="131"/>
      <c r="CEW13" s="131"/>
      <c r="CEX13" s="131"/>
      <c r="CEY13" s="131"/>
      <c r="CEZ13" s="131"/>
      <c r="CFA13" s="131"/>
      <c r="CFB13" s="131"/>
      <c r="CFC13" s="131"/>
      <c r="CFD13" s="131"/>
      <c r="CFE13" s="131"/>
      <c r="CFF13" s="131"/>
      <c r="CFG13" s="131"/>
      <c r="CFH13" s="131"/>
      <c r="CFI13" s="131"/>
      <c r="CFJ13" s="131"/>
      <c r="CFK13" s="131"/>
      <c r="CFL13" s="131"/>
      <c r="CFM13" s="131"/>
      <c r="CFN13" s="131"/>
      <c r="CFO13" s="131"/>
      <c r="CFP13" s="131"/>
      <c r="CFQ13" s="131"/>
      <c r="CFR13" s="131"/>
      <c r="CFS13" s="131"/>
      <c r="CFT13" s="131"/>
      <c r="CFU13" s="131"/>
      <c r="CFV13" s="131"/>
      <c r="CFW13" s="131"/>
      <c r="CFX13" s="131"/>
      <c r="CFY13" s="131"/>
      <c r="CFZ13" s="131"/>
      <c r="CGA13" s="131"/>
      <c r="CGB13" s="131"/>
      <c r="CGC13" s="131"/>
      <c r="CGD13" s="131"/>
      <c r="CGE13" s="131"/>
      <c r="CGF13" s="131"/>
      <c r="CGG13" s="131"/>
      <c r="CGH13" s="131"/>
      <c r="CGI13" s="131"/>
      <c r="CGJ13" s="131"/>
      <c r="CGK13" s="131"/>
      <c r="CGL13" s="131"/>
      <c r="CGM13" s="131"/>
      <c r="CGN13" s="131"/>
      <c r="CGO13" s="131"/>
      <c r="CGP13" s="131"/>
      <c r="CGQ13" s="131"/>
      <c r="CGR13" s="131"/>
      <c r="CGS13" s="131"/>
      <c r="CGT13" s="131"/>
      <c r="CGU13" s="131"/>
      <c r="CGV13" s="131"/>
      <c r="CGW13" s="131"/>
      <c r="CGX13" s="131"/>
      <c r="CGY13" s="131"/>
      <c r="CGZ13" s="131"/>
      <c r="CHA13" s="131"/>
      <c r="CHB13" s="131"/>
      <c r="CHC13" s="131"/>
      <c r="CHD13" s="131"/>
      <c r="CHE13" s="131"/>
      <c r="CHF13" s="131"/>
      <c r="CHG13" s="131"/>
      <c r="CHH13" s="131"/>
      <c r="CHI13" s="131"/>
      <c r="CHJ13" s="131"/>
      <c r="CHK13" s="131"/>
      <c r="CHL13" s="131"/>
      <c r="CHM13" s="131"/>
      <c r="CHN13" s="131"/>
      <c r="CHO13" s="131"/>
      <c r="CHP13" s="131"/>
      <c r="CHQ13" s="131"/>
      <c r="CHR13" s="131"/>
      <c r="CHS13" s="131"/>
      <c r="CHT13" s="131"/>
      <c r="CHU13" s="131"/>
      <c r="CHV13" s="131"/>
      <c r="CHW13" s="131"/>
      <c r="CHX13" s="131"/>
      <c r="CHY13" s="131"/>
      <c r="CHZ13" s="131"/>
      <c r="CIA13" s="131"/>
      <c r="CIB13" s="131"/>
      <c r="CIC13" s="131"/>
      <c r="CID13" s="131"/>
      <c r="CIE13" s="131"/>
      <c r="CIF13" s="131"/>
      <c r="CIG13" s="131"/>
      <c r="CIH13" s="131"/>
      <c r="CII13" s="131"/>
      <c r="CIJ13" s="131"/>
      <c r="CIK13" s="131"/>
      <c r="CIL13" s="131"/>
      <c r="CIM13" s="131"/>
      <c r="CIN13" s="131"/>
      <c r="CIO13" s="131"/>
      <c r="CIP13" s="131"/>
      <c r="CIQ13" s="131"/>
      <c r="CIR13" s="131"/>
      <c r="CIS13" s="131"/>
      <c r="CIT13" s="131"/>
      <c r="CIU13" s="131"/>
      <c r="CIV13" s="131"/>
      <c r="CIW13" s="131"/>
      <c r="CIX13" s="131"/>
      <c r="CIY13" s="131"/>
      <c r="CIZ13" s="131"/>
      <c r="CJA13" s="131"/>
      <c r="CJB13" s="131"/>
      <c r="CJC13" s="131"/>
      <c r="CJD13" s="131"/>
      <c r="CJE13" s="131"/>
      <c r="CJF13" s="131"/>
      <c r="CJG13" s="131"/>
      <c r="CJH13" s="131"/>
      <c r="CJI13" s="131"/>
      <c r="CJJ13" s="131"/>
      <c r="CJK13" s="131"/>
      <c r="CJL13" s="131"/>
      <c r="CJM13" s="131"/>
      <c r="CJN13" s="131"/>
      <c r="CJO13" s="131"/>
      <c r="CJP13" s="131"/>
      <c r="CJQ13" s="131"/>
      <c r="CJR13" s="131"/>
      <c r="CJS13" s="131"/>
      <c r="CJT13" s="131"/>
      <c r="CJU13" s="131"/>
      <c r="CJV13" s="131"/>
      <c r="CJW13" s="131"/>
      <c r="CJX13" s="131"/>
      <c r="CJY13" s="131"/>
      <c r="CJZ13" s="131"/>
      <c r="CKA13" s="131"/>
      <c r="CKB13" s="131"/>
      <c r="CKC13" s="131"/>
      <c r="CKD13" s="131"/>
      <c r="CKE13" s="131"/>
      <c r="CKF13" s="131"/>
      <c r="CKG13" s="131"/>
      <c r="CKH13" s="131"/>
      <c r="CKI13" s="131"/>
      <c r="CKJ13" s="131"/>
      <c r="CKK13" s="131"/>
      <c r="CKL13" s="131"/>
      <c r="CKM13" s="131"/>
      <c r="CKN13" s="131"/>
      <c r="CKO13" s="131"/>
      <c r="CKP13" s="131"/>
      <c r="CKQ13" s="131"/>
      <c r="CKR13" s="131"/>
      <c r="CKS13" s="131"/>
      <c r="CKT13" s="131"/>
      <c r="CKU13" s="131"/>
      <c r="CKV13" s="131"/>
      <c r="CKW13" s="131"/>
      <c r="CKX13" s="131"/>
      <c r="CKY13" s="131"/>
      <c r="CKZ13" s="131"/>
      <c r="CLA13" s="131"/>
      <c r="CLB13" s="131"/>
      <c r="CLC13" s="131"/>
      <c r="CLD13" s="131"/>
      <c r="CLE13" s="131"/>
      <c r="CLF13" s="131"/>
      <c r="CLG13" s="131"/>
      <c r="CLH13" s="131"/>
      <c r="CLI13" s="131"/>
      <c r="CLJ13" s="131"/>
      <c r="CLK13" s="131"/>
      <c r="CLL13" s="131"/>
      <c r="CLM13" s="131"/>
      <c r="CLN13" s="131"/>
      <c r="CLO13" s="131"/>
      <c r="CLP13" s="131"/>
      <c r="CLQ13" s="131"/>
      <c r="CLR13" s="131"/>
      <c r="CLS13" s="131"/>
      <c r="CLT13" s="131"/>
      <c r="CLU13" s="131"/>
      <c r="CLV13" s="131"/>
      <c r="CLW13" s="131"/>
      <c r="CLX13" s="131"/>
      <c r="CLY13" s="131"/>
      <c r="CLZ13" s="131"/>
      <c r="CMA13" s="131"/>
      <c r="CMB13" s="131"/>
      <c r="CMC13" s="131"/>
      <c r="CMD13" s="131"/>
      <c r="CME13" s="131"/>
      <c r="CMF13" s="131"/>
      <c r="CMG13" s="131"/>
      <c r="CMH13" s="131"/>
      <c r="CMI13" s="131"/>
      <c r="CMJ13" s="131"/>
      <c r="CMK13" s="131"/>
      <c r="CML13" s="131"/>
      <c r="CMM13" s="131"/>
      <c r="CMN13" s="131"/>
      <c r="CMO13" s="131"/>
      <c r="CMP13" s="131"/>
      <c r="CMQ13" s="131"/>
      <c r="CMR13" s="131"/>
      <c r="CMS13" s="131"/>
      <c r="CMT13" s="131"/>
      <c r="CMU13" s="131"/>
      <c r="CMV13" s="131"/>
      <c r="CMW13" s="131"/>
      <c r="CMX13" s="131"/>
      <c r="CMY13" s="131"/>
      <c r="CMZ13" s="131"/>
      <c r="CNA13" s="131"/>
      <c r="CNB13" s="131"/>
      <c r="CNC13" s="131"/>
      <c r="CND13" s="131"/>
      <c r="CNE13" s="131"/>
      <c r="CNF13" s="131"/>
      <c r="CNG13" s="131"/>
      <c r="CNH13" s="131"/>
      <c r="CNI13" s="131"/>
      <c r="CNJ13" s="131"/>
      <c r="CNK13" s="131"/>
      <c r="CNL13" s="131"/>
      <c r="CNM13" s="131"/>
      <c r="CNN13" s="131"/>
      <c r="CNO13" s="131"/>
      <c r="CNP13" s="131"/>
      <c r="CNQ13" s="131"/>
      <c r="CNR13" s="131"/>
      <c r="CNS13" s="131"/>
      <c r="CNT13" s="131"/>
      <c r="CNU13" s="131"/>
      <c r="CNV13" s="131"/>
      <c r="CNW13" s="131"/>
      <c r="CNX13" s="131"/>
      <c r="CNY13" s="131"/>
      <c r="CNZ13" s="131"/>
      <c r="COA13" s="131"/>
      <c r="COB13" s="131"/>
      <c r="COC13" s="131"/>
      <c r="COD13" s="131"/>
      <c r="COE13" s="131"/>
      <c r="COF13" s="131"/>
      <c r="COG13" s="131"/>
      <c r="COH13" s="131"/>
      <c r="COI13" s="131"/>
      <c r="COJ13" s="131"/>
      <c r="COK13" s="131"/>
      <c r="COL13" s="131"/>
      <c r="COM13" s="131"/>
      <c r="CON13" s="131"/>
      <c r="COO13" s="131"/>
      <c r="COP13" s="131"/>
      <c r="COQ13" s="131"/>
      <c r="COR13" s="131"/>
      <c r="COS13" s="131"/>
      <c r="COT13" s="131"/>
      <c r="COU13" s="131"/>
      <c r="COV13" s="131"/>
      <c r="COW13" s="131"/>
      <c r="COX13" s="131"/>
      <c r="COY13" s="131"/>
      <c r="COZ13" s="131"/>
      <c r="CPA13" s="131"/>
      <c r="CPB13" s="131"/>
      <c r="CPC13" s="131"/>
      <c r="CPD13" s="131"/>
      <c r="CPE13" s="131"/>
      <c r="CPF13" s="131"/>
      <c r="CPG13" s="131"/>
      <c r="CPH13" s="131"/>
      <c r="CPI13" s="131"/>
      <c r="CPJ13" s="131"/>
      <c r="CPK13" s="131"/>
      <c r="CPL13" s="131"/>
      <c r="CPM13" s="131"/>
      <c r="CPN13" s="131"/>
      <c r="CPO13" s="131"/>
      <c r="CPP13" s="131"/>
      <c r="CPQ13" s="131"/>
      <c r="CPR13" s="131"/>
      <c r="CPS13" s="131"/>
      <c r="CPT13" s="131"/>
      <c r="CPU13" s="131"/>
      <c r="CPV13" s="131"/>
      <c r="CPW13" s="131"/>
      <c r="CPX13" s="131"/>
      <c r="CPY13" s="131"/>
      <c r="CPZ13" s="131"/>
      <c r="CQA13" s="131"/>
      <c r="CQB13" s="131"/>
      <c r="CQC13" s="131"/>
      <c r="CQD13" s="131"/>
      <c r="CQE13" s="131"/>
      <c r="CQF13" s="131"/>
      <c r="CQG13" s="131"/>
      <c r="CQH13" s="131"/>
      <c r="CQI13" s="131"/>
      <c r="CQJ13" s="131"/>
      <c r="CQK13" s="131"/>
      <c r="CQL13" s="131"/>
      <c r="CQM13" s="131"/>
      <c r="CQN13" s="131"/>
      <c r="CQO13" s="131"/>
      <c r="CQP13" s="131"/>
      <c r="CQQ13" s="131"/>
      <c r="CQR13" s="131"/>
      <c r="CQS13" s="131"/>
      <c r="CQT13" s="131"/>
      <c r="CQU13" s="131"/>
      <c r="CQV13" s="131"/>
      <c r="CQW13" s="131"/>
      <c r="CQX13" s="131"/>
      <c r="CQY13" s="131"/>
      <c r="CQZ13" s="131"/>
      <c r="CRA13" s="131"/>
      <c r="CRB13" s="131"/>
      <c r="CRC13" s="131"/>
      <c r="CRD13" s="131"/>
      <c r="CRE13" s="131"/>
      <c r="CRF13" s="131"/>
      <c r="CRG13" s="131"/>
      <c r="CRH13" s="131"/>
      <c r="CRI13" s="131"/>
      <c r="CRJ13" s="131"/>
      <c r="CRK13" s="131"/>
      <c r="CRL13" s="131"/>
      <c r="CRM13" s="131"/>
      <c r="CRN13" s="131"/>
      <c r="CRO13" s="131"/>
      <c r="CRP13" s="131"/>
      <c r="CRQ13" s="131"/>
      <c r="CRR13" s="131"/>
      <c r="CRS13" s="131"/>
      <c r="CRT13" s="131"/>
      <c r="CRU13" s="131"/>
      <c r="CRV13" s="131"/>
      <c r="CRW13" s="131"/>
      <c r="CRX13" s="131"/>
      <c r="CRY13" s="131"/>
      <c r="CRZ13" s="131"/>
      <c r="CSA13" s="131"/>
      <c r="CSB13" s="131"/>
      <c r="CSC13" s="131"/>
      <c r="CSD13" s="131"/>
      <c r="CSE13" s="131"/>
      <c r="CSF13" s="131"/>
      <c r="CSG13" s="131"/>
      <c r="CSH13" s="131"/>
      <c r="CSI13" s="131"/>
      <c r="CSJ13" s="131"/>
      <c r="CSK13" s="131"/>
      <c r="CSL13" s="131"/>
      <c r="CSM13" s="131"/>
      <c r="CSN13" s="131"/>
      <c r="CSO13" s="131"/>
      <c r="CSP13" s="131"/>
      <c r="CSQ13" s="131"/>
      <c r="CSR13" s="131"/>
      <c r="CSS13" s="131"/>
      <c r="CST13" s="131"/>
      <c r="CSU13" s="131"/>
      <c r="CSV13" s="131"/>
      <c r="CSW13" s="131"/>
      <c r="CSX13" s="131"/>
      <c r="CSY13" s="131"/>
      <c r="CSZ13" s="131"/>
      <c r="CTA13" s="131"/>
      <c r="CTB13" s="131"/>
      <c r="CTC13" s="131"/>
      <c r="CTD13" s="131"/>
      <c r="CTE13" s="131"/>
      <c r="CTF13" s="131"/>
      <c r="CTG13" s="131"/>
      <c r="CTH13" s="131"/>
      <c r="CTI13" s="131"/>
      <c r="CTJ13" s="131"/>
      <c r="CTK13" s="131"/>
      <c r="CTL13" s="131"/>
      <c r="CTM13" s="131"/>
      <c r="CTN13" s="131"/>
      <c r="CTO13" s="131"/>
      <c r="CTP13" s="131"/>
      <c r="CTQ13" s="131"/>
      <c r="CTR13" s="131"/>
      <c r="CTS13" s="131"/>
      <c r="CTT13" s="131"/>
      <c r="CTU13" s="131"/>
      <c r="CTV13" s="131"/>
      <c r="CTW13" s="131"/>
      <c r="CTX13" s="131"/>
      <c r="CTY13" s="131"/>
      <c r="CTZ13" s="131"/>
      <c r="CUA13" s="131"/>
      <c r="CUB13" s="131"/>
      <c r="CUC13" s="131"/>
      <c r="CUD13" s="131"/>
      <c r="CUE13" s="131"/>
      <c r="CUF13" s="131"/>
      <c r="CUG13" s="131"/>
      <c r="CUH13" s="131"/>
      <c r="CUI13" s="131"/>
      <c r="CUJ13" s="131"/>
      <c r="CUK13" s="131"/>
      <c r="CUL13" s="131"/>
      <c r="CUM13" s="131"/>
      <c r="CUN13" s="131"/>
      <c r="CUO13" s="131"/>
      <c r="CUP13" s="131"/>
      <c r="CUQ13" s="131"/>
      <c r="CUR13" s="131"/>
      <c r="CUS13" s="131"/>
      <c r="CUT13" s="131"/>
      <c r="CUU13" s="131"/>
      <c r="CUV13" s="131"/>
      <c r="CUW13" s="131"/>
      <c r="CUX13" s="131"/>
      <c r="CUY13" s="131"/>
      <c r="CUZ13" s="131"/>
      <c r="CVA13" s="131"/>
      <c r="CVB13" s="131"/>
      <c r="CVC13" s="131"/>
      <c r="CVD13" s="131"/>
      <c r="CVE13" s="131"/>
      <c r="CVF13" s="131"/>
      <c r="CVG13" s="131"/>
      <c r="CVH13" s="131"/>
      <c r="CVI13" s="131"/>
      <c r="CVJ13" s="131"/>
      <c r="CVK13" s="131"/>
      <c r="CVL13" s="131"/>
      <c r="CVM13" s="131"/>
      <c r="CVN13" s="131"/>
      <c r="CVO13" s="131"/>
      <c r="CVP13" s="131"/>
      <c r="CVQ13" s="131"/>
      <c r="CVR13" s="131"/>
      <c r="CVS13" s="131"/>
      <c r="CVT13" s="131"/>
      <c r="CVU13" s="131"/>
      <c r="CVV13" s="131"/>
      <c r="CVW13" s="131"/>
      <c r="CVX13" s="131"/>
      <c r="CVY13" s="131"/>
      <c r="CVZ13" s="131"/>
      <c r="CWA13" s="131"/>
      <c r="CWB13" s="131"/>
      <c r="CWC13" s="131"/>
      <c r="CWD13" s="131"/>
      <c r="CWE13" s="131"/>
      <c r="CWF13" s="131"/>
      <c r="CWG13" s="131"/>
      <c r="CWH13" s="131"/>
      <c r="CWI13" s="131"/>
      <c r="CWJ13" s="131"/>
      <c r="CWK13" s="131"/>
      <c r="CWL13" s="131"/>
      <c r="CWM13" s="131"/>
      <c r="CWN13" s="131"/>
      <c r="CWO13" s="131"/>
      <c r="CWP13" s="131"/>
      <c r="CWQ13" s="131"/>
      <c r="CWR13" s="131"/>
      <c r="CWS13" s="131"/>
      <c r="CWT13" s="131"/>
      <c r="CWU13" s="131"/>
      <c r="CWV13" s="131"/>
      <c r="CWW13" s="131"/>
      <c r="CWX13" s="131"/>
      <c r="CWY13" s="131"/>
      <c r="CWZ13" s="131"/>
      <c r="CXA13" s="131"/>
      <c r="CXB13" s="131"/>
      <c r="CXC13" s="131"/>
      <c r="CXD13" s="131"/>
      <c r="CXE13" s="131"/>
      <c r="CXF13" s="131"/>
      <c r="CXG13" s="131"/>
      <c r="CXH13" s="131"/>
      <c r="CXI13" s="131"/>
      <c r="CXJ13" s="131"/>
      <c r="CXK13" s="131"/>
      <c r="CXL13" s="131"/>
      <c r="CXM13" s="131"/>
      <c r="CXN13" s="131"/>
      <c r="CXO13" s="131"/>
      <c r="CXP13" s="131"/>
      <c r="CXQ13" s="131"/>
      <c r="CXR13" s="131"/>
      <c r="CXS13" s="131"/>
      <c r="CXT13" s="131"/>
      <c r="CXU13" s="131"/>
      <c r="CXV13" s="131"/>
      <c r="CXW13" s="131"/>
      <c r="CXX13" s="131"/>
      <c r="CXY13" s="131"/>
      <c r="CXZ13" s="131"/>
      <c r="CYA13" s="131"/>
      <c r="CYB13" s="131"/>
      <c r="CYC13" s="131"/>
      <c r="CYD13" s="131"/>
      <c r="CYE13" s="131"/>
      <c r="CYF13" s="131"/>
      <c r="CYG13" s="131"/>
      <c r="CYH13" s="131"/>
      <c r="CYI13" s="131"/>
      <c r="CYJ13" s="131"/>
      <c r="CYK13" s="131"/>
      <c r="CYL13" s="131"/>
      <c r="CYM13" s="131"/>
      <c r="CYN13" s="131"/>
      <c r="CYO13" s="131"/>
      <c r="CYP13" s="131"/>
      <c r="CYQ13" s="131"/>
      <c r="CYR13" s="131"/>
      <c r="CYS13" s="131"/>
      <c r="CYT13" s="131"/>
      <c r="CYU13" s="131"/>
      <c r="CYV13" s="131"/>
      <c r="CYW13" s="131"/>
      <c r="CYX13" s="131"/>
      <c r="CYY13" s="131"/>
      <c r="CYZ13" s="131"/>
      <c r="CZA13" s="131"/>
      <c r="CZB13" s="131"/>
      <c r="CZC13" s="131"/>
      <c r="CZD13" s="131"/>
      <c r="CZE13" s="131"/>
      <c r="CZF13" s="131"/>
      <c r="CZG13" s="131"/>
      <c r="CZH13" s="131"/>
      <c r="CZI13" s="131"/>
      <c r="CZJ13" s="131"/>
      <c r="CZK13" s="131"/>
      <c r="CZL13" s="131"/>
      <c r="CZM13" s="131"/>
      <c r="CZN13" s="131"/>
      <c r="CZO13" s="131"/>
      <c r="CZP13" s="131"/>
      <c r="CZQ13" s="131"/>
      <c r="CZR13" s="131"/>
      <c r="CZS13" s="131"/>
      <c r="CZT13" s="131"/>
      <c r="CZU13" s="131"/>
      <c r="CZV13" s="131"/>
      <c r="CZW13" s="131"/>
      <c r="CZX13" s="131"/>
      <c r="CZY13" s="131"/>
      <c r="CZZ13" s="131"/>
      <c r="DAA13" s="131"/>
      <c r="DAB13" s="131"/>
      <c r="DAC13" s="131"/>
      <c r="DAD13" s="131"/>
      <c r="DAE13" s="131"/>
      <c r="DAF13" s="131"/>
      <c r="DAG13" s="131"/>
      <c r="DAH13" s="131"/>
      <c r="DAI13" s="131"/>
      <c r="DAJ13" s="131"/>
      <c r="DAK13" s="131"/>
      <c r="DAL13" s="131"/>
      <c r="DAM13" s="131"/>
      <c r="DAN13" s="131"/>
      <c r="DAO13" s="131"/>
      <c r="DAP13" s="131"/>
      <c r="DAQ13" s="131"/>
      <c r="DAR13" s="131"/>
      <c r="DAS13" s="131"/>
      <c r="DAT13" s="131"/>
      <c r="DAU13" s="131"/>
      <c r="DAV13" s="131"/>
      <c r="DAW13" s="131"/>
      <c r="DAX13" s="131"/>
      <c r="DAY13" s="131"/>
      <c r="DAZ13" s="131"/>
      <c r="DBA13" s="131"/>
      <c r="DBB13" s="131"/>
      <c r="DBC13" s="131"/>
      <c r="DBD13" s="131"/>
      <c r="DBE13" s="131"/>
      <c r="DBF13" s="131"/>
      <c r="DBG13" s="131"/>
      <c r="DBH13" s="131"/>
      <c r="DBI13" s="131"/>
      <c r="DBJ13" s="131"/>
      <c r="DBK13" s="131"/>
      <c r="DBL13" s="131"/>
      <c r="DBM13" s="131"/>
      <c r="DBN13" s="131"/>
      <c r="DBO13" s="131"/>
      <c r="DBP13" s="131"/>
      <c r="DBQ13" s="131"/>
      <c r="DBR13" s="131"/>
      <c r="DBS13" s="131"/>
      <c r="DBT13" s="131"/>
      <c r="DBU13" s="131"/>
      <c r="DBV13" s="131"/>
      <c r="DBW13" s="131"/>
      <c r="DBX13" s="131"/>
      <c r="DBY13" s="131"/>
      <c r="DBZ13" s="131"/>
      <c r="DCA13" s="131"/>
      <c r="DCB13" s="131"/>
      <c r="DCC13" s="131"/>
      <c r="DCD13" s="131"/>
      <c r="DCE13" s="131"/>
      <c r="DCF13" s="131"/>
      <c r="DCG13" s="131"/>
      <c r="DCH13" s="131"/>
      <c r="DCI13" s="131"/>
      <c r="DCJ13" s="131"/>
      <c r="DCK13" s="131"/>
      <c r="DCL13" s="131"/>
      <c r="DCM13" s="131"/>
      <c r="DCN13" s="131"/>
      <c r="DCO13" s="131"/>
      <c r="DCP13" s="131"/>
      <c r="DCQ13" s="131"/>
      <c r="DCR13" s="131"/>
      <c r="DCS13" s="131"/>
      <c r="DCT13" s="131"/>
      <c r="DCU13" s="131"/>
      <c r="DCV13" s="131"/>
      <c r="DCW13" s="131"/>
      <c r="DCX13" s="131"/>
      <c r="DCY13" s="131"/>
      <c r="DCZ13" s="131"/>
      <c r="DDA13" s="131"/>
      <c r="DDB13" s="131"/>
      <c r="DDC13" s="131"/>
      <c r="DDD13" s="131"/>
      <c r="DDE13" s="131"/>
      <c r="DDF13" s="131"/>
      <c r="DDG13" s="131"/>
      <c r="DDH13" s="131"/>
      <c r="DDI13" s="131"/>
      <c r="DDJ13" s="131"/>
      <c r="DDK13" s="131"/>
      <c r="DDL13" s="131"/>
      <c r="DDM13" s="131"/>
      <c r="DDN13" s="131"/>
      <c r="DDO13" s="131"/>
      <c r="DDP13" s="131"/>
      <c r="DDQ13" s="131"/>
      <c r="DDR13" s="131"/>
      <c r="DDS13" s="131"/>
      <c r="DDT13" s="131"/>
      <c r="DDU13" s="131"/>
      <c r="DDV13" s="131"/>
      <c r="DDW13" s="131"/>
      <c r="DDX13" s="131"/>
      <c r="DDY13" s="131"/>
      <c r="DDZ13" s="131"/>
      <c r="DEA13" s="131"/>
      <c r="DEB13" s="131"/>
      <c r="DEC13" s="131"/>
      <c r="DED13" s="131"/>
      <c r="DEE13" s="131"/>
      <c r="DEF13" s="131"/>
      <c r="DEG13" s="131"/>
      <c r="DEH13" s="131"/>
      <c r="DEI13" s="131"/>
      <c r="DEJ13" s="131"/>
      <c r="DEK13" s="131"/>
      <c r="DEL13" s="131"/>
      <c r="DEM13" s="131"/>
      <c r="DEN13" s="131"/>
      <c r="DEO13" s="131"/>
      <c r="DEP13" s="131"/>
      <c r="DEQ13" s="131"/>
      <c r="DER13" s="131"/>
      <c r="DES13" s="131"/>
      <c r="DET13" s="131"/>
      <c r="DEU13" s="131"/>
      <c r="DEV13" s="131"/>
      <c r="DEW13" s="131"/>
      <c r="DEX13" s="131"/>
      <c r="DEY13" s="131"/>
      <c r="DEZ13" s="131"/>
      <c r="DFA13" s="131"/>
      <c r="DFB13" s="131"/>
      <c r="DFC13" s="131"/>
      <c r="DFD13" s="131"/>
      <c r="DFE13" s="131"/>
      <c r="DFF13" s="131"/>
      <c r="DFG13" s="131"/>
      <c r="DFH13" s="131"/>
      <c r="DFI13" s="131"/>
      <c r="DFJ13" s="131"/>
      <c r="DFK13" s="131"/>
      <c r="DFL13" s="131"/>
      <c r="DFM13" s="131"/>
      <c r="DFN13" s="131"/>
      <c r="DFO13" s="131"/>
      <c r="DFP13" s="131"/>
      <c r="DFQ13" s="131"/>
      <c r="DFR13" s="131"/>
      <c r="DFS13" s="131"/>
      <c r="DFT13" s="131"/>
      <c r="DFU13" s="131"/>
      <c r="DFV13" s="131"/>
      <c r="DFW13" s="131"/>
      <c r="DFX13" s="131"/>
      <c r="DFY13" s="131"/>
      <c r="DFZ13" s="131"/>
      <c r="DGA13" s="131"/>
      <c r="DGB13" s="131"/>
      <c r="DGC13" s="131"/>
      <c r="DGD13" s="131"/>
      <c r="DGE13" s="131"/>
      <c r="DGF13" s="131"/>
      <c r="DGG13" s="131"/>
      <c r="DGH13" s="131"/>
      <c r="DGI13" s="131"/>
      <c r="DGJ13" s="131"/>
      <c r="DGK13" s="131"/>
      <c r="DGL13" s="131"/>
      <c r="DGM13" s="131"/>
      <c r="DGN13" s="131"/>
      <c r="DGO13" s="131"/>
      <c r="DGP13" s="131"/>
      <c r="DGQ13" s="131"/>
      <c r="DGR13" s="131"/>
      <c r="DGS13" s="131"/>
      <c r="DGT13" s="131"/>
      <c r="DGU13" s="131"/>
      <c r="DGV13" s="131"/>
      <c r="DGW13" s="131"/>
      <c r="DGX13" s="131"/>
      <c r="DGY13" s="131"/>
      <c r="DGZ13" s="131"/>
      <c r="DHA13" s="131"/>
      <c r="DHB13" s="131"/>
      <c r="DHC13" s="131"/>
      <c r="DHD13" s="131"/>
      <c r="DHE13" s="131"/>
      <c r="DHF13" s="131"/>
      <c r="DHG13" s="131"/>
      <c r="DHH13" s="131"/>
      <c r="DHI13" s="131"/>
      <c r="DHJ13" s="131"/>
      <c r="DHK13" s="131"/>
      <c r="DHL13" s="131"/>
      <c r="DHM13" s="131"/>
      <c r="DHN13" s="131"/>
      <c r="DHO13" s="131"/>
      <c r="DHP13" s="131"/>
      <c r="DHQ13" s="131"/>
      <c r="DHR13" s="131"/>
      <c r="DHS13" s="131"/>
      <c r="DHT13" s="131"/>
      <c r="DHU13" s="131"/>
      <c r="DHV13" s="131"/>
      <c r="DHW13" s="131"/>
      <c r="DHX13" s="131"/>
      <c r="DHY13" s="131"/>
      <c r="DHZ13" s="131"/>
      <c r="DIA13" s="131"/>
      <c r="DIB13" s="131"/>
      <c r="DIC13" s="131"/>
      <c r="DID13" s="131"/>
      <c r="DIE13" s="131"/>
      <c r="DIF13" s="131"/>
      <c r="DIG13" s="131"/>
      <c r="DIH13" s="131"/>
      <c r="DII13" s="131"/>
      <c r="DIJ13" s="131"/>
      <c r="DIK13" s="131"/>
      <c r="DIL13" s="131"/>
      <c r="DIM13" s="131"/>
      <c r="DIN13" s="131"/>
      <c r="DIO13" s="131"/>
      <c r="DIP13" s="131"/>
      <c r="DIQ13" s="131"/>
      <c r="DIR13" s="131"/>
      <c r="DIS13" s="131"/>
      <c r="DIT13" s="131"/>
      <c r="DIU13" s="131"/>
      <c r="DIV13" s="131"/>
      <c r="DIW13" s="131"/>
      <c r="DIX13" s="131"/>
      <c r="DIY13" s="131"/>
      <c r="DIZ13" s="131"/>
      <c r="DJA13" s="131"/>
      <c r="DJB13" s="131"/>
      <c r="DJC13" s="131"/>
      <c r="DJD13" s="131"/>
      <c r="DJE13" s="131"/>
      <c r="DJF13" s="131"/>
      <c r="DJG13" s="131"/>
      <c r="DJH13" s="131"/>
      <c r="DJI13" s="131"/>
      <c r="DJJ13" s="131"/>
      <c r="DJK13" s="131"/>
      <c r="DJL13" s="131"/>
      <c r="DJM13" s="131"/>
      <c r="DJN13" s="131"/>
      <c r="DJO13" s="131"/>
      <c r="DJP13" s="131"/>
      <c r="DJQ13" s="131"/>
      <c r="DJR13" s="131"/>
      <c r="DJS13" s="131"/>
      <c r="DJT13" s="131"/>
      <c r="DJU13" s="131"/>
      <c r="DJV13" s="131"/>
      <c r="DJW13" s="131"/>
      <c r="DJX13" s="131"/>
      <c r="DJY13" s="131"/>
      <c r="DJZ13" s="131"/>
      <c r="DKA13" s="131"/>
      <c r="DKB13" s="131"/>
      <c r="DKC13" s="131"/>
      <c r="DKD13" s="131"/>
      <c r="DKE13" s="131"/>
      <c r="DKF13" s="131"/>
      <c r="DKG13" s="131"/>
      <c r="DKH13" s="131"/>
      <c r="DKI13" s="131"/>
      <c r="DKJ13" s="131"/>
      <c r="DKK13" s="131"/>
      <c r="DKL13" s="131"/>
      <c r="DKM13" s="131"/>
      <c r="DKN13" s="131"/>
      <c r="DKO13" s="131"/>
      <c r="DKP13" s="131"/>
      <c r="DKQ13" s="131"/>
      <c r="DKR13" s="131"/>
      <c r="DKS13" s="131"/>
      <c r="DKT13" s="131"/>
      <c r="DKU13" s="131"/>
      <c r="DKV13" s="131"/>
      <c r="DKW13" s="131"/>
      <c r="DKX13" s="131"/>
      <c r="DKY13" s="131"/>
      <c r="DKZ13" s="131"/>
      <c r="DLA13" s="131"/>
      <c r="DLB13" s="131"/>
      <c r="DLC13" s="131"/>
      <c r="DLD13" s="131"/>
      <c r="DLE13" s="131"/>
      <c r="DLF13" s="131"/>
      <c r="DLG13" s="131"/>
      <c r="DLH13" s="131"/>
      <c r="DLI13" s="131"/>
      <c r="DLJ13" s="131"/>
      <c r="DLK13" s="131"/>
      <c r="DLL13" s="131"/>
      <c r="DLM13" s="131"/>
      <c r="DLN13" s="131"/>
      <c r="DLO13" s="131"/>
      <c r="DLP13" s="131"/>
      <c r="DLQ13" s="131"/>
      <c r="DLR13" s="131"/>
      <c r="DLS13" s="131"/>
      <c r="DLT13" s="131"/>
      <c r="DLU13" s="131"/>
      <c r="DLV13" s="131"/>
      <c r="DLW13" s="131"/>
      <c r="DLX13" s="131"/>
      <c r="DLY13" s="131"/>
      <c r="DLZ13" s="131"/>
      <c r="DMA13" s="131"/>
      <c r="DMB13" s="131"/>
      <c r="DMC13" s="131"/>
      <c r="DMD13" s="131"/>
      <c r="DME13" s="131"/>
      <c r="DMF13" s="131"/>
      <c r="DMG13" s="131"/>
      <c r="DMH13" s="131"/>
      <c r="DMI13" s="131"/>
      <c r="DMJ13" s="131"/>
      <c r="DMK13" s="131"/>
      <c r="DML13" s="131"/>
      <c r="DMM13" s="131"/>
      <c r="DMN13" s="131"/>
      <c r="DMO13" s="131"/>
      <c r="DMP13" s="131"/>
      <c r="DMQ13" s="131"/>
      <c r="DMR13" s="131"/>
      <c r="DMS13" s="131"/>
      <c r="DNF13" s="131"/>
      <c r="DNG13" s="131"/>
      <c r="DNH13" s="131"/>
      <c r="DNI13" s="131"/>
      <c r="DNJ13" s="131"/>
      <c r="DNK13" s="131"/>
      <c r="DNL13" s="131"/>
      <c r="DNM13" s="131"/>
      <c r="DNN13" s="131"/>
      <c r="DNO13" s="131"/>
      <c r="DNP13" s="131"/>
      <c r="DNQ13" s="131"/>
      <c r="DNR13" s="131"/>
      <c r="DNS13" s="131"/>
      <c r="DNT13" s="131"/>
      <c r="DNU13" s="131"/>
      <c r="DNV13" s="131"/>
      <c r="DNW13" s="131"/>
      <c r="DNX13" s="131"/>
      <c r="DNY13" s="131"/>
      <c r="DNZ13" s="131"/>
      <c r="DOA13" s="131"/>
      <c r="DOB13" s="131"/>
      <c r="DOC13" s="131"/>
      <c r="DOD13" s="131"/>
      <c r="DOE13" s="131"/>
      <c r="DOF13" s="131"/>
      <c r="DOG13" s="131"/>
      <c r="DOH13" s="131"/>
      <c r="DOI13" s="131"/>
      <c r="DOJ13" s="131"/>
      <c r="DOK13" s="131"/>
      <c r="DOL13" s="131"/>
      <c r="DOM13" s="131"/>
      <c r="DON13" s="131"/>
      <c r="DOO13" s="131"/>
      <c r="DOP13" s="131"/>
      <c r="DOQ13" s="131"/>
      <c r="DOR13" s="131"/>
      <c r="DOS13" s="131"/>
      <c r="DOT13" s="131"/>
      <c r="DOU13" s="131"/>
      <c r="DOV13" s="131"/>
      <c r="DOW13" s="131"/>
      <c r="DOX13" s="131"/>
      <c r="DOY13" s="131"/>
      <c r="DOZ13" s="131"/>
      <c r="DPA13" s="131"/>
      <c r="DPB13" s="131"/>
      <c r="DPC13" s="131"/>
      <c r="DPD13" s="131"/>
      <c r="DPE13" s="131"/>
      <c r="DPF13" s="131"/>
      <c r="DPG13" s="131"/>
      <c r="DPH13" s="131"/>
      <c r="DPI13" s="131"/>
      <c r="DPJ13" s="131"/>
      <c r="DPK13" s="131"/>
      <c r="DPL13" s="131"/>
      <c r="DPM13" s="131"/>
      <c r="DPN13" s="131"/>
      <c r="DPO13" s="131"/>
      <c r="DPP13" s="131"/>
      <c r="DPQ13" s="131"/>
      <c r="DPR13" s="131"/>
      <c r="DPS13" s="131"/>
      <c r="DPT13" s="131"/>
      <c r="DPU13" s="131"/>
      <c r="DPV13" s="131"/>
      <c r="DPW13" s="131"/>
      <c r="DPX13" s="131"/>
      <c r="DPY13" s="131"/>
      <c r="DPZ13" s="131"/>
      <c r="DQA13" s="131"/>
      <c r="DQB13" s="131"/>
      <c r="DQC13" s="131"/>
      <c r="DQD13" s="131"/>
      <c r="DQE13" s="131"/>
      <c r="DQF13" s="131"/>
      <c r="DQG13" s="131"/>
      <c r="DQH13" s="131"/>
      <c r="DQI13" s="131"/>
      <c r="DQJ13" s="131"/>
      <c r="DQK13" s="131"/>
      <c r="DQL13" s="131"/>
      <c r="DQM13" s="131"/>
      <c r="DQN13" s="131"/>
      <c r="DQO13" s="131"/>
      <c r="DQP13" s="131"/>
      <c r="DQQ13" s="131"/>
      <c r="DQR13" s="131"/>
      <c r="DQS13" s="131"/>
      <c r="DQT13" s="131"/>
      <c r="DQU13" s="131"/>
      <c r="DQV13" s="131"/>
      <c r="DQW13" s="131"/>
      <c r="DQX13" s="131"/>
      <c r="DQY13" s="131"/>
      <c r="DQZ13" s="131"/>
      <c r="DRA13" s="131"/>
      <c r="DRB13" s="131"/>
      <c r="DRC13" s="131"/>
      <c r="DRD13" s="131"/>
      <c r="DRE13" s="131"/>
      <c r="DRF13" s="131"/>
      <c r="DRG13" s="131"/>
      <c r="DRH13" s="131"/>
      <c r="DRI13" s="131"/>
      <c r="DRJ13" s="131"/>
      <c r="DRK13" s="131"/>
      <c r="DRL13" s="131"/>
      <c r="DRM13" s="131"/>
      <c r="DRN13" s="131"/>
      <c r="DRO13" s="131"/>
      <c r="DRP13" s="131"/>
      <c r="DRQ13" s="131"/>
      <c r="DRR13" s="131"/>
      <c r="DRS13" s="131"/>
      <c r="DRT13" s="131"/>
      <c r="DRU13" s="131"/>
      <c r="DRV13" s="131"/>
      <c r="DRW13" s="131"/>
      <c r="DRX13" s="131"/>
      <c r="DRY13" s="131"/>
      <c r="DRZ13" s="131"/>
      <c r="DSA13" s="131"/>
      <c r="DSB13" s="131"/>
      <c r="DSC13" s="131"/>
      <c r="DSD13" s="131"/>
      <c r="DSE13" s="131"/>
      <c r="DSF13" s="131"/>
      <c r="DSG13" s="131"/>
      <c r="DSH13" s="131"/>
      <c r="DSI13" s="131"/>
      <c r="DSJ13" s="131"/>
      <c r="DSK13" s="131"/>
      <c r="DSL13" s="131"/>
      <c r="DSM13" s="131"/>
      <c r="DSN13" s="131"/>
      <c r="DSO13" s="131"/>
      <c r="DSP13" s="131"/>
      <c r="DSQ13" s="131"/>
      <c r="DSR13" s="131"/>
      <c r="DSS13" s="131"/>
      <c r="DST13" s="131"/>
      <c r="DSU13" s="131"/>
      <c r="DSV13" s="131"/>
      <c r="DSW13" s="131"/>
      <c r="DSX13" s="131"/>
      <c r="DSY13" s="131"/>
      <c r="DSZ13" s="131"/>
      <c r="DTA13" s="131"/>
      <c r="DTB13" s="131"/>
      <c r="DTC13" s="131"/>
      <c r="DTD13" s="131"/>
      <c r="DTE13" s="131"/>
      <c r="DTF13" s="131"/>
      <c r="DTG13" s="131"/>
      <c r="DTH13" s="131"/>
      <c r="DTI13" s="131"/>
      <c r="DTJ13" s="131"/>
      <c r="DTK13" s="131"/>
      <c r="DTL13" s="131"/>
      <c r="DTM13" s="131"/>
      <c r="DTN13" s="131"/>
      <c r="DTO13" s="131"/>
      <c r="DTP13" s="131"/>
      <c r="DTQ13" s="131"/>
      <c r="DTR13" s="131"/>
      <c r="DTS13" s="131"/>
      <c r="DTT13" s="131"/>
      <c r="DTU13" s="131"/>
      <c r="DTV13" s="131"/>
      <c r="DTW13" s="131"/>
      <c r="DTX13" s="131"/>
      <c r="DTY13" s="131"/>
      <c r="DTZ13" s="131"/>
      <c r="DUA13" s="131"/>
      <c r="DUB13" s="131"/>
      <c r="DUC13" s="131"/>
      <c r="DUD13" s="131"/>
      <c r="DUE13" s="131"/>
      <c r="DUF13" s="131"/>
      <c r="DUG13" s="131"/>
      <c r="DUH13" s="131"/>
      <c r="DUI13" s="131"/>
      <c r="DUJ13" s="131"/>
      <c r="DUK13" s="131"/>
      <c r="DUL13" s="131"/>
      <c r="DUM13" s="131"/>
      <c r="DUN13" s="131"/>
      <c r="DUO13" s="131"/>
      <c r="DUP13" s="131"/>
      <c r="DUQ13" s="131"/>
      <c r="DUR13" s="131"/>
      <c r="DUS13" s="131"/>
      <c r="DUT13" s="131"/>
      <c r="DUU13" s="131"/>
      <c r="DUV13" s="131"/>
      <c r="DUW13" s="131"/>
      <c r="DUX13" s="131"/>
      <c r="DUY13" s="131"/>
      <c r="DUZ13" s="131"/>
      <c r="DVA13" s="131"/>
      <c r="DVB13" s="131"/>
      <c r="DVC13" s="131"/>
      <c r="DVD13" s="131"/>
      <c r="DVE13" s="131"/>
      <c r="DVF13" s="131"/>
      <c r="DVG13" s="131"/>
      <c r="DVH13" s="131"/>
      <c r="DVI13" s="131"/>
      <c r="DVJ13" s="131"/>
      <c r="DVK13" s="131"/>
      <c r="DVL13" s="131"/>
      <c r="DVM13" s="131"/>
      <c r="DVN13" s="131"/>
      <c r="DVO13" s="131"/>
      <c r="DVP13" s="131"/>
      <c r="DVQ13" s="131"/>
      <c r="DVR13" s="131"/>
      <c r="DVS13" s="131"/>
      <c r="DVT13" s="131"/>
      <c r="DVU13" s="131"/>
      <c r="DVV13" s="131"/>
      <c r="DVW13" s="131"/>
      <c r="DVX13" s="131"/>
      <c r="DVY13" s="131"/>
      <c r="DVZ13" s="131"/>
      <c r="DWA13" s="131"/>
      <c r="DWB13" s="131"/>
      <c r="DWC13" s="131"/>
      <c r="DWD13" s="131"/>
      <c r="DWE13" s="131"/>
      <c r="DWF13" s="131"/>
      <c r="DWG13" s="131"/>
      <c r="DWH13" s="131"/>
      <c r="DWI13" s="131"/>
      <c r="DWJ13" s="131"/>
      <c r="DWK13" s="131"/>
      <c r="DWL13" s="131"/>
      <c r="DWM13" s="131"/>
      <c r="DWN13" s="131"/>
      <c r="DWO13" s="131"/>
      <c r="DWP13" s="131"/>
      <c r="DWQ13" s="131"/>
      <c r="DWR13" s="131"/>
      <c r="DWS13" s="131"/>
      <c r="DWT13" s="131"/>
      <c r="DWU13" s="131"/>
      <c r="DWV13" s="131"/>
      <c r="DWW13" s="131"/>
      <c r="DWX13" s="131"/>
      <c r="DWY13" s="131"/>
      <c r="DWZ13" s="131"/>
      <c r="DXA13" s="131"/>
      <c r="DXB13" s="131"/>
      <c r="DXC13" s="131"/>
      <c r="DXD13" s="131"/>
      <c r="DXE13" s="131"/>
      <c r="DXF13" s="131"/>
      <c r="DXG13" s="131"/>
      <c r="DXH13" s="131"/>
      <c r="DXI13" s="131"/>
      <c r="DXJ13" s="131"/>
      <c r="DXK13" s="131"/>
      <c r="DXL13" s="131"/>
      <c r="DXM13" s="131"/>
      <c r="DXN13" s="131"/>
      <c r="DXO13" s="131"/>
      <c r="DXP13" s="131"/>
      <c r="DXQ13" s="131"/>
      <c r="DXR13" s="131"/>
      <c r="DXS13" s="131"/>
      <c r="DXT13" s="131"/>
      <c r="DXU13" s="131"/>
      <c r="DXV13" s="131"/>
      <c r="DXW13" s="131"/>
      <c r="DXX13" s="131"/>
      <c r="DXY13" s="131"/>
      <c r="DXZ13" s="131"/>
      <c r="DYA13" s="131"/>
      <c r="DYB13" s="131"/>
      <c r="DYC13" s="131"/>
      <c r="DYD13" s="131"/>
      <c r="DYE13" s="131"/>
      <c r="DYF13" s="131"/>
      <c r="DYG13" s="131"/>
      <c r="DYH13" s="131"/>
      <c r="DYI13" s="131"/>
      <c r="DYJ13" s="131"/>
      <c r="DYK13" s="131"/>
      <c r="DYL13" s="131"/>
      <c r="DYM13" s="131"/>
      <c r="DYN13" s="131"/>
      <c r="DYO13" s="131"/>
      <c r="DYP13" s="131"/>
      <c r="DYQ13" s="131"/>
      <c r="DYR13" s="131"/>
      <c r="DYS13" s="131"/>
      <c r="DYT13" s="131"/>
      <c r="DYU13" s="131"/>
      <c r="DYV13" s="131"/>
      <c r="DYW13" s="131"/>
      <c r="DYX13" s="131"/>
      <c r="DYY13" s="131"/>
      <c r="DYZ13" s="131"/>
      <c r="DZA13" s="131"/>
      <c r="DZB13" s="131"/>
      <c r="DZC13" s="131"/>
      <c r="DZD13" s="131"/>
      <c r="DZE13" s="131"/>
      <c r="DZF13" s="131"/>
      <c r="DZG13" s="131"/>
      <c r="DZH13" s="131"/>
      <c r="DZI13" s="131"/>
      <c r="DZJ13" s="131"/>
      <c r="DZK13" s="131"/>
      <c r="DZL13" s="131"/>
      <c r="DZM13" s="131"/>
      <c r="DZN13" s="131"/>
      <c r="DZO13" s="131"/>
      <c r="DZP13" s="131"/>
      <c r="DZQ13" s="131"/>
      <c r="DZR13" s="131"/>
      <c r="DZS13" s="131"/>
      <c r="DZT13" s="131"/>
      <c r="DZU13" s="131"/>
      <c r="DZV13" s="131"/>
      <c r="DZW13" s="131"/>
      <c r="DZX13" s="131"/>
      <c r="DZY13" s="131"/>
      <c r="DZZ13" s="131"/>
      <c r="EAA13" s="131"/>
      <c r="EAB13" s="131"/>
      <c r="EAC13" s="131"/>
      <c r="EAD13" s="131"/>
      <c r="EAE13" s="131"/>
      <c r="EAF13" s="131"/>
      <c r="EAG13" s="131"/>
      <c r="EAH13" s="131"/>
      <c r="EAI13" s="131"/>
      <c r="EAJ13" s="131"/>
      <c r="EAK13" s="131"/>
      <c r="EAL13" s="131"/>
      <c r="EAM13" s="131"/>
      <c r="EAN13" s="131"/>
      <c r="EAO13" s="131"/>
      <c r="EAP13" s="131"/>
      <c r="EAQ13" s="131"/>
      <c r="EAR13" s="131"/>
      <c r="EAS13" s="131"/>
      <c r="EAT13" s="131"/>
      <c r="EAU13" s="131"/>
      <c r="EAV13" s="131"/>
      <c r="EAW13" s="131"/>
      <c r="EAX13" s="131"/>
      <c r="EAY13" s="131"/>
      <c r="EAZ13" s="131"/>
      <c r="EBA13" s="131"/>
      <c r="EBB13" s="131"/>
      <c r="EBC13" s="131"/>
      <c r="EBD13" s="131"/>
      <c r="EBE13" s="131"/>
      <c r="EBF13" s="131"/>
      <c r="EBG13" s="131"/>
      <c r="EBH13" s="131"/>
      <c r="EBI13" s="131"/>
      <c r="EBJ13" s="131"/>
      <c r="EBK13" s="131"/>
      <c r="EBL13" s="131"/>
      <c r="EBM13" s="131"/>
      <c r="EBN13" s="131"/>
      <c r="EBO13" s="131"/>
      <c r="EBP13" s="131"/>
      <c r="EBQ13" s="131"/>
      <c r="EBR13" s="131"/>
      <c r="EBS13" s="131"/>
      <c r="EBT13" s="131"/>
      <c r="EBU13" s="131"/>
      <c r="EBV13" s="131"/>
      <c r="EBW13" s="131"/>
      <c r="EBX13" s="131"/>
      <c r="EBY13" s="131"/>
      <c r="EBZ13" s="131"/>
      <c r="ECA13" s="131"/>
      <c r="ECB13" s="131"/>
      <c r="ECC13" s="131"/>
      <c r="ECD13" s="131"/>
      <c r="ECE13" s="131"/>
      <c r="ECF13" s="131"/>
      <c r="ECG13" s="131"/>
      <c r="ECH13" s="131"/>
      <c r="ECI13" s="131"/>
      <c r="ECJ13" s="131"/>
      <c r="ECK13" s="131"/>
      <c r="ECL13" s="131"/>
      <c r="ECM13" s="131"/>
      <c r="ECN13" s="131"/>
      <c r="ECO13" s="131"/>
      <c r="ECP13" s="131"/>
      <c r="ECQ13" s="131"/>
      <c r="ECR13" s="131"/>
      <c r="ECS13" s="131"/>
      <c r="ECT13" s="131"/>
      <c r="ECU13" s="131"/>
      <c r="ECV13" s="131"/>
      <c r="ECW13" s="131"/>
      <c r="ECX13" s="131"/>
      <c r="ECY13" s="131"/>
      <c r="ECZ13" s="131"/>
      <c r="EDA13" s="131"/>
      <c r="EDB13" s="131"/>
      <c r="EDC13" s="131"/>
      <c r="EDD13" s="131"/>
      <c r="EDE13" s="131"/>
      <c r="EDF13" s="131"/>
      <c r="EDG13" s="131"/>
      <c r="EDH13" s="131"/>
      <c r="EDI13" s="131"/>
      <c r="EDJ13" s="131"/>
      <c r="EDK13" s="131"/>
      <c r="EDL13" s="131"/>
      <c r="EDM13" s="131"/>
      <c r="EDN13" s="131"/>
      <c r="EDO13" s="131"/>
      <c r="EDP13" s="131"/>
      <c r="EDQ13" s="131"/>
      <c r="EDR13" s="131"/>
      <c r="EDS13" s="131"/>
      <c r="EDT13" s="131"/>
      <c r="EDU13" s="131"/>
      <c r="EDV13" s="131"/>
      <c r="EDW13" s="131"/>
      <c r="EDX13" s="131"/>
      <c r="EDY13" s="131"/>
      <c r="EDZ13" s="131"/>
      <c r="EEA13" s="131"/>
      <c r="EEB13" s="131"/>
      <c r="EEC13" s="131"/>
      <c r="EED13" s="131"/>
      <c r="EEE13" s="131"/>
      <c r="EEF13" s="131"/>
      <c r="EEG13" s="131"/>
      <c r="EEH13" s="131"/>
      <c r="EEI13" s="131"/>
      <c r="EEJ13" s="131"/>
      <c r="EEK13" s="131"/>
      <c r="EEL13" s="131"/>
      <c r="EEM13" s="131"/>
      <c r="EEN13" s="131"/>
      <c r="EEO13" s="131"/>
      <c r="EEP13" s="131"/>
      <c r="EEQ13" s="131"/>
      <c r="EER13" s="131"/>
      <c r="EES13" s="131"/>
      <c r="EET13" s="131"/>
      <c r="EEU13" s="131"/>
      <c r="EEV13" s="131"/>
      <c r="EEW13" s="131"/>
      <c r="EEX13" s="131"/>
      <c r="EEY13" s="131"/>
      <c r="EEZ13" s="131"/>
      <c r="EFA13" s="131"/>
      <c r="EFB13" s="131"/>
      <c r="EFC13" s="131"/>
      <c r="EFD13" s="131"/>
      <c r="EFE13" s="131"/>
      <c r="EFF13" s="131"/>
      <c r="EFG13" s="131"/>
      <c r="EFH13" s="131"/>
      <c r="EFI13" s="131"/>
      <c r="EFJ13" s="131"/>
      <c r="EFK13" s="131"/>
      <c r="EFL13" s="131"/>
      <c r="EFM13" s="131"/>
      <c r="EFN13" s="131"/>
      <c r="EFO13" s="131"/>
      <c r="EFP13" s="131"/>
      <c r="EFQ13" s="131"/>
      <c r="EFR13" s="131"/>
      <c r="EFS13" s="131"/>
      <c r="EFT13" s="131"/>
      <c r="EFU13" s="131"/>
      <c r="EFV13" s="131"/>
      <c r="EFW13" s="131"/>
      <c r="EFX13" s="131"/>
      <c r="EFY13" s="131"/>
      <c r="EFZ13" s="131"/>
      <c r="EGA13" s="131"/>
      <c r="EGB13" s="131"/>
      <c r="EGC13" s="131"/>
      <c r="EGD13" s="131"/>
      <c r="EGE13" s="131"/>
      <c r="EGF13" s="131"/>
      <c r="EGG13" s="131"/>
      <c r="EGH13" s="131"/>
      <c r="EGI13" s="131"/>
      <c r="EGJ13" s="131"/>
      <c r="EGK13" s="131"/>
      <c r="EGL13" s="131"/>
      <c r="EGM13" s="131"/>
      <c r="EGN13" s="131"/>
      <c r="EGO13" s="131"/>
      <c r="EGP13" s="131"/>
      <c r="EGQ13" s="131"/>
      <c r="EGR13" s="131"/>
      <c r="EGS13" s="131"/>
      <c r="EGT13" s="131"/>
      <c r="EGU13" s="131"/>
      <c r="EGV13" s="131"/>
      <c r="EGW13" s="131"/>
      <c r="EGX13" s="131"/>
      <c r="EGY13" s="131"/>
      <c r="EGZ13" s="131"/>
      <c r="EHA13" s="131"/>
      <c r="EHB13" s="131"/>
      <c r="EHC13" s="131"/>
      <c r="EHD13" s="131"/>
      <c r="EHE13" s="131"/>
      <c r="EHF13" s="131"/>
      <c r="EHG13" s="131"/>
      <c r="EHH13" s="131"/>
      <c r="EHI13" s="131"/>
      <c r="EHJ13" s="131"/>
      <c r="EHK13" s="131"/>
      <c r="EHL13" s="131"/>
      <c r="EHM13" s="131"/>
      <c r="EHN13" s="131"/>
      <c r="EHO13" s="131"/>
      <c r="EHP13" s="131"/>
      <c r="EHQ13" s="131"/>
      <c r="EHR13" s="131"/>
      <c r="EHS13" s="131"/>
      <c r="EHT13" s="131"/>
      <c r="EHU13" s="131"/>
      <c r="EHV13" s="131"/>
      <c r="EHW13" s="131"/>
      <c r="EHX13" s="131"/>
      <c r="EHY13" s="131"/>
      <c r="EHZ13" s="131"/>
      <c r="EIA13" s="131"/>
      <c r="EIB13" s="131"/>
      <c r="EIC13" s="131"/>
      <c r="EID13" s="131"/>
      <c r="EIE13" s="131"/>
      <c r="EIF13" s="131"/>
      <c r="EIG13" s="131"/>
      <c r="EIH13" s="131"/>
      <c r="EII13" s="131"/>
      <c r="EIJ13" s="131"/>
      <c r="EIK13" s="131"/>
      <c r="EIL13" s="131"/>
      <c r="EIM13" s="131"/>
      <c r="EIN13" s="131"/>
      <c r="EIO13" s="131"/>
      <c r="EIP13" s="131"/>
      <c r="EIQ13" s="131"/>
      <c r="EIR13" s="131"/>
      <c r="EIS13" s="131"/>
      <c r="EIT13" s="131"/>
      <c r="EIU13" s="131"/>
      <c r="EIV13" s="131"/>
      <c r="EIW13" s="131"/>
      <c r="EIX13" s="131"/>
      <c r="EIY13" s="131"/>
      <c r="EIZ13" s="131"/>
      <c r="EJA13" s="131"/>
      <c r="EJB13" s="131"/>
      <c r="EJC13" s="131"/>
      <c r="EJD13" s="131"/>
      <c r="EJE13" s="131"/>
      <c r="EJF13" s="131"/>
      <c r="EJG13" s="131"/>
      <c r="EJH13" s="131"/>
      <c r="EJI13" s="131"/>
      <c r="EJJ13" s="131"/>
      <c r="EJK13" s="131"/>
      <c r="EJL13" s="131"/>
      <c r="EJM13" s="131"/>
      <c r="EJN13" s="131"/>
      <c r="EJO13" s="131"/>
      <c r="EJP13" s="131"/>
      <c r="EJQ13" s="131"/>
      <c r="EJR13" s="131"/>
      <c r="EJS13" s="131"/>
      <c r="EJT13" s="131"/>
      <c r="EJU13" s="131"/>
      <c r="EJV13" s="131"/>
      <c r="EJW13" s="131"/>
      <c r="EJX13" s="131"/>
      <c r="EJY13" s="131"/>
      <c r="EJZ13" s="131"/>
      <c r="EKA13" s="131"/>
      <c r="EKB13" s="131"/>
      <c r="EKC13" s="131"/>
      <c r="EKD13" s="131"/>
      <c r="EKE13" s="131"/>
      <c r="EKF13" s="131"/>
      <c r="EKG13" s="131"/>
      <c r="EKH13" s="131"/>
      <c r="EKI13" s="131"/>
      <c r="EKJ13" s="131"/>
      <c r="EKK13" s="131"/>
      <c r="EKL13" s="131"/>
      <c r="EKM13" s="131"/>
      <c r="EKN13" s="131"/>
      <c r="EKO13" s="131"/>
      <c r="EKP13" s="131"/>
      <c r="EKQ13" s="131"/>
      <c r="EKR13" s="131"/>
      <c r="EKS13" s="131"/>
      <c r="EKT13" s="131"/>
      <c r="EKU13" s="131"/>
      <c r="EKV13" s="131"/>
      <c r="EKW13" s="131"/>
      <c r="EKX13" s="131"/>
      <c r="EKY13" s="131"/>
      <c r="EKZ13" s="131"/>
      <c r="ELA13" s="131"/>
      <c r="ELB13" s="131"/>
      <c r="ELC13" s="131"/>
      <c r="ELD13" s="131"/>
      <c r="ELE13" s="131"/>
      <c r="ELF13" s="131"/>
      <c r="ELG13" s="131"/>
      <c r="ELH13" s="131"/>
      <c r="ELI13" s="131"/>
      <c r="ELJ13" s="131"/>
      <c r="ELK13" s="131"/>
      <c r="ELL13" s="131"/>
      <c r="ELM13" s="131"/>
      <c r="ELN13" s="131"/>
      <c r="ELO13" s="131"/>
      <c r="ELP13" s="131"/>
      <c r="ELQ13" s="131"/>
      <c r="ELR13" s="131"/>
      <c r="ELS13" s="131"/>
      <c r="ELT13" s="131"/>
      <c r="ELU13" s="131"/>
      <c r="ELV13" s="131"/>
      <c r="ELW13" s="131"/>
      <c r="ELX13" s="131"/>
      <c r="ELY13" s="131"/>
      <c r="ELZ13" s="131"/>
      <c r="EMA13" s="131"/>
      <c r="EMB13" s="131"/>
      <c r="EMC13" s="131"/>
      <c r="EMD13" s="131"/>
      <c r="EME13" s="131"/>
      <c r="EMF13" s="131"/>
      <c r="EMG13" s="131"/>
      <c r="EMH13" s="131"/>
      <c r="EMI13" s="131"/>
      <c r="EMJ13" s="131"/>
      <c r="EMK13" s="131"/>
      <c r="EML13" s="131"/>
      <c r="EMM13" s="131"/>
      <c r="EMN13" s="131"/>
      <c r="EMO13" s="131"/>
      <c r="EMP13" s="131"/>
      <c r="EMQ13" s="131"/>
      <c r="EMR13" s="131"/>
      <c r="EMS13" s="131"/>
      <c r="EMT13" s="131"/>
      <c r="EMU13" s="131"/>
      <c r="EMV13" s="131"/>
      <c r="EMW13" s="131"/>
      <c r="EMX13" s="131"/>
      <c r="EMY13" s="131"/>
      <c r="EMZ13" s="131"/>
      <c r="ENA13" s="131"/>
      <c r="ENB13" s="131"/>
      <c r="ENC13" s="131"/>
      <c r="END13" s="131"/>
      <c r="ENE13" s="131"/>
      <c r="ENF13" s="131"/>
      <c r="ENG13" s="131"/>
      <c r="ENH13" s="131"/>
      <c r="ENI13" s="131"/>
      <c r="ENJ13" s="131"/>
      <c r="ENK13" s="131"/>
      <c r="ENL13" s="131"/>
      <c r="ENM13" s="131"/>
      <c r="ENN13" s="131"/>
      <c r="ENO13" s="131"/>
      <c r="ENP13" s="131"/>
      <c r="ENQ13" s="131"/>
      <c r="ENR13" s="131"/>
      <c r="ENS13" s="131"/>
      <c r="ENT13" s="131"/>
      <c r="ENU13" s="131"/>
      <c r="ENV13" s="131"/>
      <c r="ENW13" s="131"/>
      <c r="ENX13" s="131"/>
      <c r="ENY13" s="131"/>
      <c r="ENZ13" s="131"/>
      <c r="EOA13" s="131"/>
      <c r="EOB13" s="131"/>
      <c r="EOC13" s="131"/>
      <c r="EOD13" s="131"/>
      <c r="EOE13" s="131"/>
      <c r="EOF13" s="131"/>
      <c r="EOG13" s="131"/>
      <c r="EOH13" s="131"/>
      <c r="EOI13" s="131"/>
      <c r="EOJ13" s="131"/>
      <c r="EOK13" s="131"/>
      <c r="EOL13" s="131"/>
      <c r="EOM13" s="131"/>
      <c r="EON13" s="131"/>
      <c r="EOO13" s="131"/>
      <c r="EOP13" s="131"/>
      <c r="EOQ13" s="131"/>
      <c r="EOR13" s="131"/>
      <c r="EOS13" s="131"/>
      <c r="EOT13" s="131"/>
      <c r="EOU13" s="131"/>
      <c r="EOV13" s="131"/>
      <c r="EOW13" s="131"/>
      <c r="EOX13" s="131"/>
      <c r="EOY13" s="131"/>
      <c r="EOZ13" s="131"/>
      <c r="EPA13" s="131"/>
      <c r="EPB13" s="131"/>
      <c r="EPC13" s="131"/>
      <c r="EPD13" s="131"/>
      <c r="EPE13" s="131"/>
      <c r="EPF13" s="131"/>
      <c r="EPG13" s="131"/>
      <c r="EPH13" s="131"/>
      <c r="EPI13" s="131"/>
      <c r="EPJ13" s="131"/>
      <c r="EPK13" s="131"/>
      <c r="EPL13" s="131"/>
      <c r="EPM13" s="131"/>
      <c r="EPN13" s="131"/>
      <c r="EPO13" s="131"/>
      <c r="EPP13" s="131"/>
      <c r="EPQ13" s="131"/>
      <c r="EPR13" s="131"/>
      <c r="EPS13" s="131"/>
      <c r="EPT13" s="131"/>
      <c r="EPU13" s="131"/>
      <c r="EPV13" s="131"/>
      <c r="EPW13" s="131"/>
      <c r="EPX13" s="131"/>
      <c r="EPY13" s="131"/>
      <c r="EPZ13" s="131"/>
      <c r="EQA13" s="131"/>
      <c r="EQB13" s="131"/>
      <c r="EQC13" s="131"/>
      <c r="EQD13" s="131"/>
      <c r="EQE13" s="131"/>
      <c r="EQF13" s="131"/>
      <c r="EQG13" s="131"/>
      <c r="EQH13" s="131"/>
      <c r="EQI13" s="131"/>
      <c r="EQJ13" s="131"/>
      <c r="EQK13" s="131"/>
      <c r="EQL13" s="131"/>
      <c r="EQM13" s="131"/>
      <c r="EQN13" s="131"/>
      <c r="EQO13" s="131"/>
      <c r="EQP13" s="131"/>
      <c r="EQQ13" s="131"/>
      <c r="EQR13" s="131"/>
      <c r="EQS13" s="131"/>
      <c r="EQT13" s="131"/>
      <c r="EQU13" s="131"/>
      <c r="EQV13" s="131"/>
      <c r="EQW13" s="131"/>
      <c r="EQX13" s="131"/>
      <c r="EQY13" s="131"/>
      <c r="EQZ13" s="131"/>
      <c r="ERA13" s="131"/>
      <c r="ERB13" s="131"/>
      <c r="ERC13" s="131"/>
      <c r="ERD13" s="131"/>
      <c r="ERE13" s="131"/>
      <c r="ERF13" s="131"/>
      <c r="ERG13" s="131"/>
      <c r="ERH13" s="131"/>
      <c r="ERI13" s="131"/>
      <c r="ERJ13" s="131"/>
      <c r="ERK13" s="131"/>
      <c r="ERL13" s="131"/>
      <c r="ERM13" s="131"/>
      <c r="ERN13" s="131"/>
      <c r="ERO13" s="131"/>
      <c r="ERP13" s="131"/>
      <c r="ERQ13" s="131"/>
      <c r="ERR13" s="131"/>
      <c r="ERS13" s="131"/>
      <c r="ERT13" s="131"/>
      <c r="ERU13" s="131"/>
      <c r="ERV13" s="131"/>
      <c r="ERW13" s="131"/>
      <c r="ERX13" s="131"/>
      <c r="ERY13" s="131"/>
      <c r="ERZ13" s="131"/>
      <c r="ESA13" s="131"/>
      <c r="ESB13" s="131"/>
      <c r="ESC13" s="131"/>
      <c r="ESD13" s="131"/>
      <c r="ESE13" s="131"/>
      <c r="ESF13" s="131"/>
      <c r="ESG13" s="131"/>
      <c r="ESH13" s="131"/>
      <c r="ESI13" s="131"/>
      <c r="ESJ13" s="131"/>
      <c r="ESK13" s="131"/>
      <c r="ESL13" s="131"/>
      <c r="ESM13" s="131"/>
      <c r="ESN13" s="131"/>
      <c r="ESO13" s="131"/>
      <c r="ESP13" s="131"/>
      <c r="ESQ13" s="131"/>
      <c r="ESR13" s="131"/>
      <c r="ESS13" s="131"/>
      <c r="EST13" s="131"/>
      <c r="ESU13" s="131"/>
      <c r="ESV13" s="131"/>
      <c r="ESW13" s="131"/>
      <c r="ESX13" s="131"/>
      <c r="ESY13" s="131"/>
      <c r="ESZ13" s="131"/>
      <c r="ETA13" s="131"/>
      <c r="ETB13" s="131"/>
      <c r="ETC13" s="131"/>
      <c r="ETD13" s="131"/>
      <c r="ETE13" s="131"/>
      <c r="ETF13" s="131"/>
      <c r="ETG13" s="131"/>
      <c r="ETH13" s="131"/>
      <c r="ETI13" s="131"/>
      <c r="ETJ13" s="131"/>
      <c r="ETK13" s="131"/>
      <c r="ETL13" s="131"/>
      <c r="ETM13" s="131"/>
      <c r="ETN13" s="131"/>
      <c r="ETO13" s="131"/>
      <c r="ETP13" s="131"/>
      <c r="ETQ13" s="131"/>
      <c r="ETR13" s="131"/>
      <c r="ETS13" s="131"/>
      <c r="ETT13" s="131"/>
      <c r="ETU13" s="131"/>
      <c r="ETV13" s="131"/>
      <c r="ETW13" s="131"/>
      <c r="ETX13" s="131"/>
      <c r="ETY13" s="131"/>
      <c r="ETZ13" s="131"/>
      <c r="EUA13" s="131"/>
      <c r="EUB13" s="131"/>
      <c r="EUC13" s="131"/>
      <c r="EUD13" s="131"/>
      <c r="EUE13" s="131"/>
      <c r="EUF13" s="131"/>
      <c r="EUG13" s="131"/>
      <c r="EUH13" s="131"/>
      <c r="EUI13" s="131"/>
      <c r="EUJ13" s="131"/>
      <c r="EUK13" s="131"/>
      <c r="EUL13" s="131"/>
      <c r="EUM13" s="131"/>
      <c r="EUN13" s="131"/>
      <c r="EUO13" s="131"/>
      <c r="EUP13" s="131"/>
      <c r="EUQ13" s="131"/>
      <c r="EUR13" s="131"/>
      <c r="EUS13" s="131"/>
      <c r="EUT13" s="131"/>
      <c r="EUU13" s="131"/>
      <c r="EUV13" s="131"/>
      <c r="EUW13" s="131"/>
      <c r="EUX13" s="131"/>
      <c r="EUY13" s="131"/>
      <c r="EUZ13" s="131"/>
      <c r="EVA13" s="131"/>
      <c r="EVB13" s="131"/>
      <c r="EVC13" s="131"/>
      <c r="EVD13" s="131"/>
      <c r="EVE13" s="131"/>
      <c r="EVF13" s="131"/>
      <c r="EVG13" s="131"/>
      <c r="EVH13" s="131"/>
      <c r="EVI13" s="131"/>
      <c r="EVJ13" s="131"/>
      <c r="EVK13" s="131"/>
      <c r="EVL13" s="131"/>
      <c r="EVM13" s="131"/>
      <c r="EVN13" s="131"/>
      <c r="EVO13" s="131"/>
      <c r="EVP13" s="131"/>
      <c r="EVQ13" s="131"/>
      <c r="EVR13" s="131"/>
      <c r="EVS13" s="131"/>
      <c r="EVT13" s="131"/>
      <c r="EVU13" s="131"/>
      <c r="EVV13" s="131"/>
      <c r="EVW13" s="131"/>
      <c r="EVX13" s="131"/>
      <c r="EVY13" s="131"/>
      <c r="EVZ13" s="131"/>
      <c r="EWA13" s="131"/>
      <c r="EWB13" s="131"/>
      <c r="EWC13" s="131"/>
      <c r="EWD13" s="131"/>
      <c r="EWE13" s="131"/>
      <c r="EWF13" s="131"/>
      <c r="EWG13" s="131"/>
      <c r="EWH13" s="131"/>
      <c r="EWI13" s="131"/>
      <c r="EWJ13" s="131"/>
      <c r="EWK13" s="131"/>
      <c r="EWL13" s="131"/>
      <c r="EWM13" s="131"/>
      <c r="EWN13" s="131"/>
      <c r="EWO13" s="131"/>
      <c r="EWP13" s="131"/>
      <c r="EWQ13" s="131"/>
      <c r="EWR13" s="131"/>
      <c r="EWS13" s="131"/>
      <c r="EWT13" s="131"/>
      <c r="EWU13" s="131"/>
      <c r="EWV13" s="131"/>
      <c r="EWW13" s="131"/>
      <c r="EWX13" s="131"/>
      <c r="EWY13" s="131"/>
      <c r="EWZ13" s="131"/>
      <c r="EXA13" s="131"/>
      <c r="EXB13" s="131"/>
      <c r="EXC13" s="131"/>
      <c r="EXD13" s="131"/>
      <c r="EXE13" s="131"/>
      <c r="EXF13" s="131"/>
      <c r="EXG13" s="131"/>
      <c r="EXH13" s="131"/>
      <c r="EXI13" s="131"/>
      <c r="EXJ13" s="131"/>
      <c r="EXK13" s="131"/>
      <c r="EXL13" s="131"/>
      <c r="EXM13" s="131"/>
      <c r="EXN13" s="131"/>
      <c r="EXO13" s="131"/>
      <c r="EXP13" s="131"/>
      <c r="EXQ13" s="131"/>
      <c r="EXR13" s="131"/>
      <c r="EXS13" s="131"/>
      <c r="EXT13" s="131"/>
      <c r="EXU13" s="131"/>
      <c r="EXV13" s="131"/>
      <c r="EXW13" s="131"/>
      <c r="EXX13" s="131"/>
      <c r="EXY13" s="131"/>
      <c r="EXZ13" s="131"/>
      <c r="EYA13" s="131"/>
      <c r="EYB13" s="131"/>
      <c r="EYC13" s="131"/>
      <c r="EYD13" s="131"/>
      <c r="EYE13" s="131"/>
      <c r="EYF13" s="131"/>
      <c r="EYG13" s="131"/>
      <c r="EYH13" s="131"/>
      <c r="EYI13" s="131"/>
      <c r="EYJ13" s="131"/>
      <c r="EYK13" s="131"/>
      <c r="EYL13" s="131"/>
      <c r="EYM13" s="131"/>
      <c r="EYN13" s="131"/>
      <c r="EYO13" s="131"/>
      <c r="EYP13" s="131"/>
      <c r="EYQ13" s="131"/>
      <c r="EYR13" s="131"/>
      <c r="EYS13" s="131"/>
      <c r="EYT13" s="131"/>
      <c r="EYU13" s="131"/>
      <c r="EYV13" s="131"/>
      <c r="EYW13" s="131"/>
      <c r="EYX13" s="131"/>
      <c r="EYY13" s="131"/>
      <c r="EYZ13" s="131"/>
      <c r="EZA13" s="131"/>
      <c r="EZB13" s="131"/>
      <c r="EZC13" s="131"/>
      <c r="EZD13" s="131"/>
      <c r="EZE13" s="131"/>
      <c r="EZF13" s="131"/>
      <c r="EZG13" s="131"/>
      <c r="EZH13" s="131"/>
      <c r="EZI13" s="131"/>
      <c r="EZJ13" s="131"/>
      <c r="EZK13" s="131"/>
      <c r="EZL13" s="131"/>
      <c r="EZM13" s="131"/>
      <c r="EZN13" s="131"/>
      <c r="EZO13" s="131"/>
      <c r="EZP13" s="131"/>
      <c r="EZQ13" s="131"/>
      <c r="EZR13" s="131"/>
      <c r="EZS13" s="131"/>
      <c r="EZT13" s="131"/>
      <c r="EZU13" s="131"/>
      <c r="EZV13" s="131"/>
      <c r="EZW13" s="131"/>
      <c r="EZX13" s="131"/>
      <c r="EZY13" s="131"/>
      <c r="EZZ13" s="131"/>
      <c r="FAA13" s="131"/>
      <c r="FAB13" s="131"/>
      <c r="FAC13" s="131"/>
      <c r="FAP13" s="131"/>
      <c r="FAQ13" s="131"/>
      <c r="FAR13" s="131"/>
      <c r="FAS13" s="131"/>
      <c r="FAT13" s="131"/>
      <c r="FAU13" s="131"/>
      <c r="FAV13" s="131"/>
      <c r="FAW13" s="131"/>
      <c r="FAX13" s="131"/>
      <c r="FAY13" s="131"/>
      <c r="FAZ13" s="131"/>
      <c r="FBA13" s="131"/>
      <c r="FBB13" s="131"/>
      <c r="FBC13" s="131"/>
      <c r="FBD13" s="131"/>
      <c r="FBE13" s="131"/>
      <c r="FBF13" s="131"/>
      <c r="FBG13" s="131"/>
      <c r="FBH13" s="131"/>
      <c r="FBI13" s="131"/>
      <c r="FBJ13" s="131"/>
      <c r="FBK13" s="131"/>
      <c r="FBL13" s="131"/>
      <c r="FBM13" s="131"/>
      <c r="FBN13" s="131"/>
      <c r="FBO13" s="131"/>
      <c r="FBP13" s="131"/>
      <c r="FBQ13" s="131"/>
      <c r="FBR13" s="131"/>
      <c r="FBS13" s="131"/>
      <c r="FBT13" s="131"/>
      <c r="FBU13" s="131"/>
      <c r="FBV13" s="131"/>
      <c r="FBW13" s="131"/>
      <c r="FBX13" s="131"/>
      <c r="FBY13" s="131"/>
      <c r="FBZ13" s="131"/>
      <c r="FCA13" s="131"/>
      <c r="FCB13" s="131"/>
      <c r="FCC13" s="131"/>
      <c r="FCD13" s="131"/>
      <c r="FCE13" s="131"/>
      <c r="FCF13" s="131"/>
      <c r="FCG13" s="131"/>
      <c r="FCH13" s="131"/>
      <c r="FCI13" s="131"/>
      <c r="FCJ13" s="131"/>
      <c r="FCK13" s="131"/>
      <c r="FCL13" s="131"/>
      <c r="FCM13" s="131"/>
      <c r="FCN13" s="131"/>
      <c r="FCO13" s="131"/>
      <c r="FCP13" s="131"/>
      <c r="FCQ13" s="131"/>
      <c r="FCR13" s="131"/>
      <c r="FCS13" s="131"/>
      <c r="FCT13" s="131"/>
      <c r="FCU13" s="131"/>
      <c r="FCV13" s="131"/>
      <c r="FCW13" s="131"/>
      <c r="FCX13" s="131"/>
      <c r="FCY13" s="131"/>
      <c r="FCZ13" s="131"/>
      <c r="FDA13" s="131"/>
      <c r="FDB13" s="131"/>
      <c r="FDC13" s="131"/>
      <c r="FDD13" s="131"/>
      <c r="FDE13" s="131"/>
      <c r="FDF13" s="131"/>
      <c r="FDG13" s="131"/>
      <c r="FDH13" s="131"/>
      <c r="FDI13" s="131"/>
      <c r="FDJ13" s="131"/>
      <c r="FDK13" s="131"/>
      <c r="FDL13" s="131"/>
      <c r="FDM13" s="131"/>
      <c r="FDN13" s="131"/>
      <c r="FDO13" s="131"/>
      <c r="FDP13" s="131"/>
      <c r="FDQ13" s="131"/>
      <c r="FDR13" s="131"/>
      <c r="FDS13" s="131"/>
      <c r="FDT13" s="131"/>
      <c r="FDU13" s="131"/>
      <c r="FDV13" s="131"/>
      <c r="FDW13" s="131"/>
      <c r="FDX13" s="131"/>
      <c r="FDY13" s="131"/>
      <c r="FDZ13" s="131"/>
      <c r="FEA13" s="131"/>
      <c r="FEB13" s="131"/>
      <c r="FEC13" s="131"/>
      <c r="FED13" s="131"/>
      <c r="FEE13" s="131"/>
      <c r="FEF13" s="131"/>
      <c r="FEG13" s="131"/>
      <c r="FEH13" s="131"/>
      <c r="FEI13" s="131"/>
      <c r="FEJ13" s="131"/>
      <c r="FEK13" s="131"/>
      <c r="FEL13" s="131"/>
      <c r="FEM13" s="131"/>
      <c r="FEN13" s="131"/>
      <c r="FEO13" s="131"/>
      <c r="FEP13" s="131"/>
      <c r="FEQ13" s="131"/>
      <c r="FER13" s="131"/>
      <c r="FES13" s="131"/>
      <c r="FET13" s="131"/>
      <c r="FEU13" s="131"/>
      <c r="FEV13" s="131"/>
      <c r="FEW13" s="131"/>
      <c r="FEX13" s="131"/>
      <c r="FEY13" s="131"/>
      <c r="FEZ13" s="131"/>
      <c r="FFA13" s="131"/>
      <c r="FFB13" s="131"/>
      <c r="FFC13" s="131"/>
      <c r="FFD13" s="131"/>
      <c r="FFE13" s="131"/>
      <c r="FFF13" s="131"/>
      <c r="FFG13" s="131"/>
      <c r="FFH13" s="131"/>
      <c r="FFI13" s="131"/>
      <c r="FFJ13" s="131"/>
      <c r="FFK13" s="131"/>
      <c r="FFL13" s="131"/>
      <c r="FFM13" s="131"/>
      <c r="FFN13" s="131"/>
      <c r="FFO13" s="131"/>
      <c r="FFP13" s="131"/>
      <c r="FFQ13" s="131"/>
      <c r="FFR13" s="131"/>
      <c r="FFS13" s="131"/>
      <c r="FFT13" s="131"/>
      <c r="FFU13" s="131"/>
      <c r="FFV13" s="131"/>
      <c r="FFW13" s="131"/>
      <c r="FFX13" s="131"/>
      <c r="FFY13" s="131"/>
      <c r="FFZ13" s="131"/>
      <c r="FGA13" s="131"/>
      <c r="FGB13" s="131"/>
      <c r="FGC13" s="131"/>
      <c r="FGD13" s="131"/>
      <c r="FGE13" s="131"/>
      <c r="FGF13" s="131"/>
      <c r="FGG13" s="131"/>
      <c r="FGH13" s="131"/>
      <c r="FGI13" s="131"/>
      <c r="FGJ13" s="131"/>
      <c r="FGK13" s="131"/>
      <c r="FGL13" s="131"/>
      <c r="FGM13" s="131"/>
      <c r="FGN13" s="131"/>
      <c r="FGO13" s="131"/>
      <c r="FGP13" s="131"/>
      <c r="FGQ13" s="131"/>
      <c r="FGR13" s="131"/>
      <c r="FGS13" s="131"/>
      <c r="FGT13" s="131"/>
      <c r="FGU13" s="131"/>
      <c r="FGV13" s="131"/>
      <c r="FGW13" s="131"/>
      <c r="FGX13" s="131"/>
      <c r="FGY13" s="131"/>
      <c r="FGZ13" s="131"/>
      <c r="FHA13" s="131"/>
      <c r="FHB13" s="131"/>
      <c r="FHC13" s="131"/>
      <c r="FHD13" s="131"/>
      <c r="FHE13" s="131"/>
      <c r="FHF13" s="131"/>
      <c r="FHG13" s="131"/>
      <c r="FHH13" s="131"/>
      <c r="FHI13" s="131"/>
      <c r="FHJ13" s="131"/>
      <c r="FHK13" s="131"/>
      <c r="FHL13" s="131"/>
      <c r="FHM13" s="131"/>
      <c r="FHN13" s="131"/>
      <c r="FHO13" s="131"/>
      <c r="FHP13" s="131"/>
      <c r="FHQ13" s="131"/>
      <c r="FHR13" s="131"/>
      <c r="FHS13" s="131"/>
      <c r="FHT13" s="131"/>
      <c r="FHU13" s="131"/>
      <c r="FHV13" s="131"/>
      <c r="FHW13" s="131"/>
      <c r="FHX13" s="131"/>
      <c r="FHY13" s="131"/>
      <c r="FHZ13" s="131"/>
      <c r="FIA13" s="131"/>
      <c r="FIB13" s="131"/>
      <c r="FIC13" s="131"/>
      <c r="FID13" s="131"/>
      <c r="FIE13" s="131"/>
      <c r="FIF13" s="131"/>
      <c r="FIG13" s="131"/>
      <c r="FIH13" s="131"/>
      <c r="FII13" s="131"/>
      <c r="FIJ13" s="131"/>
      <c r="FIK13" s="131"/>
      <c r="FIL13" s="131"/>
      <c r="FIM13" s="131"/>
      <c r="FIN13" s="131"/>
      <c r="FIO13" s="131"/>
      <c r="FIP13" s="131"/>
      <c r="FIQ13" s="131"/>
      <c r="FIR13" s="131"/>
      <c r="FIS13" s="131"/>
      <c r="FIT13" s="131"/>
      <c r="FIU13" s="131"/>
      <c r="FIV13" s="131"/>
      <c r="FIW13" s="131"/>
      <c r="FIX13" s="131"/>
      <c r="FIY13" s="131"/>
      <c r="FIZ13" s="131"/>
      <c r="FJA13" s="131"/>
      <c r="FJB13" s="131"/>
      <c r="FJC13" s="131"/>
      <c r="FJD13" s="131"/>
      <c r="FJE13" s="131"/>
      <c r="FJF13" s="131"/>
      <c r="FJG13" s="131"/>
      <c r="FJH13" s="131"/>
      <c r="FJI13" s="131"/>
      <c r="FJJ13" s="131"/>
      <c r="FJK13" s="131"/>
      <c r="FJL13" s="131"/>
      <c r="FJM13" s="131"/>
      <c r="FJN13" s="131"/>
      <c r="FJO13" s="131"/>
      <c r="FJP13" s="131"/>
      <c r="FJQ13" s="131"/>
      <c r="FJR13" s="131"/>
      <c r="FJS13" s="131"/>
      <c r="FJT13" s="131"/>
      <c r="FJU13" s="131"/>
      <c r="FJV13" s="131"/>
      <c r="FJW13" s="131"/>
      <c r="FJX13" s="131"/>
      <c r="FJY13" s="131"/>
      <c r="FJZ13" s="131"/>
      <c r="FKA13" s="131"/>
      <c r="FKB13" s="131"/>
      <c r="FKC13" s="131"/>
      <c r="FKD13" s="131"/>
      <c r="FKE13" s="131"/>
      <c r="FKF13" s="131"/>
      <c r="FKG13" s="131"/>
      <c r="FKH13" s="131"/>
      <c r="FKI13" s="131"/>
      <c r="FKJ13" s="131"/>
      <c r="FKK13" s="131"/>
      <c r="FKL13" s="131"/>
      <c r="FKM13" s="131"/>
      <c r="FKN13" s="131"/>
      <c r="FKO13" s="131"/>
      <c r="FKP13" s="131"/>
      <c r="FKQ13" s="131"/>
      <c r="FKR13" s="131"/>
      <c r="FKS13" s="131"/>
      <c r="FKT13" s="131"/>
      <c r="FKU13" s="131"/>
      <c r="FKV13" s="131"/>
      <c r="FKW13" s="131"/>
      <c r="FKX13" s="131"/>
      <c r="FKY13" s="131"/>
      <c r="FKZ13" s="131"/>
      <c r="FLA13" s="131"/>
      <c r="FLB13" s="131"/>
      <c r="FLC13" s="131"/>
      <c r="FLD13" s="131"/>
      <c r="FLE13" s="131"/>
      <c r="FLF13" s="131"/>
      <c r="FLG13" s="131"/>
      <c r="FLH13" s="131"/>
      <c r="FLI13" s="131"/>
      <c r="FLJ13" s="131"/>
      <c r="FLK13" s="131"/>
      <c r="FLL13" s="131"/>
      <c r="FLM13" s="131"/>
      <c r="FLN13" s="131"/>
      <c r="FLO13" s="131"/>
      <c r="FLP13" s="131"/>
      <c r="FLQ13" s="131"/>
      <c r="FLR13" s="131"/>
      <c r="FLS13" s="131"/>
      <c r="FLT13" s="131"/>
      <c r="FLU13" s="131"/>
      <c r="FLV13" s="131"/>
      <c r="FLW13" s="131"/>
      <c r="FLX13" s="131"/>
      <c r="FLY13" s="131"/>
      <c r="FLZ13" s="131"/>
      <c r="FMA13" s="131"/>
      <c r="FMB13" s="131"/>
      <c r="FMC13" s="131"/>
      <c r="FMD13" s="131"/>
      <c r="FME13" s="131"/>
      <c r="FMF13" s="131"/>
      <c r="FMG13" s="131"/>
      <c r="FMH13" s="131"/>
      <c r="FMI13" s="131"/>
      <c r="FMJ13" s="131"/>
      <c r="FMK13" s="131"/>
      <c r="FML13" s="131"/>
      <c r="FMM13" s="131"/>
      <c r="FMN13" s="131"/>
      <c r="FMO13" s="131"/>
      <c r="FMP13" s="131"/>
      <c r="FMQ13" s="131"/>
      <c r="FMR13" s="131"/>
      <c r="FMS13" s="131"/>
      <c r="FMT13" s="131"/>
      <c r="FMU13" s="131"/>
      <c r="FMV13" s="131"/>
      <c r="FMW13" s="131"/>
      <c r="FMX13" s="131"/>
      <c r="FMY13" s="131"/>
      <c r="FMZ13" s="131"/>
      <c r="FNA13" s="131"/>
      <c r="FNB13" s="131"/>
      <c r="FNC13" s="131"/>
      <c r="FND13" s="131"/>
      <c r="FNE13" s="131"/>
      <c r="FNF13" s="131"/>
      <c r="FNG13" s="131"/>
      <c r="FNH13" s="131"/>
      <c r="FNI13" s="131"/>
      <c r="FNJ13" s="131"/>
      <c r="FNK13" s="131"/>
      <c r="FNL13" s="131"/>
      <c r="FNM13" s="131"/>
      <c r="FNN13" s="131"/>
      <c r="FNO13" s="131"/>
      <c r="FNP13" s="131"/>
      <c r="FNQ13" s="131"/>
      <c r="FNR13" s="131"/>
      <c r="FNS13" s="131"/>
      <c r="FNT13" s="131"/>
      <c r="FNU13" s="131"/>
      <c r="FNV13" s="131"/>
      <c r="FNW13" s="131"/>
      <c r="FNX13" s="131"/>
      <c r="FNY13" s="131"/>
      <c r="FNZ13" s="131"/>
      <c r="FOA13" s="131"/>
      <c r="FOB13" s="131"/>
      <c r="FOC13" s="131"/>
      <c r="FOD13" s="131"/>
      <c r="FOE13" s="131"/>
      <c r="FOF13" s="131"/>
      <c r="FOG13" s="131"/>
      <c r="FOH13" s="131"/>
      <c r="FOI13" s="131"/>
      <c r="FOJ13" s="131"/>
      <c r="FOK13" s="131"/>
      <c r="FOL13" s="131"/>
      <c r="FOM13" s="131"/>
      <c r="FON13" s="131"/>
      <c r="FOO13" s="131"/>
      <c r="FOP13" s="131"/>
      <c r="FOQ13" s="131"/>
      <c r="FOR13" s="131"/>
      <c r="FOS13" s="131"/>
      <c r="FOT13" s="131"/>
      <c r="FOU13" s="131"/>
      <c r="FOV13" s="131"/>
      <c r="FOW13" s="131"/>
      <c r="FOX13" s="131"/>
      <c r="FOY13" s="131"/>
      <c r="FOZ13" s="131"/>
      <c r="FPA13" s="131"/>
      <c r="FPB13" s="131"/>
      <c r="FPC13" s="131"/>
      <c r="FPD13" s="131"/>
      <c r="FPE13" s="131"/>
      <c r="FPF13" s="131"/>
      <c r="FPG13" s="131"/>
      <c r="FPH13" s="131"/>
      <c r="FPI13" s="131"/>
      <c r="FPJ13" s="131"/>
      <c r="FPK13" s="131"/>
      <c r="FPL13" s="131"/>
      <c r="FPM13" s="131"/>
      <c r="FPN13" s="131"/>
      <c r="FPO13" s="131"/>
      <c r="FPP13" s="131"/>
      <c r="FPQ13" s="131"/>
      <c r="FPR13" s="131"/>
      <c r="FPS13" s="131"/>
      <c r="FPT13" s="131"/>
      <c r="FPU13" s="131"/>
      <c r="FPV13" s="131"/>
      <c r="FPW13" s="131"/>
      <c r="FPX13" s="131"/>
      <c r="FPY13" s="131"/>
      <c r="FPZ13" s="131"/>
      <c r="FQA13" s="131"/>
      <c r="FQB13" s="131"/>
      <c r="FQC13" s="131"/>
      <c r="FQD13" s="131"/>
      <c r="FQE13" s="131"/>
      <c r="FQF13" s="131"/>
      <c r="FQG13" s="131"/>
      <c r="FQH13" s="131"/>
      <c r="FQI13" s="131"/>
      <c r="FQJ13" s="131"/>
      <c r="FQK13" s="131"/>
      <c r="FQL13" s="131"/>
      <c r="FQM13" s="131"/>
      <c r="FQN13" s="131"/>
      <c r="FQO13" s="131"/>
      <c r="FQP13" s="131"/>
      <c r="FQQ13" s="131"/>
      <c r="FQR13" s="131"/>
      <c r="FQS13" s="131"/>
      <c r="FQT13" s="131"/>
      <c r="FQU13" s="131"/>
      <c r="FQV13" s="131"/>
      <c r="FQW13" s="131"/>
      <c r="FQX13" s="131"/>
      <c r="FQY13" s="131"/>
      <c r="FQZ13" s="131"/>
      <c r="FRA13" s="131"/>
      <c r="FRB13" s="131"/>
      <c r="FRC13" s="131"/>
      <c r="FRD13" s="131"/>
      <c r="FRE13" s="131"/>
      <c r="FRF13" s="131"/>
      <c r="FRG13" s="131"/>
      <c r="FRH13" s="131"/>
      <c r="FRI13" s="131"/>
      <c r="FRJ13" s="131"/>
      <c r="FRK13" s="131"/>
      <c r="FRL13" s="131"/>
      <c r="FRM13" s="131"/>
      <c r="FRN13" s="131"/>
      <c r="FRO13" s="131"/>
      <c r="FRP13" s="131"/>
      <c r="FRQ13" s="131"/>
      <c r="FRR13" s="131"/>
      <c r="FRS13" s="131"/>
      <c r="FRT13" s="131"/>
      <c r="FRU13" s="131"/>
      <c r="FRV13" s="131"/>
      <c r="FRW13" s="131"/>
      <c r="FRX13" s="131"/>
      <c r="FRY13" s="131"/>
      <c r="FRZ13" s="131"/>
      <c r="FSA13" s="131"/>
      <c r="FSB13" s="131"/>
      <c r="FSC13" s="131"/>
      <c r="FSD13" s="131"/>
      <c r="FSE13" s="131"/>
      <c r="FSF13" s="131"/>
      <c r="FSG13" s="131"/>
      <c r="FSH13" s="131"/>
      <c r="FSI13" s="131"/>
      <c r="FSJ13" s="131"/>
      <c r="FSK13" s="131"/>
      <c r="FSL13" s="131"/>
      <c r="FSM13" s="131"/>
      <c r="FSN13" s="131"/>
      <c r="FSO13" s="131"/>
      <c r="FSP13" s="131"/>
      <c r="FSQ13" s="131"/>
      <c r="FSR13" s="131"/>
      <c r="FSS13" s="131"/>
      <c r="FST13" s="131"/>
      <c r="FSU13" s="131"/>
      <c r="FSV13" s="131"/>
      <c r="FSW13" s="131"/>
      <c r="FSX13" s="131"/>
      <c r="FSY13" s="131"/>
      <c r="FSZ13" s="131"/>
      <c r="FTA13" s="131"/>
      <c r="FTB13" s="131"/>
      <c r="FTC13" s="131"/>
      <c r="FTD13" s="131"/>
      <c r="FTE13" s="131"/>
      <c r="FTF13" s="131"/>
      <c r="FTG13" s="131"/>
      <c r="FTH13" s="131"/>
      <c r="FTI13" s="131"/>
      <c r="FTJ13" s="131"/>
      <c r="FTK13" s="131"/>
      <c r="FTL13" s="131"/>
      <c r="FTM13" s="131"/>
      <c r="FTN13" s="131"/>
      <c r="FTO13" s="131"/>
      <c r="FTP13" s="131"/>
      <c r="FTQ13" s="131"/>
      <c r="FTR13" s="131"/>
      <c r="FTS13" s="131"/>
      <c r="FTT13" s="131"/>
      <c r="FTU13" s="131"/>
      <c r="FTV13" s="131"/>
      <c r="FTW13" s="131"/>
      <c r="FTX13" s="131"/>
      <c r="FTY13" s="131"/>
      <c r="FTZ13" s="131"/>
      <c r="FUA13" s="131"/>
      <c r="FUB13" s="131"/>
      <c r="FUC13" s="131"/>
      <c r="FUD13" s="131"/>
      <c r="FUE13" s="131"/>
      <c r="FUF13" s="131"/>
      <c r="FUG13" s="131"/>
      <c r="FUH13" s="131"/>
      <c r="FUI13" s="131"/>
      <c r="FUJ13" s="131"/>
      <c r="FUK13" s="131"/>
      <c r="FUL13" s="131"/>
      <c r="FUM13" s="131"/>
      <c r="FUN13" s="131"/>
      <c r="FUO13" s="131"/>
      <c r="FUP13" s="131"/>
      <c r="FUQ13" s="131"/>
      <c r="FUR13" s="131"/>
      <c r="FUS13" s="131"/>
      <c r="FUT13" s="131"/>
      <c r="FUU13" s="131"/>
      <c r="FUV13" s="131"/>
      <c r="FUW13" s="131"/>
      <c r="FUX13" s="131"/>
      <c r="FUY13" s="131"/>
      <c r="FUZ13" s="131"/>
      <c r="FVA13" s="131"/>
      <c r="FVB13" s="131"/>
      <c r="FVC13" s="131"/>
      <c r="FVD13" s="131"/>
      <c r="FVE13" s="131"/>
      <c r="FVF13" s="131"/>
      <c r="FVG13" s="131"/>
      <c r="FVH13" s="131"/>
      <c r="FVI13" s="131"/>
      <c r="FVJ13" s="131"/>
      <c r="FVK13" s="131"/>
      <c r="FVL13" s="131"/>
      <c r="FVM13" s="131"/>
      <c r="FVN13" s="131"/>
      <c r="FVO13" s="131"/>
      <c r="FVP13" s="131"/>
      <c r="FVQ13" s="131"/>
      <c r="FVR13" s="131"/>
      <c r="FVS13" s="131"/>
      <c r="FVT13" s="131"/>
      <c r="FVU13" s="131"/>
      <c r="FVV13" s="131"/>
      <c r="FVW13" s="131"/>
      <c r="FVX13" s="131"/>
      <c r="FVY13" s="131"/>
      <c r="FVZ13" s="131"/>
      <c r="FWA13" s="131"/>
      <c r="FWB13" s="131"/>
      <c r="FWC13" s="131"/>
      <c r="FWD13" s="131"/>
      <c r="FWE13" s="131"/>
      <c r="FWF13" s="131"/>
      <c r="FWG13" s="131"/>
      <c r="FWH13" s="131"/>
      <c r="FWI13" s="131"/>
      <c r="FWJ13" s="131"/>
      <c r="FWK13" s="131"/>
      <c r="FWL13" s="131"/>
      <c r="FWM13" s="131"/>
      <c r="FWN13" s="131"/>
      <c r="FWO13" s="131"/>
      <c r="FWP13" s="131"/>
      <c r="FWQ13" s="131"/>
      <c r="FWR13" s="131"/>
      <c r="FWS13" s="131"/>
      <c r="FWT13" s="131"/>
      <c r="FWU13" s="131"/>
      <c r="FWV13" s="131"/>
      <c r="FWW13" s="131"/>
      <c r="FWX13" s="131"/>
      <c r="FWY13" s="131"/>
      <c r="FWZ13" s="131"/>
      <c r="FXA13" s="131"/>
      <c r="FXB13" s="131"/>
      <c r="FXC13" s="131"/>
      <c r="FXD13" s="131"/>
      <c r="FXE13" s="131"/>
      <c r="FXF13" s="131"/>
      <c r="FXG13" s="131"/>
      <c r="FXH13" s="131"/>
      <c r="FXI13" s="131"/>
      <c r="FXJ13" s="131"/>
      <c r="FXK13" s="131"/>
      <c r="FXL13" s="131"/>
      <c r="FXM13" s="131"/>
      <c r="FXN13" s="131"/>
      <c r="FXO13" s="131"/>
      <c r="FXP13" s="131"/>
      <c r="FXQ13" s="131"/>
      <c r="FXR13" s="131"/>
      <c r="FXS13" s="131"/>
      <c r="FXT13" s="131"/>
      <c r="FXU13" s="131"/>
      <c r="FXV13" s="131"/>
      <c r="FXW13" s="131"/>
      <c r="FXX13" s="131"/>
      <c r="FXY13" s="131"/>
      <c r="FXZ13" s="131"/>
      <c r="FYA13" s="131"/>
      <c r="FYB13" s="131"/>
      <c r="FYC13" s="131"/>
      <c r="FYD13" s="131"/>
      <c r="FYE13" s="131"/>
      <c r="FYF13" s="131"/>
      <c r="FYG13" s="131"/>
      <c r="FYH13" s="131"/>
      <c r="FYI13" s="131"/>
      <c r="FYJ13" s="131"/>
      <c r="FYK13" s="131"/>
      <c r="FYL13" s="131"/>
      <c r="FYM13" s="131"/>
      <c r="FYN13" s="131"/>
      <c r="FYO13" s="131"/>
      <c r="FYP13" s="131"/>
      <c r="FYQ13" s="131"/>
      <c r="FYR13" s="131"/>
      <c r="FYS13" s="131"/>
      <c r="FYT13" s="131"/>
      <c r="FYU13" s="131"/>
      <c r="FYV13" s="131"/>
      <c r="FYW13" s="131"/>
      <c r="FYX13" s="131"/>
      <c r="FYY13" s="131"/>
      <c r="FYZ13" s="131"/>
      <c r="FZA13" s="131"/>
      <c r="FZB13" s="131"/>
      <c r="FZC13" s="131"/>
      <c r="FZD13" s="131"/>
      <c r="FZE13" s="131"/>
      <c r="FZF13" s="131"/>
      <c r="FZG13" s="131"/>
      <c r="FZH13" s="131"/>
      <c r="FZI13" s="131"/>
      <c r="FZJ13" s="131"/>
      <c r="FZK13" s="131"/>
      <c r="FZL13" s="131"/>
      <c r="FZM13" s="131"/>
      <c r="FZN13" s="131"/>
      <c r="FZO13" s="131"/>
      <c r="FZP13" s="131"/>
      <c r="FZQ13" s="131"/>
      <c r="FZR13" s="131"/>
      <c r="FZS13" s="131"/>
      <c r="FZT13" s="131"/>
      <c r="FZU13" s="131"/>
      <c r="FZV13" s="131"/>
      <c r="FZW13" s="131"/>
      <c r="FZX13" s="131"/>
      <c r="FZY13" s="131"/>
      <c r="FZZ13" s="131"/>
      <c r="GAA13" s="131"/>
      <c r="GAB13" s="131"/>
      <c r="GAC13" s="131"/>
      <c r="GAD13" s="131"/>
      <c r="GAE13" s="131"/>
      <c r="GAF13" s="131"/>
      <c r="GAG13" s="131"/>
      <c r="GAH13" s="131"/>
      <c r="GAI13" s="131"/>
      <c r="GAJ13" s="131"/>
      <c r="GAK13" s="131"/>
      <c r="GAL13" s="131"/>
      <c r="GAM13" s="131"/>
      <c r="GAN13" s="131"/>
      <c r="GAO13" s="131"/>
      <c r="GAP13" s="131"/>
      <c r="GAQ13" s="131"/>
      <c r="GAR13" s="131"/>
      <c r="GAS13" s="131"/>
      <c r="GAT13" s="131"/>
      <c r="GAU13" s="131"/>
      <c r="GAV13" s="131"/>
      <c r="GAW13" s="131"/>
      <c r="GAX13" s="131"/>
      <c r="GAY13" s="131"/>
      <c r="GAZ13" s="131"/>
      <c r="GBA13" s="131"/>
      <c r="GBB13" s="131"/>
      <c r="GBC13" s="131"/>
      <c r="GBD13" s="131"/>
      <c r="GBE13" s="131"/>
      <c r="GBF13" s="131"/>
      <c r="GBG13" s="131"/>
      <c r="GBH13" s="131"/>
      <c r="GBI13" s="131"/>
      <c r="GBJ13" s="131"/>
      <c r="GBK13" s="131"/>
      <c r="GBL13" s="131"/>
      <c r="GBM13" s="131"/>
      <c r="GBN13" s="131"/>
      <c r="GBO13" s="131"/>
      <c r="GBP13" s="131"/>
      <c r="GBQ13" s="131"/>
      <c r="GBR13" s="131"/>
      <c r="GBS13" s="131"/>
      <c r="GBT13" s="131"/>
      <c r="GBU13" s="131"/>
      <c r="GBV13" s="131"/>
      <c r="GBW13" s="131"/>
      <c r="GBX13" s="131"/>
      <c r="GBY13" s="131"/>
      <c r="GBZ13" s="131"/>
      <c r="GCA13" s="131"/>
      <c r="GCB13" s="131"/>
      <c r="GCC13" s="131"/>
      <c r="GCD13" s="131"/>
      <c r="GCE13" s="131"/>
      <c r="GCF13" s="131"/>
      <c r="GCG13" s="131"/>
      <c r="GCH13" s="131"/>
      <c r="GCI13" s="131"/>
      <c r="GCJ13" s="131"/>
      <c r="GCK13" s="131"/>
      <c r="GCL13" s="131"/>
      <c r="GCM13" s="131"/>
      <c r="GCN13" s="131"/>
      <c r="GCO13" s="131"/>
      <c r="GCP13" s="131"/>
      <c r="GCQ13" s="131"/>
      <c r="GCR13" s="131"/>
      <c r="GCS13" s="131"/>
      <c r="GCT13" s="131"/>
      <c r="GCU13" s="131"/>
      <c r="GCV13" s="131"/>
      <c r="GCW13" s="131"/>
      <c r="GCX13" s="131"/>
      <c r="GCY13" s="131"/>
      <c r="GCZ13" s="131"/>
      <c r="GDA13" s="131"/>
      <c r="GDB13" s="131"/>
      <c r="GDC13" s="131"/>
      <c r="GDD13" s="131"/>
      <c r="GDE13" s="131"/>
      <c r="GDF13" s="131"/>
      <c r="GDG13" s="131"/>
      <c r="GDH13" s="131"/>
      <c r="GDI13" s="131"/>
      <c r="GDJ13" s="131"/>
      <c r="GDK13" s="131"/>
      <c r="GDL13" s="131"/>
      <c r="GDM13" s="131"/>
      <c r="GDN13" s="131"/>
      <c r="GDO13" s="131"/>
      <c r="GDP13" s="131"/>
      <c r="GDQ13" s="131"/>
      <c r="GDR13" s="131"/>
      <c r="GDS13" s="131"/>
      <c r="GDT13" s="131"/>
      <c r="GDU13" s="131"/>
      <c r="GDV13" s="131"/>
      <c r="GDW13" s="131"/>
      <c r="GDX13" s="131"/>
      <c r="GDY13" s="131"/>
      <c r="GDZ13" s="131"/>
      <c r="GEA13" s="131"/>
      <c r="GEB13" s="131"/>
      <c r="GEC13" s="131"/>
      <c r="GED13" s="131"/>
      <c r="GEE13" s="131"/>
      <c r="GEF13" s="131"/>
      <c r="GEG13" s="131"/>
      <c r="GEH13" s="131"/>
      <c r="GEI13" s="131"/>
      <c r="GEJ13" s="131"/>
      <c r="GEK13" s="131"/>
      <c r="GEL13" s="131"/>
      <c r="GEM13" s="131"/>
      <c r="GEN13" s="131"/>
      <c r="GEO13" s="131"/>
      <c r="GEP13" s="131"/>
      <c r="GEQ13" s="131"/>
      <c r="GER13" s="131"/>
      <c r="GES13" s="131"/>
      <c r="GET13" s="131"/>
      <c r="GEU13" s="131"/>
      <c r="GEV13" s="131"/>
      <c r="GEW13" s="131"/>
      <c r="GEX13" s="131"/>
      <c r="GEY13" s="131"/>
      <c r="GEZ13" s="131"/>
      <c r="GFA13" s="131"/>
      <c r="GFB13" s="131"/>
      <c r="GFC13" s="131"/>
      <c r="GFD13" s="131"/>
      <c r="GFE13" s="131"/>
      <c r="GFF13" s="131"/>
      <c r="GFG13" s="131"/>
      <c r="GFH13" s="131"/>
      <c r="GFI13" s="131"/>
      <c r="GFJ13" s="131"/>
      <c r="GFK13" s="131"/>
      <c r="GFL13" s="131"/>
      <c r="GFM13" s="131"/>
      <c r="GFN13" s="131"/>
      <c r="GFO13" s="131"/>
      <c r="GFP13" s="131"/>
      <c r="GFQ13" s="131"/>
      <c r="GFR13" s="131"/>
      <c r="GFS13" s="131"/>
      <c r="GFT13" s="131"/>
      <c r="GFU13" s="131"/>
      <c r="GFV13" s="131"/>
      <c r="GFW13" s="131"/>
      <c r="GFX13" s="131"/>
      <c r="GFY13" s="131"/>
      <c r="GFZ13" s="131"/>
      <c r="GGA13" s="131"/>
      <c r="GGB13" s="131"/>
      <c r="GGC13" s="131"/>
      <c r="GGD13" s="131"/>
      <c r="GGE13" s="131"/>
      <c r="GGF13" s="131"/>
      <c r="GGG13" s="131"/>
      <c r="GGH13" s="131"/>
      <c r="GGI13" s="131"/>
      <c r="GGJ13" s="131"/>
      <c r="GGK13" s="131"/>
      <c r="GGL13" s="131"/>
      <c r="GGM13" s="131"/>
      <c r="GGN13" s="131"/>
      <c r="GGO13" s="131"/>
      <c r="GGP13" s="131"/>
      <c r="GGQ13" s="131"/>
      <c r="GGR13" s="131"/>
      <c r="GGS13" s="131"/>
      <c r="GGT13" s="131"/>
      <c r="GGU13" s="131"/>
      <c r="GGV13" s="131"/>
      <c r="GGW13" s="131"/>
      <c r="GGX13" s="131"/>
      <c r="GGY13" s="131"/>
      <c r="GGZ13" s="131"/>
      <c r="GHA13" s="131"/>
      <c r="GHB13" s="131"/>
      <c r="GHC13" s="131"/>
      <c r="GHD13" s="131"/>
      <c r="GHE13" s="131"/>
      <c r="GHF13" s="131"/>
      <c r="GHG13" s="131"/>
      <c r="GHH13" s="131"/>
      <c r="GHI13" s="131"/>
      <c r="GHJ13" s="131"/>
      <c r="GHK13" s="131"/>
      <c r="GHL13" s="131"/>
      <c r="GHM13" s="131"/>
      <c r="GHN13" s="131"/>
      <c r="GHO13" s="131"/>
      <c r="GHP13" s="131"/>
      <c r="GHQ13" s="131"/>
      <c r="GHR13" s="131"/>
      <c r="GHS13" s="131"/>
      <c r="GHT13" s="131"/>
      <c r="GHU13" s="131"/>
      <c r="GHV13" s="131"/>
      <c r="GHW13" s="131"/>
      <c r="GHX13" s="131"/>
      <c r="GHY13" s="131"/>
      <c r="GHZ13" s="131"/>
      <c r="GIA13" s="131"/>
      <c r="GIB13" s="131"/>
      <c r="GIC13" s="131"/>
      <c r="GID13" s="131"/>
      <c r="GIE13" s="131"/>
      <c r="GIF13" s="131"/>
      <c r="GIG13" s="131"/>
      <c r="GIH13" s="131"/>
      <c r="GII13" s="131"/>
      <c r="GIJ13" s="131"/>
      <c r="GIK13" s="131"/>
      <c r="GIL13" s="131"/>
      <c r="GIM13" s="131"/>
      <c r="GIN13" s="131"/>
      <c r="GIO13" s="131"/>
      <c r="GIP13" s="131"/>
      <c r="GIQ13" s="131"/>
      <c r="GIR13" s="131"/>
      <c r="GIS13" s="131"/>
      <c r="GIT13" s="131"/>
      <c r="GIU13" s="131"/>
      <c r="GIV13" s="131"/>
      <c r="GIW13" s="131"/>
      <c r="GIX13" s="131"/>
      <c r="GIY13" s="131"/>
      <c r="GIZ13" s="131"/>
      <c r="GJA13" s="131"/>
      <c r="GJB13" s="131"/>
      <c r="GJC13" s="131"/>
      <c r="GJD13" s="131"/>
      <c r="GJE13" s="131"/>
      <c r="GJF13" s="131"/>
      <c r="GJG13" s="131"/>
      <c r="GJH13" s="131"/>
      <c r="GJI13" s="131"/>
      <c r="GJJ13" s="131"/>
      <c r="GJK13" s="131"/>
      <c r="GJL13" s="131"/>
      <c r="GJM13" s="131"/>
      <c r="GJN13" s="131"/>
      <c r="GJO13" s="131"/>
      <c r="GJP13" s="131"/>
      <c r="GJQ13" s="131"/>
      <c r="GJR13" s="131"/>
      <c r="GJS13" s="131"/>
      <c r="GJT13" s="131"/>
      <c r="GJU13" s="131"/>
      <c r="GJV13" s="131"/>
      <c r="GJW13" s="131"/>
      <c r="GJX13" s="131"/>
      <c r="GJY13" s="131"/>
      <c r="GJZ13" s="131"/>
      <c r="GKA13" s="131"/>
      <c r="GKB13" s="131"/>
      <c r="GKC13" s="131"/>
      <c r="GKD13" s="131"/>
      <c r="GKE13" s="131"/>
      <c r="GKF13" s="131"/>
      <c r="GKG13" s="131"/>
      <c r="GKH13" s="131"/>
      <c r="GKI13" s="131"/>
      <c r="GKJ13" s="131"/>
      <c r="GKK13" s="131"/>
      <c r="GKL13" s="131"/>
      <c r="GKM13" s="131"/>
      <c r="GKN13" s="131"/>
      <c r="GKO13" s="131"/>
      <c r="GKP13" s="131"/>
      <c r="GKQ13" s="131"/>
      <c r="GKR13" s="131"/>
      <c r="GKS13" s="131"/>
      <c r="GKT13" s="131"/>
      <c r="GKU13" s="131"/>
      <c r="GKV13" s="131"/>
      <c r="GKW13" s="131"/>
      <c r="GKX13" s="131"/>
      <c r="GKY13" s="131"/>
      <c r="GKZ13" s="131"/>
      <c r="GLA13" s="131"/>
      <c r="GLB13" s="131"/>
      <c r="GLC13" s="131"/>
      <c r="GLD13" s="131"/>
      <c r="GLE13" s="131"/>
      <c r="GLF13" s="131"/>
      <c r="GLG13" s="131"/>
      <c r="GLH13" s="131"/>
      <c r="GLI13" s="131"/>
      <c r="GLJ13" s="131"/>
      <c r="GLK13" s="131"/>
      <c r="GLL13" s="131"/>
      <c r="GLM13" s="131"/>
      <c r="GLN13" s="131"/>
      <c r="GLO13" s="131"/>
      <c r="GLP13" s="131"/>
      <c r="GLQ13" s="131"/>
      <c r="GLR13" s="131"/>
      <c r="GLS13" s="131"/>
      <c r="GLT13" s="131"/>
      <c r="GLU13" s="131"/>
      <c r="GLV13" s="131"/>
      <c r="GLW13" s="131"/>
      <c r="GLX13" s="131"/>
      <c r="GLY13" s="131"/>
      <c r="GLZ13" s="131"/>
      <c r="GMA13" s="131"/>
      <c r="GMB13" s="131"/>
      <c r="GMC13" s="131"/>
      <c r="GMD13" s="131"/>
      <c r="GME13" s="131"/>
      <c r="GMF13" s="131"/>
      <c r="GMG13" s="131"/>
      <c r="GMH13" s="131"/>
      <c r="GMI13" s="131"/>
      <c r="GMJ13" s="131"/>
      <c r="GMK13" s="131"/>
      <c r="GML13" s="131"/>
      <c r="GMM13" s="131"/>
      <c r="GMN13" s="131"/>
      <c r="GMO13" s="131"/>
      <c r="GMP13" s="131"/>
      <c r="GMQ13" s="131"/>
      <c r="GMR13" s="131"/>
      <c r="GMS13" s="131"/>
      <c r="GMT13" s="131"/>
      <c r="GMU13" s="131"/>
      <c r="GMV13" s="131"/>
      <c r="GMW13" s="131"/>
      <c r="GMX13" s="131"/>
      <c r="GMY13" s="131"/>
      <c r="GMZ13" s="131"/>
      <c r="GNA13" s="131"/>
      <c r="GNB13" s="131"/>
      <c r="GNC13" s="131"/>
      <c r="GND13" s="131"/>
      <c r="GNE13" s="131"/>
      <c r="GNF13" s="131"/>
      <c r="GNG13" s="131"/>
      <c r="GNH13" s="131"/>
      <c r="GNI13" s="131"/>
      <c r="GNJ13" s="131"/>
      <c r="GNK13" s="131"/>
      <c r="GNL13" s="131"/>
      <c r="GNM13" s="131"/>
      <c r="GNZ13" s="131"/>
      <c r="GOA13" s="131"/>
      <c r="GOB13" s="131"/>
      <c r="GOC13" s="131"/>
      <c r="GOD13" s="131"/>
      <c r="GOE13" s="131"/>
      <c r="GOF13" s="131"/>
      <c r="GOG13" s="131"/>
      <c r="GOH13" s="131"/>
      <c r="GOI13" s="131"/>
      <c r="GOJ13" s="131"/>
      <c r="GOK13" s="131"/>
      <c r="GOL13" s="131"/>
      <c r="GOM13" s="131"/>
      <c r="GON13" s="131"/>
      <c r="GOO13" s="131"/>
      <c r="GOP13" s="131"/>
      <c r="GOQ13" s="131"/>
      <c r="GOR13" s="131"/>
      <c r="GOS13" s="131"/>
      <c r="GOT13" s="131"/>
      <c r="GOU13" s="131"/>
      <c r="GOV13" s="131"/>
      <c r="GOW13" s="131"/>
      <c r="GOX13" s="131"/>
      <c r="GOY13" s="131"/>
      <c r="GOZ13" s="131"/>
      <c r="GPA13" s="131"/>
      <c r="GPB13" s="131"/>
      <c r="GPC13" s="131"/>
      <c r="GPD13" s="131"/>
      <c r="GPE13" s="131"/>
      <c r="GPF13" s="131"/>
      <c r="GPG13" s="131"/>
      <c r="GPH13" s="131"/>
      <c r="GPI13" s="131"/>
      <c r="GPJ13" s="131"/>
      <c r="GPK13" s="131"/>
      <c r="GPL13" s="131"/>
      <c r="GPM13" s="131"/>
      <c r="GPN13" s="131"/>
      <c r="GPO13" s="131"/>
      <c r="GPP13" s="131"/>
      <c r="GPQ13" s="131"/>
      <c r="GPR13" s="131"/>
      <c r="GPS13" s="131"/>
      <c r="GPT13" s="131"/>
      <c r="GPU13" s="131"/>
      <c r="GPV13" s="131"/>
      <c r="GPW13" s="131"/>
      <c r="GPX13" s="131"/>
      <c r="GPY13" s="131"/>
      <c r="GPZ13" s="131"/>
      <c r="GQA13" s="131"/>
      <c r="GQB13" s="131"/>
      <c r="GQC13" s="131"/>
      <c r="GQD13" s="131"/>
      <c r="GQE13" s="131"/>
      <c r="GQF13" s="131"/>
      <c r="GQG13" s="131"/>
      <c r="GQH13" s="131"/>
      <c r="GQI13" s="131"/>
      <c r="GQJ13" s="131"/>
      <c r="GQK13" s="131"/>
      <c r="GQL13" s="131"/>
      <c r="GQM13" s="131"/>
      <c r="GQN13" s="131"/>
      <c r="GQO13" s="131"/>
      <c r="GQP13" s="131"/>
      <c r="GQQ13" s="131"/>
      <c r="GQR13" s="131"/>
      <c r="GQS13" s="131"/>
      <c r="GQT13" s="131"/>
      <c r="GQU13" s="131"/>
      <c r="GQV13" s="131"/>
      <c r="GQW13" s="131"/>
      <c r="GQX13" s="131"/>
      <c r="GQY13" s="131"/>
      <c r="GQZ13" s="131"/>
      <c r="GRA13" s="131"/>
      <c r="GRB13" s="131"/>
      <c r="GRC13" s="131"/>
      <c r="GRD13" s="131"/>
      <c r="GRE13" s="131"/>
      <c r="GRF13" s="131"/>
      <c r="GRG13" s="131"/>
      <c r="GRH13" s="131"/>
      <c r="GRI13" s="131"/>
      <c r="GRJ13" s="131"/>
      <c r="GRK13" s="131"/>
      <c r="GRL13" s="131"/>
      <c r="GRM13" s="131"/>
      <c r="GRN13" s="131"/>
      <c r="GRO13" s="131"/>
      <c r="GRP13" s="131"/>
      <c r="GRQ13" s="131"/>
      <c r="GRR13" s="131"/>
      <c r="GRS13" s="131"/>
      <c r="GRT13" s="131"/>
      <c r="GRU13" s="131"/>
      <c r="GRV13" s="131"/>
      <c r="GRW13" s="131"/>
      <c r="GRX13" s="131"/>
      <c r="GRY13" s="131"/>
      <c r="GRZ13" s="131"/>
      <c r="GSA13" s="131"/>
      <c r="GSB13" s="131"/>
      <c r="GSC13" s="131"/>
      <c r="GSD13" s="131"/>
      <c r="GSE13" s="131"/>
      <c r="GSF13" s="131"/>
      <c r="GSG13" s="131"/>
      <c r="GSH13" s="131"/>
      <c r="GSI13" s="131"/>
      <c r="GSJ13" s="131"/>
      <c r="GSK13" s="131"/>
      <c r="GSL13" s="131"/>
      <c r="GSM13" s="131"/>
      <c r="GSN13" s="131"/>
      <c r="GSO13" s="131"/>
      <c r="GSP13" s="131"/>
      <c r="GSQ13" s="131"/>
      <c r="GSR13" s="131"/>
      <c r="GSS13" s="131"/>
      <c r="GST13" s="131"/>
      <c r="GSU13" s="131"/>
      <c r="GSV13" s="131"/>
      <c r="GSW13" s="131"/>
      <c r="GSX13" s="131"/>
      <c r="GSY13" s="131"/>
      <c r="GSZ13" s="131"/>
      <c r="GTA13" s="131"/>
      <c r="GTB13" s="131"/>
      <c r="GTC13" s="131"/>
      <c r="GTD13" s="131"/>
      <c r="GTE13" s="131"/>
      <c r="GTF13" s="131"/>
      <c r="GTG13" s="131"/>
      <c r="GTH13" s="131"/>
      <c r="GTI13" s="131"/>
      <c r="GTJ13" s="131"/>
      <c r="GTK13" s="131"/>
      <c r="GTL13" s="131"/>
      <c r="GTM13" s="131"/>
      <c r="GTN13" s="131"/>
      <c r="GTO13" s="131"/>
      <c r="GTP13" s="131"/>
      <c r="GTQ13" s="131"/>
      <c r="GTR13" s="131"/>
      <c r="GTS13" s="131"/>
      <c r="GTT13" s="131"/>
      <c r="GTU13" s="131"/>
      <c r="GTV13" s="131"/>
      <c r="GTW13" s="131"/>
      <c r="GTX13" s="131"/>
      <c r="GTY13" s="131"/>
      <c r="GTZ13" s="131"/>
      <c r="GUA13" s="131"/>
      <c r="GUB13" s="131"/>
      <c r="GUC13" s="131"/>
      <c r="GUD13" s="131"/>
      <c r="GUE13" s="131"/>
      <c r="GUF13" s="131"/>
      <c r="GUG13" s="131"/>
      <c r="GUH13" s="131"/>
      <c r="GUI13" s="131"/>
      <c r="GUJ13" s="131"/>
      <c r="GUK13" s="131"/>
      <c r="GUL13" s="131"/>
      <c r="GUM13" s="131"/>
      <c r="GUN13" s="131"/>
      <c r="GUO13" s="131"/>
      <c r="GUP13" s="131"/>
      <c r="GUQ13" s="131"/>
      <c r="GUR13" s="131"/>
      <c r="GUS13" s="131"/>
      <c r="GUT13" s="131"/>
      <c r="GUU13" s="131"/>
      <c r="GUV13" s="131"/>
      <c r="GUW13" s="131"/>
      <c r="GUX13" s="131"/>
      <c r="GUY13" s="131"/>
      <c r="GUZ13" s="131"/>
      <c r="GVA13" s="131"/>
      <c r="GVB13" s="131"/>
      <c r="GVC13" s="131"/>
      <c r="GVD13" s="131"/>
      <c r="GVE13" s="131"/>
      <c r="GVF13" s="131"/>
      <c r="GVG13" s="131"/>
      <c r="GVH13" s="131"/>
      <c r="GVI13" s="131"/>
      <c r="GVJ13" s="131"/>
      <c r="GVK13" s="131"/>
      <c r="GVL13" s="131"/>
      <c r="GVM13" s="131"/>
      <c r="GVN13" s="131"/>
      <c r="GVO13" s="131"/>
      <c r="GVP13" s="131"/>
      <c r="GVQ13" s="131"/>
      <c r="GVR13" s="131"/>
      <c r="GVS13" s="131"/>
      <c r="GVT13" s="131"/>
      <c r="GVU13" s="131"/>
      <c r="GVV13" s="131"/>
      <c r="GVW13" s="131"/>
      <c r="GVX13" s="131"/>
      <c r="GVY13" s="131"/>
      <c r="GVZ13" s="131"/>
      <c r="GWA13" s="131"/>
      <c r="GWB13" s="131"/>
      <c r="GWC13" s="131"/>
      <c r="GWD13" s="131"/>
      <c r="GWE13" s="131"/>
      <c r="GWF13" s="131"/>
      <c r="GWG13" s="131"/>
      <c r="GWH13" s="131"/>
      <c r="GWI13" s="131"/>
      <c r="GWJ13" s="131"/>
      <c r="GWK13" s="131"/>
      <c r="GWL13" s="131"/>
      <c r="GWM13" s="131"/>
      <c r="GWN13" s="131"/>
      <c r="GWO13" s="131"/>
      <c r="GWP13" s="131"/>
      <c r="GWQ13" s="131"/>
      <c r="GWR13" s="131"/>
      <c r="GWS13" s="131"/>
      <c r="GWT13" s="131"/>
      <c r="GWU13" s="131"/>
      <c r="GWV13" s="131"/>
      <c r="GWW13" s="131"/>
      <c r="GWX13" s="131"/>
      <c r="GWY13" s="131"/>
      <c r="GWZ13" s="131"/>
      <c r="GXA13" s="131"/>
      <c r="GXB13" s="131"/>
      <c r="GXC13" s="131"/>
      <c r="GXD13" s="131"/>
      <c r="GXE13" s="131"/>
      <c r="GXF13" s="131"/>
      <c r="GXG13" s="131"/>
      <c r="GXH13" s="131"/>
      <c r="GXI13" s="131"/>
      <c r="GXJ13" s="131"/>
      <c r="GXK13" s="131"/>
      <c r="GXL13" s="131"/>
      <c r="GXM13" s="131"/>
      <c r="GXN13" s="131"/>
      <c r="GXO13" s="131"/>
      <c r="GXP13" s="131"/>
      <c r="GXQ13" s="131"/>
      <c r="GXR13" s="131"/>
      <c r="GXS13" s="131"/>
      <c r="GXT13" s="131"/>
      <c r="GXU13" s="131"/>
      <c r="GXV13" s="131"/>
      <c r="GXW13" s="131"/>
      <c r="GXX13" s="131"/>
      <c r="GXY13" s="131"/>
      <c r="GXZ13" s="131"/>
      <c r="GYA13" s="131"/>
      <c r="GYB13" s="131"/>
      <c r="GYC13" s="131"/>
      <c r="GYD13" s="131"/>
      <c r="GYE13" s="131"/>
      <c r="GYF13" s="131"/>
      <c r="GYG13" s="131"/>
      <c r="GYH13" s="131"/>
      <c r="GYI13" s="131"/>
      <c r="GYJ13" s="131"/>
      <c r="GYK13" s="131"/>
      <c r="GYL13" s="131"/>
      <c r="GYM13" s="131"/>
      <c r="GYN13" s="131"/>
      <c r="GYO13" s="131"/>
      <c r="GYP13" s="131"/>
      <c r="GYQ13" s="131"/>
      <c r="GYR13" s="131"/>
      <c r="GYS13" s="131"/>
      <c r="GYT13" s="131"/>
      <c r="GYU13" s="131"/>
      <c r="GYV13" s="131"/>
      <c r="GYW13" s="131"/>
      <c r="GYX13" s="131"/>
      <c r="GYY13" s="131"/>
      <c r="GYZ13" s="131"/>
      <c r="GZA13" s="131"/>
      <c r="GZB13" s="131"/>
      <c r="GZC13" s="131"/>
      <c r="GZD13" s="131"/>
      <c r="GZE13" s="131"/>
      <c r="GZF13" s="131"/>
      <c r="GZG13" s="131"/>
      <c r="GZH13" s="131"/>
      <c r="GZI13" s="131"/>
      <c r="GZJ13" s="131"/>
      <c r="GZK13" s="131"/>
      <c r="GZL13" s="131"/>
      <c r="GZM13" s="131"/>
      <c r="GZN13" s="131"/>
      <c r="GZO13" s="131"/>
      <c r="GZP13" s="131"/>
      <c r="GZQ13" s="131"/>
      <c r="GZR13" s="131"/>
      <c r="GZS13" s="131"/>
      <c r="GZT13" s="131"/>
      <c r="GZU13" s="131"/>
      <c r="GZV13" s="131"/>
      <c r="GZW13" s="131"/>
      <c r="GZX13" s="131"/>
      <c r="GZY13" s="131"/>
      <c r="GZZ13" s="131"/>
      <c r="HAA13" s="131"/>
      <c r="HAB13" s="131"/>
      <c r="HAC13" s="131"/>
      <c r="HAD13" s="131"/>
      <c r="HAE13" s="131"/>
      <c r="HAF13" s="131"/>
      <c r="HAG13" s="131"/>
      <c r="HAH13" s="131"/>
      <c r="HAI13" s="131"/>
      <c r="HAJ13" s="131"/>
      <c r="HAK13" s="131"/>
      <c r="HAL13" s="131"/>
      <c r="HAM13" s="131"/>
      <c r="HAN13" s="131"/>
      <c r="HAO13" s="131"/>
      <c r="HAP13" s="131"/>
      <c r="HAQ13" s="131"/>
      <c r="HAR13" s="131"/>
      <c r="HAS13" s="131"/>
      <c r="HAT13" s="131"/>
      <c r="HAU13" s="131"/>
      <c r="HAV13" s="131"/>
      <c r="HAW13" s="131"/>
      <c r="HAX13" s="131"/>
      <c r="HAY13" s="131"/>
      <c r="HAZ13" s="131"/>
      <c r="HBA13" s="131"/>
      <c r="HBB13" s="131"/>
      <c r="HBC13" s="131"/>
      <c r="HBD13" s="131"/>
      <c r="HBE13" s="131"/>
      <c r="HBF13" s="131"/>
      <c r="HBG13" s="131"/>
      <c r="HBH13" s="131"/>
      <c r="HBI13" s="131"/>
      <c r="HBJ13" s="131"/>
      <c r="HBK13" s="131"/>
      <c r="HBL13" s="131"/>
      <c r="HBM13" s="131"/>
      <c r="HBN13" s="131"/>
      <c r="HBO13" s="131"/>
      <c r="HBP13" s="131"/>
      <c r="HBQ13" s="131"/>
      <c r="HBR13" s="131"/>
      <c r="HBS13" s="131"/>
      <c r="HBT13" s="131"/>
      <c r="HBU13" s="131"/>
      <c r="HBV13" s="131"/>
      <c r="HBW13" s="131"/>
      <c r="HBX13" s="131"/>
      <c r="HBY13" s="131"/>
      <c r="HBZ13" s="131"/>
      <c r="HCA13" s="131"/>
      <c r="HCB13" s="131"/>
      <c r="HCC13" s="131"/>
      <c r="HCD13" s="131"/>
      <c r="HCE13" s="131"/>
      <c r="HCF13" s="131"/>
      <c r="HCG13" s="131"/>
      <c r="HCH13" s="131"/>
      <c r="HCI13" s="131"/>
      <c r="HCJ13" s="131"/>
      <c r="HCK13" s="131"/>
      <c r="HCL13" s="131"/>
      <c r="HCM13" s="131"/>
      <c r="HCN13" s="131"/>
      <c r="HCO13" s="131"/>
      <c r="HCP13" s="131"/>
      <c r="HCQ13" s="131"/>
      <c r="HCR13" s="131"/>
      <c r="HCS13" s="131"/>
      <c r="HCT13" s="131"/>
      <c r="HCU13" s="131"/>
      <c r="HCV13" s="131"/>
      <c r="HCW13" s="131"/>
      <c r="HCX13" s="131"/>
      <c r="HCY13" s="131"/>
      <c r="HCZ13" s="131"/>
      <c r="HDA13" s="131"/>
      <c r="HDB13" s="131"/>
      <c r="HDC13" s="131"/>
      <c r="HDD13" s="131"/>
      <c r="HDE13" s="131"/>
      <c r="HDF13" s="131"/>
      <c r="HDG13" s="131"/>
      <c r="HDH13" s="131"/>
      <c r="HDI13" s="131"/>
      <c r="HDJ13" s="131"/>
      <c r="HDK13" s="131"/>
      <c r="HDL13" s="131"/>
      <c r="HDM13" s="131"/>
      <c r="HDN13" s="131"/>
      <c r="HDO13" s="131"/>
      <c r="HDP13" s="131"/>
      <c r="HDQ13" s="131"/>
      <c r="HDR13" s="131"/>
      <c r="HDS13" s="131"/>
      <c r="HDT13" s="131"/>
      <c r="HDU13" s="131"/>
      <c r="HDV13" s="131"/>
      <c r="HDW13" s="131"/>
      <c r="HDX13" s="131"/>
      <c r="HDY13" s="131"/>
      <c r="HDZ13" s="131"/>
      <c r="HEA13" s="131"/>
      <c r="HEB13" s="131"/>
      <c r="HEC13" s="131"/>
      <c r="HED13" s="131"/>
      <c r="HEE13" s="131"/>
      <c r="HEF13" s="131"/>
      <c r="HEG13" s="131"/>
      <c r="HEH13" s="131"/>
      <c r="HEI13" s="131"/>
      <c r="HEJ13" s="131"/>
      <c r="HEK13" s="131"/>
      <c r="HEL13" s="131"/>
      <c r="HEM13" s="131"/>
      <c r="HEN13" s="131"/>
      <c r="HEO13" s="131"/>
      <c r="HEP13" s="131"/>
      <c r="HEQ13" s="131"/>
      <c r="HER13" s="131"/>
      <c r="HES13" s="131"/>
      <c r="HET13" s="131"/>
      <c r="HEU13" s="131"/>
      <c r="HEV13" s="131"/>
      <c r="HEW13" s="131"/>
      <c r="HEX13" s="131"/>
      <c r="HEY13" s="131"/>
      <c r="HEZ13" s="131"/>
      <c r="HFA13" s="131"/>
      <c r="HFB13" s="131"/>
      <c r="HFC13" s="131"/>
      <c r="HFD13" s="131"/>
      <c r="HFE13" s="131"/>
      <c r="HFF13" s="131"/>
      <c r="HFG13" s="131"/>
      <c r="HFH13" s="131"/>
      <c r="HFI13" s="131"/>
      <c r="HFJ13" s="131"/>
      <c r="HFK13" s="131"/>
      <c r="HFL13" s="131"/>
      <c r="HFM13" s="131"/>
      <c r="HFN13" s="131"/>
      <c r="HFO13" s="131"/>
      <c r="HFP13" s="131"/>
      <c r="HFQ13" s="131"/>
      <c r="HFR13" s="131"/>
      <c r="HFS13" s="131"/>
      <c r="HFT13" s="131"/>
      <c r="HFU13" s="131"/>
      <c r="HFV13" s="131"/>
      <c r="HFW13" s="131"/>
      <c r="HFX13" s="131"/>
      <c r="HFY13" s="131"/>
      <c r="HFZ13" s="131"/>
      <c r="HGA13" s="131"/>
      <c r="HGB13" s="131"/>
      <c r="HGC13" s="131"/>
      <c r="HGD13" s="131"/>
      <c r="HGE13" s="131"/>
      <c r="HGF13" s="131"/>
      <c r="HGG13" s="131"/>
      <c r="HGH13" s="131"/>
      <c r="HGI13" s="131"/>
      <c r="HGJ13" s="131"/>
      <c r="HGK13" s="131"/>
      <c r="HGL13" s="131"/>
      <c r="HGM13" s="131"/>
      <c r="HGN13" s="131"/>
      <c r="HGO13" s="131"/>
      <c r="HGP13" s="131"/>
      <c r="HGQ13" s="131"/>
      <c r="HGR13" s="131"/>
      <c r="HGS13" s="131"/>
      <c r="HGT13" s="131"/>
      <c r="HGU13" s="131"/>
      <c r="HGV13" s="131"/>
      <c r="HGW13" s="131"/>
      <c r="HGX13" s="131"/>
      <c r="HGY13" s="131"/>
      <c r="HGZ13" s="131"/>
      <c r="HHA13" s="131"/>
      <c r="HHB13" s="131"/>
      <c r="HHC13" s="131"/>
      <c r="HHD13" s="131"/>
      <c r="HHE13" s="131"/>
      <c r="HHF13" s="131"/>
      <c r="HHG13" s="131"/>
      <c r="HHH13" s="131"/>
      <c r="HHI13" s="131"/>
      <c r="HHJ13" s="131"/>
      <c r="HHK13" s="131"/>
      <c r="HHL13" s="131"/>
      <c r="HHM13" s="131"/>
      <c r="HHN13" s="131"/>
      <c r="HHO13" s="131"/>
      <c r="HHP13" s="131"/>
      <c r="HHQ13" s="131"/>
      <c r="HHR13" s="131"/>
      <c r="HHS13" s="131"/>
      <c r="HHT13" s="131"/>
      <c r="HHU13" s="131"/>
      <c r="HHV13" s="131"/>
      <c r="HHW13" s="131"/>
      <c r="HHX13" s="131"/>
      <c r="HHY13" s="131"/>
      <c r="HHZ13" s="131"/>
      <c r="HIA13" s="131"/>
      <c r="HIB13" s="131"/>
      <c r="HIC13" s="131"/>
      <c r="HID13" s="131"/>
      <c r="HIE13" s="131"/>
      <c r="HIF13" s="131"/>
      <c r="HIG13" s="131"/>
      <c r="HIH13" s="131"/>
      <c r="HII13" s="131"/>
      <c r="HIJ13" s="131"/>
      <c r="HIK13" s="131"/>
      <c r="HIL13" s="131"/>
      <c r="HIM13" s="131"/>
      <c r="HIN13" s="131"/>
      <c r="HIO13" s="131"/>
      <c r="HIP13" s="131"/>
      <c r="HIQ13" s="131"/>
      <c r="HIR13" s="131"/>
      <c r="HIS13" s="131"/>
      <c r="HIT13" s="131"/>
      <c r="HIU13" s="131"/>
      <c r="HIV13" s="131"/>
      <c r="HIW13" s="131"/>
      <c r="HIX13" s="131"/>
      <c r="HIY13" s="131"/>
      <c r="HIZ13" s="131"/>
      <c r="HJA13" s="131"/>
      <c r="HJB13" s="131"/>
      <c r="HJC13" s="131"/>
      <c r="HJD13" s="131"/>
      <c r="HJE13" s="131"/>
      <c r="HJF13" s="131"/>
      <c r="HJG13" s="131"/>
      <c r="HJH13" s="131"/>
      <c r="HJI13" s="131"/>
      <c r="HJJ13" s="131"/>
      <c r="HJK13" s="131"/>
      <c r="HJL13" s="131"/>
      <c r="HJM13" s="131"/>
      <c r="HJN13" s="131"/>
      <c r="HJO13" s="131"/>
      <c r="HJP13" s="131"/>
      <c r="HJQ13" s="131"/>
      <c r="HJR13" s="131"/>
      <c r="HJS13" s="131"/>
      <c r="HJT13" s="131"/>
      <c r="HJU13" s="131"/>
      <c r="HJV13" s="131"/>
      <c r="HJW13" s="131"/>
      <c r="HJX13" s="131"/>
      <c r="HJY13" s="131"/>
      <c r="HJZ13" s="131"/>
      <c r="HKA13" s="131"/>
      <c r="HKB13" s="131"/>
      <c r="HKC13" s="131"/>
      <c r="HKD13" s="131"/>
      <c r="HKE13" s="131"/>
      <c r="HKF13" s="131"/>
      <c r="HKG13" s="131"/>
      <c r="HKH13" s="131"/>
      <c r="HKI13" s="131"/>
      <c r="HKJ13" s="131"/>
      <c r="HKK13" s="131"/>
      <c r="HKL13" s="131"/>
      <c r="HKM13" s="131"/>
      <c r="HKN13" s="131"/>
      <c r="HKO13" s="131"/>
      <c r="HKP13" s="131"/>
      <c r="HKQ13" s="131"/>
      <c r="HKR13" s="131"/>
      <c r="HKS13" s="131"/>
      <c r="HKT13" s="131"/>
      <c r="HKU13" s="131"/>
      <c r="HKV13" s="131"/>
      <c r="HKW13" s="131"/>
      <c r="HKX13" s="131"/>
      <c r="HKY13" s="131"/>
      <c r="HKZ13" s="131"/>
      <c r="HLA13" s="131"/>
      <c r="HLB13" s="131"/>
      <c r="HLC13" s="131"/>
      <c r="HLD13" s="131"/>
      <c r="HLE13" s="131"/>
      <c r="HLF13" s="131"/>
      <c r="HLG13" s="131"/>
      <c r="HLH13" s="131"/>
      <c r="HLI13" s="131"/>
      <c r="HLJ13" s="131"/>
      <c r="HLK13" s="131"/>
      <c r="HLL13" s="131"/>
      <c r="HLM13" s="131"/>
      <c r="HLN13" s="131"/>
      <c r="HLO13" s="131"/>
      <c r="HLP13" s="131"/>
      <c r="HLQ13" s="131"/>
      <c r="HLR13" s="131"/>
      <c r="HLS13" s="131"/>
      <c r="HLT13" s="131"/>
      <c r="HLU13" s="131"/>
      <c r="HLV13" s="131"/>
      <c r="HLW13" s="131"/>
      <c r="HLX13" s="131"/>
      <c r="HLY13" s="131"/>
      <c r="HLZ13" s="131"/>
      <c r="HMA13" s="131"/>
      <c r="HMB13" s="131"/>
      <c r="HMC13" s="131"/>
      <c r="HMD13" s="131"/>
      <c r="HME13" s="131"/>
      <c r="HMF13" s="131"/>
      <c r="HMG13" s="131"/>
      <c r="HMH13" s="131"/>
      <c r="HMI13" s="131"/>
      <c r="HMJ13" s="131"/>
      <c r="HMK13" s="131"/>
      <c r="HML13" s="131"/>
      <c r="HMM13" s="131"/>
      <c r="HMN13" s="131"/>
      <c r="HMO13" s="131"/>
      <c r="HMP13" s="131"/>
      <c r="HMQ13" s="131"/>
      <c r="HMR13" s="131"/>
      <c r="HMS13" s="131"/>
      <c r="HMT13" s="131"/>
      <c r="HMU13" s="131"/>
      <c r="HMV13" s="131"/>
      <c r="HMW13" s="131"/>
      <c r="HMX13" s="131"/>
      <c r="HMY13" s="131"/>
      <c r="HMZ13" s="131"/>
      <c r="HNA13" s="131"/>
      <c r="HNB13" s="131"/>
      <c r="HNC13" s="131"/>
      <c r="HND13" s="131"/>
      <c r="HNE13" s="131"/>
      <c r="HNF13" s="131"/>
      <c r="HNG13" s="131"/>
      <c r="HNH13" s="131"/>
      <c r="HNI13" s="131"/>
      <c r="HNJ13" s="131"/>
      <c r="HNK13" s="131"/>
      <c r="HNL13" s="131"/>
      <c r="HNM13" s="131"/>
      <c r="HNN13" s="131"/>
      <c r="HNO13" s="131"/>
      <c r="HNP13" s="131"/>
      <c r="HNQ13" s="131"/>
      <c r="HNR13" s="131"/>
      <c r="HNS13" s="131"/>
      <c r="HNT13" s="131"/>
      <c r="HNU13" s="131"/>
      <c r="HNV13" s="131"/>
      <c r="HNW13" s="131"/>
      <c r="HNX13" s="131"/>
      <c r="HNY13" s="131"/>
      <c r="HNZ13" s="131"/>
      <c r="HOA13" s="131"/>
      <c r="HOB13" s="131"/>
      <c r="HOC13" s="131"/>
      <c r="HOD13" s="131"/>
      <c r="HOE13" s="131"/>
      <c r="HOF13" s="131"/>
      <c r="HOG13" s="131"/>
      <c r="HOH13" s="131"/>
      <c r="HOI13" s="131"/>
      <c r="HOJ13" s="131"/>
      <c r="HOK13" s="131"/>
      <c r="HOL13" s="131"/>
      <c r="HOM13" s="131"/>
      <c r="HON13" s="131"/>
      <c r="HOO13" s="131"/>
      <c r="HOP13" s="131"/>
      <c r="HOQ13" s="131"/>
      <c r="HOR13" s="131"/>
      <c r="HOS13" s="131"/>
      <c r="HOT13" s="131"/>
      <c r="HOU13" s="131"/>
      <c r="HOV13" s="131"/>
      <c r="HOW13" s="131"/>
      <c r="HOX13" s="131"/>
      <c r="HOY13" s="131"/>
      <c r="HOZ13" s="131"/>
      <c r="HPA13" s="131"/>
      <c r="HPB13" s="131"/>
      <c r="HPC13" s="131"/>
      <c r="HPD13" s="131"/>
      <c r="HPE13" s="131"/>
      <c r="HPF13" s="131"/>
      <c r="HPG13" s="131"/>
      <c r="HPH13" s="131"/>
      <c r="HPI13" s="131"/>
      <c r="HPJ13" s="131"/>
      <c r="HPK13" s="131"/>
      <c r="HPL13" s="131"/>
      <c r="HPM13" s="131"/>
      <c r="HPN13" s="131"/>
      <c r="HPO13" s="131"/>
      <c r="HPP13" s="131"/>
      <c r="HPQ13" s="131"/>
      <c r="HPR13" s="131"/>
      <c r="HPS13" s="131"/>
      <c r="HPT13" s="131"/>
      <c r="HPU13" s="131"/>
      <c r="HPV13" s="131"/>
      <c r="HPW13" s="131"/>
      <c r="HPX13" s="131"/>
      <c r="HPY13" s="131"/>
      <c r="HPZ13" s="131"/>
      <c r="HQA13" s="131"/>
      <c r="HQB13" s="131"/>
      <c r="HQC13" s="131"/>
      <c r="HQD13" s="131"/>
      <c r="HQE13" s="131"/>
      <c r="HQF13" s="131"/>
      <c r="HQG13" s="131"/>
      <c r="HQH13" s="131"/>
      <c r="HQI13" s="131"/>
      <c r="HQJ13" s="131"/>
      <c r="HQK13" s="131"/>
      <c r="HQL13" s="131"/>
      <c r="HQM13" s="131"/>
      <c r="HQN13" s="131"/>
      <c r="HQO13" s="131"/>
      <c r="HQP13" s="131"/>
      <c r="HQQ13" s="131"/>
      <c r="HQR13" s="131"/>
      <c r="HQS13" s="131"/>
      <c r="HQT13" s="131"/>
      <c r="HQU13" s="131"/>
      <c r="HQV13" s="131"/>
      <c r="HQW13" s="131"/>
      <c r="HQX13" s="131"/>
      <c r="HQY13" s="131"/>
      <c r="HQZ13" s="131"/>
      <c r="HRA13" s="131"/>
      <c r="HRB13" s="131"/>
      <c r="HRC13" s="131"/>
      <c r="HRD13" s="131"/>
      <c r="HRE13" s="131"/>
      <c r="HRF13" s="131"/>
      <c r="HRG13" s="131"/>
      <c r="HRH13" s="131"/>
      <c r="HRI13" s="131"/>
      <c r="HRJ13" s="131"/>
      <c r="HRK13" s="131"/>
      <c r="HRL13" s="131"/>
      <c r="HRM13" s="131"/>
      <c r="HRN13" s="131"/>
      <c r="HRO13" s="131"/>
      <c r="HRP13" s="131"/>
      <c r="HRQ13" s="131"/>
      <c r="HRR13" s="131"/>
      <c r="HRS13" s="131"/>
      <c r="HRT13" s="131"/>
      <c r="HRU13" s="131"/>
      <c r="HRV13" s="131"/>
      <c r="HRW13" s="131"/>
      <c r="HRX13" s="131"/>
      <c r="HRY13" s="131"/>
      <c r="HRZ13" s="131"/>
      <c r="HSA13" s="131"/>
      <c r="HSB13" s="131"/>
      <c r="HSC13" s="131"/>
      <c r="HSD13" s="131"/>
      <c r="HSE13" s="131"/>
      <c r="HSF13" s="131"/>
      <c r="HSG13" s="131"/>
      <c r="HSH13" s="131"/>
      <c r="HSI13" s="131"/>
      <c r="HSJ13" s="131"/>
      <c r="HSK13" s="131"/>
      <c r="HSL13" s="131"/>
      <c r="HSM13" s="131"/>
      <c r="HSN13" s="131"/>
      <c r="HSO13" s="131"/>
      <c r="HSP13" s="131"/>
      <c r="HSQ13" s="131"/>
      <c r="HSR13" s="131"/>
      <c r="HSS13" s="131"/>
      <c r="HST13" s="131"/>
      <c r="HSU13" s="131"/>
      <c r="HSV13" s="131"/>
      <c r="HSW13" s="131"/>
      <c r="HSX13" s="131"/>
      <c r="HSY13" s="131"/>
      <c r="HSZ13" s="131"/>
      <c r="HTA13" s="131"/>
      <c r="HTB13" s="131"/>
      <c r="HTC13" s="131"/>
      <c r="HTD13" s="131"/>
      <c r="HTE13" s="131"/>
      <c r="HTF13" s="131"/>
      <c r="HTG13" s="131"/>
      <c r="HTH13" s="131"/>
      <c r="HTI13" s="131"/>
      <c r="HTJ13" s="131"/>
      <c r="HTK13" s="131"/>
      <c r="HTL13" s="131"/>
      <c r="HTM13" s="131"/>
      <c r="HTN13" s="131"/>
      <c r="HTO13" s="131"/>
      <c r="HTP13" s="131"/>
      <c r="HTQ13" s="131"/>
      <c r="HTR13" s="131"/>
      <c r="HTS13" s="131"/>
      <c r="HTT13" s="131"/>
      <c r="HTU13" s="131"/>
      <c r="HTV13" s="131"/>
      <c r="HTW13" s="131"/>
      <c r="HTX13" s="131"/>
      <c r="HTY13" s="131"/>
      <c r="HTZ13" s="131"/>
      <c r="HUA13" s="131"/>
      <c r="HUB13" s="131"/>
      <c r="HUC13" s="131"/>
      <c r="HUD13" s="131"/>
      <c r="HUE13" s="131"/>
      <c r="HUF13" s="131"/>
      <c r="HUG13" s="131"/>
      <c r="HUH13" s="131"/>
      <c r="HUI13" s="131"/>
      <c r="HUJ13" s="131"/>
      <c r="HUK13" s="131"/>
      <c r="HUL13" s="131"/>
      <c r="HUM13" s="131"/>
      <c r="HUN13" s="131"/>
      <c r="HUO13" s="131"/>
      <c r="HUP13" s="131"/>
      <c r="HUQ13" s="131"/>
      <c r="HUR13" s="131"/>
      <c r="HUS13" s="131"/>
      <c r="HUT13" s="131"/>
      <c r="HUU13" s="131"/>
      <c r="HUV13" s="131"/>
      <c r="HUW13" s="131"/>
      <c r="HUX13" s="131"/>
      <c r="HUY13" s="131"/>
      <c r="HUZ13" s="131"/>
      <c r="HVA13" s="131"/>
      <c r="HVB13" s="131"/>
      <c r="HVC13" s="131"/>
      <c r="HVD13" s="131"/>
      <c r="HVE13" s="131"/>
      <c r="HVF13" s="131"/>
      <c r="HVG13" s="131"/>
      <c r="HVH13" s="131"/>
      <c r="HVI13" s="131"/>
      <c r="HVJ13" s="131"/>
      <c r="HVK13" s="131"/>
      <c r="HVL13" s="131"/>
      <c r="HVM13" s="131"/>
      <c r="HVN13" s="131"/>
      <c r="HVO13" s="131"/>
      <c r="HVP13" s="131"/>
      <c r="HVQ13" s="131"/>
      <c r="HVR13" s="131"/>
      <c r="HVS13" s="131"/>
      <c r="HVT13" s="131"/>
      <c r="HVU13" s="131"/>
      <c r="HVV13" s="131"/>
      <c r="HVW13" s="131"/>
      <c r="HVX13" s="131"/>
      <c r="HVY13" s="131"/>
      <c r="HVZ13" s="131"/>
      <c r="HWA13" s="131"/>
      <c r="HWB13" s="131"/>
      <c r="HWC13" s="131"/>
      <c r="HWD13" s="131"/>
      <c r="HWE13" s="131"/>
      <c r="HWF13" s="131"/>
      <c r="HWG13" s="131"/>
      <c r="HWH13" s="131"/>
      <c r="HWI13" s="131"/>
      <c r="HWJ13" s="131"/>
      <c r="HWK13" s="131"/>
      <c r="HWL13" s="131"/>
      <c r="HWM13" s="131"/>
      <c r="HWN13" s="131"/>
      <c r="HWO13" s="131"/>
      <c r="HWP13" s="131"/>
      <c r="HWQ13" s="131"/>
      <c r="HWR13" s="131"/>
      <c r="HWS13" s="131"/>
      <c r="HWT13" s="131"/>
      <c r="HWU13" s="131"/>
      <c r="HWV13" s="131"/>
      <c r="HWW13" s="131"/>
      <c r="HWX13" s="131"/>
      <c r="HWY13" s="131"/>
      <c r="HWZ13" s="131"/>
      <c r="HXA13" s="131"/>
      <c r="HXB13" s="131"/>
      <c r="HXC13" s="131"/>
      <c r="HXD13" s="131"/>
      <c r="HXE13" s="131"/>
      <c r="HXF13" s="131"/>
      <c r="HXG13" s="131"/>
      <c r="HXH13" s="131"/>
      <c r="HXI13" s="131"/>
      <c r="HXJ13" s="131"/>
      <c r="HXK13" s="131"/>
      <c r="HXL13" s="131"/>
      <c r="HXM13" s="131"/>
      <c r="HXN13" s="131"/>
      <c r="HXO13" s="131"/>
      <c r="HXP13" s="131"/>
      <c r="HXQ13" s="131"/>
      <c r="HXR13" s="131"/>
      <c r="HXS13" s="131"/>
      <c r="HXT13" s="131"/>
      <c r="HXU13" s="131"/>
      <c r="HXV13" s="131"/>
      <c r="HXW13" s="131"/>
      <c r="HXX13" s="131"/>
      <c r="HXY13" s="131"/>
      <c r="HXZ13" s="131"/>
      <c r="HYA13" s="131"/>
      <c r="HYB13" s="131"/>
      <c r="HYC13" s="131"/>
      <c r="HYD13" s="131"/>
      <c r="HYE13" s="131"/>
      <c r="HYF13" s="131"/>
      <c r="HYG13" s="131"/>
      <c r="HYH13" s="131"/>
      <c r="HYI13" s="131"/>
      <c r="HYJ13" s="131"/>
      <c r="HYK13" s="131"/>
      <c r="HYL13" s="131"/>
      <c r="HYM13" s="131"/>
      <c r="HYN13" s="131"/>
      <c r="HYO13" s="131"/>
      <c r="HYP13" s="131"/>
      <c r="HYQ13" s="131"/>
      <c r="HYR13" s="131"/>
      <c r="HYS13" s="131"/>
      <c r="HYT13" s="131"/>
      <c r="HYU13" s="131"/>
      <c r="HYV13" s="131"/>
      <c r="HYW13" s="131"/>
      <c r="HYX13" s="131"/>
      <c r="HYY13" s="131"/>
      <c r="HYZ13" s="131"/>
      <c r="HZA13" s="131"/>
      <c r="HZB13" s="131"/>
      <c r="HZC13" s="131"/>
      <c r="HZD13" s="131"/>
      <c r="HZE13" s="131"/>
      <c r="HZF13" s="131"/>
      <c r="HZG13" s="131"/>
      <c r="HZH13" s="131"/>
      <c r="HZI13" s="131"/>
      <c r="HZJ13" s="131"/>
      <c r="HZK13" s="131"/>
      <c r="HZL13" s="131"/>
      <c r="HZM13" s="131"/>
      <c r="HZN13" s="131"/>
      <c r="HZO13" s="131"/>
      <c r="HZP13" s="131"/>
      <c r="HZQ13" s="131"/>
      <c r="HZR13" s="131"/>
      <c r="HZS13" s="131"/>
      <c r="HZT13" s="131"/>
      <c r="HZU13" s="131"/>
      <c r="HZV13" s="131"/>
      <c r="HZW13" s="131"/>
      <c r="HZX13" s="131"/>
      <c r="HZY13" s="131"/>
      <c r="HZZ13" s="131"/>
      <c r="IAA13" s="131"/>
      <c r="IAB13" s="131"/>
      <c r="IAC13" s="131"/>
      <c r="IAD13" s="131"/>
      <c r="IAE13" s="131"/>
      <c r="IAF13" s="131"/>
      <c r="IAG13" s="131"/>
      <c r="IAH13" s="131"/>
      <c r="IAI13" s="131"/>
      <c r="IAJ13" s="131"/>
      <c r="IAK13" s="131"/>
      <c r="IAL13" s="131"/>
      <c r="IAM13" s="131"/>
      <c r="IAN13" s="131"/>
      <c r="IAO13" s="131"/>
      <c r="IAP13" s="131"/>
      <c r="IAQ13" s="131"/>
      <c r="IAR13" s="131"/>
      <c r="IAS13" s="131"/>
      <c r="IAT13" s="131"/>
      <c r="IAU13" s="131"/>
      <c r="IAV13" s="131"/>
      <c r="IAW13" s="131"/>
      <c r="IBJ13" s="131"/>
      <c r="IBK13" s="131"/>
      <c r="IBL13" s="131"/>
      <c r="IBM13" s="131"/>
      <c r="IBN13" s="131"/>
      <c r="IBO13" s="131"/>
      <c r="IBP13" s="131"/>
      <c r="IBQ13" s="131"/>
      <c r="IBR13" s="131"/>
      <c r="IBS13" s="131"/>
      <c r="IBT13" s="131"/>
      <c r="IBU13" s="131"/>
      <c r="IBV13" s="131"/>
      <c r="IBW13" s="131"/>
      <c r="IBX13" s="131"/>
      <c r="IBY13" s="131"/>
      <c r="IBZ13" s="131"/>
      <c r="ICA13" s="131"/>
      <c r="ICB13" s="131"/>
      <c r="ICC13" s="131"/>
      <c r="ICD13" s="131"/>
      <c r="ICE13" s="131"/>
      <c r="ICF13" s="131"/>
      <c r="ICG13" s="131"/>
      <c r="ICH13" s="131"/>
      <c r="ICI13" s="131"/>
      <c r="ICJ13" s="131"/>
      <c r="ICK13" s="131"/>
      <c r="ICL13" s="131"/>
      <c r="ICM13" s="131"/>
      <c r="ICN13" s="131"/>
      <c r="ICO13" s="131"/>
      <c r="ICP13" s="131"/>
      <c r="ICQ13" s="131"/>
      <c r="ICR13" s="131"/>
      <c r="ICS13" s="131"/>
      <c r="ICT13" s="131"/>
      <c r="ICU13" s="131"/>
      <c r="ICV13" s="131"/>
      <c r="ICW13" s="131"/>
      <c r="ICX13" s="131"/>
      <c r="ICY13" s="131"/>
      <c r="ICZ13" s="131"/>
      <c r="IDA13" s="131"/>
      <c r="IDB13" s="131"/>
      <c r="IDC13" s="131"/>
      <c r="IDD13" s="131"/>
      <c r="IDE13" s="131"/>
      <c r="IDF13" s="131"/>
      <c r="IDG13" s="131"/>
      <c r="IDH13" s="131"/>
      <c r="IDI13" s="131"/>
      <c r="IDJ13" s="131"/>
      <c r="IDK13" s="131"/>
      <c r="IDL13" s="131"/>
      <c r="IDM13" s="131"/>
      <c r="IDN13" s="131"/>
      <c r="IDO13" s="131"/>
      <c r="IDP13" s="131"/>
      <c r="IDQ13" s="131"/>
      <c r="IDR13" s="131"/>
      <c r="IDS13" s="131"/>
      <c r="IDT13" s="131"/>
      <c r="IDU13" s="131"/>
      <c r="IDV13" s="131"/>
      <c r="IDW13" s="131"/>
      <c r="IDX13" s="131"/>
      <c r="IDY13" s="131"/>
      <c r="IDZ13" s="131"/>
      <c r="IEA13" s="131"/>
      <c r="IEB13" s="131"/>
      <c r="IEC13" s="131"/>
      <c r="IED13" s="131"/>
      <c r="IEE13" s="131"/>
      <c r="IEF13" s="131"/>
      <c r="IEG13" s="131"/>
      <c r="IEH13" s="131"/>
      <c r="IEI13" s="131"/>
      <c r="IEJ13" s="131"/>
      <c r="IEK13" s="131"/>
      <c r="IEL13" s="131"/>
      <c r="IEM13" s="131"/>
      <c r="IEN13" s="131"/>
      <c r="IEO13" s="131"/>
      <c r="IEP13" s="131"/>
      <c r="IEQ13" s="131"/>
      <c r="IER13" s="131"/>
      <c r="IES13" s="131"/>
      <c r="IET13" s="131"/>
      <c r="IEU13" s="131"/>
      <c r="IEV13" s="131"/>
      <c r="IEW13" s="131"/>
      <c r="IEX13" s="131"/>
      <c r="IEY13" s="131"/>
      <c r="IEZ13" s="131"/>
      <c r="IFA13" s="131"/>
      <c r="IFB13" s="131"/>
      <c r="IFC13" s="131"/>
      <c r="IFD13" s="131"/>
      <c r="IFE13" s="131"/>
      <c r="IFF13" s="131"/>
      <c r="IFG13" s="131"/>
      <c r="IFH13" s="131"/>
      <c r="IFI13" s="131"/>
      <c r="IFJ13" s="131"/>
      <c r="IFK13" s="131"/>
      <c r="IFL13" s="131"/>
      <c r="IFM13" s="131"/>
      <c r="IFN13" s="131"/>
      <c r="IFO13" s="131"/>
      <c r="IFP13" s="131"/>
      <c r="IFQ13" s="131"/>
      <c r="IFR13" s="131"/>
      <c r="IFS13" s="131"/>
      <c r="IFT13" s="131"/>
      <c r="IFU13" s="131"/>
      <c r="IFV13" s="131"/>
      <c r="IFW13" s="131"/>
      <c r="IFX13" s="131"/>
      <c r="IFY13" s="131"/>
      <c r="IFZ13" s="131"/>
      <c r="IGA13" s="131"/>
      <c r="IGB13" s="131"/>
      <c r="IGC13" s="131"/>
      <c r="IGD13" s="131"/>
      <c r="IGE13" s="131"/>
      <c r="IGF13" s="131"/>
      <c r="IGG13" s="131"/>
      <c r="IGH13" s="131"/>
      <c r="IGI13" s="131"/>
      <c r="IGJ13" s="131"/>
      <c r="IGK13" s="131"/>
      <c r="IGL13" s="131"/>
      <c r="IGM13" s="131"/>
      <c r="IGN13" s="131"/>
      <c r="IGO13" s="131"/>
      <c r="IGP13" s="131"/>
      <c r="IGQ13" s="131"/>
      <c r="IGR13" s="131"/>
      <c r="IGS13" s="131"/>
      <c r="IGT13" s="131"/>
      <c r="IGU13" s="131"/>
      <c r="IGV13" s="131"/>
      <c r="IGW13" s="131"/>
      <c r="IGX13" s="131"/>
      <c r="IGY13" s="131"/>
      <c r="IGZ13" s="131"/>
      <c r="IHA13" s="131"/>
      <c r="IHB13" s="131"/>
      <c r="IHC13" s="131"/>
      <c r="IHD13" s="131"/>
      <c r="IHE13" s="131"/>
      <c r="IHF13" s="131"/>
      <c r="IHG13" s="131"/>
      <c r="IHH13" s="131"/>
      <c r="IHI13" s="131"/>
      <c r="IHJ13" s="131"/>
      <c r="IHK13" s="131"/>
      <c r="IHL13" s="131"/>
      <c r="IHM13" s="131"/>
      <c r="IHN13" s="131"/>
      <c r="IHO13" s="131"/>
      <c r="IHP13" s="131"/>
      <c r="IHQ13" s="131"/>
      <c r="IHR13" s="131"/>
      <c r="IHS13" s="131"/>
      <c r="IHT13" s="131"/>
      <c r="IHU13" s="131"/>
      <c r="IHV13" s="131"/>
      <c r="IHW13" s="131"/>
      <c r="IHX13" s="131"/>
      <c r="IHY13" s="131"/>
      <c r="IHZ13" s="131"/>
      <c r="IIA13" s="131"/>
      <c r="IIB13" s="131"/>
      <c r="IIC13" s="131"/>
      <c r="IID13" s="131"/>
      <c r="IIE13" s="131"/>
      <c r="IIF13" s="131"/>
      <c r="IIG13" s="131"/>
      <c r="IIH13" s="131"/>
      <c r="III13" s="131"/>
      <c r="IIJ13" s="131"/>
      <c r="IIK13" s="131"/>
      <c r="IIL13" s="131"/>
      <c r="IIM13" s="131"/>
      <c r="IIN13" s="131"/>
      <c r="IIO13" s="131"/>
      <c r="IIP13" s="131"/>
      <c r="IIQ13" s="131"/>
      <c r="IIR13" s="131"/>
      <c r="IIS13" s="131"/>
      <c r="IIT13" s="131"/>
      <c r="IIU13" s="131"/>
      <c r="IIV13" s="131"/>
      <c r="IIW13" s="131"/>
      <c r="IIX13" s="131"/>
      <c r="IIY13" s="131"/>
      <c r="IIZ13" s="131"/>
      <c r="IJA13" s="131"/>
      <c r="IJB13" s="131"/>
      <c r="IJC13" s="131"/>
      <c r="IJD13" s="131"/>
      <c r="IJE13" s="131"/>
      <c r="IJF13" s="131"/>
      <c r="IJG13" s="131"/>
      <c r="IJH13" s="131"/>
      <c r="IJI13" s="131"/>
      <c r="IJJ13" s="131"/>
      <c r="IJK13" s="131"/>
      <c r="IJL13" s="131"/>
      <c r="IJM13" s="131"/>
      <c r="IJN13" s="131"/>
      <c r="IJO13" s="131"/>
      <c r="IJP13" s="131"/>
      <c r="IJQ13" s="131"/>
      <c r="IJR13" s="131"/>
      <c r="IJS13" s="131"/>
      <c r="IJT13" s="131"/>
      <c r="IJU13" s="131"/>
      <c r="IJV13" s="131"/>
      <c r="IJW13" s="131"/>
      <c r="IJX13" s="131"/>
      <c r="IJY13" s="131"/>
      <c r="IJZ13" s="131"/>
      <c r="IKA13" s="131"/>
      <c r="IKB13" s="131"/>
      <c r="IKC13" s="131"/>
      <c r="IKD13" s="131"/>
      <c r="IKE13" s="131"/>
      <c r="IKF13" s="131"/>
      <c r="IKG13" s="131"/>
      <c r="IKH13" s="131"/>
      <c r="IKI13" s="131"/>
      <c r="IKJ13" s="131"/>
      <c r="IKK13" s="131"/>
      <c r="IKL13" s="131"/>
      <c r="IKM13" s="131"/>
      <c r="IKN13" s="131"/>
      <c r="IKO13" s="131"/>
      <c r="IKP13" s="131"/>
      <c r="IKQ13" s="131"/>
      <c r="IKR13" s="131"/>
      <c r="IKS13" s="131"/>
      <c r="IKT13" s="131"/>
      <c r="IKU13" s="131"/>
      <c r="IKV13" s="131"/>
      <c r="IKW13" s="131"/>
      <c r="IKX13" s="131"/>
      <c r="IKY13" s="131"/>
      <c r="IKZ13" s="131"/>
      <c r="ILA13" s="131"/>
      <c r="ILB13" s="131"/>
      <c r="ILC13" s="131"/>
      <c r="ILD13" s="131"/>
      <c r="ILE13" s="131"/>
      <c r="ILF13" s="131"/>
      <c r="ILG13" s="131"/>
      <c r="ILH13" s="131"/>
      <c r="ILI13" s="131"/>
      <c r="ILJ13" s="131"/>
      <c r="ILK13" s="131"/>
      <c r="ILL13" s="131"/>
      <c r="ILM13" s="131"/>
      <c r="ILN13" s="131"/>
      <c r="ILO13" s="131"/>
      <c r="ILP13" s="131"/>
      <c r="ILQ13" s="131"/>
      <c r="ILR13" s="131"/>
      <c r="ILS13" s="131"/>
      <c r="ILT13" s="131"/>
      <c r="ILU13" s="131"/>
      <c r="ILV13" s="131"/>
      <c r="ILW13" s="131"/>
      <c r="ILX13" s="131"/>
      <c r="ILY13" s="131"/>
      <c r="ILZ13" s="131"/>
      <c r="IMA13" s="131"/>
      <c r="IMB13" s="131"/>
      <c r="IMC13" s="131"/>
      <c r="IMD13" s="131"/>
      <c r="IME13" s="131"/>
      <c r="IMF13" s="131"/>
      <c r="IMG13" s="131"/>
      <c r="IMH13" s="131"/>
      <c r="IMI13" s="131"/>
      <c r="IMJ13" s="131"/>
      <c r="IMK13" s="131"/>
      <c r="IML13" s="131"/>
      <c r="IMM13" s="131"/>
      <c r="IMN13" s="131"/>
      <c r="IMO13" s="131"/>
      <c r="IMP13" s="131"/>
      <c r="IMQ13" s="131"/>
      <c r="IMR13" s="131"/>
      <c r="IMS13" s="131"/>
      <c r="IMT13" s="131"/>
      <c r="IMU13" s="131"/>
      <c r="IMV13" s="131"/>
      <c r="IMW13" s="131"/>
      <c r="IMX13" s="131"/>
      <c r="IMY13" s="131"/>
      <c r="IMZ13" s="131"/>
      <c r="INA13" s="131"/>
      <c r="INB13" s="131"/>
      <c r="INC13" s="131"/>
      <c r="IND13" s="131"/>
      <c r="INE13" s="131"/>
      <c r="INF13" s="131"/>
      <c r="ING13" s="131"/>
      <c r="INH13" s="131"/>
      <c r="INI13" s="131"/>
      <c r="INJ13" s="131"/>
      <c r="INK13" s="131"/>
      <c r="INL13" s="131"/>
      <c r="INM13" s="131"/>
      <c r="INN13" s="131"/>
      <c r="INO13" s="131"/>
      <c r="INP13" s="131"/>
      <c r="INQ13" s="131"/>
      <c r="INR13" s="131"/>
      <c r="INS13" s="131"/>
      <c r="INT13" s="131"/>
      <c r="INU13" s="131"/>
      <c r="INV13" s="131"/>
      <c r="INW13" s="131"/>
      <c r="INX13" s="131"/>
      <c r="INY13" s="131"/>
      <c r="INZ13" s="131"/>
      <c r="IOA13" s="131"/>
      <c r="IOB13" s="131"/>
      <c r="IOC13" s="131"/>
      <c r="IOD13" s="131"/>
      <c r="IOE13" s="131"/>
      <c r="IOF13" s="131"/>
      <c r="IOG13" s="131"/>
      <c r="IOH13" s="131"/>
      <c r="IOI13" s="131"/>
      <c r="IOJ13" s="131"/>
      <c r="IOK13" s="131"/>
      <c r="IOL13" s="131"/>
      <c r="IOM13" s="131"/>
      <c r="ION13" s="131"/>
      <c r="IOO13" s="131"/>
      <c r="IOP13" s="131"/>
      <c r="IOQ13" s="131"/>
      <c r="IOR13" s="131"/>
      <c r="IOS13" s="131"/>
      <c r="IOT13" s="131"/>
      <c r="IOU13" s="131"/>
      <c r="IOV13" s="131"/>
      <c r="IOW13" s="131"/>
      <c r="IOX13" s="131"/>
      <c r="IOY13" s="131"/>
      <c r="IOZ13" s="131"/>
      <c r="IPA13" s="131"/>
      <c r="IPB13" s="131"/>
      <c r="IPC13" s="131"/>
      <c r="IPD13" s="131"/>
      <c r="IPE13" s="131"/>
      <c r="IPF13" s="131"/>
      <c r="IPG13" s="131"/>
      <c r="IPH13" s="131"/>
      <c r="IPI13" s="131"/>
      <c r="IPJ13" s="131"/>
      <c r="IPK13" s="131"/>
      <c r="IPL13" s="131"/>
      <c r="IPM13" s="131"/>
      <c r="IPN13" s="131"/>
      <c r="IPO13" s="131"/>
      <c r="IPP13" s="131"/>
      <c r="IPQ13" s="131"/>
      <c r="IPR13" s="131"/>
      <c r="IPS13" s="131"/>
      <c r="IPT13" s="131"/>
      <c r="IPU13" s="131"/>
      <c r="IPV13" s="131"/>
      <c r="IPW13" s="131"/>
      <c r="IPX13" s="131"/>
      <c r="IPY13" s="131"/>
      <c r="IPZ13" s="131"/>
      <c r="IQA13" s="131"/>
      <c r="IQB13" s="131"/>
      <c r="IQC13" s="131"/>
      <c r="IQD13" s="131"/>
      <c r="IQE13" s="131"/>
      <c r="IQF13" s="131"/>
      <c r="IQG13" s="131"/>
      <c r="IQH13" s="131"/>
      <c r="IQI13" s="131"/>
      <c r="IQJ13" s="131"/>
      <c r="IQK13" s="131"/>
      <c r="IQL13" s="131"/>
      <c r="IQM13" s="131"/>
      <c r="IQN13" s="131"/>
      <c r="IQO13" s="131"/>
      <c r="IQP13" s="131"/>
      <c r="IQQ13" s="131"/>
      <c r="IQR13" s="131"/>
      <c r="IQS13" s="131"/>
      <c r="IQT13" s="131"/>
      <c r="IQU13" s="131"/>
      <c r="IQV13" s="131"/>
      <c r="IQW13" s="131"/>
      <c r="IQX13" s="131"/>
      <c r="IQY13" s="131"/>
      <c r="IQZ13" s="131"/>
      <c r="IRA13" s="131"/>
      <c r="IRB13" s="131"/>
      <c r="IRC13" s="131"/>
      <c r="IRD13" s="131"/>
      <c r="IRE13" s="131"/>
      <c r="IRF13" s="131"/>
      <c r="IRG13" s="131"/>
      <c r="IRH13" s="131"/>
      <c r="IRI13" s="131"/>
      <c r="IRJ13" s="131"/>
      <c r="IRK13" s="131"/>
      <c r="IRL13" s="131"/>
      <c r="IRM13" s="131"/>
      <c r="IRN13" s="131"/>
      <c r="IRO13" s="131"/>
      <c r="IRP13" s="131"/>
      <c r="IRQ13" s="131"/>
      <c r="IRR13" s="131"/>
      <c r="IRS13" s="131"/>
      <c r="IRT13" s="131"/>
      <c r="IRU13" s="131"/>
      <c r="IRV13" s="131"/>
      <c r="IRW13" s="131"/>
      <c r="IRX13" s="131"/>
      <c r="IRY13" s="131"/>
      <c r="IRZ13" s="131"/>
      <c r="ISA13" s="131"/>
      <c r="ISB13" s="131"/>
      <c r="ISC13" s="131"/>
      <c r="ISD13" s="131"/>
      <c r="ISE13" s="131"/>
      <c r="ISF13" s="131"/>
      <c r="ISG13" s="131"/>
      <c r="ISH13" s="131"/>
      <c r="ISI13" s="131"/>
      <c r="ISJ13" s="131"/>
      <c r="ISK13" s="131"/>
      <c r="ISL13" s="131"/>
      <c r="ISM13" s="131"/>
      <c r="ISN13" s="131"/>
      <c r="ISO13" s="131"/>
      <c r="ISP13" s="131"/>
      <c r="ISQ13" s="131"/>
      <c r="ISR13" s="131"/>
      <c r="ISS13" s="131"/>
      <c r="IST13" s="131"/>
      <c r="ISU13" s="131"/>
      <c r="ISV13" s="131"/>
      <c r="ISW13" s="131"/>
      <c r="ISX13" s="131"/>
      <c r="ISY13" s="131"/>
      <c r="ISZ13" s="131"/>
      <c r="ITA13" s="131"/>
      <c r="ITB13" s="131"/>
      <c r="ITC13" s="131"/>
      <c r="ITD13" s="131"/>
      <c r="ITE13" s="131"/>
      <c r="ITF13" s="131"/>
      <c r="ITG13" s="131"/>
      <c r="ITH13" s="131"/>
      <c r="ITI13" s="131"/>
      <c r="ITJ13" s="131"/>
      <c r="ITK13" s="131"/>
      <c r="ITL13" s="131"/>
      <c r="ITM13" s="131"/>
      <c r="ITN13" s="131"/>
      <c r="ITO13" s="131"/>
      <c r="ITP13" s="131"/>
      <c r="ITQ13" s="131"/>
      <c r="ITR13" s="131"/>
      <c r="ITS13" s="131"/>
      <c r="ITT13" s="131"/>
      <c r="ITU13" s="131"/>
      <c r="ITV13" s="131"/>
      <c r="ITW13" s="131"/>
      <c r="ITX13" s="131"/>
      <c r="ITY13" s="131"/>
      <c r="ITZ13" s="131"/>
      <c r="IUA13" s="131"/>
      <c r="IUB13" s="131"/>
      <c r="IUC13" s="131"/>
      <c r="IUD13" s="131"/>
      <c r="IUE13" s="131"/>
      <c r="IUF13" s="131"/>
      <c r="IUG13" s="131"/>
      <c r="IUH13" s="131"/>
      <c r="IUI13" s="131"/>
      <c r="IUJ13" s="131"/>
      <c r="IUK13" s="131"/>
      <c r="IUL13" s="131"/>
      <c r="IUM13" s="131"/>
      <c r="IUN13" s="131"/>
      <c r="IUO13" s="131"/>
      <c r="IUP13" s="131"/>
      <c r="IUQ13" s="131"/>
      <c r="IUR13" s="131"/>
      <c r="IUS13" s="131"/>
      <c r="IUT13" s="131"/>
      <c r="IUU13" s="131"/>
      <c r="IUV13" s="131"/>
      <c r="IUW13" s="131"/>
      <c r="IUX13" s="131"/>
      <c r="IUY13" s="131"/>
      <c r="IUZ13" s="131"/>
      <c r="IVA13" s="131"/>
      <c r="IVB13" s="131"/>
      <c r="IVC13" s="131"/>
      <c r="IVD13" s="131"/>
      <c r="IVE13" s="131"/>
      <c r="IVF13" s="131"/>
      <c r="IVG13" s="131"/>
      <c r="IVH13" s="131"/>
      <c r="IVI13" s="131"/>
      <c r="IVJ13" s="131"/>
      <c r="IVK13" s="131"/>
      <c r="IVL13" s="131"/>
      <c r="IVM13" s="131"/>
      <c r="IVN13" s="131"/>
      <c r="IVO13" s="131"/>
      <c r="IVP13" s="131"/>
      <c r="IVQ13" s="131"/>
      <c r="IVR13" s="131"/>
      <c r="IVS13" s="131"/>
      <c r="IVT13" s="131"/>
      <c r="IVU13" s="131"/>
      <c r="IVV13" s="131"/>
      <c r="IVW13" s="131"/>
      <c r="IVX13" s="131"/>
      <c r="IVY13" s="131"/>
      <c r="IVZ13" s="131"/>
      <c r="IWA13" s="131"/>
      <c r="IWB13" s="131"/>
      <c r="IWC13" s="131"/>
      <c r="IWD13" s="131"/>
      <c r="IWE13" s="131"/>
      <c r="IWF13" s="131"/>
      <c r="IWG13" s="131"/>
      <c r="IWH13" s="131"/>
      <c r="IWI13" s="131"/>
      <c r="IWJ13" s="131"/>
      <c r="IWK13" s="131"/>
      <c r="IWL13" s="131"/>
      <c r="IWM13" s="131"/>
      <c r="IWN13" s="131"/>
      <c r="IWO13" s="131"/>
      <c r="IWP13" s="131"/>
      <c r="IWQ13" s="131"/>
      <c r="IWR13" s="131"/>
      <c r="IWS13" s="131"/>
      <c r="IWT13" s="131"/>
      <c r="IWU13" s="131"/>
      <c r="IWV13" s="131"/>
      <c r="IWW13" s="131"/>
      <c r="IWX13" s="131"/>
      <c r="IWY13" s="131"/>
      <c r="IWZ13" s="131"/>
      <c r="IXA13" s="131"/>
      <c r="IXB13" s="131"/>
      <c r="IXC13" s="131"/>
      <c r="IXD13" s="131"/>
      <c r="IXE13" s="131"/>
      <c r="IXF13" s="131"/>
      <c r="IXG13" s="131"/>
      <c r="IXH13" s="131"/>
      <c r="IXI13" s="131"/>
      <c r="IXJ13" s="131"/>
      <c r="IXK13" s="131"/>
      <c r="IXL13" s="131"/>
      <c r="IXM13" s="131"/>
      <c r="IXN13" s="131"/>
      <c r="IXO13" s="131"/>
      <c r="IXP13" s="131"/>
      <c r="IXQ13" s="131"/>
      <c r="IXR13" s="131"/>
      <c r="IXS13" s="131"/>
      <c r="IXT13" s="131"/>
      <c r="IXU13" s="131"/>
      <c r="IXV13" s="131"/>
      <c r="IXW13" s="131"/>
      <c r="IXX13" s="131"/>
      <c r="IXY13" s="131"/>
      <c r="IXZ13" s="131"/>
      <c r="IYA13" s="131"/>
      <c r="IYB13" s="131"/>
      <c r="IYC13" s="131"/>
      <c r="IYD13" s="131"/>
      <c r="IYE13" s="131"/>
      <c r="IYF13" s="131"/>
      <c r="IYG13" s="131"/>
      <c r="IYH13" s="131"/>
      <c r="IYI13" s="131"/>
      <c r="IYJ13" s="131"/>
      <c r="IYK13" s="131"/>
      <c r="IYL13" s="131"/>
      <c r="IYM13" s="131"/>
      <c r="IYN13" s="131"/>
      <c r="IYO13" s="131"/>
      <c r="IYP13" s="131"/>
      <c r="IYQ13" s="131"/>
      <c r="IYR13" s="131"/>
      <c r="IYS13" s="131"/>
      <c r="IYT13" s="131"/>
      <c r="IYU13" s="131"/>
      <c r="IYV13" s="131"/>
      <c r="IYW13" s="131"/>
      <c r="IYX13" s="131"/>
      <c r="IYY13" s="131"/>
      <c r="IYZ13" s="131"/>
      <c r="IZA13" s="131"/>
      <c r="IZB13" s="131"/>
      <c r="IZC13" s="131"/>
      <c r="IZD13" s="131"/>
      <c r="IZE13" s="131"/>
      <c r="IZF13" s="131"/>
      <c r="IZG13" s="131"/>
      <c r="IZH13" s="131"/>
      <c r="IZI13" s="131"/>
      <c r="IZJ13" s="131"/>
      <c r="IZK13" s="131"/>
      <c r="IZL13" s="131"/>
      <c r="IZM13" s="131"/>
      <c r="IZN13" s="131"/>
      <c r="IZO13" s="131"/>
      <c r="IZP13" s="131"/>
      <c r="IZQ13" s="131"/>
      <c r="IZR13" s="131"/>
      <c r="IZS13" s="131"/>
      <c r="IZT13" s="131"/>
      <c r="IZU13" s="131"/>
      <c r="IZV13" s="131"/>
      <c r="IZW13" s="131"/>
      <c r="IZX13" s="131"/>
      <c r="IZY13" s="131"/>
      <c r="IZZ13" s="131"/>
      <c r="JAA13" s="131"/>
      <c r="JAB13" s="131"/>
      <c r="JAC13" s="131"/>
      <c r="JAD13" s="131"/>
      <c r="JAE13" s="131"/>
      <c r="JAF13" s="131"/>
      <c r="JAG13" s="131"/>
      <c r="JAH13" s="131"/>
      <c r="JAI13" s="131"/>
      <c r="JAJ13" s="131"/>
      <c r="JAK13" s="131"/>
      <c r="JAL13" s="131"/>
      <c r="JAM13" s="131"/>
      <c r="JAN13" s="131"/>
      <c r="JAO13" s="131"/>
      <c r="JAP13" s="131"/>
      <c r="JAQ13" s="131"/>
      <c r="JAR13" s="131"/>
      <c r="JAS13" s="131"/>
      <c r="JAT13" s="131"/>
      <c r="JAU13" s="131"/>
      <c r="JAV13" s="131"/>
      <c r="JAW13" s="131"/>
      <c r="JAX13" s="131"/>
      <c r="JAY13" s="131"/>
      <c r="JAZ13" s="131"/>
      <c r="JBA13" s="131"/>
      <c r="JBB13" s="131"/>
      <c r="JBC13" s="131"/>
      <c r="JBD13" s="131"/>
      <c r="JBE13" s="131"/>
      <c r="JBF13" s="131"/>
      <c r="JBG13" s="131"/>
      <c r="JBH13" s="131"/>
      <c r="JBI13" s="131"/>
      <c r="JBJ13" s="131"/>
      <c r="JBK13" s="131"/>
      <c r="JBL13" s="131"/>
      <c r="JBM13" s="131"/>
      <c r="JBN13" s="131"/>
      <c r="JBO13" s="131"/>
      <c r="JBP13" s="131"/>
      <c r="JBQ13" s="131"/>
      <c r="JBR13" s="131"/>
      <c r="JBS13" s="131"/>
      <c r="JBT13" s="131"/>
      <c r="JBU13" s="131"/>
      <c r="JBV13" s="131"/>
      <c r="JBW13" s="131"/>
      <c r="JBX13" s="131"/>
      <c r="JBY13" s="131"/>
      <c r="JBZ13" s="131"/>
      <c r="JCA13" s="131"/>
      <c r="JCB13" s="131"/>
      <c r="JCC13" s="131"/>
      <c r="JCD13" s="131"/>
      <c r="JCE13" s="131"/>
      <c r="JCF13" s="131"/>
      <c r="JCG13" s="131"/>
      <c r="JCH13" s="131"/>
      <c r="JCI13" s="131"/>
      <c r="JCJ13" s="131"/>
      <c r="JCK13" s="131"/>
      <c r="JCL13" s="131"/>
      <c r="JCM13" s="131"/>
      <c r="JCN13" s="131"/>
      <c r="JCO13" s="131"/>
      <c r="JCP13" s="131"/>
      <c r="JCQ13" s="131"/>
      <c r="JCR13" s="131"/>
      <c r="JCS13" s="131"/>
      <c r="JCT13" s="131"/>
      <c r="JCU13" s="131"/>
      <c r="JCV13" s="131"/>
      <c r="JCW13" s="131"/>
      <c r="JCX13" s="131"/>
      <c r="JCY13" s="131"/>
      <c r="JCZ13" s="131"/>
      <c r="JDA13" s="131"/>
      <c r="JDB13" s="131"/>
      <c r="JDC13" s="131"/>
      <c r="JDD13" s="131"/>
      <c r="JDE13" s="131"/>
      <c r="JDF13" s="131"/>
      <c r="JDG13" s="131"/>
      <c r="JDH13" s="131"/>
      <c r="JDI13" s="131"/>
      <c r="JDJ13" s="131"/>
      <c r="JDK13" s="131"/>
      <c r="JDL13" s="131"/>
      <c r="JDM13" s="131"/>
      <c r="JDN13" s="131"/>
      <c r="JDO13" s="131"/>
      <c r="JDP13" s="131"/>
      <c r="JDQ13" s="131"/>
      <c r="JDR13" s="131"/>
      <c r="JDS13" s="131"/>
      <c r="JDT13" s="131"/>
      <c r="JDU13" s="131"/>
      <c r="JDV13" s="131"/>
      <c r="JDW13" s="131"/>
      <c r="JDX13" s="131"/>
      <c r="JDY13" s="131"/>
      <c r="JDZ13" s="131"/>
      <c r="JEA13" s="131"/>
      <c r="JEB13" s="131"/>
      <c r="JEC13" s="131"/>
      <c r="JED13" s="131"/>
      <c r="JEE13" s="131"/>
      <c r="JEF13" s="131"/>
      <c r="JEG13" s="131"/>
      <c r="JEH13" s="131"/>
      <c r="JEI13" s="131"/>
      <c r="JEJ13" s="131"/>
      <c r="JEK13" s="131"/>
      <c r="JEL13" s="131"/>
      <c r="JEM13" s="131"/>
      <c r="JEN13" s="131"/>
      <c r="JEO13" s="131"/>
      <c r="JEP13" s="131"/>
      <c r="JEQ13" s="131"/>
      <c r="JER13" s="131"/>
      <c r="JES13" s="131"/>
      <c r="JET13" s="131"/>
      <c r="JEU13" s="131"/>
      <c r="JEV13" s="131"/>
      <c r="JEW13" s="131"/>
      <c r="JEX13" s="131"/>
      <c r="JEY13" s="131"/>
      <c r="JEZ13" s="131"/>
      <c r="JFA13" s="131"/>
      <c r="JFB13" s="131"/>
      <c r="JFC13" s="131"/>
      <c r="JFD13" s="131"/>
      <c r="JFE13" s="131"/>
      <c r="JFF13" s="131"/>
      <c r="JFG13" s="131"/>
      <c r="JFH13" s="131"/>
      <c r="JFI13" s="131"/>
      <c r="JFJ13" s="131"/>
      <c r="JFK13" s="131"/>
      <c r="JFL13" s="131"/>
      <c r="JFM13" s="131"/>
      <c r="JFN13" s="131"/>
      <c r="JFO13" s="131"/>
      <c r="JFP13" s="131"/>
      <c r="JFQ13" s="131"/>
      <c r="JFR13" s="131"/>
      <c r="JFS13" s="131"/>
      <c r="JFT13" s="131"/>
      <c r="JFU13" s="131"/>
      <c r="JFV13" s="131"/>
      <c r="JFW13" s="131"/>
      <c r="JFX13" s="131"/>
      <c r="JFY13" s="131"/>
      <c r="JFZ13" s="131"/>
      <c r="JGA13" s="131"/>
      <c r="JGB13" s="131"/>
      <c r="JGC13" s="131"/>
      <c r="JGD13" s="131"/>
      <c r="JGE13" s="131"/>
      <c r="JGF13" s="131"/>
      <c r="JGG13" s="131"/>
      <c r="JGH13" s="131"/>
      <c r="JGI13" s="131"/>
      <c r="JGJ13" s="131"/>
      <c r="JGK13" s="131"/>
      <c r="JGL13" s="131"/>
      <c r="JGM13" s="131"/>
      <c r="JGN13" s="131"/>
      <c r="JGO13" s="131"/>
      <c r="JGP13" s="131"/>
      <c r="JGQ13" s="131"/>
      <c r="JGR13" s="131"/>
      <c r="JGS13" s="131"/>
      <c r="JGT13" s="131"/>
      <c r="JGU13" s="131"/>
      <c r="JGV13" s="131"/>
      <c r="JGW13" s="131"/>
      <c r="JGX13" s="131"/>
      <c r="JGY13" s="131"/>
      <c r="JGZ13" s="131"/>
      <c r="JHA13" s="131"/>
      <c r="JHB13" s="131"/>
      <c r="JHC13" s="131"/>
      <c r="JHD13" s="131"/>
      <c r="JHE13" s="131"/>
      <c r="JHF13" s="131"/>
      <c r="JHG13" s="131"/>
      <c r="JHH13" s="131"/>
      <c r="JHI13" s="131"/>
      <c r="JHJ13" s="131"/>
      <c r="JHK13" s="131"/>
      <c r="JHL13" s="131"/>
      <c r="JHM13" s="131"/>
      <c r="JHN13" s="131"/>
      <c r="JHO13" s="131"/>
      <c r="JHP13" s="131"/>
      <c r="JHQ13" s="131"/>
      <c r="JHR13" s="131"/>
      <c r="JHS13" s="131"/>
      <c r="JHT13" s="131"/>
      <c r="JHU13" s="131"/>
      <c r="JHV13" s="131"/>
      <c r="JHW13" s="131"/>
      <c r="JHX13" s="131"/>
      <c r="JHY13" s="131"/>
      <c r="JHZ13" s="131"/>
      <c r="JIA13" s="131"/>
      <c r="JIB13" s="131"/>
      <c r="JIC13" s="131"/>
      <c r="JID13" s="131"/>
      <c r="JIE13" s="131"/>
      <c r="JIF13" s="131"/>
      <c r="JIG13" s="131"/>
      <c r="JIH13" s="131"/>
      <c r="JII13" s="131"/>
      <c r="JIJ13" s="131"/>
      <c r="JIK13" s="131"/>
      <c r="JIL13" s="131"/>
      <c r="JIM13" s="131"/>
      <c r="JIN13" s="131"/>
      <c r="JIO13" s="131"/>
      <c r="JIP13" s="131"/>
      <c r="JIQ13" s="131"/>
      <c r="JIR13" s="131"/>
      <c r="JIS13" s="131"/>
      <c r="JIT13" s="131"/>
      <c r="JIU13" s="131"/>
      <c r="JIV13" s="131"/>
      <c r="JIW13" s="131"/>
      <c r="JIX13" s="131"/>
      <c r="JIY13" s="131"/>
      <c r="JIZ13" s="131"/>
      <c r="JJA13" s="131"/>
      <c r="JJB13" s="131"/>
      <c r="JJC13" s="131"/>
      <c r="JJD13" s="131"/>
      <c r="JJE13" s="131"/>
      <c r="JJF13" s="131"/>
      <c r="JJG13" s="131"/>
      <c r="JJH13" s="131"/>
      <c r="JJI13" s="131"/>
      <c r="JJJ13" s="131"/>
      <c r="JJK13" s="131"/>
      <c r="JJL13" s="131"/>
      <c r="JJM13" s="131"/>
      <c r="JJN13" s="131"/>
      <c r="JJO13" s="131"/>
      <c r="JJP13" s="131"/>
      <c r="JJQ13" s="131"/>
      <c r="JJR13" s="131"/>
      <c r="JJS13" s="131"/>
      <c r="JJT13" s="131"/>
      <c r="JJU13" s="131"/>
      <c r="JJV13" s="131"/>
      <c r="JJW13" s="131"/>
      <c r="JJX13" s="131"/>
      <c r="JJY13" s="131"/>
      <c r="JJZ13" s="131"/>
      <c r="JKA13" s="131"/>
      <c r="JKB13" s="131"/>
      <c r="JKC13" s="131"/>
      <c r="JKD13" s="131"/>
      <c r="JKE13" s="131"/>
      <c r="JKF13" s="131"/>
      <c r="JKG13" s="131"/>
      <c r="JKH13" s="131"/>
      <c r="JKI13" s="131"/>
      <c r="JKJ13" s="131"/>
      <c r="JKK13" s="131"/>
      <c r="JKL13" s="131"/>
      <c r="JKM13" s="131"/>
      <c r="JKN13" s="131"/>
      <c r="JKO13" s="131"/>
      <c r="JKP13" s="131"/>
      <c r="JKQ13" s="131"/>
      <c r="JKR13" s="131"/>
      <c r="JKS13" s="131"/>
      <c r="JKT13" s="131"/>
      <c r="JKU13" s="131"/>
      <c r="JKV13" s="131"/>
      <c r="JKW13" s="131"/>
      <c r="JKX13" s="131"/>
      <c r="JKY13" s="131"/>
      <c r="JKZ13" s="131"/>
      <c r="JLA13" s="131"/>
      <c r="JLB13" s="131"/>
      <c r="JLC13" s="131"/>
      <c r="JLD13" s="131"/>
      <c r="JLE13" s="131"/>
      <c r="JLF13" s="131"/>
      <c r="JLG13" s="131"/>
      <c r="JLH13" s="131"/>
      <c r="JLI13" s="131"/>
      <c r="JLJ13" s="131"/>
      <c r="JLK13" s="131"/>
      <c r="JLL13" s="131"/>
      <c r="JLM13" s="131"/>
      <c r="JLN13" s="131"/>
      <c r="JLO13" s="131"/>
      <c r="JLP13" s="131"/>
      <c r="JLQ13" s="131"/>
      <c r="JLR13" s="131"/>
      <c r="JLS13" s="131"/>
      <c r="JLT13" s="131"/>
      <c r="JLU13" s="131"/>
      <c r="JLV13" s="131"/>
      <c r="JLW13" s="131"/>
      <c r="JLX13" s="131"/>
      <c r="JLY13" s="131"/>
      <c r="JLZ13" s="131"/>
      <c r="JMA13" s="131"/>
      <c r="JMB13" s="131"/>
      <c r="JMC13" s="131"/>
      <c r="JMD13" s="131"/>
      <c r="JME13" s="131"/>
      <c r="JMF13" s="131"/>
      <c r="JMG13" s="131"/>
      <c r="JMH13" s="131"/>
      <c r="JMI13" s="131"/>
      <c r="JMJ13" s="131"/>
      <c r="JMK13" s="131"/>
      <c r="JML13" s="131"/>
      <c r="JMM13" s="131"/>
      <c r="JMN13" s="131"/>
      <c r="JMO13" s="131"/>
      <c r="JMP13" s="131"/>
      <c r="JMQ13" s="131"/>
      <c r="JMR13" s="131"/>
      <c r="JMS13" s="131"/>
      <c r="JMT13" s="131"/>
      <c r="JMU13" s="131"/>
      <c r="JMV13" s="131"/>
      <c r="JMW13" s="131"/>
      <c r="JMX13" s="131"/>
      <c r="JMY13" s="131"/>
      <c r="JMZ13" s="131"/>
      <c r="JNA13" s="131"/>
      <c r="JNB13" s="131"/>
      <c r="JNC13" s="131"/>
      <c r="JND13" s="131"/>
      <c r="JNE13" s="131"/>
      <c r="JNF13" s="131"/>
      <c r="JNG13" s="131"/>
      <c r="JNH13" s="131"/>
      <c r="JNI13" s="131"/>
      <c r="JNJ13" s="131"/>
      <c r="JNK13" s="131"/>
      <c r="JNL13" s="131"/>
      <c r="JNM13" s="131"/>
      <c r="JNN13" s="131"/>
      <c r="JNO13" s="131"/>
      <c r="JNP13" s="131"/>
      <c r="JNQ13" s="131"/>
      <c r="JNR13" s="131"/>
      <c r="JNS13" s="131"/>
      <c r="JNT13" s="131"/>
      <c r="JNU13" s="131"/>
      <c r="JNV13" s="131"/>
      <c r="JNW13" s="131"/>
      <c r="JNX13" s="131"/>
      <c r="JNY13" s="131"/>
      <c r="JNZ13" s="131"/>
      <c r="JOA13" s="131"/>
      <c r="JOB13" s="131"/>
      <c r="JOC13" s="131"/>
      <c r="JOD13" s="131"/>
      <c r="JOE13" s="131"/>
      <c r="JOF13" s="131"/>
      <c r="JOG13" s="131"/>
      <c r="JOT13" s="131"/>
      <c r="JOU13" s="131"/>
      <c r="JOV13" s="131"/>
      <c r="JOW13" s="131"/>
      <c r="JOX13" s="131"/>
      <c r="JOY13" s="131"/>
      <c r="JOZ13" s="131"/>
      <c r="JPA13" s="131"/>
      <c r="JPB13" s="131"/>
      <c r="JPC13" s="131"/>
      <c r="JPD13" s="131"/>
      <c r="JPE13" s="131"/>
      <c r="JPF13" s="131"/>
      <c r="JPG13" s="131"/>
      <c r="JPH13" s="131"/>
      <c r="JPI13" s="131"/>
      <c r="JPJ13" s="131"/>
      <c r="JPK13" s="131"/>
      <c r="JPL13" s="131"/>
      <c r="JPM13" s="131"/>
      <c r="JPN13" s="131"/>
      <c r="JPO13" s="131"/>
      <c r="JPP13" s="131"/>
      <c r="JPQ13" s="131"/>
      <c r="JPR13" s="131"/>
      <c r="JPS13" s="131"/>
      <c r="JPT13" s="131"/>
      <c r="JPU13" s="131"/>
      <c r="JPV13" s="131"/>
      <c r="JPW13" s="131"/>
      <c r="JPX13" s="131"/>
      <c r="JPY13" s="131"/>
      <c r="JPZ13" s="131"/>
      <c r="JQA13" s="131"/>
      <c r="JQB13" s="131"/>
      <c r="JQC13" s="131"/>
      <c r="JQD13" s="131"/>
      <c r="JQE13" s="131"/>
      <c r="JQF13" s="131"/>
      <c r="JQG13" s="131"/>
      <c r="JQH13" s="131"/>
      <c r="JQI13" s="131"/>
      <c r="JQJ13" s="131"/>
      <c r="JQK13" s="131"/>
      <c r="JQL13" s="131"/>
      <c r="JQM13" s="131"/>
      <c r="JQN13" s="131"/>
      <c r="JQO13" s="131"/>
      <c r="JQP13" s="131"/>
      <c r="JQQ13" s="131"/>
      <c r="JQR13" s="131"/>
      <c r="JQS13" s="131"/>
      <c r="JQT13" s="131"/>
      <c r="JQU13" s="131"/>
      <c r="JQV13" s="131"/>
      <c r="JQW13" s="131"/>
      <c r="JQX13" s="131"/>
      <c r="JQY13" s="131"/>
      <c r="JQZ13" s="131"/>
      <c r="JRA13" s="131"/>
      <c r="JRB13" s="131"/>
      <c r="JRC13" s="131"/>
      <c r="JRD13" s="131"/>
      <c r="JRE13" s="131"/>
      <c r="JRF13" s="131"/>
      <c r="JRG13" s="131"/>
      <c r="JRH13" s="131"/>
      <c r="JRI13" s="131"/>
      <c r="JRJ13" s="131"/>
      <c r="JRK13" s="131"/>
      <c r="JRL13" s="131"/>
      <c r="JRM13" s="131"/>
      <c r="JRN13" s="131"/>
      <c r="JRO13" s="131"/>
      <c r="JRP13" s="131"/>
      <c r="JRQ13" s="131"/>
      <c r="JRR13" s="131"/>
      <c r="JRS13" s="131"/>
      <c r="JRT13" s="131"/>
      <c r="JRU13" s="131"/>
      <c r="JRV13" s="131"/>
      <c r="JRW13" s="131"/>
      <c r="JRX13" s="131"/>
      <c r="JRY13" s="131"/>
      <c r="JRZ13" s="131"/>
      <c r="JSA13" s="131"/>
      <c r="JSB13" s="131"/>
      <c r="JSC13" s="131"/>
      <c r="JSD13" s="131"/>
      <c r="JSE13" s="131"/>
      <c r="JSF13" s="131"/>
      <c r="JSG13" s="131"/>
      <c r="JSH13" s="131"/>
      <c r="JSI13" s="131"/>
      <c r="JSJ13" s="131"/>
      <c r="JSK13" s="131"/>
      <c r="JSL13" s="131"/>
      <c r="JSM13" s="131"/>
      <c r="JSN13" s="131"/>
      <c r="JSO13" s="131"/>
      <c r="JSP13" s="131"/>
      <c r="JSQ13" s="131"/>
      <c r="JSR13" s="131"/>
      <c r="JSS13" s="131"/>
      <c r="JST13" s="131"/>
      <c r="JSU13" s="131"/>
      <c r="JSV13" s="131"/>
      <c r="JSW13" s="131"/>
      <c r="JSX13" s="131"/>
      <c r="JSY13" s="131"/>
      <c r="JSZ13" s="131"/>
      <c r="JTA13" s="131"/>
      <c r="JTB13" s="131"/>
      <c r="JTC13" s="131"/>
      <c r="JTD13" s="131"/>
      <c r="JTE13" s="131"/>
      <c r="JTF13" s="131"/>
      <c r="JTG13" s="131"/>
      <c r="JTH13" s="131"/>
      <c r="JTI13" s="131"/>
      <c r="JTJ13" s="131"/>
      <c r="JTK13" s="131"/>
      <c r="JTL13" s="131"/>
      <c r="JTM13" s="131"/>
      <c r="JTN13" s="131"/>
      <c r="JTO13" s="131"/>
      <c r="JTP13" s="131"/>
      <c r="JTQ13" s="131"/>
      <c r="JTR13" s="131"/>
      <c r="JTS13" s="131"/>
      <c r="JTT13" s="131"/>
      <c r="JTU13" s="131"/>
      <c r="JTV13" s="131"/>
      <c r="JTW13" s="131"/>
      <c r="JTX13" s="131"/>
      <c r="JTY13" s="131"/>
      <c r="JTZ13" s="131"/>
      <c r="JUA13" s="131"/>
      <c r="JUB13" s="131"/>
      <c r="JUC13" s="131"/>
      <c r="JUD13" s="131"/>
      <c r="JUE13" s="131"/>
      <c r="JUF13" s="131"/>
      <c r="JUG13" s="131"/>
      <c r="JUH13" s="131"/>
      <c r="JUI13" s="131"/>
      <c r="JUJ13" s="131"/>
      <c r="JUK13" s="131"/>
      <c r="JUL13" s="131"/>
      <c r="JUM13" s="131"/>
      <c r="JUN13" s="131"/>
      <c r="JUO13" s="131"/>
      <c r="JUP13" s="131"/>
      <c r="JUQ13" s="131"/>
      <c r="JUR13" s="131"/>
      <c r="JUS13" s="131"/>
      <c r="JUT13" s="131"/>
      <c r="JUU13" s="131"/>
      <c r="JUV13" s="131"/>
      <c r="JUW13" s="131"/>
      <c r="JUX13" s="131"/>
      <c r="JUY13" s="131"/>
      <c r="JUZ13" s="131"/>
      <c r="JVA13" s="131"/>
      <c r="JVB13" s="131"/>
      <c r="JVC13" s="131"/>
      <c r="JVD13" s="131"/>
      <c r="JVE13" s="131"/>
      <c r="JVF13" s="131"/>
      <c r="JVG13" s="131"/>
      <c r="JVH13" s="131"/>
      <c r="JVI13" s="131"/>
      <c r="JVJ13" s="131"/>
      <c r="JVK13" s="131"/>
      <c r="JVL13" s="131"/>
      <c r="JVM13" s="131"/>
      <c r="JVN13" s="131"/>
      <c r="JVO13" s="131"/>
      <c r="JVP13" s="131"/>
      <c r="JVQ13" s="131"/>
      <c r="JVR13" s="131"/>
      <c r="JVS13" s="131"/>
      <c r="JVT13" s="131"/>
      <c r="JVU13" s="131"/>
      <c r="JVV13" s="131"/>
      <c r="JVW13" s="131"/>
      <c r="JVX13" s="131"/>
      <c r="JVY13" s="131"/>
      <c r="JVZ13" s="131"/>
      <c r="JWA13" s="131"/>
      <c r="JWB13" s="131"/>
      <c r="JWC13" s="131"/>
      <c r="JWD13" s="131"/>
      <c r="JWE13" s="131"/>
      <c r="JWF13" s="131"/>
      <c r="JWG13" s="131"/>
      <c r="JWH13" s="131"/>
      <c r="JWI13" s="131"/>
      <c r="JWJ13" s="131"/>
      <c r="JWK13" s="131"/>
      <c r="JWL13" s="131"/>
      <c r="JWM13" s="131"/>
      <c r="JWN13" s="131"/>
      <c r="JWO13" s="131"/>
      <c r="JWP13" s="131"/>
      <c r="JWQ13" s="131"/>
      <c r="JWR13" s="131"/>
      <c r="JWS13" s="131"/>
      <c r="JWT13" s="131"/>
      <c r="JWU13" s="131"/>
      <c r="JWV13" s="131"/>
      <c r="JWW13" s="131"/>
      <c r="JWX13" s="131"/>
      <c r="JWY13" s="131"/>
      <c r="JWZ13" s="131"/>
      <c r="JXA13" s="131"/>
      <c r="JXB13" s="131"/>
      <c r="JXC13" s="131"/>
      <c r="JXD13" s="131"/>
      <c r="JXE13" s="131"/>
      <c r="JXF13" s="131"/>
      <c r="JXG13" s="131"/>
      <c r="JXH13" s="131"/>
      <c r="JXI13" s="131"/>
      <c r="JXJ13" s="131"/>
      <c r="JXK13" s="131"/>
      <c r="JXL13" s="131"/>
      <c r="JXM13" s="131"/>
      <c r="JXN13" s="131"/>
      <c r="JXO13" s="131"/>
      <c r="JXP13" s="131"/>
      <c r="JXQ13" s="131"/>
      <c r="JXR13" s="131"/>
      <c r="JXS13" s="131"/>
      <c r="JXT13" s="131"/>
      <c r="JXU13" s="131"/>
      <c r="JXV13" s="131"/>
      <c r="JXW13" s="131"/>
      <c r="JXX13" s="131"/>
      <c r="JXY13" s="131"/>
      <c r="JXZ13" s="131"/>
      <c r="JYA13" s="131"/>
      <c r="JYB13" s="131"/>
      <c r="JYC13" s="131"/>
      <c r="JYD13" s="131"/>
      <c r="JYE13" s="131"/>
      <c r="JYF13" s="131"/>
      <c r="JYG13" s="131"/>
      <c r="JYH13" s="131"/>
      <c r="JYI13" s="131"/>
      <c r="JYJ13" s="131"/>
      <c r="JYK13" s="131"/>
      <c r="JYL13" s="131"/>
      <c r="JYM13" s="131"/>
      <c r="JYN13" s="131"/>
      <c r="JYO13" s="131"/>
      <c r="JYP13" s="131"/>
      <c r="JYQ13" s="131"/>
      <c r="JYR13" s="131"/>
      <c r="JYS13" s="131"/>
      <c r="JYT13" s="131"/>
      <c r="JYU13" s="131"/>
      <c r="JYV13" s="131"/>
      <c r="JYW13" s="131"/>
      <c r="JYX13" s="131"/>
      <c r="JYY13" s="131"/>
      <c r="JYZ13" s="131"/>
      <c r="JZA13" s="131"/>
      <c r="JZB13" s="131"/>
      <c r="JZC13" s="131"/>
      <c r="JZD13" s="131"/>
      <c r="JZE13" s="131"/>
      <c r="JZF13" s="131"/>
      <c r="JZG13" s="131"/>
      <c r="JZH13" s="131"/>
      <c r="JZI13" s="131"/>
      <c r="JZJ13" s="131"/>
      <c r="JZK13" s="131"/>
      <c r="JZL13" s="131"/>
      <c r="JZM13" s="131"/>
      <c r="JZN13" s="131"/>
      <c r="JZO13" s="131"/>
      <c r="JZP13" s="131"/>
      <c r="JZQ13" s="131"/>
      <c r="JZR13" s="131"/>
      <c r="JZS13" s="131"/>
      <c r="JZT13" s="131"/>
      <c r="JZU13" s="131"/>
      <c r="JZV13" s="131"/>
      <c r="JZW13" s="131"/>
      <c r="JZX13" s="131"/>
      <c r="JZY13" s="131"/>
      <c r="JZZ13" s="131"/>
      <c r="KAA13" s="131"/>
      <c r="KAB13" s="131"/>
      <c r="KAC13" s="131"/>
      <c r="KAD13" s="131"/>
      <c r="KAE13" s="131"/>
      <c r="KAF13" s="131"/>
      <c r="KAG13" s="131"/>
      <c r="KAH13" s="131"/>
      <c r="KAI13" s="131"/>
      <c r="KAJ13" s="131"/>
      <c r="KAK13" s="131"/>
      <c r="KAL13" s="131"/>
      <c r="KAM13" s="131"/>
      <c r="KAN13" s="131"/>
      <c r="KAO13" s="131"/>
      <c r="KAP13" s="131"/>
      <c r="KAQ13" s="131"/>
      <c r="KAR13" s="131"/>
      <c r="KAS13" s="131"/>
      <c r="KAT13" s="131"/>
      <c r="KAU13" s="131"/>
      <c r="KAV13" s="131"/>
      <c r="KAW13" s="131"/>
      <c r="KAX13" s="131"/>
      <c r="KAY13" s="131"/>
      <c r="KAZ13" s="131"/>
      <c r="KBA13" s="131"/>
      <c r="KBB13" s="131"/>
      <c r="KBC13" s="131"/>
      <c r="KBD13" s="131"/>
      <c r="KBE13" s="131"/>
      <c r="KBF13" s="131"/>
      <c r="KBG13" s="131"/>
      <c r="KBH13" s="131"/>
      <c r="KBI13" s="131"/>
      <c r="KBJ13" s="131"/>
      <c r="KBK13" s="131"/>
      <c r="KBL13" s="131"/>
      <c r="KBM13" s="131"/>
      <c r="KBN13" s="131"/>
      <c r="KBO13" s="131"/>
      <c r="KBP13" s="131"/>
      <c r="KBQ13" s="131"/>
      <c r="KBR13" s="131"/>
      <c r="KBS13" s="131"/>
      <c r="KBT13" s="131"/>
      <c r="KBU13" s="131"/>
      <c r="KBV13" s="131"/>
      <c r="KBW13" s="131"/>
      <c r="KBX13" s="131"/>
      <c r="KBY13" s="131"/>
      <c r="KBZ13" s="131"/>
      <c r="KCA13" s="131"/>
      <c r="KCB13" s="131"/>
      <c r="KCC13" s="131"/>
      <c r="KCD13" s="131"/>
      <c r="KCE13" s="131"/>
      <c r="KCF13" s="131"/>
      <c r="KCG13" s="131"/>
      <c r="KCH13" s="131"/>
      <c r="KCI13" s="131"/>
      <c r="KCJ13" s="131"/>
      <c r="KCK13" s="131"/>
      <c r="KCL13" s="131"/>
      <c r="KCM13" s="131"/>
      <c r="KCN13" s="131"/>
      <c r="KCO13" s="131"/>
      <c r="KCP13" s="131"/>
      <c r="KCQ13" s="131"/>
      <c r="KCR13" s="131"/>
      <c r="KCS13" s="131"/>
      <c r="KCT13" s="131"/>
      <c r="KCU13" s="131"/>
      <c r="KCV13" s="131"/>
      <c r="KCW13" s="131"/>
      <c r="KCX13" s="131"/>
      <c r="KCY13" s="131"/>
      <c r="KCZ13" s="131"/>
      <c r="KDA13" s="131"/>
      <c r="KDB13" s="131"/>
      <c r="KDC13" s="131"/>
      <c r="KDD13" s="131"/>
      <c r="KDE13" s="131"/>
      <c r="KDF13" s="131"/>
      <c r="KDG13" s="131"/>
      <c r="KDH13" s="131"/>
      <c r="KDI13" s="131"/>
      <c r="KDJ13" s="131"/>
      <c r="KDK13" s="131"/>
      <c r="KDL13" s="131"/>
      <c r="KDM13" s="131"/>
      <c r="KDN13" s="131"/>
      <c r="KDO13" s="131"/>
      <c r="KDP13" s="131"/>
      <c r="KDQ13" s="131"/>
      <c r="KDR13" s="131"/>
      <c r="KDS13" s="131"/>
      <c r="KDT13" s="131"/>
      <c r="KDU13" s="131"/>
      <c r="KDV13" s="131"/>
      <c r="KDW13" s="131"/>
      <c r="KDX13" s="131"/>
      <c r="KDY13" s="131"/>
      <c r="KDZ13" s="131"/>
      <c r="KEA13" s="131"/>
      <c r="KEB13" s="131"/>
      <c r="KEC13" s="131"/>
      <c r="KED13" s="131"/>
      <c r="KEE13" s="131"/>
      <c r="KEF13" s="131"/>
      <c r="KEG13" s="131"/>
      <c r="KEH13" s="131"/>
      <c r="KEI13" s="131"/>
      <c r="KEJ13" s="131"/>
      <c r="KEK13" s="131"/>
      <c r="KEL13" s="131"/>
      <c r="KEM13" s="131"/>
      <c r="KEN13" s="131"/>
      <c r="KEO13" s="131"/>
      <c r="KEP13" s="131"/>
      <c r="KEQ13" s="131"/>
      <c r="KER13" s="131"/>
      <c r="KES13" s="131"/>
      <c r="KET13" s="131"/>
      <c r="KEU13" s="131"/>
      <c r="KEV13" s="131"/>
      <c r="KEW13" s="131"/>
      <c r="KEX13" s="131"/>
      <c r="KEY13" s="131"/>
      <c r="KEZ13" s="131"/>
      <c r="KFA13" s="131"/>
      <c r="KFB13" s="131"/>
      <c r="KFC13" s="131"/>
      <c r="KFD13" s="131"/>
      <c r="KFE13" s="131"/>
      <c r="KFF13" s="131"/>
      <c r="KFG13" s="131"/>
      <c r="KFH13" s="131"/>
      <c r="KFI13" s="131"/>
      <c r="KFJ13" s="131"/>
      <c r="KFK13" s="131"/>
      <c r="KFL13" s="131"/>
      <c r="KFM13" s="131"/>
      <c r="KFN13" s="131"/>
      <c r="KFO13" s="131"/>
      <c r="KFP13" s="131"/>
      <c r="KFQ13" s="131"/>
      <c r="KFR13" s="131"/>
      <c r="KFS13" s="131"/>
      <c r="KFT13" s="131"/>
      <c r="KFU13" s="131"/>
      <c r="KFV13" s="131"/>
      <c r="KFW13" s="131"/>
      <c r="KFX13" s="131"/>
      <c r="KFY13" s="131"/>
      <c r="KFZ13" s="131"/>
      <c r="KGA13" s="131"/>
      <c r="KGB13" s="131"/>
      <c r="KGC13" s="131"/>
      <c r="KGD13" s="131"/>
      <c r="KGE13" s="131"/>
      <c r="KGF13" s="131"/>
      <c r="KGG13" s="131"/>
      <c r="KGH13" s="131"/>
      <c r="KGI13" s="131"/>
      <c r="KGJ13" s="131"/>
      <c r="KGK13" s="131"/>
      <c r="KGL13" s="131"/>
      <c r="KGM13" s="131"/>
      <c r="KGN13" s="131"/>
      <c r="KGO13" s="131"/>
      <c r="KGP13" s="131"/>
      <c r="KGQ13" s="131"/>
      <c r="KGR13" s="131"/>
      <c r="KGS13" s="131"/>
      <c r="KGT13" s="131"/>
      <c r="KGU13" s="131"/>
      <c r="KGV13" s="131"/>
      <c r="KGW13" s="131"/>
      <c r="KGX13" s="131"/>
      <c r="KGY13" s="131"/>
      <c r="KGZ13" s="131"/>
      <c r="KHA13" s="131"/>
      <c r="KHB13" s="131"/>
      <c r="KHC13" s="131"/>
      <c r="KHD13" s="131"/>
      <c r="KHE13" s="131"/>
      <c r="KHF13" s="131"/>
      <c r="KHG13" s="131"/>
      <c r="KHH13" s="131"/>
      <c r="KHI13" s="131"/>
      <c r="KHJ13" s="131"/>
      <c r="KHK13" s="131"/>
      <c r="KHL13" s="131"/>
      <c r="KHM13" s="131"/>
      <c r="KHN13" s="131"/>
      <c r="KHO13" s="131"/>
      <c r="KHP13" s="131"/>
      <c r="KHQ13" s="131"/>
      <c r="KHR13" s="131"/>
      <c r="KHS13" s="131"/>
      <c r="KHT13" s="131"/>
      <c r="KHU13" s="131"/>
      <c r="KHV13" s="131"/>
      <c r="KHW13" s="131"/>
      <c r="KHX13" s="131"/>
      <c r="KHY13" s="131"/>
      <c r="KHZ13" s="131"/>
      <c r="KIA13" s="131"/>
      <c r="KIB13" s="131"/>
      <c r="KIC13" s="131"/>
      <c r="KID13" s="131"/>
      <c r="KIE13" s="131"/>
      <c r="KIF13" s="131"/>
      <c r="KIG13" s="131"/>
      <c r="KIH13" s="131"/>
      <c r="KII13" s="131"/>
      <c r="KIJ13" s="131"/>
      <c r="KIK13" s="131"/>
      <c r="KIL13" s="131"/>
      <c r="KIM13" s="131"/>
      <c r="KIN13" s="131"/>
      <c r="KIO13" s="131"/>
      <c r="KIP13" s="131"/>
      <c r="KIQ13" s="131"/>
      <c r="KIR13" s="131"/>
      <c r="KIS13" s="131"/>
      <c r="KIT13" s="131"/>
      <c r="KIU13" s="131"/>
      <c r="KIV13" s="131"/>
      <c r="KIW13" s="131"/>
      <c r="KIX13" s="131"/>
      <c r="KIY13" s="131"/>
      <c r="KIZ13" s="131"/>
      <c r="KJA13" s="131"/>
      <c r="KJB13" s="131"/>
      <c r="KJC13" s="131"/>
      <c r="KJD13" s="131"/>
      <c r="KJE13" s="131"/>
      <c r="KJF13" s="131"/>
      <c r="KJG13" s="131"/>
      <c r="KJH13" s="131"/>
      <c r="KJI13" s="131"/>
      <c r="KJJ13" s="131"/>
      <c r="KJK13" s="131"/>
      <c r="KJL13" s="131"/>
      <c r="KJM13" s="131"/>
      <c r="KJN13" s="131"/>
      <c r="KJO13" s="131"/>
      <c r="KJP13" s="131"/>
      <c r="KJQ13" s="131"/>
      <c r="KJR13" s="131"/>
      <c r="KJS13" s="131"/>
      <c r="KJT13" s="131"/>
      <c r="KJU13" s="131"/>
      <c r="KJV13" s="131"/>
      <c r="KJW13" s="131"/>
      <c r="KJX13" s="131"/>
      <c r="KJY13" s="131"/>
      <c r="KJZ13" s="131"/>
      <c r="KKA13" s="131"/>
      <c r="KKB13" s="131"/>
      <c r="KKC13" s="131"/>
      <c r="KKD13" s="131"/>
      <c r="KKE13" s="131"/>
      <c r="KKF13" s="131"/>
      <c r="KKG13" s="131"/>
      <c r="KKH13" s="131"/>
      <c r="KKI13" s="131"/>
      <c r="KKJ13" s="131"/>
      <c r="KKK13" s="131"/>
      <c r="KKL13" s="131"/>
      <c r="KKM13" s="131"/>
      <c r="KKN13" s="131"/>
      <c r="KKO13" s="131"/>
      <c r="KKP13" s="131"/>
      <c r="KKQ13" s="131"/>
      <c r="KKR13" s="131"/>
      <c r="KKS13" s="131"/>
      <c r="KKT13" s="131"/>
      <c r="KKU13" s="131"/>
      <c r="KKV13" s="131"/>
      <c r="KKW13" s="131"/>
      <c r="KKX13" s="131"/>
      <c r="KKY13" s="131"/>
      <c r="KKZ13" s="131"/>
      <c r="KLA13" s="131"/>
      <c r="KLB13" s="131"/>
      <c r="KLC13" s="131"/>
      <c r="KLD13" s="131"/>
      <c r="KLE13" s="131"/>
      <c r="KLF13" s="131"/>
      <c r="KLG13" s="131"/>
      <c r="KLH13" s="131"/>
      <c r="KLI13" s="131"/>
      <c r="KLJ13" s="131"/>
      <c r="KLK13" s="131"/>
      <c r="KLL13" s="131"/>
      <c r="KLM13" s="131"/>
      <c r="KLN13" s="131"/>
      <c r="KLO13" s="131"/>
      <c r="KLP13" s="131"/>
      <c r="KLQ13" s="131"/>
      <c r="KLR13" s="131"/>
      <c r="KLS13" s="131"/>
      <c r="KLT13" s="131"/>
      <c r="KLU13" s="131"/>
      <c r="KLV13" s="131"/>
      <c r="KLW13" s="131"/>
      <c r="KLX13" s="131"/>
      <c r="KLY13" s="131"/>
      <c r="KLZ13" s="131"/>
      <c r="KMA13" s="131"/>
      <c r="KMB13" s="131"/>
      <c r="KMC13" s="131"/>
      <c r="KMD13" s="131"/>
      <c r="KME13" s="131"/>
      <c r="KMF13" s="131"/>
      <c r="KMG13" s="131"/>
      <c r="KMH13" s="131"/>
      <c r="KMI13" s="131"/>
      <c r="KMJ13" s="131"/>
      <c r="KMK13" s="131"/>
      <c r="KML13" s="131"/>
      <c r="KMM13" s="131"/>
      <c r="KMN13" s="131"/>
      <c r="KMO13" s="131"/>
      <c r="KMP13" s="131"/>
      <c r="KMQ13" s="131"/>
      <c r="KMR13" s="131"/>
      <c r="KMS13" s="131"/>
      <c r="KMT13" s="131"/>
      <c r="KMU13" s="131"/>
      <c r="KMV13" s="131"/>
      <c r="KMW13" s="131"/>
      <c r="KMX13" s="131"/>
      <c r="KMY13" s="131"/>
      <c r="KMZ13" s="131"/>
      <c r="KNA13" s="131"/>
      <c r="KNB13" s="131"/>
      <c r="KNC13" s="131"/>
      <c r="KND13" s="131"/>
      <c r="KNE13" s="131"/>
      <c r="KNF13" s="131"/>
      <c r="KNG13" s="131"/>
      <c r="KNH13" s="131"/>
      <c r="KNI13" s="131"/>
      <c r="KNJ13" s="131"/>
      <c r="KNK13" s="131"/>
      <c r="KNL13" s="131"/>
      <c r="KNM13" s="131"/>
      <c r="KNN13" s="131"/>
      <c r="KNO13" s="131"/>
      <c r="KNP13" s="131"/>
      <c r="KNQ13" s="131"/>
      <c r="KNR13" s="131"/>
      <c r="KNS13" s="131"/>
      <c r="KNT13" s="131"/>
      <c r="KNU13" s="131"/>
      <c r="KNV13" s="131"/>
      <c r="KNW13" s="131"/>
      <c r="KNX13" s="131"/>
      <c r="KNY13" s="131"/>
      <c r="KNZ13" s="131"/>
      <c r="KOA13" s="131"/>
      <c r="KOB13" s="131"/>
      <c r="KOC13" s="131"/>
      <c r="KOD13" s="131"/>
      <c r="KOE13" s="131"/>
      <c r="KOF13" s="131"/>
      <c r="KOG13" s="131"/>
      <c r="KOH13" s="131"/>
      <c r="KOI13" s="131"/>
      <c r="KOJ13" s="131"/>
      <c r="KOK13" s="131"/>
      <c r="KOL13" s="131"/>
      <c r="KOM13" s="131"/>
      <c r="KON13" s="131"/>
      <c r="KOO13" s="131"/>
      <c r="KOP13" s="131"/>
      <c r="KOQ13" s="131"/>
      <c r="KOR13" s="131"/>
      <c r="KOS13" s="131"/>
      <c r="KOT13" s="131"/>
      <c r="KOU13" s="131"/>
      <c r="KOV13" s="131"/>
      <c r="KOW13" s="131"/>
      <c r="KOX13" s="131"/>
      <c r="KOY13" s="131"/>
      <c r="KOZ13" s="131"/>
      <c r="KPA13" s="131"/>
      <c r="KPB13" s="131"/>
      <c r="KPC13" s="131"/>
      <c r="KPD13" s="131"/>
      <c r="KPE13" s="131"/>
      <c r="KPF13" s="131"/>
      <c r="KPG13" s="131"/>
      <c r="KPH13" s="131"/>
      <c r="KPI13" s="131"/>
      <c r="KPJ13" s="131"/>
      <c r="KPK13" s="131"/>
      <c r="KPL13" s="131"/>
      <c r="KPM13" s="131"/>
      <c r="KPN13" s="131"/>
      <c r="KPO13" s="131"/>
      <c r="KPP13" s="131"/>
      <c r="KPQ13" s="131"/>
      <c r="KPR13" s="131"/>
      <c r="KPS13" s="131"/>
      <c r="KPT13" s="131"/>
      <c r="KPU13" s="131"/>
      <c r="KPV13" s="131"/>
      <c r="KPW13" s="131"/>
      <c r="KPX13" s="131"/>
      <c r="KPY13" s="131"/>
      <c r="KPZ13" s="131"/>
      <c r="KQA13" s="131"/>
      <c r="KQB13" s="131"/>
      <c r="KQC13" s="131"/>
      <c r="KQD13" s="131"/>
      <c r="KQE13" s="131"/>
      <c r="KQF13" s="131"/>
      <c r="KQG13" s="131"/>
      <c r="KQH13" s="131"/>
      <c r="KQI13" s="131"/>
      <c r="KQJ13" s="131"/>
      <c r="KQK13" s="131"/>
      <c r="KQL13" s="131"/>
      <c r="KQM13" s="131"/>
      <c r="KQN13" s="131"/>
      <c r="KQO13" s="131"/>
      <c r="KQP13" s="131"/>
      <c r="KQQ13" s="131"/>
      <c r="KQR13" s="131"/>
      <c r="KQS13" s="131"/>
      <c r="KQT13" s="131"/>
      <c r="KQU13" s="131"/>
      <c r="KQV13" s="131"/>
      <c r="KQW13" s="131"/>
      <c r="KQX13" s="131"/>
      <c r="KQY13" s="131"/>
      <c r="KQZ13" s="131"/>
      <c r="KRA13" s="131"/>
      <c r="KRB13" s="131"/>
      <c r="KRC13" s="131"/>
      <c r="KRD13" s="131"/>
      <c r="KRE13" s="131"/>
      <c r="KRF13" s="131"/>
      <c r="KRG13" s="131"/>
      <c r="KRH13" s="131"/>
      <c r="KRI13" s="131"/>
      <c r="KRJ13" s="131"/>
      <c r="KRK13" s="131"/>
      <c r="KRL13" s="131"/>
      <c r="KRM13" s="131"/>
      <c r="KRN13" s="131"/>
      <c r="KRO13" s="131"/>
      <c r="KRP13" s="131"/>
      <c r="KRQ13" s="131"/>
      <c r="KRR13" s="131"/>
      <c r="KRS13" s="131"/>
      <c r="KRT13" s="131"/>
      <c r="KRU13" s="131"/>
      <c r="KRV13" s="131"/>
      <c r="KRW13" s="131"/>
      <c r="KRX13" s="131"/>
      <c r="KRY13" s="131"/>
      <c r="KRZ13" s="131"/>
      <c r="KSA13" s="131"/>
      <c r="KSB13" s="131"/>
      <c r="KSC13" s="131"/>
      <c r="KSD13" s="131"/>
      <c r="KSE13" s="131"/>
      <c r="KSF13" s="131"/>
      <c r="KSG13" s="131"/>
      <c r="KSH13" s="131"/>
      <c r="KSI13" s="131"/>
      <c r="KSJ13" s="131"/>
      <c r="KSK13" s="131"/>
      <c r="KSL13" s="131"/>
      <c r="KSM13" s="131"/>
      <c r="KSN13" s="131"/>
      <c r="KSO13" s="131"/>
      <c r="KSP13" s="131"/>
      <c r="KSQ13" s="131"/>
      <c r="KSR13" s="131"/>
      <c r="KSS13" s="131"/>
      <c r="KST13" s="131"/>
      <c r="KSU13" s="131"/>
      <c r="KSV13" s="131"/>
      <c r="KSW13" s="131"/>
      <c r="KSX13" s="131"/>
      <c r="KSY13" s="131"/>
      <c r="KSZ13" s="131"/>
      <c r="KTA13" s="131"/>
      <c r="KTB13" s="131"/>
      <c r="KTC13" s="131"/>
      <c r="KTD13" s="131"/>
      <c r="KTE13" s="131"/>
      <c r="KTF13" s="131"/>
      <c r="KTG13" s="131"/>
      <c r="KTH13" s="131"/>
      <c r="KTI13" s="131"/>
      <c r="KTJ13" s="131"/>
      <c r="KTK13" s="131"/>
      <c r="KTL13" s="131"/>
      <c r="KTM13" s="131"/>
      <c r="KTN13" s="131"/>
      <c r="KTO13" s="131"/>
      <c r="KTP13" s="131"/>
      <c r="KTQ13" s="131"/>
      <c r="KTR13" s="131"/>
      <c r="KTS13" s="131"/>
      <c r="KTT13" s="131"/>
      <c r="KTU13" s="131"/>
      <c r="KTV13" s="131"/>
      <c r="KTW13" s="131"/>
      <c r="KTX13" s="131"/>
      <c r="KTY13" s="131"/>
      <c r="KTZ13" s="131"/>
      <c r="KUA13" s="131"/>
      <c r="KUB13" s="131"/>
      <c r="KUC13" s="131"/>
      <c r="KUD13" s="131"/>
      <c r="KUE13" s="131"/>
      <c r="KUF13" s="131"/>
      <c r="KUG13" s="131"/>
      <c r="KUH13" s="131"/>
      <c r="KUI13" s="131"/>
      <c r="KUJ13" s="131"/>
      <c r="KUK13" s="131"/>
      <c r="KUL13" s="131"/>
      <c r="KUM13" s="131"/>
      <c r="KUN13" s="131"/>
      <c r="KUO13" s="131"/>
      <c r="KUP13" s="131"/>
      <c r="KUQ13" s="131"/>
      <c r="KUR13" s="131"/>
      <c r="KUS13" s="131"/>
      <c r="KUT13" s="131"/>
      <c r="KUU13" s="131"/>
      <c r="KUV13" s="131"/>
      <c r="KUW13" s="131"/>
      <c r="KUX13" s="131"/>
      <c r="KUY13" s="131"/>
      <c r="KUZ13" s="131"/>
      <c r="KVA13" s="131"/>
      <c r="KVB13" s="131"/>
      <c r="KVC13" s="131"/>
      <c r="KVD13" s="131"/>
      <c r="KVE13" s="131"/>
      <c r="KVF13" s="131"/>
      <c r="KVG13" s="131"/>
      <c r="KVH13" s="131"/>
      <c r="KVI13" s="131"/>
      <c r="KVJ13" s="131"/>
      <c r="KVK13" s="131"/>
      <c r="KVL13" s="131"/>
      <c r="KVM13" s="131"/>
      <c r="KVN13" s="131"/>
      <c r="KVO13" s="131"/>
      <c r="KVP13" s="131"/>
      <c r="KVQ13" s="131"/>
      <c r="KVR13" s="131"/>
      <c r="KVS13" s="131"/>
      <c r="KVT13" s="131"/>
      <c r="KVU13" s="131"/>
      <c r="KVV13" s="131"/>
      <c r="KVW13" s="131"/>
      <c r="KVX13" s="131"/>
      <c r="KVY13" s="131"/>
      <c r="KVZ13" s="131"/>
      <c r="KWA13" s="131"/>
      <c r="KWB13" s="131"/>
      <c r="KWC13" s="131"/>
      <c r="KWD13" s="131"/>
      <c r="KWE13" s="131"/>
      <c r="KWF13" s="131"/>
      <c r="KWG13" s="131"/>
      <c r="KWH13" s="131"/>
      <c r="KWI13" s="131"/>
      <c r="KWJ13" s="131"/>
      <c r="KWK13" s="131"/>
      <c r="KWL13" s="131"/>
      <c r="KWM13" s="131"/>
      <c r="KWN13" s="131"/>
      <c r="KWO13" s="131"/>
      <c r="KWP13" s="131"/>
      <c r="KWQ13" s="131"/>
      <c r="KWR13" s="131"/>
      <c r="KWS13" s="131"/>
      <c r="KWT13" s="131"/>
      <c r="KWU13" s="131"/>
      <c r="KWV13" s="131"/>
      <c r="KWW13" s="131"/>
      <c r="KWX13" s="131"/>
      <c r="KWY13" s="131"/>
      <c r="KWZ13" s="131"/>
      <c r="KXA13" s="131"/>
      <c r="KXB13" s="131"/>
      <c r="KXC13" s="131"/>
      <c r="KXD13" s="131"/>
      <c r="KXE13" s="131"/>
      <c r="KXF13" s="131"/>
      <c r="KXG13" s="131"/>
      <c r="KXH13" s="131"/>
      <c r="KXI13" s="131"/>
      <c r="KXJ13" s="131"/>
      <c r="KXK13" s="131"/>
      <c r="KXL13" s="131"/>
      <c r="KXM13" s="131"/>
      <c r="KXN13" s="131"/>
      <c r="KXO13" s="131"/>
      <c r="KXP13" s="131"/>
      <c r="KXQ13" s="131"/>
      <c r="KXR13" s="131"/>
      <c r="KXS13" s="131"/>
      <c r="KXT13" s="131"/>
      <c r="KXU13" s="131"/>
      <c r="KXV13" s="131"/>
      <c r="KXW13" s="131"/>
      <c r="KXX13" s="131"/>
      <c r="KXY13" s="131"/>
      <c r="KXZ13" s="131"/>
      <c r="KYA13" s="131"/>
      <c r="KYB13" s="131"/>
      <c r="KYC13" s="131"/>
      <c r="KYD13" s="131"/>
      <c r="KYE13" s="131"/>
      <c r="KYF13" s="131"/>
      <c r="KYG13" s="131"/>
      <c r="KYH13" s="131"/>
      <c r="KYI13" s="131"/>
      <c r="KYJ13" s="131"/>
      <c r="KYK13" s="131"/>
      <c r="KYL13" s="131"/>
      <c r="KYM13" s="131"/>
      <c r="KYN13" s="131"/>
      <c r="KYO13" s="131"/>
      <c r="KYP13" s="131"/>
      <c r="KYQ13" s="131"/>
      <c r="KYR13" s="131"/>
      <c r="KYS13" s="131"/>
      <c r="KYT13" s="131"/>
      <c r="KYU13" s="131"/>
      <c r="KYV13" s="131"/>
      <c r="KYW13" s="131"/>
      <c r="KYX13" s="131"/>
      <c r="KYY13" s="131"/>
      <c r="KYZ13" s="131"/>
      <c r="KZA13" s="131"/>
      <c r="KZB13" s="131"/>
      <c r="KZC13" s="131"/>
      <c r="KZD13" s="131"/>
      <c r="KZE13" s="131"/>
      <c r="KZF13" s="131"/>
      <c r="KZG13" s="131"/>
      <c r="KZH13" s="131"/>
      <c r="KZI13" s="131"/>
      <c r="KZJ13" s="131"/>
      <c r="KZK13" s="131"/>
      <c r="KZL13" s="131"/>
      <c r="KZM13" s="131"/>
      <c r="KZN13" s="131"/>
      <c r="KZO13" s="131"/>
      <c r="KZP13" s="131"/>
      <c r="KZQ13" s="131"/>
      <c r="KZR13" s="131"/>
      <c r="KZS13" s="131"/>
      <c r="KZT13" s="131"/>
      <c r="KZU13" s="131"/>
      <c r="KZV13" s="131"/>
      <c r="KZW13" s="131"/>
      <c r="KZX13" s="131"/>
      <c r="KZY13" s="131"/>
      <c r="KZZ13" s="131"/>
      <c r="LAA13" s="131"/>
      <c r="LAB13" s="131"/>
      <c r="LAC13" s="131"/>
      <c r="LAD13" s="131"/>
      <c r="LAE13" s="131"/>
      <c r="LAF13" s="131"/>
      <c r="LAG13" s="131"/>
      <c r="LAH13" s="131"/>
      <c r="LAI13" s="131"/>
      <c r="LAJ13" s="131"/>
      <c r="LAK13" s="131"/>
      <c r="LAL13" s="131"/>
      <c r="LAM13" s="131"/>
      <c r="LAN13" s="131"/>
      <c r="LAO13" s="131"/>
      <c r="LAP13" s="131"/>
      <c r="LAQ13" s="131"/>
      <c r="LAR13" s="131"/>
      <c r="LAS13" s="131"/>
      <c r="LAT13" s="131"/>
      <c r="LAU13" s="131"/>
      <c r="LAV13" s="131"/>
      <c r="LAW13" s="131"/>
      <c r="LAX13" s="131"/>
      <c r="LAY13" s="131"/>
      <c r="LAZ13" s="131"/>
      <c r="LBA13" s="131"/>
      <c r="LBB13" s="131"/>
      <c r="LBC13" s="131"/>
      <c r="LBD13" s="131"/>
      <c r="LBE13" s="131"/>
      <c r="LBF13" s="131"/>
      <c r="LBG13" s="131"/>
      <c r="LBH13" s="131"/>
      <c r="LBI13" s="131"/>
      <c r="LBJ13" s="131"/>
      <c r="LBK13" s="131"/>
      <c r="LBL13" s="131"/>
      <c r="LBM13" s="131"/>
      <c r="LBN13" s="131"/>
      <c r="LBO13" s="131"/>
      <c r="LBP13" s="131"/>
      <c r="LBQ13" s="131"/>
      <c r="LCD13" s="131"/>
      <c r="LCE13" s="131"/>
      <c r="LCF13" s="131"/>
      <c r="LCG13" s="131"/>
      <c r="LCH13" s="131"/>
      <c r="LCI13" s="131"/>
      <c r="LCJ13" s="131"/>
      <c r="LCK13" s="131"/>
      <c r="LCL13" s="131"/>
      <c r="LCM13" s="131"/>
      <c r="LCN13" s="131"/>
      <c r="LCO13" s="131"/>
      <c r="LCP13" s="131"/>
      <c r="LCQ13" s="131"/>
      <c r="LCR13" s="131"/>
      <c r="LCS13" s="131"/>
      <c r="LCT13" s="131"/>
      <c r="LCU13" s="131"/>
      <c r="LCV13" s="131"/>
      <c r="LCW13" s="131"/>
      <c r="LCX13" s="131"/>
      <c r="LCY13" s="131"/>
      <c r="LCZ13" s="131"/>
      <c r="LDA13" s="131"/>
      <c r="LDB13" s="131"/>
      <c r="LDC13" s="131"/>
      <c r="LDD13" s="131"/>
      <c r="LDE13" s="131"/>
      <c r="LDF13" s="131"/>
      <c r="LDG13" s="131"/>
      <c r="LDH13" s="131"/>
      <c r="LDI13" s="131"/>
      <c r="LDJ13" s="131"/>
      <c r="LDK13" s="131"/>
      <c r="LDL13" s="131"/>
      <c r="LDM13" s="131"/>
      <c r="LDN13" s="131"/>
      <c r="LDO13" s="131"/>
      <c r="LDP13" s="131"/>
      <c r="LDQ13" s="131"/>
      <c r="LDR13" s="131"/>
      <c r="LDS13" s="131"/>
      <c r="LDT13" s="131"/>
      <c r="LDU13" s="131"/>
      <c r="LDV13" s="131"/>
      <c r="LDW13" s="131"/>
      <c r="LDX13" s="131"/>
      <c r="LDY13" s="131"/>
      <c r="LDZ13" s="131"/>
      <c r="LEA13" s="131"/>
      <c r="LEB13" s="131"/>
      <c r="LEC13" s="131"/>
      <c r="LED13" s="131"/>
      <c r="LEE13" s="131"/>
      <c r="LEF13" s="131"/>
      <c r="LEG13" s="131"/>
      <c r="LEH13" s="131"/>
      <c r="LEI13" s="131"/>
      <c r="LEJ13" s="131"/>
      <c r="LEK13" s="131"/>
      <c r="LEL13" s="131"/>
      <c r="LEM13" s="131"/>
      <c r="LEN13" s="131"/>
      <c r="LEO13" s="131"/>
      <c r="LEP13" s="131"/>
      <c r="LEQ13" s="131"/>
      <c r="LER13" s="131"/>
      <c r="LES13" s="131"/>
      <c r="LET13" s="131"/>
      <c r="LEU13" s="131"/>
      <c r="LEV13" s="131"/>
      <c r="LEW13" s="131"/>
      <c r="LEX13" s="131"/>
      <c r="LEY13" s="131"/>
      <c r="LEZ13" s="131"/>
      <c r="LFA13" s="131"/>
      <c r="LFB13" s="131"/>
      <c r="LFC13" s="131"/>
      <c r="LFD13" s="131"/>
      <c r="LFE13" s="131"/>
      <c r="LFF13" s="131"/>
      <c r="LFG13" s="131"/>
      <c r="LFH13" s="131"/>
      <c r="LFI13" s="131"/>
      <c r="LFJ13" s="131"/>
      <c r="LFK13" s="131"/>
      <c r="LFL13" s="131"/>
      <c r="LFM13" s="131"/>
      <c r="LFN13" s="131"/>
      <c r="LFO13" s="131"/>
      <c r="LFP13" s="131"/>
      <c r="LFQ13" s="131"/>
      <c r="LFR13" s="131"/>
      <c r="LFS13" s="131"/>
      <c r="LFT13" s="131"/>
      <c r="LFU13" s="131"/>
      <c r="LFV13" s="131"/>
      <c r="LFW13" s="131"/>
      <c r="LFX13" s="131"/>
      <c r="LFY13" s="131"/>
      <c r="LFZ13" s="131"/>
      <c r="LGA13" s="131"/>
      <c r="LGB13" s="131"/>
      <c r="LGC13" s="131"/>
      <c r="LGD13" s="131"/>
      <c r="LGE13" s="131"/>
      <c r="LGF13" s="131"/>
      <c r="LGG13" s="131"/>
      <c r="LGH13" s="131"/>
      <c r="LGI13" s="131"/>
      <c r="LGJ13" s="131"/>
      <c r="LGK13" s="131"/>
      <c r="LGL13" s="131"/>
      <c r="LGM13" s="131"/>
      <c r="LGN13" s="131"/>
      <c r="LGO13" s="131"/>
      <c r="LGP13" s="131"/>
      <c r="LGQ13" s="131"/>
      <c r="LGR13" s="131"/>
      <c r="LGS13" s="131"/>
      <c r="LGT13" s="131"/>
      <c r="LGU13" s="131"/>
      <c r="LGV13" s="131"/>
      <c r="LGW13" s="131"/>
      <c r="LGX13" s="131"/>
      <c r="LGY13" s="131"/>
      <c r="LGZ13" s="131"/>
      <c r="LHA13" s="131"/>
      <c r="LHB13" s="131"/>
      <c r="LHC13" s="131"/>
      <c r="LHD13" s="131"/>
      <c r="LHE13" s="131"/>
      <c r="LHF13" s="131"/>
      <c r="LHG13" s="131"/>
      <c r="LHH13" s="131"/>
      <c r="LHI13" s="131"/>
      <c r="LHJ13" s="131"/>
      <c r="LHK13" s="131"/>
      <c r="LHL13" s="131"/>
      <c r="LHM13" s="131"/>
      <c r="LHN13" s="131"/>
      <c r="LHO13" s="131"/>
      <c r="LHP13" s="131"/>
      <c r="LHQ13" s="131"/>
      <c r="LHR13" s="131"/>
      <c r="LHS13" s="131"/>
      <c r="LHT13" s="131"/>
      <c r="LHU13" s="131"/>
      <c r="LHV13" s="131"/>
      <c r="LHW13" s="131"/>
      <c r="LHX13" s="131"/>
      <c r="LHY13" s="131"/>
      <c r="LHZ13" s="131"/>
      <c r="LIA13" s="131"/>
      <c r="LIB13" s="131"/>
      <c r="LIC13" s="131"/>
      <c r="LID13" s="131"/>
      <c r="LIE13" s="131"/>
      <c r="LIF13" s="131"/>
      <c r="LIG13" s="131"/>
      <c r="LIH13" s="131"/>
      <c r="LII13" s="131"/>
      <c r="LIJ13" s="131"/>
      <c r="LIK13" s="131"/>
      <c r="LIL13" s="131"/>
      <c r="LIM13" s="131"/>
      <c r="LIN13" s="131"/>
      <c r="LIO13" s="131"/>
      <c r="LIP13" s="131"/>
      <c r="LIQ13" s="131"/>
      <c r="LIR13" s="131"/>
      <c r="LIS13" s="131"/>
      <c r="LIT13" s="131"/>
      <c r="LIU13" s="131"/>
      <c r="LIV13" s="131"/>
      <c r="LIW13" s="131"/>
      <c r="LIX13" s="131"/>
      <c r="LIY13" s="131"/>
      <c r="LIZ13" s="131"/>
      <c r="LJA13" s="131"/>
      <c r="LJB13" s="131"/>
      <c r="LJC13" s="131"/>
      <c r="LJD13" s="131"/>
      <c r="LJE13" s="131"/>
      <c r="LJF13" s="131"/>
      <c r="LJG13" s="131"/>
      <c r="LJH13" s="131"/>
      <c r="LJI13" s="131"/>
      <c r="LJJ13" s="131"/>
      <c r="LJK13" s="131"/>
      <c r="LJL13" s="131"/>
      <c r="LJM13" s="131"/>
      <c r="LJN13" s="131"/>
      <c r="LJO13" s="131"/>
      <c r="LJP13" s="131"/>
      <c r="LJQ13" s="131"/>
      <c r="LJR13" s="131"/>
      <c r="LJS13" s="131"/>
      <c r="LJT13" s="131"/>
      <c r="LJU13" s="131"/>
      <c r="LJV13" s="131"/>
      <c r="LJW13" s="131"/>
      <c r="LJX13" s="131"/>
      <c r="LJY13" s="131"/>
      <c r="LJZ13" s="131"/>
      <c r="LKA13" s="131"/>
      <c r="LKB13" s="131"/>
      <c r="LKC13" s="131"/>
      <c r="LKD13" s="131"/>
      <c r="LKE13" s="131"/>
      <c r="LKF13" s="131"/>
      <c r="LKG13" s="131"/>
      <c r="LKH13" s="131"/>
      <c r="LKI13" s="131"/>
      <c r="LKJ13" s="131"/>
      <c r="LKK13" s="131"/>
      <c r="LKL13" s="131"/>
      <c r="LKM13" s="131"/>
      <c r="LKN13" s="131"/>
      <c r="LKO13" s="131"/>
      <c r="LKP13" s="131"/>
      <c r="LKQ13" s="131"/>
      <c r="LKR13" s="131"/>
      <c r="LKS13" s="131"/>
      <c r="LKT13" s="131"/>
      <c r="LKU13" s="131"/>
      <c r="LKV13" s="131"/>
      <c r="LKW13" s="131"/>
      <c r="LKX13" s="131"/>
      <c r="LKY13" s="131"/>
      <c r="LKZ13" s="131"/>
      <c r="LLA13" s="131"/>
      <c r="LLB13" s="131"/>
      <c r="LLC13" s="131"/>
      <c r="LLD13" s="131"/>
      <c r="LLE13" s="131"/>
      <c r="LLF13" s="131"/>
      <c r="LLG13" s="131"/>
      <c r="LLH13" s="131"/>
      <c r="LLI13" s="131"/>
      <c r="LLJ13" s="131"/>
      <c r="LLK13" s="131"/>
      <c r="LLL13" s="131"/>
      <c r="LLM13" s="131"/>
      <c r="LLN13" s="131"/>
      <c r="LLO13" s="131"/>
      <c r="LLP13" s="131"/>
      <c r="LLQ13" s="131"/>
      <c r="LLR13" s="131"/>
      <c r="LLS13" s="131"/>
      <c r="LLT13" s="131"/>
      <c r="LLU13" s="131"/>
      <c r="LLV13" s="131"/>
      <c r="LLW13" s="131"/>
      <c r="LLX13" s="131"/>
      <c r="LLY13" s="131"/>
      <c r="LLZ13" s="131"/>
      <c r="LMA13" s="131"/>
      <c r="LMB13" s="131"/>
      <c r="LMC13" s="131"/>
      <c r="LMD13" s="131"/>
      <c r="LME13" s="131"/>
      <c r="LMF13" s="131"/>
      <c r="LMG13" s="131"/>
      <c r="LMH13" s="131"/>
      <c r="LMI13" s="131"/>
      <c r="LMJ13" s="131"/>
      <c r="LMK13" s="131"/>
      <c r="LML13" s="131"/>
      <c r="LMM13" s="131"/>
      <c r="LMN13" s="131"/>
      <c r="LMO13" s="131"/>
      <c r="LMP13" s="131"/>
      <c r="LMQ13" s="131"/>
      <c r="LMR13" s="131"/>
      <c r="LMS13" s="131"/>
      <c r="LMT13" s="131"/>
      <c r="LMU13" s="131"/>
      <c r="LMV13" s="131"/>
      <c r="LMW13" s="131"/>
      <c r="LMX13" s="131"/>
      <c r="LMY13" s="131"/>
      <c r="LMZ13" s="131"/>
      <c r="LNA13" s="131"/>
      <c r="LNB13" s="131"/>
      <c r="LNC13" s="131"/>
      <c r="LND13" s="131"/>
      <c r="LNE13" s="131"/>
      <c r="LNF13" s="131"/>
      <c r="LNG13" s="131"/>
      <c r="LNH13" s="131"/>
      <c r="LNI13" s="131"/>
      <c r="LNJ13" s="131"/>
      <c r="LNK13" s="131"/>
      <c r="LNL13" s="131"/>
      <c r="LNM13" s="131"/>
      <c r="LNN13" s="131"/>
      <c r="LNO13" s="131"/>
      <c r="LNP13" s="131"/>
      <c r="LNQ13" s="131"/>
      <c r="LNR13" s="131"/>
      <c r="LNS13" s="131"/>
      <c r="LNT13" s="131"/>
      <c r="LNU13" s="131"/>
      <c r="LNV13" s="131"/>
      <c r="LNW13" s="131"/>
      <c r="LNX13" s="131"/>
      <c r="LNY13" s="131"/>
      <c r="LNZ13" s="131"/>
      <c r="LOA13" s="131"/>
      <c r="LOB13" s="131"/>
      <c r="LOC13" s="131"/>
      <c r="LOD13" s="131"/>
      <c r="LOE13" s="131"/>
      <c r="LOF13" s="131"/>
      <c r="LOG13" s="131"/>
      <c r="LOH13" s="131"/>
      <c r="LOI13" s="131"/>
      <c r="LOJ13" s="131"/>
      <c r="LOK13" s="131"/>
      <c r="LOL13" s="131"/>
      <c r="LOM13" s="131"/>
      <c r="LON13" s="131"/>
      <c r="LOO13" s="131"/>
      <c r="LOP13" s="131"/>
      <c r="LOQ13" s="131"/>
      <c r="LOR13" s="131"/>
      <c r="LOS13" s="131"/>
      <c r="LOT13" s="131"/>
      <c r="LOU13" s="131"/>
      <c r="LOV13" s="131"/>
      <c r="LOW13" s="131"/>
      <c r="LOX13" s="131"/>
      <c r="LOY13" s="131"/>
      <c r="LOZ13" s="131"/>
      <c r="LPA13" s="131"/>
      <c r="LPB13" s="131"/>
      <c r="LPC13" s="131"/>
      <c r="LPD13" s="131"/>
      <c r="LPE13" s="131"/>
      <c r="LPF13" s="131"/>
      <c r="LPG13" s="131"/>
      <c r="LPH13" s="131"/>
      <c r="LPI13" s="131"/>
      <c r="LPJ13" s="131"/>
      <c r="LPK13" s="131"/>
      <c r="LPL13" s="131"/>
      <c r="LPM13" s="131"/>
      <c r="LPN13" s="131"/>
      <c r="LPO13" s="131"/>
      <c r="LPP13" s="131"/>
      <c r="LPQ13" s="131"/>
      <c r="LPR13" s="131"/>
      <c r="LPS13" s="131"/>
      <c r="LPT13" s="131"/>
      <c r="LPU13" s="131"/>
      <c r="LPV13" s="131"/>
      <c r="LPW13" s="131"/>
      <c r="LPX13" s="131"/>
      <c r="LPY13" s="131"/>
      <c r="LPZ13" s="131"/>
      <c r="LQA13" s="131"/>
      <c r="LQB13" s="131"/>
      <c r="LQC13" s="131"/>
      <c r="LQD13" s="131"/>
      <c r="LQE13" s="131"/>
      <c r="LQF13" s="131"/>
      <c r="LQG13" s="131"/>
      <c r="LQH13" s="131"/>
      <c r="LQI13" s="131"/>
      <c r="LQJ13" s="131"/>
      <c r="LQK13" s="131"/>
      <c r="LQL13" s="131"/>
      <c r="LQM13" s="131"/>
      <c r="LQN13" s="131"/>
      <c r="LQO13" s="131"/>
      <c r="LQP13" s="131"/>
      <c r="LQQ13" s="131"/>
      <c r="LQR13" s="131"/>
      <c r="LQS13" s="131"/>
      <c r="LQT13" s="131"/>
      <c r="LQU13" s="131"/>
      <c r="LQV13" s="131"/>
      <c r="LQW13" s="131"/>
      <c r="LQX13" s="131"/>
      <c r="LQY13" s="131"/>
      <c r="LQZ13" s="131"/>
      <c r="LRA13" s="131"/>
      <c r="LRB13" s="131"/>
      <c r="LRC13" s="131"/>
      <c r="LRD13" s="131"/>
      <c r="LRE13" s="131"/>
      <c r="LRF13" s="131"/>
      <c r="LRG13" s="131"/>
      <c r="LRH13" s="131"/>
      <c r="LRI13" s="131"/>
      <c r="LRJ13" s="131"/>
      <c r="LRK13" s="131"/>
      <c r="LRL13" s="131"/>
      <c r="LRM13" s="131"/>
      <c r="LRN13" s="131"/>
      <c r="LRO13" s="131"/>
      <c r="LRP13" s="131"/>
      <c r="LRQ13" s="131"/>
      <c r="LRR13" s="131"/>
      <c r="LRS13" s="131"/>
      <c r="LRT13" s="131"/>
      <c r="LRU13" s="131"/>
      <c r="LRV13" s="131"/>
      <c r="LRW13" s="131"/>
      <c r="LRX13" s="131"/>
      <c r="LRY13" s="131"/>
      <c r="LRZ13" s="131"/>
      <c r="LSA13" s="131"/>
      <c r="LSB13" s="131"/>
      <c r="LSC13" s="131"/>
      <c r="LSD13" s="131"/>
      <c r="LSE13" s="131"/>
      <c r="LSF13" s="131"/>
      <c r="LSG13" s="131"/>
      <c r="LSH13" s="131"/>
      <c r="LSI13" s="131"/>
      <c r="LSJ13" s="131"/>
      <c r="LSK13" s="131"/>
      <c r="LSL13" s="131"/>
      <c r="LSM13" s="131"/>
      <c r="LSN13" s="131"/>
      <c r="LSO13" s="131"/>
      <c r="LSP13" s="131"/>
      <c r="LSQ13" s="131"/>
      <c r="LSR13" s="131"/>
      <c r="LSS13" s="131"/>
      <c r="LST13" s="131"/>
      <c r="LSU13" s="131"/>
      <c r="LSV13" s="131"/>
      <c r="LSW13" s="131"/>
      <c r="LSX13" s="131"/>
      <c r="LSY13" s="131"/>
      <c r="LSZ13" s="131"/>
      <c r="LTA13" s="131"/>
      <c r="LTB13" s="131"/>
      <c r="LTC13" s="131"/>
      <c r="LTD13" s="131"/>
      <c r="LTE13" s="131"/>
      <c r="LTF13" s="131"/>
      <c r="LTG13" s="131"/>
      <c r="LTH13" s="131"/>
      <c r="LTI13" s="131"/>
      <c r="LTJ13" s="131"/>
      <c r="LTK13" s="131"/>
      <c r="LTL13" s="131"/>
      <c r="LTM13" s="131"/>
      <c r="LTN13" s="131"/>
      <c r="LTO13" s="131"/>
      <c r="LTP13" s="131"/>
      <c r="LTQ13" s="131"/>
      <c r="LTR13" s="131"/>
      <c r="LTS13" s="131"/>
      <c r="LTT13" s="131"/>
      <c r="LTU13" s="131"/>
      <c r="LTV13" s="131"/>
      <c r="LTW13" s="131"/>
      <c r="LTX13" s="131"/>
      <c r="LTY13" s="131"/>
      <c r="LTZ13" s="131"/>
      <c r="LUA13" s="131"/>
      <c r="LUB13" s="131"/>
      <c r="LUC13" s="131"/>
      <c r="LUD13" s="131"/>
      <c r="LUE13" s="131"/>
      <c r="LUF13" s="131"/>
      <c r="LUG13" s="131"/>
      <c r="LUH13" s="131"/>
      <c r="LUI13" s="131"/>
      <c r="LUJ13" s="131"/>
      <c r="LUK13" s="131"/>
      <c r="LUL13" s="131"/>
      <c r="LUM13" s="131"/>
      <c r="LUN13" s="131"/>
      <c r="LUO13" s="131"/>
      <c r="LUP13" s="131"/>
      <c r="LUQ13" s="131"/>
      <c r="LUR13" s="131"/>
      <c r="LUS13" s="131"/>
      <c r="LUT13" s="131"/>
      <c r="LUU13" s="131"/>
      <c r="LUV13" s="131"/>
      <c r="LUW13" s="131"/>
      <c r="LUX13" s="131"/>
      <c r="LUY13" s="131"/>
      <c r="LUZ13" s="131"/>
      <c r="LVA13" s="131"/>
      <c r="LVB13" s="131"/>
      <c r="LVC13" s="131"/>
      <c r="LVD13" s="131"/>
      <c r="LVE13" s="131"/>
      <c r="LVF13" s="131"/>
      <c r="LVG13" s="131"/>
      <c r="LVH13" s="131"/>
      <c r="LVI13" s="131"/>
      <c r="LVJ13" s="131"/>
      <c r="LVK13" s="131"/>
      <c r="LVL13" s="131"/>
      <c r="LVM13" s="131"/>
      <c r="LVN13" s="131"/>
      <c r="LVO13" s="131"/>
      <c r="LVP13" s="131"/>
      <c r="LVQ13" s="131"/>
      <c r="LVR13" s="131"/>
      <c r="LVS13" s="131"/>
      <c r="LVT13" s="131"/>
      <c r="LVU13" s="131"/>
      <c r="LVV13" s="131"/>
      <c r="LVW13" s="131"/>
      <c r="LVX13" s="131"/>
      <c r="LVY13" s="131"/>
      <c r="LVZ13" s="131"/>
      <c r="LWA13" s="131"/>
      <c r="LWB13" s="131"/>
      <c r="LWC13" s="131"/>
      <c r="LWD13" s="131"/>
      <c r="LWE13" s="131"/>
      <c r="LWF13" s="131"/>
      <c r="LWG13" s="131"/>
      <c r="LWH13" s="131"/>
      <c r="LWI13" s="131"/>
      <c r="LWJ13" s="131"/>
      <c r="LWK13" s="131"/>
      <c r="LWL13" s="131"/>
      <c r="LWM13" s="131"/>
      <c r="LWN13" s="131"/>
      <c r="LWO13" s="131"/>
      <c r="LWP13" s="131"/>
      <c r="LWQ13" s="131"/>
      <c r="LWR13" s="131"/>
      <c r="LWS13" s="131"/>
      <c r="LWT13" s="131"/>
      <c r="LWU13" s="131"/>
      <c r="LWV13" s="131"/>
      <c r="LWW13" s="131"/>
      <c r="LWX13" s="131"/>
      <c r="LWY13" s="131"/>
      <c r="LWZ13" s="131"/>
      <c r="LXA13" s="131"/>
      <c r="LXB13" s="131"/>
      <c r="LXC13" s="131"/>
      <c r="LXD13" s="131"/>
      <c r="LXE13" s="131"/>
      <c r="LXF13" s="131"/>
      <c r="LXG13" s="131"/>
      <c r="LXH13" s="131"/>
      <c r="LXI13" s="131"/>
      <c r="LXJ13" s="131"/>
      <c r="LXK13" s="131"/>
      <c r="LXL13" s="131"/>
      <c r="LXM13" s="131"/>
      <c r="LXN13" s="131"/>
      <c r="LXO13" s="131"/>
      <c r="LXP13" s="131"/>
      <c r="LXQ13" s="131"/>
      <c r="LXR13" s="131"/>
      <c r="LXS13" s="131"/>
      <c r="LXT13" s="131"/>
      <c r="LXU13" s="131"/>
      <c r="LXV13" s="131"/>
      <c r="LXW13" s="131"/>
      <c r="LXX13" s="131"/>
      <c r="LXY13" s="131"/>
      <c r="LXZ13" s="131"/>
      <c r="LYA13" s="131"/>
      <c r="LYB13" s="131"/>
      <c r="LYC13" s="131"/>
      <c r="LYD13" s="131"/>
      <c r="LYE13" s="131"/>
      <c r="LYF13" s="131"/>
      <c r="LYG13" s="131"/>
      <c r="LYH13" s="131"/>
      <c r="LYI13" s="131"/>
      <c r="LYJ13" s="131"/>
      <c r="LYK13" s="131"/>
      <c r="LYL13" s="131"/>
      <c r="LYM13" s="131"/>
      <c r="LYN13" s="131"/>
      <c r="LYO13" s="131"/>
      <c r="LYP13" s="131"/>
      <c r="LYQ13" s="131"/>
      <c r="LYR13" s="131"/>
      <c r="LYS13" s="131"/>
      <c r="LYT13" s="131"/>
      <c r="LYU13" s="131"/>
      <c r="LYV13" s="131"/>
      <c r="LYW13" s="131"/>
      <c r="LYX13" s="131"/>
      <c r="LYY13" s="131"/>
      <c r="LYZ13" s="131"/>
      <c r="LZA13" s="131"/>
      <c r="LZB13" s="131"/>
      <c r="LZC13" s="131"/>
      <c r="LZD13" s="131"/>
      <c r="LZE13" s="131"/>
      <c r="LZF13" s="131"/>
      <c r="LZG13" s="131"/>
      <c r="LZH13" s="131"/>
      <c r="LZI13" s="131"/>
      <c r="LZJ13" s="131"/>
      <c r="LZK13" s="131"/>
      <c r="LZL13" s="131"/>
      <c r="LZM13" s="131"/>
      <c r="LZN13" s="131"/>
      <c r="LZO13" s="131"/>
      <c r="LZP13" s="131"/>
      <c r="LZQ13" s="131"/>
      <c r="LZR13" s="131"/>
      <c r="LZS13" s="131"/>
      <c r="LZT13" s="131"/>
      <c r="LZU13" s="131"/>
      <c r="LZV13" s="131"/>
      <c r="LZW13" s="131"/>
      <c r="LZX13" s="131"/>
      <c r="LZY13" s="131"/>
      <c r="LZZ13" s="131"/>
      <c r="MAA13" s="131"/>
      <c r="MAB13" s="131"/>
      <c r="MAC13" s="131"/>
      <c r="MAD13" s="131"/>
      <c r="MAE13" s="131"/>
      <c r="MAF13" s="131"/>
      <c r="MAG13" s="131"/>
      <c r="MAH13" s="131"/>
      <c r="MAI13" s="131"/>
      <c r="MAJ13" s="131"/>
      <c r="MAK13" s="131"/>
      <c r="MAL13" s="131"/>
      <c r="MAM13" s="131"/>
      <c r="MAN13" s="131"/>
      <c r="MAO13" s="131"/>
      <c r="MAP13" s="131"/>
      <c r="MAQ13" s="131"/>
      <c r="MAR13" s="131"/>
      <c r="MAS13" s="131"/>
      <c r="MAT13" s="131"/>
      <c r="MAU13" s="131"/>
      <c r="MAV13" s="131"/>
      <c r="MAW13" s="131"/>
      <c r="MAX13" s="131"/>
      <c r="MAY13" s="131"/>
      <c r="MAZ13" s="131"/>
      <c r="MBA13" s="131"/>
      <c r="MBB13" s="131"/>
      <c r="MBC13" s="131"/>
      <c r="MBD13" s="131"/>
      <c r="MBE13" s="131"/>
      <c r="MBF13" s="131"/>
      <c r="MBG13" s="131"/>
      <c r="MBH13" s="131"/>
      <c r="MBI13" s="131"/>
      <c r="MBJ13" s="131"/>
      <c r="MBK13" s="131"/>
      <c r="MBL13" s="131"/>
      <c r="MBM13" s="131"/>
      <c r="MBN13" s="131"/>
      <c r="MBO13" s="131"/>
      <c r="MBP13" s="131"/>
      <c r="MBQ13" s="131"/>
      <c r="MBR13" s="131"/>
      <c r="MBS13" s="131"/>
      <c r="MBT13" s="131"/>
      <c r="MBU13" s="131"/>
      <c r="MBV13" s="131"/>
      <c r="MBW13" s="131"/>
      <c r="MBX13" s="131"/>
      <c r="MBY13" s="131"/>
      <c r="MBZ13" s="131"/>
      <c r="MCA13" s="131"/>
      <c r="MCB13" s="131"/>
      <c r="MCC13" s="131"/>
      <c r="MCD13" s="131"/>
      <c r="MCE13" s="131"/>
      <c r="MCF13" s="131"/>
      <c r="MCG13" s="131"/>
      <c r="MCH13" s="131"/>
      <c r="MCI13" s="131"/>
      <c r="MCJ13" s="131"/>
      <c r="MCK13" s="131"/>
      <c r="MCL13" s="131"/>
      <c r="MCM13" s="131"/>
      <c r="MCN13" s="131"/>
      <c r="MCO13" s="131"/>
      <c r="MCP13" s="131"/>
      <c r="MCQ13" s="131"/>
      <c r="MCR13" s="131"/>
      <c r="MCS13" s="131"/>
      <c r="MCT13" s="131"/>
      <c r="MCU13" s="131"/>
      <c r="MCV13" s="131"/>
      <c r="MCW13" s="131"/>
      <c r="MCX13" s="131"/>
      <c r="MCY13" s="131"/>
      <c r="MCZ13" s="131"/>
      <c r="MDA13" s="131"/>
      <c r="MDB13" s="131"/>
      <c r="MDC13" s="131"/>
      <c r="MDD13" s="131"/>
      <c r="MDE13" s="131"/>
      <c r="MDF13" s="131"/>
      <c r="MDG13" s="131"/>
      <c r="MDH13" s="131"/>
      <c r="MDI13" s="131"/>
      <c r="MDJ13" s="131"/>
      <c r="MDK13" s="131"/>
      <c r="MDL13" s="131"/>
      <c r="MDM13" s="131"/>
      <c r="MDN13" s="131"/>
      <c r="MDO13" s="131"/>
      <c r="MDP13" s="131"/>
      <c r="MDQ13" s="131"/>
      <c r="MDR13" s="131"/>
      <c r="MDS13" s="131"/>
      <c r="MDT13" s="131"/>
      <c r="MDU13" s="131"/>
      <c r="MDV13" s="131"/>
      <c r="MDW13" s="131"/>
      <c r="MDX13" s="131"/>
      <c r="MDY13" s="131"/>
      <c r="MDZ13" s="131"/>
      <c r="MEA13" s="131"/>
      <c r="MEB13" s="131"/>
      <c r="MEC13" s="131"/>
      <c r="MED13" s="131"/>
      <c r="MEE13" s="131"/>
      <c r="MEF13" s="131"/>
      <c r="MEG13" s="131"/>
      <c r="MEH13" s="131"/>
      <c r="MEI13" s="131"/>
      <c r="MEJ13" s="131"/>
      <c r="MEK13" s="131"/>
      <c r="MEL13" s="131"/>
      <c r="MEM13" s="131"/>
      <c r="MEN13" s="131"/>
      <c r="MEO13" s="131"/>
      <c r="MEP13" s="131"/>
      <c r="MEQ13" s="131"/>
      <c r="MER13" s="131"/>
      <c r="MES13" s="131"/>
      <c r="MET13" s="131"/>
      <c r="MEU13" s="131"/>
      <c r="MEV13" s="131"/>
      <c r="MEW13" s="131"/>
      <c r="MEX13" s="131"/>
      <c r="MEY13" s="131"/>
      <c r="MEZ13" s="131"/>
      <c r="MFA13" s="131"/>
      <c r="MFB13" s="131"/>
      <c r="MFC13" s="131"/>
      <c r="MFD13" s="131"/>
      <c r="MFE13" s="131"/>
      <c r="MFF13" s="131"/>
      <c r="MFG13" s="131"/>
      <c r="MFH13" s="131"/>
      <c r="MFI13" s="131"/>
      <c r="MFJ13" s="131"/>
      <c r="MFK13" s="131"/>
      <c r="MFL13" s="131"/>
      <c r="MFM13" s="131"/>
      <c r="MFN13" s="131"/>
      <c r="MFO13" s="131"/>
      <c r="MFP13" s="131"/>
      <c r="MFQ13" s="131"/>
      <c r="MFR13" s="131"/>
      <c r="MFS13" s="131"/>
      <c r="MFT13" s="131"/>
      <c r="MFU13" s="131"/>
      <c r="MFV13" s="131"/>
      <c r="MFW13" s="131"/>
      <c r="MFX13" s="131"/>
      <c r="MFY13" s="131"/>
      <c r="MFZ13" s="131"/>
      <c r="MGA13" s="131"/>
      <c r="MGB13" s="131"/>
      <c r="MGC13" s="131"/>
      <c r="MGD13" s="131"/>
      <c r="MGE13" s="131"/>
      <c r="MGF13" s="131"/>
      <c r="MGG13" s="131"/>
      <c r="MGH13" s="131"/>
      <c r="MGI13" s="131"/>
      <c r="MGJ13" s="131"/>
      <c r="MGK13" s="131"/>
      <c r="MGL13" s="131"/>
      <c r="MGM13" s="131"/>
      <c r="MGN13" s="131"/>
      <c r="MGO13" s="131"/>
      <c r="MGP13" s="131"/>
      <c r="MGQ13" s="131"/>
      <c r="MGR13" s="131"/>
      <c r="MGS13" s="131"/>
      <c r="MGT13" s="131"/>
      <c r="MGU13" s="131"/>
      <c r="MGV13" s="131"/>
      <c r="MGW13" s="131"/>
      <c r="MGX13" s="131"/>
      <c r="MGY13" s="131"/>
      <c r="MGZ13" s="131"/>
      <c r="MHA13" s="131"/>
      <c r="MHB13" s="131"/>
      <c r="MHC13" s="131"/>
      <c r="MHD13" s="131"/>
      <c r="MHE13" s="131"/>
      <c r="MHF13" s="131"/>
      <c r="MHG13" s="131"/>
      <c r="MHH13" s="131"/>
      <c r="MHI13" s="131"/>
      <c r="MHJ13" s="131"/>
      <c r="MHK13" s="131"/>
      <c r="MHL13" s="131"/>
      <c r="MHM13" s="131"/>
      <c r="MHN13" s="131"/>
      <c r="MHO13" s="131"/>
      <c r="MHP13" s="131"/>
      <c r="MHQ13" s="131"/>
      <c r="MHR13" s="131"/>
      <c r="MHS13" s="131"/>
      <c r="MHT13" s="131"/>
      <c r="MHU13" s="131"/>
      <c r="MHV13" s="131"/>
      <c r="MHW13" s="131"/>
      <c r="MHX13" s="131"/>
      <c r="MHY13" s="131"/>
      <c r="MHZ13" s="131"/>
      <c r="MIA13" s="131"/>
      <c r="MIB13" s="131"/>
      <c r="MIC13" s="131"/>
      <c r="MID13" s="131"/>
      <c r="MIE13" s="131"/>
      <c r="MIF13" s="131"/>
      <c r="MIG13" s="131"/>
      <c r="MIH13" s="131"/>
      <c r="MII13" s="131"/>
      <c r="MIJ13" s="131"/>
      <c r="MIK13" s="131"/>
      <c r="MIL13" s="131"/>
      <c r="MIM13" s="131"/>
      <c r="MIN13" s="131"/>
      <c r="MIO13" s="131"/>
      <c r="MIP13" s="131"/>
      <c r="MIQ13" s="131"/>
      <c r="MIR13" s="131"/>
      <c r="MIS13" s="131"/>
      <c r="MIT13" s="131"/>
      <c r="MIU13" s="131"/>
      <c r="MIV13" s="131"/>
      <c r="MIW13" s="131"/>
      <c r="MIX13" s="131"/>
      <c r="MIY13" s="131"/>
      <c r="MIZ13" s="131"/>
      <c r="MJA13" s="131"/>
      <c r="MJB13" s="131"/>
      <c r="MJC13" s="131"/>
      <c r="MJD13" s="131"/>
      <c r="MJE13" s="131"/>
      <c r="MJF13" s="131"/>
      <c r="MJG13" s="131"/>
      <c r="MJH13" s="131"/>
      <c r="MJI13" s="131"/>
      <c r="MJJ13" s="131"/>
      <c r="MJK13" s="131"/>
      <c r="MJL13" s="131"/>
      <c r="MJM13" s="131"/>
      <c r="MJN13" s="131"/>
      <c r="MJO13" s="131"/>
      <c r="MJP13" s="131"/>
      <c r="MJQ13" s="131"/>
      <c r="MJR13" s="131"/>
      <c r="MJS13" s="131"/>
      <c r="MJT13" s="131"/>
      <c r="MJU13" s="131"/>
      <c r="MJV13" s="131"/>
      <c r="MJW13" s="131"/>
      <c r="MJX13" s="131"/>
      <c r="MJY13" s="131"/>
      <c r="MJZ13" s="131"/>
      <c r="MKA13" s="131"/>
      <c r="MKB13" s="131"/>
      <c r="MKC13" s="131"/>
      <c r="MKD13" s="131"/>
      <c r="MKE13" s="131"/>
      <c r="MKF13" s="131"/>
      <c r="MKG13" s="131"/>
      <c r="MKH13" s="131"/>
      <c r="MKI13" s="131"/>
      <c r="MKJ13" s="131"/>
      <c r="MKK13" s="131"/>
      <c r="MKL13" s="131"/>
      <c r="MKM13" s="131"/>
      <c r="MKN13" s="131"/>
      <c r="MKO13" s="131"/>
      <c r="MKP13" s="131"/>
      <c r="MKQ13" s="131"/>
      <c r="MKR13" s="131"/>
      <c r="MKS13" s="131"/>
      <c r="MKT13" s="131"/>
      <c r="MKU13" s="131"/>
      <c r="MKV13" s="131"/>
      <c r="MKW13" s="131"/>
      <c r="MKX13" s="131"/>
      <c r="MKY13" s="131"/>
      <c r="MKZ13" s="131"/>
      <c r="MLA13" s="131"/>
      <c r="MLB13" s="131"/>
      <c r="MLC13" s="131"/>
      <c r="MLD13" s="131"/>
      <c r="MLE13" s="131"/>
      <c r="MLF13" s="131"/>
      <c r="MLG13" s="131"/>
      <c r="MLH13" s="131"/>
      <c r="MLI13" s="131"/>
      <c r="MLJ13" s="131"/>
      <c r="MLK13" s="131"/>
      <c r="MLL13" s="131"/>
      <c r="MLM13" s="131"/>
      <c r="MLN13" s="131"/>
      <c r="MLO13" s="131"/>
      <c r="MLP13" s="131"/>
      <c r="MLQ13" s="131"/>
      <c r="MLR13" s="131"/>
      <c r="MLS13" s="131"/>
      <c r="MLT13" s="131"/>
      <c r="MLU13" s="131"/>
      <c r="MLV13" s="131"/>
      <c r="MLW13" s="131"/>
      <c r="MLX13" s="131"/>
      <c r="MLY13" s="131"/>
      <c r="MLZ13" s="131"/>
      <c r="MMA13" s="131"/>
      <c r="MMB13" s="131"/>
      <c r="MMC13" s="131"/>
      <c r="MMD13" s="131"/>
      <c r="MME13" s="131"/>
      <c r="MMF13" s="131"/>
      <c r="MMG13" s="131"/>
      <c r="MMH13" s="131"/>
      <c r="MMI13" s="131"/>
      <c r="MMJ13" s="131"/>
      <c r="MMK13" s="131"/>
      <c r="MML13" s="131"/>
      <c r="MMM13" s="131"/>
      <c r="MMN13" s="131"/>
      <c r="MMO13" s="131"/>
      <c r="MMP13" s="131"/>
      <c r="MMQ13" s="131"/>
      <c r="MMR13" s="131"/>
      <c r="MMS13" s="131"/>
      <c r="MMT13" s="131"/>
      <c r="MMU13" s="131"/>
      <c r="MMV13" s="131"/>
      <c r="MMW13" s="131"/>
      <c r="MMX13" s="131"/>
      <c r="MMY13" s="131"/>
      <c r="MMZ13" s="131"/>
      <c r="MNA13" s="131"/>
      <c r="MNB13" s="131"/>
      <c r="MNC13" s="131"/>
      <c r="MND13" s="131"/>
      <c r="MNE13" s="131"/>
      <c r="MNF13" s="131"/>
      <c r="MNG13" s="131"/>
      <c r="MNH13" s="131"/>
      <c r="MNI13" s="131"/>
      <c r="MNJ13" s="131"/>
      <c r="MNK13" s="131"/>
      <c r="MNL13" s="131"/>
      <c r="MNM13" s="131"/>
      <c r="MNN13" s="131"/>
      <c r="MNO13" s="131"/>
      <c r="MNP13" s="131"/>
      <c r="MNQ13" s="131"/>
      <c r="MNR13" s="131"/>
      <c r="MNS13" s="131"/>
      <c r="MNT13" s="131"/>
      <c r="MNU13" s="131"/>
      <c r="MNV13" s="131"/>
      <c r="MNW13" s="131"/>
      <c r="MNX13" s="131"/>
      <c r="MNY13" s="131"/>
      <c r="MNZ13" s="131"/>
      <c r="MOA13" s="131"/>
      <c r="MOB13" s="131"/>
      <c r="MOC13" s="131"/>
      <c r="MOD13" s="131"/>
      <c r="MOE13" s="131"/>
      <c r="MOF13" s="131"/>
      <c r="MOG13" s="131"/>
      <c r="MOH13" s="131"/>
      <c r="MOI13" s="131"/>
      <c r="MOJ13" s="131"/>
      <c r="MOK13" s="131"/>
      <c r="MOL13" s="131"/>
      <c r="MOM13" s="131"/>
      <c r="MON13" s="131"/>
      <c r="MOO13" s="131"/>
      <c r="MOP13" s="131"/>
      <c r="MOQ13" s="131"/>
      <c r="MOR13" s="131"/>
      <c r="MOS13" s="131"/>
      <c r="MOT13" s="131"/>
      <c r="MOU13" s="131"/>
      <c r="MOV13" s="131"/>
      <c r="MOW13" s="131"/>
      <c r="MOX13" s="131"/>
      <c r="MOY13" s="131"/>
      <c r="MOZ13" s="131"/>
      <c r="MPA13" s="131"/>
      <c r="MPN13" s="131"/>
      <c r="MPO13" s="131"/>
      <c r="MPP13" s="131"/>
      <c r="MPQ13" s="131"/>
      <c r="MPR13" s="131"/>
      <c r="MPS13" s="131"/>
      <c r="MPT13" s="131"/>
      <c r="MPU13" s="131"/>
      <c r="MPV13" s="131"/>
      <c r="MPW13" s="131"/>
      <c r="MPX13" s="131"/>
      <c r="MPY13" s="131"/>
      <c r="MPZ13" s="131"/>
      <c r="MQA13" s="131"/>
      <c r="MQB13" s="131"/>
      <c r="MQC13" s="131"/>
      <c r="MQD13" s="131"/>
      <c r="MQE13" s="131"/>
      <c r="MQF13" s="131"/>
      <c r="MQG13" s="131"/>
      <c r="MQH13" s="131"/>
      <c r="MQI13" s="131"/>
      <c r="MQJ13" s="131"/>
      <c r="MQK13" s="131"/>
      <c r="MQL13" s="131"/>
      <c r="MQM13" s="131"/>
      <c r="MQN13" s="131"/>
      <c r="MQO13" s="131"/>
      <c r="MQP13" s="131"/>
      <c r="MQQ13" s="131"/>
      <c r="MQR13" s="131"/>
      <c r="MQS13" s="131"/>
      <c r="MQT13" s="131"/>
      <c r="MQU13" s="131"/>
      <c r="MQV13" s="131"/>
      <c r="MQW13" s="131"/>
      <c r="MQX13" s="131"/>
      <c r="MQY13" s="131"/>
      <c r="MQZ13" s="131"/>
      <c r="MRA13" s="131"/>
      <c r="MRB13" s="131"/>
      <c r="MRC13" s="131"/>
      <c r="MRD13" s="131"/>
      <c r="MRE13" s="131"/>
      <c r="MRF13" s="131"/>
      <c r="MRG13" s="131"/>
      <c r="MRH13" s="131"/>
      <c r="MRI13" s="131"/>
      <c r="MRJ13" s="131"/>
      <c r="MRK13" s="131"/>
      <c r="MRL13" s="131"/>
      <c r="MRM13" s="131"/>
      <c r="MRN13" s="131"/>
      <c r="MRO13" s="131"/>
      <c r="MRP13" s="131"/>
      <c r="MRQ13" s="131"/>
      <c r="MRR13" s="131"/>
      <c r="MRS13" s="131"/>
      <c r="MRT13" s="131"/>
      <c r="MRU13" s="131"/>
      <c r="MRV13" s="131"/>
      <c r="MRW13" s="131"/>
      <c r="MRX13" s="131"/>
      <c r="MRY13" s="131"/>
      <c r="MRZ13" s="131"/>
      <c r="MSA13" s="131"/>
      <c r="MSB13" s="131"/>
      <c r="MSC13" s="131"/>
      <c r="MSD13" s="131"/>
      <c r="MSE13" s="131"/>
      <c r="MSF13" s="131"/>
      <c r="MSG13" s="131"/>
      <c r="MSH13" s="131"/>
      <c r="MSI13" s="131"/>
      <c r="MSJ13" s="131"/>
      <c r="MSK13" s="131"/>
      <c r="MSL13" s="131"/>
      <c r="MSM13" s="131"/>
      <c r="MSN13" s="131"/>
      <c r="MSO13" s="131"/>
      <c r="MSP13" s="131"/>
      <c r="MSQ13" s="131"/>
      <c r="MSR13" s="131"/>
      <c r="MSS13" s="131"/>
      <c r="MST13" s="131"/>
      <c r="MSU13" s="131"/>
      <c r="MSV13" s="131"/>
      <c r="MSW13" s="131"/>
      <c r="MSX13" s="131"/>
      <c r="MSY13" s="131"/>
      <c r="MSZ13" s="131"/>
      <c r="MTA13" s="131"/>
      <c r="MTB13" s="131"/>
      <c r="MTC13" s="131"/>
      <c r="MTD13" s="131"/>
      <c r="MTE13" s="131"/>
      <c r="MTF13" s="131"/>
      <c r="MTG13" s="131"/>
      <c r="MTH13" s="131"/>
      <c r="MTI13" s="131"/>
      <c r="MTJ13" s="131"/>
      <c r="MTK13" s="131"/>
      <c r="MTL13" s="131"/>
      <c r="MTM13" s="131"/>
      <c r="MTN13" s="131"/>
      <c r="MTO13" s="131"/>
      <c r="MTP13" s="131"/>
      <c r="MTQ13" s="131"/>
      <c r="MTR13" s="131"/>
      <c r="MTS13" s="131"/>
      <c r="MTT13" s="131"/>
      <c r="MTU13" s="131"/>
      <c r="MTV13" s="131"/>
      <c r="MTW13" s="131"/>
      <c r="MTX13" s="131"/>
      <c r="MTY13" s="131"/>
      <c r="MTZ13" s="131"/>
      <c r="MUA13" s="131"/>
      <c r="MUB13" s="131"/>
      <c r="MUC13" s="131"/>
      <c r="MUD13" s="131"/>
      <c r="MUE13" s="131"/>
      <c r="MUF13" s="131"/>
      <c r="MUG13" s="131"/>
      <c r="MUH13" s="131"/>
      <c r="MUI13" s="131"/>
      <c r="MUJ13" s="131"/>
      <c r="MUK13" s="131"/>
      <c r="MUL13" s="131"/>
      <c r="MUM13" s="131"/>
      <c r="MUN13" s="131"/>
      <c r="MUO13" s="131"/>
      <c r="MUP13" s="131"/>
      <c r="MUQ13" s="131"/>
      <c r="MUR13" s="131"/>
      <c r="MUS13" s="131"/>
      <c r="MUT13" s="131"/>
      <c r="MUU13" s="131"/>
      <c r="MUV13" s="131"/>
      <c r="MUW13" s="131"/>
      <c r="MUX13" s="131"/>
      <c r="MUY13" s="131"/>
      <c r="MUZ13" s="131"/>
      <c r="MVA13" s="131"/>
      <c r="MVB13" s="131"/>
      <c r="MVC13" s="131"/>
      <c r="MVD13" s="131"/>
      <c r="MVE13" s="131"/>
      <c r="MVF13" s="131"/>
      <c r="MVG13" s="131"/>
      <c r="MVH13" s="131"/>
      <c r="MVI13" s="131"/>
      <c r="MVJ13" s="131"/>
      <c r="MVK13" s="131"/>
      <c r="MVL13" s="131"/>
      <c r="MVM13" s="131"/>
      <c r="MVN13" s="131"/>
      <c r="MVO13" s="131"/>
      <c r="MVP13" s="131"/>
      <c r="MVQ13" s="131"/>
      <c r="MVR13" s="131"/>
      <c r="MVS13" s="131"/>
      <c r="MVT13" s="131"/>
      <c r="MVU13" s="131"/>
      <c r="MVV13" s="131"/>
      <c r="MVW13" s="131"/>
      <c r="MVX13" s="131"/>
      <c r="MVY13" s="131"/>
      <c r="MVZ13" s="131"/>
      <c r="MWA13" s="131"/>
      <c r="MWB13" s="131"/>
      <c r="MWC13" s="131"/>
      <c r="MWD13" s="131"/>
      <c r="MWE13" s="131"/>
      <c r="MWF13" s="131"/>
      <c r="MWG13" s="131"/>
      <c r="MWH13" s="131"/>
      <c r="MWI13" s="131"/>
      <c r="MWJ13" s="131"/>
      <c r="MWK13" s="131"/>
      <c r="MWL13" s="131"/>
      <c r="MWM13" s="131"/>
      <c r="MWN13" s="131"/>
      <c r="MWO13" s="131"/>
      <c r="MWP13" s="131"/>
      <c r="MWQ13" s="131"/>
      <c r="MWR13" s="131"/>
      <c r="MWS13" s="131"/>
      <c r="MWT13" s="131"/>
      <c r="MWU13" s="131"/>
      <c r="MWV13" s="131"/>
      <c r="MWW13" s="131"/>
      <c r="MWX13" s="131"/>
      <c r="MWY13" s="131"/>
      <c r="MWZ13" s="131"/>
      <c r="MXA13" s="131"/>
      <c r="MXB13" s="131"/>
      <c r="MXC13" s="131"/>
      <c r="MXD13" s="131"/>
      <c r="MXE13" s="131"/>
      <c r="MXF13" s="131"/>
      <c r="MXG13" s="131"/>
      <c r="MXH13" s="131"/>
      <c r="MXI13" s="131"/>
      <c r="MXJ13" s="131"/>
      <c r="MXK13" s="131"/>
      <c r="MXL13" s="131"/>
      <c r="MXM13" s="131"/>
      <c r="MXN13" s="131"/>
      <c r="MXO13" s="131"/>
      <c r="MXP13" s="131"/>
      <c r="MXQ13" s="131"/>
      <c r="MXR13" s="131"/>
      <c r="MXS13" s="131"/>
      <c r="MXT13" s="131"/>
      <c r="MXU13" s="131"/>
      <c r="MXV13" s="131"/>
      <c r="MXW13" s="131"/>
      <c r="MXX13" s="131"/>
      <c r="MXY13" s="131"/>
      <c r="MXZ13" s="131"/>
      <c r="MYA13" s="131"/>
      <c r="MYB13" s="131"/>
      <c r="MYC13" s="131"/>
      <c r="MYD13" s="131"/>
      <c r="MYE13" s="131"/>
      <c r="MYF13" s="131"/>
      <c r="MYG13" s="131"/>
      <c r="MYH13" s="131"/>
      <c r="MYI13" s="131"/>
      <c r="MYJ13" s="131"/>
      <c r="MYK13" s="131"/>
      <c r="MYL13" s="131"/>
      <c r="MYM13" s="131"/>
      <c r="MYN13" s="131"/>
      <c r="MYO13" s="131"/>
      <c r="MYP13" s="131"/>
      <c r="MYQ13" s="131"/>
      <c r="MYR13" s="131"/>
      <c r="MYS13" s="131"/>
      <c r="MYT13" s="131"/>
      <c r="MYU13" s="131"/>
      <c r="MYV13" s="131"/>
      <c r="MYW13" s="131"/>
      <c r="MYX13" s="131"/>
      <c r="MYY13" s="131"/>
      <c r="MYZ13" s="131"/>
      <c r="MZA13" s="131"/>
      <c r="MZB13" s="131"/>
      <c r="MZC13" s="131"/>
      <c r="MZD13" s="131"/>
      <c r="MZE13" s="131"/>
      <c r="MZF13" s="131"/>
      <c r="MZG13" s="131"/>
      <c r="MZH13" s="131"/>
      <c r="MZI13" s="131"/>
      <c r="MZJ13" s="131"/>
      <c r="MZK13" s="131"/>
      <c r="MZL13" s="131"/>
      <c r="MZM13" s="131"/>
      <c r="MZN13" s="131"/>
      <c r="MZO13" s="131"/>
      <c r="MZP13" s="131"/>
      <c r="MZQ13" s="131"/>
      <c r="MZR13" s="131"/>
      <c r="MZS13" s="131"/>
      <c r="MZT13" s="131"/>
      <c r="MZU13" s="131"/>
      <c r="MZV13" s="131"/>
      <c r="MZW13" s="131"/>
      <c r="MZX13" s="131"/>
      <c r="MZY13" s="131"/>
      <c r="MZZ13" s="131"/>
      <c r="NAA13" s="131"/>
      <c r="NAB13" s="131"/>
      <c r="NAC13" s="131"/>
      <c r="NAD13" s="131"/>
      <c r="NAE13" s="131"/>
      <c r="NAF13" s="131"/>
      <c r="NAG13" s="131"/>
      <c r="NAH13" s="131"/>
      <c r="NAI13" s="131"/>
      <c r="NAJ13" s="131"/>
      <c r="NAK13" s="131"/>
      <c r="NAL13" s="131"/>
      <c r="NAM13" s="131"/>
      <c r="NAN13" s="131"/>
      <c r="NAO13" s="131"/>
      <c r="NAP13" s="131"/>
      <c r="NAQ13" s="131"/>
      <c r="NAR13" s="131"/>
      <c r="NAS13" s="131"/>
      <c r="NAT13" s="131"/>
      <c r="NAU13" s="131"/>
      <c r="NAV13" s="131"/>
      <c r="NAW13" s="131"/>
      <c r="NAX13" s="131"/>
      <c r="NAY13" s="131"/>
      <c r="NAZ13" s="131"/>
      <c r="NBA13" s="131"/>
      <c r="NBB13" s="131"/>
      <c r="NBC13" s="131"/>
      <c r="NBD13" s="131"/>
      <c r="NBE13" s="131"/>
      <c r="NBF13" s="131"/>
      <c r="NBG13" s="131"/>
      <c r="NBH13" s="131"/>
      <c r="NBI13" s="131"/>
      <c r="NBJ13" s="131"/>
      <c r="NBK13" s="131"/>
      <c r="NBL13" s="131"/>
      <c r="NBM13" s="131"/>
      <c r="NBN13" s="131"/>
      <c r="NBO13" s="131"/>
      <c r="NBP13" s="131"/>
      <c r="NBQ13" s="131"/>
      <c r="NBR13" s="131"/>
      <c r="NBS13" s="131"/>
      <c r="NBT13" s="131"/>
      <c r="NBU13" s="131"/>
      <c r="NBV13" s="131"/>
      <c r="NBW13" s="131"/>
      <c r="NBX13" s="131"/>
      <c r="NBY13" s="131"/>
      <c r="NBZ13" s="131"/>
      <c r="NCA13" s="131"/>
      <c r="NCB13" s="131"/>
      <c r="NCC13" s="131"/>
      <c r="NCD13" s="131"/>
      <c r="NCE13" s="131"/>
      <c r="NCF13" s="131"/>
      <c r="NCG13" s="131"/>
      <c r="NCH13" s="131"/>
      <c r="NCI13" s="131"/>
      <c r="NCJ13" s="131"/>
      <c r="NCK13" s="131"/>
      <c r="NCL13" s="131"/>
      <c r="NCM13" s="131"/>
      <c r="NCN13" s="131"/>
      <c r="NCO13" s="131"/>
      <c r="NCP13" s="131"/>
      <c r="NCQ13" s="131"/>
      <c r="NCR13" s="131"/>
      <c r="NCS13" s="131"/>
      <c r="NCT13" s="131"/>
      <c r="NCU13" s="131"/>
      <c r="NCV13" s="131"/>
      <c r="NCW13" s="131"/>
      <c r="NCX13" s="131"/>
      <c r="NCY13" s="131"/>
      <c r="NCZ13" s="131"/>
      <c r="NDA13" s="131"/>
      <c r="NDB13" s="131"/>
      <c r="NDC13" s="131"/>
      <c r="NDD13" s="131"/>
      <c r="NDE13" s="131"/>
      <c r="NDF13" s="131"/>
      <c r="NDG13" s="131"/>
      <c r="NDH13" s="131"/>
      <c r="NDI13" s="131"/>
      <c r="NDJ13" s="131"/>
      <c r="NDK13" s="131"/>
      <c r="NDL13" s="131"/>
      <c r="NDM13" s="131"/>
      <c r="NDN13" s="131"/>
      <c r="NDO13" s="131"/>
      <c r="NDP13" s="131"/>
      <c r="NDQ13" s="131"/>
      <c r="NDR13" s="131"/>
      <c r="NDS13" s="131"/>
      <c r="NDT13" s="131"/>
      <c r="NDU13" s="131"/>
      <c r="NDV13" s="131"/>
      <c r="NDW13" s="131"/>
      <c r="NDX13" s="131"/>
      <c r="NDY13" s="131"/>
      <c r="NDZ13" s="131"/>
      <c r="NEA13" s="131"/>
      <c r="NEB13" s="131"/>
      <c r="NEC13" s="131"/>
      <c r="NED13" s="131"/>
      <c r="NEE13" s="131"/>
      <c r="NEF13" s="131"/>
      <c r="NEG13" s="131"/>
      <c r="NEH13" s="131"/>
      <c r="NEI13" s="131"/>
      <c r="NEJ13" s="131"/>
      <c r="NEK13" s="131"/>
      <c r="NEL13" s="131"/>
      <c r="NEM13" s="131"/>
      <c r="NEN13" s="131"/>
      <c r="NEO13" s="131"/>
      <c r="NEP13" s="131"/>
      <c r="NEQ13" s="131"/>
      <c r="NER13" s="131"/>
      <c r="NES13" s="131"/>
      <c r="NET13" s="131"/>
      <c r="NEU13" s="131"/>
      <c r="NEV13" s="131"/>
      <c r="NEW13" s="131"/>
      <c r="NEX13" s="131"/>
      <c r="NEY13" s="131"/>
      <c r="NEZ13" s="131"/>
      <c r="NFA13" s="131"/>
      <c r="NFB13" s="131"/>
      <c r="NFC13" s="131"/>
      <c r="NFD13" s="131"/>
      <c r="NFE13" s="131"/>
      <c r="NFF13" s="131"/>
      <c r="NFG13" s="131"/>
      <c r="NFH13" s="131"/>
      <c r="NFI13" s="131"/>
      <c r="NFJ13" s="131"/>
      <c r="NFK13" s="131"/>
      <c r="NFL13" s="131"/>
      <c r="NFM13" s="131"/>
      <c r="NFN13" s="131"/>
      <c r="NFO13" s="131"/>
      <c r="NFP13" s="131"/>
      <c r="NFQ13" s="131"/>
      <c r="NFR13" s="131"/>
      <c r="NFS13" s="131"/>
      <c r="NFT13" s="131"/>
      <c r="NFU13" s="131"/>
      <c r="NFV13" s="131"/>
      <c r="NFW13" s="131"/>
      <c r="NFX13" s="131"/>
      <c r="NFY13" s="131"/>
      <c r="NFZ13" s="131"/>
      <c r="NGA13" s="131"/>
      <c r="NGB13" s="131"/>
      <c r="NGC13" s="131"/>
      <c r="NGD13" s="131"/>
      <c r="NGE13" s="131"/>
      <c r="NGF13" s="131"/>
      <c r="NGG13" s="131"/>
      <c r="NGH13" s="131"/>
      <c r="NGI13" s="131"/>
      <c r="NGJ13" s="131"/>
      <c r="NGK13" s="131"/>
      <c r="NGL13" s="131"/>
      <c r="NGM13" s="131"/>
      <c r="NGN13" s="131"/>
      <c r="NGO13" s="131"/>
      <c r="NGP13" s="131"/>
      <c r="NGQ13" s="131"/>
      <c r="NGR13" s="131"/>
      <c r="NGS13" s="131"/>
      <c r="NGT13" s="131"/>
      <c r="NGU13" s="131"/>
      <c r="NGV13" s="131"/>
      <c r="NGW13" s="131"/>
      <c r="NGX13" s="131"/>
      <c r="NGY13" s="131"/>
      <c r="NGZ13" s="131"/>
      <c r="NHA13" s="131"/>
      <c r="NHB13" s="131"/>
      <c r="NHC13" s="131"/>
      <c r="NHD13" s="131"/>
      <c r="NHE13" s="131"/>
      <c r="NHF13" s="131"/>
      <c r="NHG13" s="131"/>
      <c r="NHH13" s="131"/>
      <c r="NHI13" s="131"/>
      <c r="NHJ13" s="131"/>
      <c r="NHK13" s="131"/>
      <c r="NHL13" s="131"/>
      <c r="NHM13" s="131"/>
      <c r="NHN13" s="131"/>
      <c r="NHO13" s="131"/>
      <c r="NHP13" s="131"/>
      <c r="NHQ13" s="131"/>
      <c r="NHR13" s="131"/>
      <c r="NHS13" s="131"/>
      <c r="NHT13" s="131"/>
      <c r="NHU13" s="131"/>
      <c r="NHV13" s="131"/>
      <c r="NHW13" s="131"/>
      <c r="NHX13" s="131"/>
      <c r="NHY13" s="131"/>
      <c r="NHZ13" s="131"/>
      <c r="NIA13" s="131"/>
      <c r="NIB13" s="131"/>
      <c r="NIC13" s="131"/>
      <c r="NID13" s="131"/>
      <c r="NIE13" s="131"/>
      <c r="NIF13" s="131"/>
      <c r="NIG13" s="131"/>
      <c r="NIH13" s="131"/>
      <c r="NII13" s="131"/>
      <c r="NIJ13" s="131"/>
      <c r="NIK13" s="131"/>
      <c r="NIL13" s="131"/>
      <c r="NIM13" s="131"/>
      <c r="NIN13" s="131"/>
      <c r="NIO13" s="131"/>
      <c r="NIP13" s="131"/>
      <c r="NIQ13" s="131"/>
      <c r="NIR13" s="131"/>
      <c r="NIS13" s="131"/>
      <c r="NIT13" s="131"/>
      <c r="NIU13" s="131"/>
      <c r="NIV13" s="131"/>
      <c r="NIW13" s="131"/>
      <c r="NIX13" s="131"/>
      <c r="NIY13" s="131"/>
      <c r="NIZ13" s="131"/>
      <c r="NJA13" s="131"/>
      <c r="NJB13" s="131"/>
      <c r="NJC13" s="131"/>
      <c r="NJD13" s="131"/>
      <c r="NJE13" s="131"/>
      <c r="NJF13" s="131"/>
      <c r="NJG13" s="131"/>
      <c r="NJH13" s="131"/>
      <c r="NJI13" s="131"/>
      <c r="NJJ13" s="131"/>
      <c r="NJK13" s="131"/>
      <c r="NJL13" s="131"/>
      <c r="NJM13" s="131"/>
      <c r="NJN13" s="131"/>
      <c r="NJO13" s="131"/>
      <c r="NJP13" s="131"/>
      <c r="NJQ13" s="131"/>
      <c r="NJR13" s="131"/>
      <c r="NJS13" s="131"/>
      <c r="NJT13" s="131"/>
      <c r="NJU13" s="131"/>
      <c r="NJV13" s="131"/>
      <c r="NJW13" s="131"/>
      <c r="NJX13" s="131"/>
      <c r="NJY13" s="131"/>
      <c r="NJZ13" s="131"/>
      <c r="NKA13" s="131"/>
      <c r="NKB13" s="131"/>
      <c r="NKC13" s="131"/>
      <c r="NKD13" s="131"/>
      <c r="NKE13" s="131"/>
      <c r="NKF13" s="131"/>
      <c r="NKG13" s="131"/>
      <c r="NKH13" s="131"/>
      <c r="NKI13" s="131"/>
      <c r="NKJ13" s="131"/>
      <c r="NKK13" s="131"/>
      <c r="NKL13" s="131"/>
      <c r="NKM13" s="131"/>
      <c r="NKN13" s="131"/>
      <c r="NKO13" s="131"/>
      <c r="NKP13" s="131"/>
      <c r="NKQ13" s="131"/>
      <c r="NKR13" s="131"/>
      <c r="NKS13" s="131"/>
      <c r="NKT13" s="131"/>
      <c r="NKU13" s="131"/>
      <c r="NKV13" s="131"/>
      <c r="NKW13" s="131"/>
      <c r="NKX13" s="131"/>
      <c r="NKY13" s="131"/>
      <c r="NKZ13" s="131"/>
      <c r="NLA13" s="131"/>
      <c r="NLB13" s="131"/>
      <c r="NLC13" s="131"/>
      <c r="NLD13" s="131"/>
      <c r="NLE13" s="131"/>
      <c r="NLF13" s="131"/>
      <c r="NLG13" s="131"/>
      <c r="NLH13" s="131"/>
      <c r="NLI13" s="131"/>
      <c r="NLJ13" s="131"/>
      <c r="NLK13" s="131"/>
      <c r="NLL13" s="131"/>
      <c r="NLM13" s="131"/>
      <c r="NLN13" s="131"/>
      <c r="NLO13" s="131"/>
      <c r="NLP13" s="131"/>
      <c r="NLQ13" s="131"/>
      <c r="NLR13" s="131"/>
      <c r="NLS13" s="131"/>
      <c r="NLT13" s="131"/>
      <c r="NLU13" s="131"/>
      <c r="NLV13" s="131"/>
      <c r="NLW13" s="131"/>
      <c r="NLX13" s="131"/>
      <c r="NLY13" s="131"/>
      <c r="NLZ13" s="131"/>
      <c r="NMA13" s="131"/>
      <c r="NMB13" s="131"/>
      <c r="NMC13" s="131"/>
      <c r="NMD13" s="131"/>
      <c r="NME13" s="131"/>
      <c r="NMF13" s="131"/>
      <c r="NMG13" s="131"/>
      <c r="NMH13" s="131"/>
      <c r="NMI13" s="131"/>
      <c r="NMJ13" s="131"/>
      <c r="NMK13" s="131"/>
      <c r="NML13" s="131"/>
      <c r="NMM13" s="131"/>
      <c r="NMN13" s="131"/>
      <c r="NMO13" s="131"/>
      <c r="NMP13" s="131"/>
      <c r="NMQ13" s="131"/>
      <c r="NMR13" s="131"/>
      <c r="NMS13" s="131"/>
      <c r="NMT13" s="131"/>
      <c r="NMU13" s="131"/>
      <c r="NMV13" s="131"/>
      <c r="NMW13" s="131"/>
      <c r="NMX13" s="131"/>
      <c r="NMY13" s="131"/>
      <c r="NMZ13" s="131"/>
      <c r="NNA13" s="131"/>
      <c r="NNB13" s="131"/>
      <c r="NNC13" s="131"/>
      <c r="NND13" s="131"/>
      <c r="NNE13" s="131"/>
      <c r="NNF13" s="131"/>
      <c r="NNG13" s="131"/>
      <c r="NNH13" s="131"/>
      <c r="NNI13" s="131"/>
      <c r="NNJ13" s="131"/>
      <c r="NNK13" s="131"/>
      <c r="NNL13" s="131"/>
      <c r="NNM13" s="131"/>
      <c r="NNN13" s="131"/>
      <c r="NNO13" s="131"/>
      <c r="NNP13" s="131"/>
      <c r="NNQ13" s="131"/>
      <c r="NNR13" s="131"/>
      <c r="NNS13" s="131"/>
      <c r="NNT13" s="131"/>
      <c r="NNU13" s="131"/>
      <c r="NNV13" s="131"/>
      <c r="NNW13" s="131"/>
      <c r="NNX13" s="131"/>
      <c r="NNY13" s="131"/>
      <c r="NNZ13" s="131"/>
      <c r="NOA13" s="131"/>
      <c r="NOB13" s="131"/>
      <c r="NOC13" s="131"/>
      <c r="NOD13" s="131"/>
      <c r="NOE13" s="131"/>
      <c r="NOF13" s="131"/>
      <c r="NOG13" s="131"/>
      <c r="NOH13" s="131"/>
      <c r="NOI13" s="131"/>
      <c r="NOJ13" s="131"/>
      <c r="NOK13" s="131"/>
      <c r="NOL13" s="131"/>
      <c r="NOM13" s="131"/>
      <c r="NON13" s="131"/>
      <c r="NOO13" s="131"/>
      <c r="NOP13" s="131"/>
      <c r="NOQ13" s="131"/>
      <c r="NOR13" s="131"/>
      <c r="NOS13" s="131"/>
      <c r="NOT13" s="131"/>
      <c r="NOU13" s="131"/>
      <c r="NOV13" s="131"/>
      <c r="NOW13" s="131"/>
      <c r="NOX13" s="131"/>
      <c r="NOY13" s="131"/>
      <c r="NOZ13" s="131"/>
      <c r="NPA13" s="131"/>
      <c r="NPB13" s="131"/>
      <c r="NPC13" s="131"/>
      <c r="NPD13" s="131"/>
      <c r="NPE13" s="131"/>
      <c r="NPF13" s="131"/>
      <c r="NPG13" s="131"/>
      <c r="NPH13" s="131"/>
      <c r="NPI13" s="131"/>
      <c r="NPJ13" s="131"/>
      <c r="NPK13" s="131"/>
      <c r="NPL13" s="131"/>
      <c r="NPM13" s="131"/>
      <c r="NPN13" s="131"/>
      <c r="NPO13" s="131"/>
      <c r="NPP13" s="131"/>
      <c r="NPQ13" s="131"/>
      <c r="NPR13" s="131"/>
      <c r="NPS13" s="131"/>
      <c r="NPT13" s="131"/>
      <c r="NPU13" s="131"/>
      <c r="NPV13" s="131"/>
      <c r="NPW13" s="131"/>
      <c r="NPX13" s="131"/>
      <c r="NPY13" s="131"/>
      <c r="NPZ13" s="131"/>
      <c r="NQA13" s="131"/>
      <c r="NQB13" s="131"/>
      <c r="NQC13" s="131"/>
      <c r="NQD13" s="131"/>
      <c r="NQE13" s="131"/>
      <c r="NQF13" s="131"/>
      <c r="NQG13" s="131"/>
      <c r="NQH13" s="131"/>
      <c r="NQI13" s="131"/>
      <c r="NQJ13" s="131"/>
      <c r="NQK13" s="131"/>
      <c r="NQL13" s="131"/>
      <c r="NQM13" s="131"/>
      <c r="NQN13" s="131"/>
      <c r="NQO13" s="131"/>
      <c r="NQP13" s="131"/>
      <c r="NQQ13" s="131"/>
      <c r="NQR13" s="131"/>
      <c r="NQS13" s="131"/>
      <c r="NQT13" s="131"/>
      <c r="NQU13" s="131"/>
      <c r="NQV13" s="131"/>
      <c r="NQW13" s="131"/>
      <c r="NQX13" s="131"/>
      <c r="NQY13" s="131"/>
      <c r="NQZ13" s="131"/>
      <c r="NRA13" s="131"/>
      <c r="NRB13" s="131"/>
      <c r="NRC13" s="131"/>
      <c r="NRD13" s="131"/>
      <c r="NRE13" s="131"/>
      <c r="NRF13" s="131"/>
      <c r="NRG13" s="131"/>
      <c r="NRH13" s="131"/>
      <c r="NRI13" s="131"/>
      <c r="NRJ13" s="131"/>
      <c r="NRK13" s="131"/>
      <c r="NRL13" s="131"/>
      <c r="NRM13" s="131"/>
      <c r="NRN13" s="131"/>
      <c r="NRO13" s="131"/>
      <c r="NRP13" s="131"/>
      <c r="NRQ13" s="131"/>
      <c r="NRR13" s="131"/>
      <c r="NRS13" s="131"/>
      <c r="NRT13" s="131"/>
      <c r="NRU13" s="131"/>
      <c r="NRV13" s="131"/>
      <c r="NRW13" s="131"/>
      <c r="NRX13" s="131"/>
      <c r="NRY13" s="131"/>
      <c r="NRZ13" s="131"/>
      <c r="NSA13" s="131"/>
      <c r="NSB13" s="131"/>
      <c r="NSC13" s="131"/>
      <c r="NSD13" s="131"/>
      <c r="NSE13" s="131"/>
      <c r="NSF13" s="131"/>
      <c r="NSG13" s="131"/>
      <c r="NSH13" s="131"/>
      <c r="NSI13" s="131"/>
      <c r="NSJ13" s="131"/>
      <c r="NSK13" s="131"/>
      <c r="NSL13" s="131"/>
      <c r="NSM13" s="131"/>
      <c r="NSN13" s="131"/>
      <c r="NSO13" s="131"/>
      <c r="NSP13" s="131"/>
      <c r="NSQ13" s="131"/>
      <c r="NSR13" s="131"/>
      <c r="NSS13" s="131"/>
      <c r="NST13" s="131"/>
      <c r="NSU13" s="131"/>
      <c r="NSV13" s="131"/>
      <c r="NSW13" s="131"/>
      <c r="NSX13" s="131"/>
      <c r="NSY13" s="131"/>
      <c r="NSZ13" s="131"/>
      <c r="NTA13" s="131"/>
      <c r="NTB13" s="131"/>
      <c r="NTC13" s="131"/>
      <c r="NTD13" s="131"/>
      <c r="NTE13" s="131"/>
      <c r="NTF13" s="131"/>
      <c r="NTG13" s="131"/>
      <c r="NTH13" s="131"/>
      <c r="NTI13" s="131"/>
      <c r="NTJ13" s="131"/>
      <c r="NTK13" s="131"/>
      <c r="NTL13" s="131"/>
      <c r="NTM13" s="131"/>
      <c r="NTN13" s="131"/>
      <c r="NTO13" s="131"/>
      <c r="NTP13" s="131"/>
      <c r="NTQ13" s="131"/>
      <c r="NTR13" s="131"/>
      <c r="NTS13" s="131"/>
      <c r="NTT13" s="131"/>
      <c r="NTU13" s="131"/>
      <c r="NTV13" s="131"/>
      <c r="NTW13" s="131"/>
      <c r="NTX13" s="131"/>
      <c r="NTY13" s="131"/>
      <c r="NTZ13" s="131"/>
      <c r="NUA13" s="131"/>
      <c r="NUB13" s="131"/>
      <c r="NUC13" s="131"/>
      <c r="NUD13" s="131"/>
      <c r="NUE13" s="131"/>
      <c r="NUF13" s="131"/>
      <c r="NUG13" s="131"/>
      <c r="NUH13" s="131"/>
      <c r="NUI13" s="131"/>
      <c r="NUJ13" s="131"/>
      <c r="NUK13" s="131"/>
      <c r="NUL13" s="131"/>
      <c r="NUM13" s="131"/>
      <c r="NUN13" s="131"/>
      <c r="NUO13" s="131"/>
      <c r="NUP13" s="131"/>
      <c r="NUQ13" s="131"/>
      <c r="NUR13" s="131"/>
      <c r="NUS13" s="131"/>
      <c r="NUT13" s="131"/>
      <c r="NUU13" s="131"/>
      <c r="NUV13" s="131"/>
      <c r="NUW13" s="131"/>
      <c r="NUX13" s="131"/>
      <c r="NUY13" s="131"/>
      <c r="NUZ13" s="131"/>
      <c r="NVA13" s="131"/>
      <c r="NVB13" s="131"/>
      <c r="NVC13" s="131"/>
      <c r="NVD13" s="131"/>
      <c r="NVE13" s="131"/>
      <c r="NVF13" s="131"/>
      <c r="NVG13" s="131"/>
      <c r="NVH13" s="131"/>
      <c r="NVI13" s="131"/>
      <c r="NVJ13" s="131"/>
      <c r="NVK13" s="131"/>
      <c r="NVL13" s="131"/>
      <c r="NVM13" s="131"/>
      <c r="NVN13" s="131"/>
      <c r="NVO13" s="131"/>
      <c r="NVP13" s="131"/>
      <c r="NVQ13" s="131"/>
      <c r="NVR13" s="131"/>
      <c r="NVS13" s="131"/>
      <c r="NVT13" s="131"/>
      <c r="NVU13" s="131"/>
      <c r="NVV13" s="131"/>
      <c r="NVW13" s="131"/>
      <c r="NVX13" s="131"/>
      <c r="NVY13" s="131"/>
      <c r="NVZ13" s="131"/>
      <c r="NWA13" s="131"/>
      <c r="NWB13" s="131"/>
      <c r="NWC13" s="131"/>
      <c r="NWD13" s="131"/>
      <c r="NWE13" s="131"/>
      <c r="NWF13" s="131"/>
      <c r="NWG13" s="131"/>
      <c r="NWH13" s="131"/>
      <c r="NWI13" s="131"/>
      <c r="NWJ13" s="131"/>
      <c r="NWK13" s="131"/>
      <c r="NWL13" s="131"/>
      <c r="NWM13" s="131"/>
      <c r="NWN13" s="131"/>
      <c r="NWO13" s="131"/>
      <c r="NWP13" s="131"/>
      <c r="NWQ13" s="131"/>
      <c r="NWR13" s="131"/>
      <c r="NWS13" s="131"/>
      <c r="NWT13" s="131"/>
      <c r="NWU13" s="131"/>
      <c r="NWV13" s="131"/>
      <c r="NWW13" s="131"/>
      <c r="NWX13" s="131"/>
      <c r="NWY13" s="131"/>
      <c r="NWZ13" s="131"/>
      <c r="NXA13" s="131"/>
      <c r="NXB13" s="131"/>
      <c r="NXC13" s="131"/>
      <c r="NXD13" s="131"/>
      <c r="NXE13" s="131"/>
      <c r="NXF13" s="131"/>
      <c r="NXG13" s="131"/>
      <c r="NXH13" s="131"/>
      <c r="NXI13" s="131"/>
      <c r="NXJ13" s="131"/>
      <c r="NXK13" s="131"/>
      <c r="NXL13" s="131"/>
      <c r="NXM13" s="131"/>
      <c r="NXN13" s="131"/>
      <c r="NXO13" s="131"/>
      <c r="NXP13" s="131"/>
      <c r="NXQ13" s="131"/>
      <c r="NXR13" s="131"/>
      <c r="NXS13" s="131"/>
      <c r="NXT13" s="131"/>
      <c r="NXU13" s="131"/>
      <c r="NXV13" s="131"/>
      <c r="NXW13" s="131"/>
      <c r="NXX13" s="131"/>
      <c r="NXY13" s="131"/>
      <c r="NXZ13" s="131"/>
      <c r="NYA13" s="131"/>
      <c r="NYB13" s="131"/>
      <c r="NYC13" s="131"/>
      <c r="NYD13" s="131"/>
      <c r="NYE13" s="131"/>
      <c r="NYF13" s="131"/>
      <c r="NYG13" s="131"/>
      <c r="NYH13" s="131"/>
      <c r="NYI13" s="131"/>
      <c r="NYJ13" s="131"/>
      <c r="NYK13" s="131"/>
      <c r="NYL13" s="131"/>
      <c r="NYM13" s="131"/>
      <c r="NYN13" s="131"/>
      <c r="NYO13" s="131"/>
      <c r="NYP13" s="131"/>
      <c r="NYQ13" s="131"/>
      <c r="NYR13" s="131"/>
      <c r="NYS13" s="131"/>
      <c r="NYT13" s="131"/>
      <c r="NYU13" s="131"/>
      <c r="NYV13" s="131"/>
      <c r="NYW13" s="131"/>
      <c r="NYX13" s="131"/>
      <c r="NYY13" s="131"/>
      <c r="NYZ13" s="131"/>
      <c r="NZA13" s="131"/>
      <c r="NZB13" s="131"/>
      <c r="NZC13" s="131"/>
      <c r="NZD13" s="131"/>
      <c r="NZE13" s="131"/>
      <c r="NZF13" s="131"/>
      <c r="NZG13" s="131"/>
      <c r="NZH13" s="131"/>
      <c r="NZI13" s="131"/>
      <c r="NZJ13" s="131"/>
      <c r="NZK13" s="131"/>
      <c r="NZL13" s="131"/>
      <c r="NZM13" s="131"/>
      <c r="NZN13" s="131"/>
      <c r="NZO13" s="131"/>
      <c r="NZP13" s="131"/>
      <c r="NZQ13" s="131"/>
      <c r="NZR13" s="131"/>
      <c r="NZS13" s="131"/>
      <c r="NZT13" s="131"/>
      <c r="NZU13" s="131"/>
      <c r="NZV13" s="131"/>
      <c r="NZW13" s="131"/>
      <c r="NZX13" s="131"/>
      <c r="NZY13" s="131"/>
      <c r="NZZ13" s="131"/>
      <c r="OAA13" s="131"/>
      <c r="OAB13" s="131"/>
      <c r="OAC13" s="131"/>
      <c r="OAD13" s="131"/>
      <c r="OAE13" s="131"/>
      <c r="OAF13" s="131"/>
      <c r="OAG13" s="131"/>
      <c r="OAH13" s="131"/>
      <c r="OAI13" s="131"/>
      <c r="OAJ13" s="131"/>
      <c r="OAK13" s="131"/>
      <c r="OAL13" s="131"/>
      <c r="OAM13" s="131"/>
      <c r="OAN13" s="131"/>
      <c r="OAO13" s="131"/>
      <c r="OAP13" s="131"/>
      <c r="OAQ13" s="131"/>
      <c r="OAR13" s="131"/>
      <c r="OAS13" s="131"/>
      <c r="OAT13" s="131"/>
      <c r="OAU13" s="131"/>
      <c r="OAV13" s="131"/>
      <c r="OAW13" s="131"/>
      <c r="OAX13" s="131"/>
      <c r="OAY13" s="131"/>
      <c r="OAZ13" s="131"/>
      <c r="OBA13" s="131"/>
      <c r="OBB13" s="131"/>
      <c r="OBC13" s="131"/>
      <c r="OBD13" s="131"/>
      <c r="OBE13" s="131"/>
      <c r="OBF13" s="131"/>
      <c r="OBG13" s="131"/>
      <c r="OBH13" s="131"/>
      <c r="OBI13" s="131"/>
      <c r="OBJ13" s="131"/>
      <c r="OBK13" s="131"/>
      <c r="OBL13" s="131"/>
      <c r="OBM13" s="131"/>
      <c r="OBN13" s="131"/>
      <c r="OBO13" s="131"/>
      <c r="OBP13" s="131"/>
      <c r="OBQ13" s="131"/>
      <c r="OBR13" s="131"/>
      <c r="OBS13" s="131"/>
      <c r="OBT13" s="131"/>
      <c r="OBU13" s="131"/>
      <c r="OBV13" s="131"/>
      <c r="OBW13" s="131"/>
      <c r="OBX13" s="131"/>
      <c r="OBY13" s="131"/>
      <c r="OBZ13" s="131"/>
      <c r="OCA13" s="131"/>
      <c r="OCB13" s="131"/>
      <c r="OCC13" s="131"/>
      <c r="OCD13" s="131"/>
      <c r="OCE13" s="131"/>
      <c r="OCF13" s="131"/>
      <c r="OCG13" s="131"/>
      <c r="OCH13" s="131"/>
      <c r="OCI13" s="131"/>
      <c r="OCJ13" s="131"/>
      <c r="OCK13" s="131"/>
      <c r="OCX13" s="131"/>
      <c r="OCY13" s="131"/>
      <c r="OCZ13" s="131"/>
      <c r="ODA13" s="131"/>
      <c r="ODB13" s="131"/>
      <c r="ODC13" s="131"/>
      <c r="ODD13" s="131"/>
      <c r="ODE13" s="131"/>
      <c r="ODF13" s="131"/>
      <c r="ODG13" s="131"/>
      <c r="ODH13" s="131"/>
      <c r="ODI13" s="131"/>
      <c r="ODJ13" s="131"/>
      <c r="ODK13" s="131"/>
      <c r="ODL13" s="131"/>
      <c r="ODM13" s="131"/>
      <c r="ODN13" s="131"/>
      <c r="ODO13" s="131"/>
      <c r="ODP13" s="131"/>
      <c r="ODQ13" s="131"/>
      <c r="ODR13" s="131"/>
      <c r="ODS13" s="131"/>
      <c r="ODT13" s="131"/>
      <c r="ODU13" s="131"/>
      <c r="ODV13" s="131"/>
      <c r="ODW13" s="131"/>
      <c r="ODX13" s="131"/>
      <c r="ODY13" s="131"/>
      <c r="ODZ13" s="131"/>
      <c r="OEA13" s="131"/>
      <c r="OEB13" s="131"/>
      <c r="OEC13" s="131"/>
      <c r="OED13" s="131"/>
      <c r="OEE13" s="131"/>
      <c r="OEF13" s="131"/>
      <c r="OEG13" s="131"/>
      <c r="OEH13" s="131"/>
      <c r="OEI13" s="131"/>
      <c r="OEJ13" s="131"/>
      <c r="OEK13" s="131"/>
      <c r="OEL13" s="131"/>
      <c r="OEM13" s="131"/>
      <c r="OEN13" s="131"/>
      <c r="OEO13" s="131"/>
      <c r="OEP13" s="131"/>
      <c r="OEQ13" s="131"/>
      <c r="OER13" s="131"/>
      <c r="OES13" s="131"/>
      <c r="OET13" s="131"/>
      <c r="OEU13" s="131"/>
      <c r="OEV13" s="131"/>
      <c r="OEW13" s="131"/>
      <c r="OEX13" s="131"/>
      <c r="OEY13" s="131"/>
      <c r="OEZ13" s="131"/>
      <c r="OFA13" s="131"/>
      <c r="OFB13" s="131"/>
      <c r="OFC13" s="131"/>
      <c r="OFD13" s="131"/>
      <c r="OFE13" s="131"/>
      <c r="OFF13" s="131"/>
      <c r="OFG13" s="131"/>
      <c r="OFH13" s="131"/>
      <c r="OFI13" s="131"/>
      <c r="OFJ13" s="131"/>
      <c r="OFK13" s="131"/>
      <c r="OFL13" s="131"/>
      <c r="OFM13" s="131"/>
      <c r="OFN13" s="131"/>
      <c r="OFO13" s="131"/>
      <c r="OFP13" s="131"/>
      <c r="OFQ13" s="131"/>
      <c r="OFR13" s="131"/>
      <c r="OFS13" s="131"/>
      <c r="OFT13" s="131"/>
      <c r="OFU13" s="131"/>
      <c r="OFV13" s="131"/>
      <c r="OFW13" s="131"/>
      <c r="OFX13" s="131"/>
      <c r="OFY13" s="131"/>
      <c r="OFZ13" s="131"/>
      <c r="OGA13" s="131"/>
      <c r="OGB13" s="131"/>
      <c r="OGC13" s="131"/>
      <c r="OGD13" s="131"/>
      <c r="OGE13" s="131"/>
      <c r="OGF13" s="131"/>
      <c r="OGG13" s="131"/>
      <c r="OGH13" s="131"/>
      <c r="OGI13" s="131"/>
      <c r="OGJ13" s="131"/>
      <c r="OGK13" s="131"/>
      <c r="OGL13" s="131"/>
      <c r="OGM13" s="131"/>
      <c r="OGN13" s="131"/>
      <c r="OGO13" s="131"/>
      <c r="OGP13" s="131"/>
      <c r="OGQ13" s="131"/>
      <c r="OGR13" s="131"/>
      <c r="OGS13" s="131"/>
      <c r="OGT13" s="131"/>
      <c r="OGU13" s="131"/>
      <c r="OGV13" s="131"/>
      <c r="OGW13" s="131"/>
      <c r="OGX13" s="131"/>
      <c r="OGY13" s="131"/>
      <c r="OGZ13" s="131"/>
      <c r="OHA13" s="131"/>
      <c r="OHB13" s="131"/>
      <c r="OHC13" s="131"/>
      <c r="OHD13" s="131"/>
      <c r="OHE13" s="131"/>
      <c r="OHF13" s="131"/>
      <c r="OHG13" s="131"/>
      <c r="OHH13" s="131"/>
      <c r="OHI13" s="131"/>
      <c r="OHJ13" s="131"/>
      <c r="OHK13" s="131"/>
      <c r="OHL13" s="131"/>
      <c r="OHM13" s="131"/>
      <c r="OHN13" s="131"/>
      <c r="OHO13" s="131"/>
      <c r="OHP13" s="131"/>
      <c r="OHQ13" s="131"/>
      <c r="OHR13" s="131"/>
      <c r="OHS13" s="131"/>
      <c r="OHT13" s="131"/>
      <c r="OHU13" s="131"/>
      <c r="OHV13" s="131"/>
      <c r="OHW13" s="131"/>
      <c r="OHX13" s="131"/>
      <c r="OHY13" s="131"/>
      <c r="OHZ13" s="131"/>
      <c r="OIA13" s="131"/>
      <c r="OIB13" s="131"/>
      <c r="OIC13" s="131"/>
      <c r="OID13" s="131"/>
      <c r="OIE13" s="131"/>
      <c r="OIF13" s="131"/>
      <c r="OIG13" s="131"/>
      <c r="OIH13" s="131"/>
      <c r="OII13" s="131"/>
      <c r="OIJ13" s="131"/>
      <c r="OIK13" s="131"/>
      <c r="OIL13" s="131"/>
      <c r="OIM13" s="131"/>
      <c r="OIN13" s="131"/>
      <c r="OIO13" s="131"/>
      <c r="OIP13" s="131"/>
      <c r="OIQ13" s="131"/>
      <c r="OIR13" s="131"/>
      <c r="OIS13" s="131"/>
      <c r="OIT13" s="131"/>
      <c r="OIU13" s="131"/>
      <c r="OIV13" s="131"/>
      <c r="OIW13" s="131"/>
      <c r="OIX13" s="131"/>
      <c r="OIY13" s="131"/>
      <c r="OIZ13" s="131"/>
      <c r="OJA13" s="131"/>
      <c r="OJB13" s="131"/>
      <c r="OJC13" s="131"/>
      <c r="OJD13" s="131"/>
      <c r="OJE13" s="131"/>
      <c r="OJF13" s="131"/>
      <c r="OJG13" s="131"/>
      <c r="OJH13" s="131"/>
      <c r="OJI13" s="131"/>
      <c r="OJJ13" s="131"/>
      <c r="OJK13" s="131"/>
      <c r="OJL13" s="131"/>
      <c r="OJM13" s="131"/>
      <c r="OJN13" s="131"/>
      <c r="OJO13" s="131"/>
      <c r="OJP13" s="131"/>
      <c r="OJQ13" s="131"/>
      <c r="OJR13" s="131"/>
      <c r="OJS13" s="131"/>
      <c r="OJT13" s="131"/>
      <c r="OJU13" s="131"/>
      <c r="OJV13" s="131"/>
      <c r="OJW13" s="131"/>
      <c r="OJX13" s="131"/>
      <c r="OJY13" s="131"/>
      <c r="OJZ13" s="131"/>
      <c r="OKA13" s="131"/>
      <c r="OKB13" s="131"/>
      <c r="OKC13" s="131"/>
      <c r="OKD13" s="131"/>
      <c r="OKE13" s="131"/>
      <c r="OKF13" s="131"/>
      <c r="OKG13" s="131"/>
      <c r="OKH13" s="131"/>
      <c r="OKI13" s="131"/>
      <c r="OKJ13" s="131"/>
      <c r="OKK13" s="131"/>
      <c r="OKL13" s="131"/>
      <c r="OKM13" s="131"/>
      <c r="OKN13" s="131"/>
      <c r="OKO13" s="131"/>
      <c r="OKP13" s="131"/>
      <c r="OKQ13" s="131"/>
      <c r="OKR13" s="131"/>
      <c r="OKS13" s="131"/>
      <c r="OKT13" s="131"/>
      <c r="OKU13" s="131"/>
      <c r="OKV13" s="131"/>
      <c r="OKW13" s="131"/>
      <c r="OKX13" s="131"/>
      <c r="OKY13" s="131"/>
      <c r="OKZ13" s="131"/>
      <c r="OLA13" s="131"/>
      <c r="OLB13" s="131"/>
      <c r="OLC13" s="131"/>
      <c r="OLD13" s="131"/>
      <c r="OLE13" s="131"/>
      <c r="OLF13" s="131"/>
      <c r="OLG13" s="131"/>
      <c r="OLH13" s="131"/>
      <c r="OLI13" s="131"/>
      <c r="OLJ13" s="131"/>
      <c r="OLK13" s="131"/>
      <c r="OLL13" s="131"/>
      <c r="OLM13" s="131"/>
      <c r="OLN13" s="131"/>
      <c r="OLO13" s="131"/>
      <c r="OLP13" s="131"/>
      <c r="OLQ13" s="131"/>
      <c r="OLR13" s="131"/>
      <c r="OLS13" s="131"/>
      <c r="OLT13" s="131"/>
      <c r="OLU13" s="131"/>
      <c r="OLV13" s="131"/>
      <c r="OLW13" s="131"/>
      <c r="OLX13" s="131"/>
      <c r="OLY13" s="131"/>
      <c r="OLZ13" s="131"/>
      <c r="OMA13" s="131"/>
      <c r="OMB13" s="131"/>
      <c r="OMC13" s="131"/>
      <c r="OMD13" s="131"/>
      <c r="OME13" s="131"/>
      <c r="OMF13" s="131"/>
      <c r="OMG13" s="131"/>
      <c r="OMH13" s="131"/>
      <c r="OMI13" s="131"/>
      <c r="OMJ13" s="131"/>
      <c r="OMK13" s="131"/>
      <c r="OML13" s="131"/>
      <c r="OMM13" s="131"/>
      <c r="OMN13" s="131"/>
      <c r="OMO13" s="131"/>
      <c r="OMP13" s="131"/>
      <c r="OMQ13" s="131"/>
      <c r="OMR13" s="131"/>
      <c r="OMS13" s="131"/>
      <c r="OMT13" s="131"/>
      <c r="OMU13" s="131"/>
      <c r="OMV13" s="131"/>
      <c r="OMW13" s="131"/>
      <c r="OMX13" s="131"/>
      <c r="OMY13" s="131"/>
      <c r="OMZ13" s="131"/>
      <c r="ONA13" s="131"/>
      <c r="ONB13" s="131"/>
      <c r="ONC13" s="131"/>
      <c r="OND13" s="131"/>
      <c r="ONE13" s="131"/>
      <c r="ONF13" s="131"/>
      <c r="ONG13" s="131"/>
      <c r="ONH13" s="131"/>
      <c r="ONI13" s="131"/>
      <c r="ONJ13" s="131"/>
      <c r="ONK13" s="131"/>
      <c r="ONL13" s="131"/>
      <c r="ONM13" s="131"/>
      <c r="ONN13" s="131"/>
      <c r="ONO13" s="131"/>
      <c r="ONP13" s="131"/>
      <c r="ONQ13" s="131"/>
      <c r="ONR13" s="131"/>
      <c r="ONS13" s="131"/>
      <c r="ONT13" s="131"/>
      <c r="ONU13" s="131"/>
      <c r="ONV13" s="131"/>
      <c r="ONW13" s="131"/>
      <c r="ONX13" s="131"/>
      <c r="ONY13" s="131"/>
      <c r="ONZ13" s="131"/>
      <c r="OOA13" s="131"/>
      <c r="OOB13" s="131"/>
      <c r="OOC13" s="131"/>
      <c r="OOD13" s="131"/>
      <c r="OOE13" s="131"/>
      <c r="OOF13" s="131"/>
      <c r="OOG13" s="131"/>
      <c r="OOH13" s="131"/>
      <c r="OOI13" s="131"/>
      <c r="OOJ13" s="131"/>
      <c r="OOK13" s="131"/>
      <c r="OOL13" s="131"/>
      <c r="OOM13" s="131"/>
      <c r="OON13" s="131"/>
      <c r="OOO13" s="131"/>
      <c r="OOP13" s="131"/>
      <c r="OOQ13" s="131"/>
      <c r="OOR13" s="131"/>
      <c r="OOS13" s="131"/>
      <c r="OOT13" s="131"/>
      <c r="OOU13" s="131"/>
      <c r="OOV13" s="131"/>
      <c r="OOW13" s="131"/>
      <c r="OOX13" s="131"/>
      <c r="OOY13" s="131"/>
      <c r="OOZ13" s="131"/>
      <c r="OPA13" s="131"/>
      <c r="OPB13" s="131"/>
      <c r="OPC13" s="131"/>
      <c r="OPD13" s="131"/>
      <c r="OPE13" s="131"/>
      <c r="OPF13" s="131"/>
      <c r="OPG13" s="131"/>
      <c r="OPH13" s="131"/>
      <c r="OPI13" s="131"/>
      <c r="OPJ13" s="131"/>
      <c r="OPK13" s="131"/>
      <c r="OPL13" s="131"/>
      <c r="OPM13" s="131"/>
      <c r="OPN13" s="131"/>
      <c r="OPO13" s="131"/>
      <c r="OPP13" s="131"/>
      <c r="OPQ13" s="131"/>
      <c r="OPR13" s="131"/>
      <c r="OPS13" s="131"/>
      <c r="OPT13" s="131"/>
      <c r="OPU13" s="131"/>
      <c r="OPV13" s="131"/>
      <c r="OPW13" s="131"/>
      <c r="OPX13" s="131"/>
      <c r="OPY13" s="131"/>
      <c r="OPZ13" s="131"/>
      <c r="OQA13" s="131"/>
      <c r="OQB13" s="131"/>
      <c r="OQC13" s="131"/>
      <c r="OQD13" s="131"/>
      <c r="OQE13" s="131"/>
      <c r="OQF13" s="131"/>
      <c r="OQG13" s="131"/>
      <c r="OQH13" s="131"/>
      <c r="OQI13" s="131"/>
      <c r="OQJ13" s="131"/>
      <c r="OQK13" s="131"/>
      <c r="OQL13" s="131"/>
      <c r="OQM13" s="131"/>
      <c r="OQN13" s="131"/>
      <c r="OQO13" s="131"/>
      <c r="OQP13" s="131"/>
      <c r="OQQ13" s="131"/>
      <c r="OQR13" s="131"/>
      <c r="OQS13" s="131"/>
      <c r="OQT13" s="131"/>
      <c r="OQU13" s="131"/>
      <c r="OQV13" s="131"/>
      <c r="OQW13" s="131"/>
      <c r="OQX13" s="131"/>
      <c r="OQY13" s="131"/>
      <c r="OQZ13" s="131"/>
      <c r="ORA13" s="131"/>
      <c r="ORB13" s="131"/>
      <c r="ORC13" s="131"/>
      <c r="ORD13" s="131"/>
      <c r="ORE13" s="131"/>
      <c r="ORF13" s="131"/>
      <c r="ORG13" s="131"/>
      <c r="ORH13" s="131"/>
      <c r="ORI13" s="131"/>
      <c r="ORJ13" s="131"/>
      <c r="ORK13" s="131"/>
      <c r="ORL13" s="131"/>
      <c r="ORM13" s="131"/>
      <c r="ORN13" s="131"/>
      <c r="ORO13" s="131"/>
      <c r="ORP13" s="131"/>
      <c r="ORQ13" s="131"/>
      <c r="ORR13" s="131"/>
      <c r="ORS13" s="131"/>
      <c r="ORT13" s="131"/>
      <c r="ORU13" s="131"/>
      <c r="ORV13" s="131"/>
      <c r="ORW13" s="131"/>
      <c r="ORX13" s="131"/>
      <c r="ORY13" s="131"/>
      <c r="ORZ13" s="131"/>
      <c r="OSA13" s="131"/>
      <c r="OSB13" s="131"/>
      <c r="OSC13" s="131"/>
      <c r="OSD13" s="131"/>
      <c r="OSE13" s="131"/>
      <c r="OSF13" s="131"/>
      <c r="OSG13" s="131"/>
      <c r="OSH13" s="131"/>
      <c r="OSI13" s="131"/>
      <c r="OSJ13" s="131"/>
      <c r="OSK13" s="131"/>
      <c r="OSL13" s="131"/>
      <c r="OSM13" s="131"/>
      <c r="OSN13" s="131"/>
      <c r="OSO13" s="131"/>
      <c r="OSP13" s="131"/>
      <c r="OSQ13" s="131"/>
      <c r="OSR13" s="131"/>
      <c r="OSS13" s="131"/>
      <c r="OST13" s="131"/>
      <c r="OSU13" s="131"/>
      <c r="OSV13" s="131"/>
      <c r="OSW13" s="131"/>
      <c r="OSX13" s="131"/>
      <c r="OSY13" s="131"/>
      <c r="OSZ13" s="131"/>
      <c r="OTA13" s="131"/>
      <c r="OTB13" s="131"/>
      <c r="OTC13" s="131"/>
      <c r="OTD13" s="131"/>
      <c r="OTE13" s="131"/>
      <c r="OTF13" s="131"/>
      <c r="OTG13" s="131"/>
      <c r="OTH13" s="131"/>
      <c r="OTI13" s="131"/>
      <c r="OTJ13" s="131"/>
      <c r="OTK13" s="131"/>
      <c r="OTL13" s="131"/>
      <c r="OTM13" s="131"/>
      <c r="OTN13" s="131"/>
      <c r="OTO13" s="131"/>
      <c r="OTP13" s="131"/>
      <c r="OTQ13" s="131"/>
      <c r="OTR13" s="131"/>
      <c r="OTS13" s="131"/>
      <c r="OTT13" s="131"/>
      <c r="OTU13" s="131"/>
      <c r="OTV13" s="131"/>
      <c r="OTW13" s="131"/>
      <c r="OTX13" s="131"/>
      <c r="OTY13" s="131"/>
      <c r="OTZ13" s="131"/>
      <c r="OUA13" s="131"/>
      <c r="OUB13" s="131"/>
      <c r="OUC13" s="131"/>
      <c r="OUD13" s="131"/>
      <c r="OUE13" s="131"/>
      <c r="OUF13" s="131"/>
      <c r="OUG13" s="131"/>
      <c r="OUH13" s="131"/>
      <c r="OUI13" s="131"/>
      <c r="OUJ13" s="131"/>
      <c r="OUK13" s="131"/>
      <c r="OUL13" s="131"/>
      <c r="OUM13" s="131"/>
      <c r="OUN13" s="131"/>
      <c r="OUO13" s="131"/>
      <c r="OUP13" s="131"/>
      <c r="OUQ13" s="131"/>
      <c r="OUR13" s="131"/>
      <c r="OUS13" s="131"/>
      <c r="OUT13" s="131"/>
      <c r="OUU13" s="131"/>
      <c r="OUV13" s="131"/>
      <c r="OUW13" s="131"/>
      <c r="OUX13" s="131"/>
      <c r="OUY13" s="131"/>
      <c r="OUZ13" s="131"/>
      <c r="OVA13" s="131"/>
      <c r="OVB13" s="131"/>
      <c r="OVC13" s="131"/>
      <c r="OVD13" s="131"/>
      <c r="OVE13" s="131"/>
      <c r="OVF13" s="131"/>
      <c r="OVG13" s="131"/>
      <c r="OVH13" s="131"/>
      <c r="OVI13" s="131"/>
      <c r="OVJ13" s="131"/>
      <c r="OVK13" s="131"/>
      <c r="OVL13" s="131"/>
      <c r="OVM13" s="131"/>
      <c r="OVN13" s="131"/>
      <c r="OVO13" s="131"/>
      <c r="OVP13" s="131"/>
      <c r="OVQ13" s="131"/>
      <c r="OVR13" s="131"/>
      <c r="OVS13" s="131"/>
      <c r="OVT13" s="131"/>
      <c r="OVU13" s="131"/>
      <c r="OVV13" s="131"/>
      <c r="OVW13" s="131"/>
      <c r="OVX13" s="131"/>
      <c r="OVY13" s="131"/>
      <c r="OVZ13" s="131"/>
      <c r="OWA13" s="131"/>
      <c r="OWB13" s="131"/>
      <c r="OWC13" s="131"/>
      <c r="OWD13" s="131"/>
      <c r="OWE13" s="131"/>
      <c r="OWF13" s="131"/>
      <c r="OWG13" s="131"/>
      <c r="OWH13" s="131"/>
      <c r="OWI13" s="131"/>
      <c r="OWJ13" s="131"/>
      <c r="OWK13" s="131"/>
      <c r="OWL13" s="131"/>
      <c r="OWM13" s="131"/>
      <c r="OWN13" s="131"/>
      <c r="OWO13" s="131"/>
      <c r="OWP13" s="131"/>
      <c r="OWQ13" s="131"/>
      <c r="OWR13" s="131"/>
      <c r="OWS13" s="131"/>
      <c r="OWT13" s="131"/>
      <c r="OWU13" s="131"/>
      <c r="OWV13" s="131"/>
      <c r="OWW13" s="131"/>
      <c r="OWX13" s="131"/>
      <c r="OWY13" s="131"/>
      <c r="OWZ13" s="131"/>
      <c r="OXA13" s="131"/>
      <c r="OXB13" s="131"/>
      <c r="OXC13" s="131"/>
      <c r="OXD13" s="131"/>
      <c r="OXE13" s="131"/>
      <c r="OXF13" s="131"/>
      <c r="OXG13" s="131"/>
      <c r="OXH13" s="131"/>
      <c r="OXI13" s="131"/>
      <c r="OXJ13" s="131"/>
      <c r="OXK13" s="131"/>
      <c r="OXL13" s="131"/>
      <c r="OXM13" s="131"/>
      <c r="OXN13" s="131"/>
      <c r="OXO13" s="131"/>
      <c r="OXP13" s="131"/>
      <c r="OXQ13" s="131"/>
      <c r="OXR13" s="131"/>
      <c r="OXS13" s="131"/>
      <c r="OXT13" s="131"/>
      <c r="OXU13" s="131"/>
      <c r="OXV13" s="131"/>
      <c r="OXW13" s="131"/>
      <c r="OXX13" s="131"/>
      <c r="OXY13" s="131"/>
      <c r="OXZ13" s="131"/>
      <c r="OYA13" s="131"/>
      <c r="OYB13" s="131"/>
      <c r="OYC13" s="131"/>
      <c r="OYD13" s="131"/>
      <c r="OYE13" s="131"/>
      <c r="OYF13" s="131"/>
      <c r="OYG13" s="131"/>
      <c r="OYH13" s="131"/>
      <c r="OYI13" s="131"/>
      <c r="OYJ13" s="131"/>
      <c r="OYK13" s="131"/>
      <c r="OYL13" s="131"/>
      <c r="OYM13" s="131"/>
      <c r="OYN13" s="131"/>
      <c r="OYO13" s="131"/>
      <c r="OYP13" s="131"/>
      <c r="OYQ13" s="131"/>
      <c r="OYR13" s="131"/>
      <c r="OYS13" s="131"/>
      <c r="OYT13" s="131"/>
      <c r="OYU13" s="131"/>
      <c r="OYV13" s="131"/>
      <c r="OYW13" s="131"/>
      <c r="OYX13" s="131"/>
      <c r="OYY13" s="131"/>
      <c r="OYZ13" s="131"/>
      <c r="OZA13" s="131"/>
      <c r="OZB13" s="131"/>
      <c r="OZC13" s="131"/>
      <c r="OZD13" s="131"/>
      <c r="OZE13" s="131"/>
      <c r="OZF13" s="131"/>
      <c r="OZG13" s="131"/>
      <c r="OZH13" s="131"/>
      <c r="OZI13" s="131"/>
      <c r="OZJ13" s="131"/>
      <c r="OZK13" s="131"/>
      <c r="OZL13" s="131"/>
      <c r="OZM13" s="131"/>
      <c r="OZN13" s="131"/>
      <c r="OZO13" s="131"/>
      <c r="OZP13" s="131"/>
      <c r="OZQ13" s="131"/>
      <c r="OZR13" s="131"/>
      <c r="OZS13" s="131"/>
      <c r="OZT13" s="131"/>
      <c r="OZU13" s="131"/>
      <c r="OZV13" s="131"/>
      <c r="OZW13" s="131"/>
      <c r="OZX13" s="131"/>
      <c r="OZY13" s="131"/>
      <c r="OZZ13" s="131"/>
      <c r="PAA13" s="131"/>
      <c r="PAB13" s="131"/>
      <c r="PAC13" s="131"/>
      <c r="PAD13" s="131"/>
      <c r="PAE13" s="131"/>
      <c r="PAF13" s="131"/>
      <c r="PAG13" s="131"/>
      <c r="PAH13" s="131"/>
      <c r="PAI13" s="131"/>
      <c r="PAJ13" s="131"/>
      <c r="PAK13" s="131"/>
      <c r="PAL13" s="131"/>
      <c r="PAM13" s="131"/>
      <c r="PAN13" s="131"/>
      <c r="PAO13" s="131"/>
      <c r="PAP13" s="131"/>
      <c r="PAQ13" s="131"/>
      <c r="PAR13" s="131"/>
      <c r="PAS13" s="131"/>
      <c r="PAT13" s="131"/>
      <c r="PAU13" s="131"/>
      <c r="PAV13" s="131"/>
      <c r="PAW13" s="131"/>
      <c r="PAX13" s="131"/>
      <c r="PAY13" s="131"/>
      <c r="PAZ13" s="131"/>
      <c r="PBA13" s="131"/>
      <c r="PBB13" s="131"/>
      <c r="PBC13" s="131"/>
      <c r="PBD13" s="131"/>
      <c r="PBE13" s="131"/>
      <c r="PBF13" s="131"/>
      <c r="PBG13" s="131"/>
      <c r="PBH13" s="131"/>
      <c r="PBI13" s="131"/>
      <c r="PBJ13" s="131"/>
      <c r="PBK13" s="131"/>
      <c r="PBL13" s="131"/>
      <c r="PBM13" s="131"/>
      <c r="PBN13" s="131"/>
      <c r="PBO13" s="131"/>
      <c r="PBP13" s="131"/>
      <c r="PBQ13" s="131"/>
      <c r="PBR13" s="131"/>
      <c r="PBS13" s="131"/>
      <c r="PBT13" s="131"/>
      <c r="PBU13" s="131"/>
      <c r="PBV13" s="131"/>
      <c r="PBW13" s="131"/>
      <c r="PBX13" s="131"/>
      <c r="PBY13" s="131"/>
      <c r="PBZ13" s="131"/>
      <c r="PCA13" s="131"/>
      <c r="PCB13" s="131"/>
      <c r="PCC13" s="131"/>
      <c r="PCD13" s="131"/>
      <c r="PCE13" s="131"/>
      <c r="PCF13" s="131"/>
      <c r="PCG13" s="131"/>
      <c r="PCH13" s="131"/>
      <c r="PCI13" s="131"/>
      <c r="PCJ13" s="131"/>
      <c r="PCK13" s="131"/>
      <c r="PCL13" s="131"/>
      <c r="PCM13" s="131"/>
      <c r="PCN13" s="131"/>
      <c r="PCO13" s="131"/>
      <c r="PCP13" s="131"/>
      <c r="PCQ13" s="131"/>
      <c r="PCR13" s="131"/>
      <c r="PCS13" s="131"/>
      <c r="PCT13" s="131"/>
      <c r="PCU13" s="131"/>
      <c r="PCV13" s="131"/>
      <c r="PCW13" s="131"/>
      <c r="PCX13" s="131"/>
      <c r="PCY13" s="131"/>
      <c r="PCZ13" s="131"/>
      <c r="PDA13" s="131"/>
      <c r="PDB13" s="131"/>
      <c r="PDC13" s="131"/>
      <c r="PDD13" s="131"/>
      <c r="PDE13" s="131"/>
      <c r="PDF13" s="131"/>
      <c r="PDG13" s="131"/>
      <c r="PDH13" s="131"/>
      <c r="PDI13" s="131"/>
      <c r="PDJ13" s="131"/>
      <c r="PDK13" s="131"/>
      <c r="PDL13" s="131"/>
      <c r="PDM13" s="131"/>
      <c r="PDN13" s="131"/>
      <c r="PDO13" s="131"/>
      <c r="PDP13" s="131"/>
      <c r="PDQ13" s="131"/>
      <c r="PDR13" s="131"/>
      <c r="PDS13" s="131"/>
      <c r="PDT13" s="131"/>
      <c r="PDU13" s="131"/>
      <c r="PDV13" s="131"/>
      <c r="PDW13" s="131"/>
      <c r="PDX13" s="131"/>
      <c r="PDY13" s="131"/>
      <c r="PDZ13" s="131"/>
      <c r="PEA13" s="131"/>
      <c r="PEB13" s="131"/>
      <c r="PEC13" s="131"/>
      <c r="PED13" s="131"/>
      <c r="PEE13" s="131"/>
      <c r="PEF13" s="131"/>
      <c r="PEG13" s="131"/>
      <c r="PEH13" s="131"/>
      <c r="PEI13" s="131"/>
      <c r="PEJ13" s="131"/>
      <c r="PEK13" s="131"/>
      <c r="PEL13" s="131"/>
      <c r="PEM13" s="131"/>
      <c r="PEN13" s="131"/>
      <c r="PEO13" s="131"/>
      <c r="PEP13" s="131"/>
      <c r="PEQ13" s="131"/>
      <c r="PER13" s="131"/>
      <c r="PES13" s="131"/>
      <c r="PET13" s="131"/>
      <c r="PEU13" s="131"/>
      <c r="PEV13" s="131"/>
      <c r="PEW13" s="131"/>
      <c r="PEX13" s="131"/>
      <c r="PEY13" s="131"/>
      <c r="PEZ13" s="131"/>
      <c r="PFA13" s="131"/>
      <c r="PFB13" s="131"/>
      <c r="PFC13" s="131"/>
      <c r="PFD13" s="131"/>
      <c r="PFE13" s="131"/>
      <c r="PFF13" s="131"/>
      <c r="PFG13" s="131"/>
      <c r="PFH13" s="131"/>
      <c r="PFI13" s="131"/>
      <c r="PFJ13" s="131"/>
      <c r="PFK13" s="131"/>
      <c r="PFL13" s="131"/>
      <c r="PFM13" s="131"/>
      <c r="PFN13" s="131"/>
      <c r="PFO13" s="131"/>
      <c r="PFP13" s="131"/>
      <c r="PFQ13" s="131"/>
      <c r="PFR13" s="131"/>
      <c r="PFS13" s="131"/>
      <c r="PFT13" s="131"/>
      <c r="PFU13" s="131"/>
      <c r="PFV13" s="131"/>
      <c r="PFW13" s="131"/>
      <c r="PFX13" s="131"/>
      <c r="PFY13" s="131"/>
      <c r="PFZ13" s="131"/>
      <c r="PGA13" s="131"/>
      <c r="PGB13" s="131"/>
      <c r="PGC13" s="131"/>
      <c r="PGD13" s="131"/>
      <c r="PGE13" s="131"/>
      <c r="PGF13" s="131"/>
      <c r="PGG13" s="131"/>
      <c r="PGH13" s="131"/>
      <c r="PGI13" s="131"/>
      <c r="PGJ13" s="131"/>
      <c r="PGK13" s="131"/>
      <c r="PGL13" s="131"/>
      <c r="PGM13" s="131"/>
      <c r="PGN13" s="131"/>
      <c r="PGO13" s="131"/>
      <c r="PGP13" s="131"/>
      <c r="PGQ13" s="131"/>
      <c r="PGR13" s="131"/>
      <c r="PGS13" s="131"/>
      <c r="PGT13" s="131"/>
      <c r="PGU13" s="131"/>
      <c r="PGV13" s="131"/>
      <c r="PGW13" s="131"/>
      <c r="PGX13" s="131"/>
      <c r="PGY13" s="131"/>
      <c r="PGZ13" s="131"/>
      <c r="PHA13" s="131"/>
      <c r="PHB13" s="131"/>
      <c r="PHC13" s="131"/>
      <c r="PHD13" s="131"/>
      <c r="PHE13" s="131"/>
      <c r="PHF13" s="131"/>
      <c r="PHG13" s="131"/>
      <c r="PHH13" s="131"/>
      <c r="PHI13" s="131"/>
      <c r="PHJ13" s="131"/>
      <c r="PHK13" s="131"/>
      <c r="PHL13" s="131"/>
      <c r="PHM13" s="131"/>
      <c r="PHN13" s="131"/>
      <c r="PHO13" s="131"/>
      <c r="PHP13" s="131"/>
      <c r="PHQ13" s="131"/>
      <c r="PHR13" s="131"/>
      <c r="PHS13" s="131"/>
      <c r="PHT13" s="131"/>
      <c r="PHU13" s="131"/>
      <c r="PHV13" s="131"/>
      <c r="PHW13" s="131"/>
      <c r="PHX13" s="131"/>
      <c r="PHY13" s="131"/>
      <c r="PHZ13" s="131"/>
      <c r="PIA13" s="131"/>
      <c r="PIB13" s="131"/>
      <c r="PIC13" s="131"/>
      <c r="PID13" s="131"/>
      <c r="PIE13" s="131"/>
      <c r="PIF13" s="131"/>
      <c r="PIG13" s="131"/>
      <c r="PIH13" s="131"/>
      <c r="PII13" s="131"/>
      <c r="PIJ13" s="131"/>
      <c r="PIK13" s="131"/>
      <c r="PIL13" s="131"/>
      <c r="PIM13" s="131"/>
      <c r="PIN13" s="131"/>
      <c r="PIO13" s="131"/>
      <c r="PIP13" s="131"/>
      <c r="PIQ13" s="131"/>
      <c r="PIR13" s="131"/>
      <c r="PIS13" s="131"/>
      <c r="PIT13" s="131"/>
      <c r="PIU13" s="131"/>
      <c r="PIV13" s="131"/>
      <c r="PIW13" s="131"/>
      <c r="PIX13" s="131"/>
      <c r="PIY13" s="131"/>
      <c r="PIZ13" s="131"/>
      <c r="PJA13" s="131"/>
      <c r="PJB13" s="131"/>
      <c r="PJC13" s="131"/>
      <c r="PJD13" s="131"/>
      <c r="PJE13" s="131"/>
      <c r="PJF13" s="131"/>
      <c r="PJG13" s="131"/>
      <c r="PJH13" s="131"/>
      <c r="PJI13" s="131"/>
      <c r="PJJ13" s="131"/>
      <c r="PJK13" s="131"/>
      <c r="PJL13" s="131"/>
      <c r="PJM13" s="131"/>
      <c r="PJN13" s="131"/>
      <c r="PJO13" s="131"/>
      <c r="PJP13" s="131"/>
      <c r="PJQ13" s="131"/>
      <c r="PJR13" s="131"/>
      <c r="PJS13" s="131"/>
      <c r="PJT13" s="131"/>
      <c r="PJU13" s="131"/>
      <c r="PJV13" s="131"/>
      <c r="PJW13" s="131"/>
      <c r="PJX13" s="131"/>
      <c r="PJY13" s="131"/>
      <c r="PJZ13" s="131"/>
      <c r="PKA13" s="131"/>
      <c r="PKB13" s="131"/>
      <c r="PKC13" s="131"/>
      <c r="PKD13" s="131"/>
      <c r="PKE13" s="131"/>
      <c r="PKF13" s="131"/>
      <c r="PKG13" s="131"/>
      <c r="PKH13" s="131"/>
      <c r="PKI13" s="131"/>
      <c r="PKJ13" s="131"/>
      <c r="PKK13" s="131"/>
      <c r="PKL13" s="131"/>
      <c r="PKM13" s="131"/>
      <c r="PKN13" s="131"/>
      <c r="PKO13" s="131"/>
      <c r="PKP13" s="131"/>
      <c r="PKQ13" s="131"/>
      <c r="PKR13" s="131"/>
      <c r="PKS13" s="131"/>
      <c r="PKT13" s="131"/>
      <c r="PKU13" s="131"/>
      <c r="PKV13" s="131"/>
      <c r="PKW13" s="131"/>
      <c r="PKX13" s="131"/>
      <c r="PKY13" s="131"/>
      <c r="PKZ13" s="131"/>
      <c r="PLA13" s="131"/>
      <c r="PLB13" s="131"/>
      <c r="PLC13" s="131"/>
      <c r="PLD13" s="131"/>
      <c r="PLE13" s="131"/>
      <c r="PLF13" s="131"/>
      <c r="PLG13" s="131"/>
      <c r="PLH13" s="131"/>
      <c r="PLI13" s="131"/>
      <c r="PLJ13" s="131"/>
      <c r="PLK13" s="131"/>
      <c r="PLL13" s="131"/>
      <c r="PLM13" s="131"/>
      <c r="PLN13" s="131"/>
      <c r="PLO13" s="131"/>
      <c r="PLP13" s="131"/>
      <c r="PLQ13" s="131"/>
      <c r="PLR13" s="131"/>
      <c r="PLS13" s="131"/>
      <c r="PLT13" s="131"/>
      <c r="PLU13" s="131"/>
      <c r="PLV13" s="131"/>
      <c r="PLW13" s="131"/>
      <c r="PLX13" s="131"/>
      <c r="PLY13" s="131"/>
      <c r="PLZ13" s="131"/>
      <c r="PMA13" s="131"/>
      <c r="PMB13" s="131"/>
      <c r="PMC13" s="131"/>
      <c r="PMD13" s="131"/>
      <c r="PME13" s="131"/>
      <c r="PMF13" s="131"/>
      <c r="PMG13" s="131"/>
      <c r="PMH13" s="131"/>
      <c r="PMI13" s="131"/>
      <c r="PMJ13" s="131"/>
      <c r="PMK13" s="131"/>
      <c r="PML13" s="131"/>
      <c r="PMM13" s="131"/>
      <c r="PMN13" s="131"/>
      <c r="PMO13" s="131"/>
      <c r="PMP13" s="131"/>
      <c r="PMQ13" s="131"/>
      <c r="PMR13" s="131"/>
      <c r="PMS13" s="131"/>
      <c r="PMT13" s="131"/>
      <c r="PMU13" s="131"/>
      <c r="PMV13" s="131"/>
      <c r="PMW13" s="131"/>
      <c r="PMX13" s="131"/>
      <c r="PMY13" s="131"/>
      <c r="PMZ13" s="131"/>
      <c r="PNA13" s="131"/>
      <c r="PNB13" s="131"/>
      <c r="PNC13" s="131"/>
      <c r="PND13" s="131"/>
      <c r="PNE13" s="131"/>
      <c r="PNF13" s="131"/>
      <c r="PNG13" s="131"/>
      <c r="PNH13" s="131"/>
      <c r="PNI13" s="131"/>
      <c r="PNJ13" s="131"/>
      <c r="PNK13" s="131"/>
      <c r="PNL13" s="131"/>
      <c r="PNM13" s="131"/>
      <c r="PNN13" s="131"/>
      <c r="PNO13" s="131"/>
      <c r="PNP13" s="131"/>
      <c r="PNQ13" s="131"/>
      <c r="PNR13" s="131"/>
      <c r="PNS13" s="131"/>
      <c r="PNT13" s="131"/>
      <c r="PNU13" s="131"/>
      <c r="PNV13" s="131"/>
      <c r="PNW13" s="131"/>
      <c r="PNX13" s="131"/>
      <c r="PNY13" s="131"/>
      <c r="PNZ13" s="131"/>
      <c r="POA13" s="131"/>
      <c r="POB13" s="131"/>
      <c r="POC13" s="131"/>
      <c r="POD13" s="131"/>
      <c r="POE13" s="131"/>
      <c r="POF13" s="131"/>
      <c r="POG13" s="131"/>
      <c r="POH13" s="131"/>
      <c r="POI13" s="131"/>
      <c r="POJ13" s="131"/>
      <c r="POK13" s="131"/>
      <c r="POL13" s="131"/>
      <c r="POM13" s="131"/>
      <c r="PON13" s="131"/>
      <c r="POO13" s="131"/>
    </row>
    <row r="14" spans="1:1013 1026:2037 2050:3061 3074:4085 4098:5109 5122:6133 6146:7157 7170:8181 8194:9205 9218:10229 10242:11221" s="132" customFormat="1" ht="14.95" customHeight="1" thickBot="1" x14ac:dyDescent="0.3">
      <c r="A14" s="309" t="s">
        <v>429</v>
      </c>
      <c r="B14" s="310" t="s">
        <v>104</v>
      </c>
      <c r="C14" s="93" t="s">
        <v>432</v>
      </c>
      <c r="D14" s="94" t="s">
        <v>299</v>
      </c>
      <c r="E14" s="94" t="s">
        <v>34</v>
      </c>
      <c r="F14" s="94">
        <v>17</v>
      </c>
      <c r="G14" s="94">
        <v>34</v>
      </c>
      <c r="H14" s="94">
        <v>0</v>
      </c>
      <c r="I14" s="94">
        <v>0</v>
      </c>
      <c r="J14" s="94">
        <v>2</v>
      </c>
      <c r="K14" s="94">
        <v>2</v>
      </c>
      <c r="L14" s="94">
        <v>0</v>
      </c>
      <c r="M14" s="94">
        <v>1</v>
      </c>
      <c r="N14" s="94">
        <v>0</v>
      </c>
      <c r="O14" s="94">
        <v>0</v>
      </c>
      <c r="P14" s="94">
        <v>1</v>
      </c>
      <c r="Q14" s="94">
        <v>0</v>
      </c>
      <c r="R14" s="94">
        <v>4</v>
      </c>
      <c r="S14" s="311">
        <v>11700</v>
      </c>
      <c r="T14" s="725" t="s">
        <v>648</v>
      </c>
      <c r="U14" s="313" t="s">
        <v>594</v>
      </c>
      <c r="V14" s="311" t="s">
        <v>595</v>
      </c>
      <c r="W14" s="311" t="s">
        <v>619</v>
      </c>
      <c r="X14" s="88" t="s">
        <v>597</v>
      </c>
      <c r="Y14" s="311">
        <v>1</v>
      </c>
      <c r="Z14" s="311">
        <v>0</v>
      </c>
      <c r="AA14" s="311">
        <v>0</v>
      </c>
      <c r="AB14" s="311">
        <v>1</v>
      </c>
      <c r="AC14" s="311">
        <v>1</v>
      </c>
      <c r="AD14" s="311">
        <v>0</v>
      </c>
      <c r="AE14" s="311">
        <v>0</v>
      </c>
      <c r="AF14" s="311">
        <v>1</v>
      </c>
      <c r="AG14" s="311">
        <v>0</v>
      </c>
      <c r="AH14" s="311">
        <v>0</v>
      </c>
      <c r="AI14" s="311">
        <v>0</v>
      </c>
      <c r="AJ14" s="313">
        <v>0</v>
      </c>
      <c r="AK14" s="311">
        <v>0</v>
      </c>
      <c r="AL14" s="311">
        <v>0</v>
      </c>
      <c r="AM14" s="311">
        <v>0</v>
      </c>
      <c r="AN14" s="313">
        <v>0</v>
      </c>
      <c r="AO14" s="131"/>
      <c r="AP14" s="131"/>
      <c r="AQ14" s="131"/>
      <c r="AR14" s="131"/>
      <c r="AS14" s="131"/>
      <c r="AT14" s="131"/>
      <c r="AU14" s="131"/>
      <c r="AV14" s="131"/>
      <c r="AW14" s="131"/>
      <c r="AX14" s="1003"/>
      <c r="AY14" s="1003"/>
      <c r="AZ14" s="1003"/>
      <c r="BA14" s="1003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003"/>
      <c r="BO14" s="1003"/>
      <c r="BP14" s="1003"/>
      <c r="BQ14" s="1003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003"/>
      <c r="CE14" s="1003"/>
      <c r="CF14" s="1003"/>
      <c r="CG14" s="1003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003"/>
      <c r="CU14" s="1003"/>
      <c r="CV14" s="1003"/>
      <c r="CW14" s="1003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003"/>
      <c r="DK14" s="1003"/>
      <c r="DL14" s="1003"/>
      <c r="DM14" s="1003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003"/>
      <c r="EA14" s="1003"/>
      <c r="EB14" s="1003"/>
      <c r="EC14" s="1003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003"/>
      <c r="EQ14" s="1003"/>
      <c r="ER14" s="1003"/>
      <c r="ES14" s="1003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003"/>
      <c r="FG14" s="1003"/>
      <c r="FH14" s="1003"/>
      <c r="FI14" s="1003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003"/>
      <c r="FW14" s="1003"/>
      <c r="FX14" s="1003"/>
      <c r="FY14" s="1003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003"/>
      <c r="GM14" s="1003"/>
      <c r="GN14" s="1003"/>
      <c r="GO14" s="1003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003"/>
      <c r="HC14" s="1003"/>
      <c r="HD14" s="1003"/>
      <c r="HE14" s="1003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003"/>
      <c r="HS14" s="1003"/>
      <c r="HT14" s="1003"/>
      <c r="HU14" s="1003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003"/>
      <c r="II14" s="1003"/>
      <c r="IJ14" s="1003"/>
      <c r="IK14" s="1003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003"/>
      <c r="IY14" s="1003"/>
      <c r="IZ14" s="1003"/>
      <c r="JA14" s="1003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003"/>
      <c r="JO14" s="1003"/>
      <c r="JP14" s="1003"/>
      <c r="JQ14" s="1003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003"/>
      <c r="KE14" s="1003"/>
      <c r="KF14" s="1003"/>
      <c r="KG14" s="1003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003"/>
      <c r="KU14" s="1003"/>
      <c r="KV14" s="1003"/>
      <c r="KW14" s="1003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003"/>
      <c r="LK14" s="1003"/>
      <c r="LL14" s="1003"/>
      <c r="LM14" s="1003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003"/>
      <c r="MA14" s="1003"/>
      <c r="MB14" s="1003"/>
      <c r="MC14" s="1003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003"/>
      <c r="MQ14" s="1003"/>
      <c r="MR14" s="1003"/>
      <c r="MS14" s="1003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003"/>
      <c r="NG14" s="1003"/>
      <c r="NH14" s="1003"/>
      <c r="NI14" s="1003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003"/>
      <c r="NW14" s="1003"/>
      <c r="NX14" s="1003"/>
      <c r="NY14" s="1003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003"/>
      <c r="OM14" s="1003"/>
      <c r="ON14" s="1003"/>
      <c r="OO14" s="1003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003"/>
      <c r="PC14" s="1003"/>
      <c r="PD14" s="1003"/>
      <c r="PE14" s="1003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003"/>
      <c r="PS14" s="1003"/>
      <c r="PT14" s="1003"/>
      <c r="PU14" s="1003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003"/>
      <c r="QI14" s="1003"/>
      <c r="QJ14" s="1003"/>
      <c r="QK14" s="1003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003"/>
      <c r="QY14" s="1003"/>
      <c r="QZ14" s="1003"/>
      <c r="RA14" s="1003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003"/>
      <c r="RO14" s="1003"/>
      <c r="RP14" s="1003"/>
      <c r="RQ14" s="1003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003"/>
      <c r="SE14" s="1003"/>
      <c r="SF14" s="1003"/>
      <c r="SG14" s="1003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003"/>
      <c r="SU14" s="1003"/>
      <c r="SV14" s="1003"/>
      <c r="SW14" s="1003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003"/>
      <c r="TK14" s="1003"/>
      <c r="TL14" s="1003"/>
      <c r="TM14" s="1003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003"/>
      <c r="UA14" s="1003"/>
      <c r="UB14" s="1003"/>
      <c r="UC14" s="1003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003"/>
      <c r="UQ14" s="1003"/>
      <c r="UR14" s="1003"/>
      <c r="US14" s="1003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003"/>
      <c r="VG14" s="1003"/>
      <c r="VH14" s="1003"/>
      <c r="VI14" s="1003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003"/>
      <c r="VW14" s="1003"/>
      <c r="VX14" s="1003"/>
      <c r="VY14" s="1003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003"/>
      <c r="WM14" s="1003"/>
      <c r="WN14" s="1003"/>
      <c r="WO14" s="1003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003"/>
      <c r="XC14" s="1003"/>
      <c r="XD14" s="1003"/>
      <c r="XE14" s="1003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003"/>
      <c r="XS14" s="1003"/>
      <c r="XT14" s="1003"/>
      <c r="XU14" s="1003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003"/>
      <c r="YI14" s="1003"/>
      <c r="YJ14" s="1003"/>
      <c r="YK14" s="1003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003"/>
      <c r="YY14" s="1003"/>
      <c r="YZ14" s="1003"/>
      <c r="ZA14" s="1003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003"/>
      <c r="ZO14" s="1003"/>
      <c r="ZP14" s="1003"/>
      <c r="ZQ14" s="1003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003"/>
      <c r="AAE14" s="1003"/>
      <c r="AAF14" s="1003"/>
      <c r="AAG14" s="1003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003"/>
      <c r="AAU14" s="1003"/>
      <c r="AAV14" s="1003"/>
      <c r="AAW14" s="1003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003"/>
      <c r="ABK14" s="1003"/>
      <c r="ABL14" s="1003"/>
      <c r="ABM14" s="1003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003"/>
      <c r="ACA14" s="1003"/>
      <c r="ACB14" s="1003"/>
      <c r="ACC14" s="1003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003"/>
      <c r="ACQ14" s="1003"/>
      <c r="ACR14" s="1003"/>
      <c r="ACS14" s="1003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003"/>
      <c r="ADG14" s="1003"/>
      <c r="ADH14" s="1003"/>
      <c r="ADI14" s="1003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003"/>
      <c r="ADW14" s="1003"/>
      <c r="ADX14" s="1003"/>
      <c r="ADY14" s="1003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003"/>
      <c r="AEM14" s="1003"/>
      <c r="AEN14" s="1003"/>
      <c r="AEO14" s="1003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003"/>
      <c r="AFC14" s="1003"/>
      <c r="AFD14" s="1003"/>
      <c r="AFE14" s="1003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003"/>
      <c r="AFS14" s="1003"/>
      <c r="AFT14" s="1003"/>
      <c r="AFU14" s="1003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003"/>
      <c r="AGI14" s="1003"/>
      <c r="AGJ14" s="1003"/>
      <c r="AGK14" s="1003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003"/>
      <c r="AGY14" s="1003"/>
      <c r="AGZ14" s="1003"/>
      <c r="AHA14" s="1003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003"/>
      <c r="AHO14" s="1003"/>
      <c r="AHP14" s="1003"/>
      <c r="AHQ14" s="1003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003"/>
      <c r="AIE14" s="1003"/>
      <c r="AIF14" s="1003"/>
      <c r="AIG14" s="1003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003"/>
      <c r="AIU14" s="1003"/>
      <c r="AIV14" s="1003"/>
      <c r="AIW14" s="1003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003"/>
      <c r="AJK14" s="1003"/>
      <c r="AJL14" s="1003"/>
      <c r="AJM14" s="1003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003"/>
      <c r="AKA14" s="1003"/>
      <c r="AKB14" s="1003"/>
      <c r="AKC14" s="1003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003"/>
      <c r="AKQ14" s="1003"/>
      <c r="AKR14" s="1003"/>
      <c r="AKS14" s="1003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003"/>
      <c r="ALG14" s="1003"/>
      <c r="ALH14" s="1003"/>
      <c r="ALI14" s="1003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003"/>
      <c r="ALW14" s="1003"/>
      <c r="ALX14" s="1003"/>
      <c r="ALY14" s="1003"/>
      <c r="AML14" s="1003"/>
      <c r="AMM14" s="1003"/>
      <c r="AMN14" s="1003"/>
      <c r="AMO14" s="1003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003"/>
      <c r="ANC14" s="1003"/>
      <c r="AND14" s="1003"/>
      <c r="ANE14" s="1003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003"/>
      <c r="ANS14" s="1003"/>
      <c r="ANT14" s="1003"/>
      <c r="ANU14" s="1003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003"/>
      <c r="AOI14" s="1003"/>
      <c r="AOJ14" s="1003"/>
      <c r="AOK14" s="1003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003"/>
      <c r="AOY14" s="1003"/>
      <c r="AOZ14" s="1003"/>
      <c r="APA14" s="1003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003"/>
      <c r="APO14" s="1003"/>
      <c r="APP14" s="1003"/>
      <c r="APQ14" s="1003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003"/>
      <c r="AQE14" s="1003"/>
      <c r="AQF14" s="1003"/>
      <c r="AQG14" s="1003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003"/>
      <c r="AQU14" s="1003"/>
      <c r="AQV14" s="1003"/>
      <c r="AQW14" s="1003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003"/>
      <c r="ARK14" s="1003"/>
      <c r="ARL14" s="1003"/>
      <c r="ARM14" s="1003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003"/>
      <c r="ASA14" s="1003"/>
      <c r="ASB14" s="1003"/>
      <c r="ASC14" s="1003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003"/>
      <c r="ASQ14" s="1003"/>
      <c r="ASR14" s="1003"/>
      <c r="ASS14" s="1003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003"/>
      <c r="ATG14" s="1003"/>
      <c r="ATH14" s="1003"/>
      <c r="ATI14" s="1003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003"/>
      <c r="ATW14" s="1003"/>
      <c r="ATX14" s="1003"/>
      <c r="ATY14" s="1003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003"/>
      <c r="AUM14" s="1003"/>
      <c r="AUN14" s="1003"/>
      <c r="AUO14" s="1003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003"/>
      <c r="AVC14" s="1003"/>
      <c r="AVD14" s="1003"/>
      <c r="AVE14" s="1003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003"/>
      <c r="AVS14" s="1003"/>
      <c r="AVT14" s="1003"/>
      <c r="AVU14" s="1003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003"/>
      <c r="AWI14" s="1003"/>
      <c r="AWJ14" s="1003"/>
      <c r="AWK14" s="1003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003"/>
      <c r="AWY14" s="1003"/>
      <c r="AWZ14" s="1003"/>
      <c r="AXA14" s="1003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003"/>
      <c r="AXO14" s="1003"/>
      <c r="AXP14" s="1003"/>
      <c r="AXQ14" s="1003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003"/>
      <c r="AYE14" s="1003"/>
      <c r="AYF14" s="1003"/>
      <c r="AYG14" s="1003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003"/>
      <c r="AYU14" s="1003"/>
      <c r="AYV14" s="1003"/>
      <c r="AYW14" s="1003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003"/>
      <c r="AZK14" s="1003"/>
      <c r="AZL14" s="1003"/>
      <c r="AZM14" s="1003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003"/>
      <c r="BAA14" s="1003"/>
      <c r="BAB14" s="1003"/>
      <c r="BAC14" s="1003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003"/>
      <c r="BAQ14" s="1003"/>
      <c r="BAR14" s="1003"/>
      <c r="BAS14" s="1003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003"/>
      <c r="BBG14" s="1003"/>
      <c r="BBH14" s="1003"/>
      <c r="BBI14" s="1003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003"/>
      <c r="BBW14" s="1003"/>
      <c r="BBX14" s="1003"/>
      <c r="BBY14" s="1003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003"/>
      <c r="BCM14" s="1003"/>
      <c r="BCN14" s="1003"/>
      <c r="BCO14" s="1003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003"/>
      <c r="BDC14" s="1003"/>
      <c r="BDD14" s="1003"/>
      <c r="BDE14" s="1003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003"/>
      <c r="BDS14" s="1003"/>
      <c r="BDT14" s="1003"/>
      <c r="BDU14" s="1003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003"/>
      <c r="BEI14" s="1003"/>
      <c r="BEJ14" s="1003"/>
      <c r="BEK14" s="1003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003"/>
      <c r="BEY14" s="1003"/>
      <c r="BEZ14" s="1003"/>
      <c r="BFA14" s="1003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003"/>
      <c r="BFO14" s="1003"/>
      <c r="BFP14" s="1003"/>
      <c r="BFQ14" s="1003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003"/>
      <c r="BGE14" s="1003"/>
      <c r="BGF14" s="1003"/>
      <c r="BGG14" s="1003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003"/>
      <c r="BGU14" s="1003"/>
      <c r="BGV14" s="1003"/>
      <c r="BGW14" s="1003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003"/>
      <c r="BHK14" s="1003"/>
      <c r="BHL14" s="1003"/>
      <c r="BHM14" s="1003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003"/>
      <c r="BIA14" s="1003"/>
      <c r="BIB14" s="1003"/>
      <c r="BIC14" s="1003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003"/>
      <c r="BIQ14" s="1003"/>
      <c r="BIR14" s="1003"/>
      <c r="BIS14" s="1003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003"/>
      <c r="BJG14" s="1003"/>
      <c r="BJH14" s="1003"/>
      <c r="BJI14" s="1003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003"/>
      <c r="BJW14" s="1003"/>
      <c r="BJX14" s="1003"/>
      <c r="BJY14" s="1003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003"/>
      <c r="BKM14" s="1003"/>
      <c r="BKN14" s="1003"/>
      <c r="BKO14" s="1003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003"/>
      <c r="BLC14" s="1003"/>
      <c r="BLD14" s="1003"/>
      <c r="BLE14" s="1003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003"/>
      <c r="BLS14" s="1003"/>
      <c r="BLT14" s="1003"/>
      <c r="BLU14" s="1003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003"/>
      <c r="BMI14" s="1003"/>
      <c r="BMJ14" s="1003"/>
      <c r="BMK14" s="1003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003"/>
      <c r="BMY14" s="1003"/>
      <c r="BMZ14" s="1003"/>
      <c r="BNA14" s="1003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003"/>
      <c r="BNO14" s="1003"/>
      <c r="BNP14" s="1003"/>
      <c r="BNQ14" s="1003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003"/>
      <c r="BOE14" s="1003"/>
      <c r="BOF14" s="1003"/>
      <c r="BOG14" s="1003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003"/>
      <c r="BOU14" s="1003"/>
      <c r="BOV14" s="1003"/>
      <c r="BOW14" s="1003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003"/>
      <c r="BPK14" s="1003"/>
      <c r="BPL14" s="1003"/>
      <c r="BPM14" s="1003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003"/>
      <c r="BQA14" s="1003"/>
      <c r="BQB14" s="1003"/>
      <c r="BQC14" s="1003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003"/>
      <c r="BQQ14" s="1003"/>
      <c r="BQR14" s="1003"/>
      <c r="BQS14" s="1003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003"/>
      <c r="BRG14" s="1003"/>
      <c r="BRH14" s="1003"/>
      <c r="BRI14" s="1003"/>
      <c r="BRJ14" s="131"/>
      <c r="BRK14" s="131"/>
      <c r="BRL14" s="131"/>
      <c r="BRM14" s="131"/>
      <c r="BRN14" s="131"/>
      <c r="BRO14" s="131"/>
      <c r="BRP14" s="131"/>
      <c r="BRQ14" s="131"/>
      <c r="BRR14" s="131"/>
      <c r="BRS14" s="131"/>
      <c r="BRT14" s="131"/>
      <c r="BRU14" s="131"/>
      <c r="BRV14" s="1003"/>
      <c r="BRW14" s="1003"/>
      <c r="BRX14" s="1003"/>
      <c r="BRY14" s="1003"/>
      <c r="BRZ14" s="131"/>
      <c r="BSA14" s="131"/>
      <c r="BSB14" s="131"/>
      <c r="BSC14" s="131"/>
      <c r="BSD14" s="131"/>
      <c r="BSE14" s="131"/>
      <c r="BSF14" s="131"/>
      <c r="BSG14" s="131"/>
      <c r="BSH14" s="131"/>
      <c r="BSI14" s="131"/>
      <c r="BSJ14" s="131"/>
      <c r="BSK14" s="131"/>
      <c r="BSL14" s="1003"/>
      <c r="BSM14" s="1003"/>
      <c r="BSN14" s="1003"/>
      <c r="BSO14" s="1003"/>
      <c r="BSP14" s="131"/>
      <c r="BSQ14" s="131"/>
      <c r="BSR14" s="131"/>
      <c r="BSS14" s="131"/>
      <c r="BST14" s="131"/>
      <c r="BSU14" s="131"/>
      <c r="BSV14" s="131"/>
      <c r="BSW14" s="131"/>
      <c r="BSX14" s="131"/>
      <c r="BSY14" s="131"/>
      <c r="BSZ14" s="131"/>
      <c r="BTA14" s="131"/>
      <c r="BTB14" s="1003"/>
      <c r="BTC14" s="1003"/>
      <c r="BTD14" s="1003"/>
      <c r="BTE14" s="1003"/>
      <c r="BTF14" s="131"/>
      <c r="BTG14" s="131"/>
      <c r="BTH14" s="131"/>
      <c r="BTI14" s="131"/>
      <c r="BTJ14" s="131"/>
      <c r="BTK14" s="131"/>
      <c r="BTL14" s="131"/>
      <c r="BTM14" s="131"/>
      <c r="BTN14" s="131"/>
      <c r="BTO14" s="131"/>
      <c r="BTP14" s="131"/>
      <c r="BTQ14" s="131"/>
      <c r="BTR14" s="1003"/>
      <c r="BTS14" s="1003"/>
      <c r="BTT14" s="1003"/>
      <c r="BTU14" s="1003"/>
      <c r="BTV14" s="131"/>
      <c r="BTW14" s="131"/>
      <c r="BTX14" s="131"/>
      <c r="BTY14" s="131"/>
      <c r="BTZ14" s="131"/>
      <c r="BUA14" s="131"/>
      <c r="BUB14" s="131"/>
      <c r="BUC14" s="131"/>
      <c r="BUD14" s="131"/>
      <c r="BUE14" s="131"/>
      <c r="BUF14" s="131"/>
      <c r="BUG14" s="131"/>
      <c r="BUH14" s="1003"/>
      <c r="BUI14" s="1003"/>
      <c r="BUJ14" s="1003"/>
      <c r="BUK14" s="1003"/>
      <c r="BUL14" s="131"/>
      <c r="BUM14" s="131"/>
      <c r="BUN14" s="131"/>
      <c r="BUO14" s="131"/>
      <c r="BUP14" s="131"/>
      <c r="BUQ14" s="131"/>
      <c r="BUR14" s="131"/>
      <c r="BUS14" s="131"/>
      <c r="BUT14" s="131"/>
      <c r="BUU14" s="131"/>
      <c r="BUV14" s="131"/>
      <c r="BUW14" s="131"/>
      <c r="BUX14" s="1003"/>
      <c r="BUY14" s="1003"/>
      <c r="BUZ14" s="1003"/>
      <c r="BVA14" s="1003"/>
      <c r="BVB14" s="131"/>
      <c r="BVC14" s="131"/>
      <c r="BVD14" s="131"/>
      <c r="BVE14" s="131"/>
      <c r="BVF14" s="131"/>
      <c r="BVG14" s="131"/>
      <c r="BVH14" s="131"/>
      <c r="BVI14" s="131"/>
      <c r="BVJ14" s="131"/>
      <c r="BVK14" s="131"/>
      <c r="BVL14" s="131"/>
      <c r="BVM14" s="131"/>
      <c r="BVN14" s="1003"/>
      <c r="BVO14" s="1003"/>
      <c r="BVP14" s="1003"/>
      <c r="BVQ14" s="1003"/>
      <c r="BVR14" s="131"/>
      <c r="BVS14" s="131"/>
      <c r="BVT14" s="131"/>
      <c r="BVU14" s="131"/>
      <c r="BVV14" s="131"/>
      <c r="BVW14" s="131"/>
      <c r="BVX14" s="131"/>
      <c r="BVY14" s="131"/>
      <c r="BVZ14" s="131"/>
      <c r="BWA14" s="131"/>
      <c r="BWB14" s="131"/>
      <c r="BWC14" s="131"/>
      <c r="BWD14" s="1003"/>
      <c r="BWE14" s="1003"/>
      <c r="BWF14" s="1003"/>
      <c r="BWG14" s="1003"/>
      <c r="BWH14" s="131"/>
      <c r="BWI14" s="131"/>
      <c r="BWJ14" s="131"/>
      <c r="BWK14" s="131"/>
      <c r="BWL14" s="131"/>
      <c r="BWM14" s="131"/>
      <c r="BWN14" s="131"/>
      <c r="BWO14" s="131"/>
      <c r="BWP14" s="131"/>
      <c r="BWQ14" s="131"/>
      <c r="BWR14" s="131"/>
      <c r="BWS14" s="131"/>
      <c r="BWT14" s="1003"/>
      <c r="BWU14" s="1003"/>
      <c r="BWV14" s="1003"/>
      <c r="BWW14" s="1003"/>
      <c r="BWX14" s="131"/>
      <c r="BWY14" s="131"/>
      <c r="BWZ14" s="131"/>
      <c r="BXA14" s="131"/>
      <c r="BXB14" s="131"/>
      <c r="BXC14" s="131"/>
      <c r="BXD14" s="131"/>
      <c r="BXE14" s="131"/>
      <c r="BXF14" s="131"/>
      <c r="BXG14" s="131"/>
      <c r="BXH14" s="131"/>
      <c r="BXI14" s="131"/>
      <c r="BXJ14" s="1003"/>
      <c r="BXK14" s="1003"/>
      <c r="BXL14" s="1003"/>
      <c r="BXM14" s="1003"/>
      <c r="BXN14" s="131"/>
      <c r="BXO14" s="131"/>
      <c r="BXP14" s="131"/>
      <c r="BXQ14" s="131"/>
      <c r="BXR14" s="131"/>
      <c r="BXS14" s="131"/>
      <c r="BXT14" s="131"/>
      <c r="BXU14" s="131"/>
      <c r="BXV14" s="131"/>
      <c r="BXW14" s="131"/>
      <c r="BXX14" s="131"/>
      <c r="BXY14" s="131"/>
      <c r="BXZ14" s="1003"/>
      <c r="BYA14" s="1003"/>
      <c r="BYB14" s="1003"/>
      <c r="BYC14" s="1003"/>
      <c r="BYD14" s="131"/>
      <c r="BYE14" s="131"/>
      <c r="BYF14" s="131"/>
      <c r="BYG14" s="131"/>
      <c r="BYH14" s="131"/>
      <c r="BYI14" s="131"/>
      <c r="BYJ14" s="131"/>
      <c r="BYK14" s="131"/>
      <c r="BYL14" s="131"/>
      <c r="BYM14" s="131"/>
      <c r="BYN14" s="131"/>
      <c r="BYO14" s="131"/>
      <c r="BYP14" s="1003"/>
      <c r="BYQ14" s="1003"/>
      <c r="BYR14" s="1003"/>
      <c r="BYS14" s="1003"/>
      <c r="BYT14" s="131"/>
      <c r="BYU14" s="131"/>
      <c r="BYV14" s="131"/>
      <c r="BYW14" s="131"/>
      <c r="BYX14" s="131"/>
      <c r="BYY14" s="131"/>
      <c r="BYZ14" s="131"/>
      <c r="BZA14" s="131"/>
      <c r="BZB14" s="131"/>
      <c r="BZC14" s="131"/>
      <c r="BZD14" s="131"/>
      <c r="BZE14" s="131"/>
      <c r="BZF14" s="1003"/>
      <c r="BZG14" s="1003"/>
      <c r="BZH14" s="1003"/>
      <c r="BZI14" s="1003"/>
      <c r="BZV14" s="1003"/>
      <c r="BZW14" s="1003"/>
      <c r="BZX14" s="1003"/>
      <c r="BZY14" s="1003"/>
      <c r="BZZ14" s="131"/>
      <c r="CAA14" s="131"/>
      <c r="CAB14" s="131"/>
      <c r="CAC14" s="131"/>
      <c r="CAD14" s="131"/>
      <c r="CAE14" s="131"/>
      <c r="CAF14" s="131"/>
      <c r="CAG14" s="131"/>
      <c r="CAH14" s="131"/>
      <c r="CAI14" s="131"/>
      <c r="CAJ14" s="131"/>
      <c r="CAK14" s="131"/>
      <c r="CAL14" s="1003"/>
      <c r="CAM14" s="1003"/>
      <c r="CAN14" s="1003"/>
      <c r="CAO14" s="1003"/>
      <c r="CAP14" s="131"/>
      <c r="CAQ14" s="131"/>
      <c r="CAR14" s="131"/>
      <c r="CAS14" s="131"/>
      <c r="CAT14" s="131"/>
      <c r="CAU14" s="131"/>
      <c r="CAV14" s="131"/>
      <c r="CAW14" s="131"/>
      <c r="CAX14" s="131"/>
      <c r="CAY14" s="131"/>
      <c r="CAZ14" s="131"/>
      <c r="CBA14" s="131"/>
      <c r="CBB14" s="1003"/>
      <c r="CBC14" s="1003"/>
      <c r="CBD14" s="1003"/>
      <c r="CBE14" s="1003"/>
      <c r="CBF14" s="131"/>
      <c r="CBG14" s="131"/>
      <c r="CBH14" s="131"/>
      <c r="CBI14" s="131"/>
      <c r="CBJ14" s="131"/>
      <c r="CBK14" s="131"/>
      <c r="CBL14" s="131"/>
      <c r="CBM14" s="131"/>
      <c r="CBN14" s="131"/>
      <c r="CBO14" s="131"/>
      <c r="CBP14" s="131"/>
      <c r="CBQ14" s="131"/>
      <c r="CBR14" s="1003"/>
      <c r="CBS14" s="1003"/>
      <c r="CBT14" s="1003"/>
      <c r="CBU14" s="1003"/>
      <c r="CBV14" s="131"/>
      <c r="CBW14" s="131"/>
      <c r="CBX14" s="131"/>
      <c r="CBY14" s="131"/>
      <c r="CBZ14" s="131"/>
      <c r="CCA14" s="131"/>
      <c r="CCB14" s="131"/>
      <c r="CCC14" s="131"/>
      <c r="CCD14" s="131"/>
      <c r="CCE14" s="131"/>
      <c r="CCF14" s="131"/>
      <c r="CCG14" s="131"/>
      <c r="CCH14" s="1003"/>
      <c r="CCI14" s="1003"/>
      <c r="CCJ14" s="1003"/>
      <c r="CCK14" s="1003"/>
      <c r="CCL14" s="131"/>
      <c r="CCM14" s="131"/>
      <c r="CCN14" s="131"/>
      <c r="CCO14" s="131"/>
      <c r="CCP14" s="131"/>
      <c r="CCQ14" s="131"/>
      <c r="CCR14" s="131"/>
      <c r="CCS14" s="131"/>
      <c r="CCT14" s="131"/>
      <c r="CCU14" s="131"/>
      <c r="CCV14" s="131"/>
      <c r="CCW14" s="131"/>
      <c r="CCX14" s="1003"/>
      <c r="CCY14" s="1003"/>
      <c r="CCZ14" s="1003"/>
      <c r="CDA14" s="1003"/>
      <c r="CDB14" s="131"/>
      <c r="CDC14" s="131"/>
      <c r="CDD14" s="131"/>
      <c r="CDE14" s="131"/>
      <c r="CDF14" s="131"/>
      <c r="CDG14" s="131"/>
      <c r="CDH14" s="131"/>
      <c r="CDI14" s="131"/>
      <c r="CDJ14" s="131"/>
      <c r="CDK14" s="131"/>
      <c r="CDL14" s="131"/>
      <c r="CDM14" s="131"/>
      <c r="CDN14" s="1003"/>
      <c r="CDO14" s="1003"/>
      <c r="CDP14" s="1003"/>
      <c r="CDQ14" s="1003"/>
      <c r="CDR14" s="131"/>
      <c r="CDS14" s="131"/>
      <c r="CDT14" s="131"/>
      <c r="CDU14" s="131"/>
      <c r="CDV14" s="131"/>
      <c r="CDW14" s="131"/>
      <c r="CDX14" s="131"/>
      <c r="CDY14" s="131"/>
      <c r="CDZ14" s="131"/>
      <c r="CEA14" s="131"/>
      <c r="CEB14" s="131"/>
      <c r="CEC14" s="131"/>
      <c r="CED14" s="1003"/>
      <c r="CEE14" s="1003"/>
      <c r="CEF14" s="1003"/>
      <c r="CEG14" s="1003"/>
      <c r="CEH14" s="131"/>
      <c r="CEI14" s="131"/>
      <c r="CEJ14" s="131"/>
      <c r="CEK14" s="131"/>
      <c r="CEL14" s="131"/>
      <c r="CEM14" s="131"/>
      <c r="CEN14" s="131"/>
      <c r="CEO14" s="131"/>
      <c r="CEP14" s="131"/>
      <c r="CEQ14" s="131"/>
      <c r="CER14" s="131"/>
      <c r="CES14" s="131"/>
      <c r="CET14" s="1003"/>
      <c r="CEU14" s="1003"/>
      <c r="CEV14" s="1003"/>
      <c r="CEW14" s="1003"/>
      <c r="CEX14" s="131"/>
      <c r="CEY14" s="131"/>
      <c r="CEZ14" s="131"/>
      <c r="CFA14" s="131"/>
      <c r="CFB14" s="131"/>
      <c r="CFC14" s="131"/>
      <c r="CFD14" s="131"/>
      <c r="CFE14" s="131"/>
      <c r="CFF14" s="131"/>
      <c r="CFG14" s="131"/>
      <c r="CFH14" s="131"/>
      <c r="CFI14" s="131"/>
      <c r="CFJ14" s="1003"/>
      <c r="CFK14" s="1003"/>
      <c r="CFL14" s="1003"/>
      <c r="CFM14" s="1003"/>
      <c r="CFN14" s="131"/>
      <c r="CFO14" s="131"/>
      <c r="CFP14" s="131"/>
      <c r="CFQ14" s="131"/>
      <c r="CFR14" s="131"/>
      <c r="CFS14" s="131"/>
      <c r="CFT14" s="131"/>
      <c r="CFU14" s="131"/>
      <c r="CFV14" s="131"/>
      <c r="CFW14" s="131"/>
      <c r="CFX14" s="131"/>
      <c r="CFY14" s="131"/>
      <c r="CFZ14" s="1003"/>
      <c r="CGA14" s="1003"/>
      <c r="CGB14" s="1003"/>
      <c r="CGC14" s="1003"/>
      <c r="CGD14" s="131"/>
      <c r="CGE14" s="131"/>
      <c r="CGF14" s="131"/>
      <c r="CGG14" s="131"/>
      <c r="CGH14" s="131"/>
      <c r="CGI14" s="131"/>
      <c r="CGJ14" s="131"/>
      <c r="CGK14" s="131"/>
      <c r="CGL14" s="131"/>
      <c r="CGM14" s="131"/>
      <c r="CGN14" s="131"/>
      <c r="CGO14" s="131"/>
      <c r="CGP14" s="1003"/>
      <c r="CGQ14" s="1003"/>
      <c r="CGR14" s="1003"/>
      <c r="CGS14" s="1003"/>
      <c r="CGT14" s="131"/>
      <c r="CGU14" s="131"/>
      <c r="CGV14" s="131"/>
      <c r="CGW14" s="131"/>
      <c r="CGX14" s="131"/>
      <c r="CGY14" s="131"/>
      <c r="CGZ14" s="131"/>
      <c r="CHA14" s="131"/>
      <c r="CHB14" s="131"/>
      <c r="CHC14" s="131"/>
      <c r="CHD14" s="131"/>
      <c r="CHE14" s="131"/>
      <c r="CHF14" s="1003"/>
      <c r="CHG14" s="1003"/>
      <c r="CHH14" s="1003"/>
      <c r="CHI14" s="1003"/>
      <c r="CHJ14" s="131"/>
      <c r="CHK14" s="131"/>
      <c r="CHL14" s="131"/>
      <c r="CHM14" s="131"/>
      <c r="CHN14" s="131"/>
      <c r="CHO14" s="131"/>
      <c r="CHP14" s="131"/>
      <c r="CHQ14" s="131"/>
      <c r="CHR14" s="131"/>
      <c r="CHS14" s="131"/>
      <c r="CHT14" s="131"/>
      <c r="CHU14" s="131"/>
      <c r="CHV14" s="1003"/>
      <c r="CHW14" s="1003"/>
      <c r="CHX14" s="1003"/>
      <c r="CHY14" s="1003"/>
      <c r="CHZ14" s="131"/>
      <c r="CIA14" s="131"/>
      <c r="CIB14" s="131"/>
      <c r="CIC14" s="131"/>
      <c r="CID14" s="131"/>
      <c r="CIE14" s="131"/>
      <c r="CIF14" s="131"/>
      <c r="CIG14" s="131"/>
      <c r="CIH14" s="131"/>
      <c r="CII14" s="131"/>
      <c r="CIJ14" s="131"/>
      <c r="CIK14" s="131"/>
      <c r="CIL14" s="1003"/>
      <c r="CIM14" s="1003"/>
      <c r="CIN14" s="1003"/>
      <c r="CIO14" s="1003"/>
      <c r="CIP14" s="131"/>
      <c r="CIQ14" s="131"/>
      <c r="CIR14" s="131"/>
      <c r="CIS14" s="131"/>
      <c r="CIT14" s="131"/>
      <c r="CIU14" s="131"/>
      <c r="CIV14" s="131"/>
      <c r="CIW14" s="131"/>
      <c r="CIX14" s="131"/>
      <c r="CIY14" s="131"/>
      <c r="CIZ14" s="131"/>
      <c r="CJA14" s="131"/>
      <c r="CJB14" s="1003"/>
      <c r="CJC14" s="1003"/>
      <c r="CJD14" s="1003"/>
      <c r="CJE14" s="1003"/>
      <c r="CJF14" s="131"/>
      <c r="CJG14" s="131"/>
      <c r="CJH14" s="131"/>
      <c r="CJI14" s="131"/>
      <c r="CJJ14" s="131"/>
      <c r="CJK14" s="131"/>
      <c r="CJL14" s="131"/>
      <c r="CJM14" s="131"/>
      <c r="CJN14" s="131"/>
      <c r="CJO14" s="131"/>
      <c r="CJP14" s="131"/>
      <c r="CJQ14" s="131"/>
      <c r="CJR14" s="1003"/>
      <c r="CJS14" s="1003"/>
      <c r="CJT14" s="1003"/>
      <c r="CJU14" s="1003"/>
      <c r="CJV14" s="131"/>
      <c r="CJW14" s="131"/>
      <c r="CJX14" s="131"/>
      <c r="CJY14" s="131"/>
      <c r="CJZ14" s="131"/>
      <c r="CKA14" s="131"/>
      <c r="CKB14" s="131"/>
      <c r="CKC14" s="131"/>
      <c r="CKD14" s="131"/>
      <c r="CKE14" s="131"/>
      <c r="CKF14" s="131"/>
      <c r="CKG14" s="131"/>
      <c r="CKH14" s="1003"/>
      <c r="CKI14" s="1003"/>
      <c r="CKJ14" s="1003"/>
      <c r="CKK14" s="1003"/>
      <c r="CKL14" s="131"/>
      <c r="CKM14" s="131"/>
      <c r="CKN14" s="131"/>
      <c r="CKO14" s="131"/>
      <c r="CKP14" s="131"/>
      <c r="CKQ14" s="131"/>
      <c r="CKR14" s="131"/>
      <c r="CKS14" s="131"/>
      <c r="CKT14" s="131"/>
      <c r="CKU14" s="131"/>
      <c r="CKV14" s="131"/>
      <c r="CKW14" s="131"/>
      <c r="CKX14" s="1003"/>
      <c r="CKY14" s="1003"/>
      <c r="CKZ14" s="1003"/>
      <c r="CLA14" s="1003"/>
      <c r="CLB14" s="131"/>
      <c r="CLC14" s="131"/>
      <c r="CLD14" s="131"/>
      <c r="CLE14" s="131"/>
      <c r="CLF14" s="131"/>
      <c r="CLG14" s="131"/>
      <c r="CLH14" s="131"/>
      <c r="CLI14" s="131"/>
      <c r="CLJ14" s="131"/>
      <c r="CLK14" s="131"/>
      <c r="CLL14" s="131"/>
      <c r="CLM14" s="131"/>
      <c r="CLN14" s="1003"/>
      <c r="CLO14" s="1003"/>
      <c r="CLP14" s="1003"/>
      <c r="CLQ14" s="1003"/>
      <c r="CLR14" s="131"/>
      <c r="CLS14" s="131"/>
      <c r="CLT14" s="131"/>
      <c r="CLU14" s="131"/>
      <c r="CLV14" s="131"/>
      <c r="CLW14" s="131"/>
      <c r="CLX14" s="131"/>
      <c r="CLY14" s="131"/>
      <c r="CLZ14" s="131"/>
      <c r="CMA14" s="131"/>
      <c r="CMB14" s="131"/>
      <c r="CMC14" s="131"/>
      <c r="CMD14" s="1003"/>
      <c r="CME14" s="1003"/>
      <c r="CMF14" s="1003"/>
      <c r="CMG14" s="1003"/>
      <c r="CMH14" s="131"/>
      <c r="CMI14" s="131"/>
      <c r="CMJ14" s="131"/>
      <c r="CMK14" s="131"/>
      <c r="CML14" s="131"/>
      <c r="CMM14" s="131"/>
      <c r="CMN14" s="131"/>
      <c r="CMO14" s="131"/>
      <c r="CMP14" s="131"/>
      <c r="CMQ14" s="131"/>
      <c r="CMR14" s="131"/>
      <c r="CMS14" s="131"/>
      <c r="CMT14" s="1003"/>
      <c r="CMU14" s="1003"/>
      <c r="CMV14" s="1003"/>
      <c r="CMW14" s="1003"/>
      <c r="CMX14" s="131"/>
      <c r="CMY14" s="131"/>
      <c r="CMZ14" s="131"/>
      <c r="CNA14" s="131"/>
      <c r="CNB14" s="131"/>
      <c r="CNC14" s="131"/>
      <c r="CND14" s="131"/>
      <c r="CNE14" s="131"/>
      <c r="CNF14" s="131"/>
      <c r="CNG14" s="131"/>
      <c r="CNH14" s="131"/>
      <c r="CNI14" s="131"/>
      <c r="CNJ14" s="1003"/>
      <c r="CNK14" s="1003"/>
      <c r="CNL14" s="1003"/>
      <c r="CNM14" s="1003"/>
      <c r="CNN14" s="131"/>
      <c r="CNO14" s="131"/>
      <c r="CNP14" s="131"/>
      <c r="CNQ14" s="131"/>
      <c r="CNR14" s="131"/>
      <c r="CNS14" s="131"/>
      <c r="CNT14" s="131"/>
      <c r="CNU14" s="131"/>
      <c r="CNV14" s="131"/>
      <c r="CNW14" s="131"/>
      <c r="CNX14" s="131"/>
      <c r="CNY14" s="131"/>
      <c r="CNZ14" s="1003"/>
      <c r="COA14" s="1003"/>
      <c r="COB14" s="1003"/>
      <c r="COC14" s="1003"/>
      <c r="COD14" s="131"/>
      <c r="COE14" s="131"/>
      <c r="COF14" s="131"/>
      <c r="COG14" s="131"/>
      <c r="COH14" s="131"/>
      <c r="COI14" s="131"/>
      <c r="COJ14" s="131"/>
      <c r="COK14" s="131"/>
      <c r="COL14" s="131"/>
      <c r="COM14" s="131"/>
      <c r="CON14" s="131"/>
      <c r="COO14" s="131"/>
      <c r="COP14" s="1003"/>
      <c r="COQ14" s="1003"/>
      <c r="COR14" s="1003"/>
      <c r="COS14" s="1003"/>
      <c r="COT14" s="131"/>
      <c r="COU14" s="131"/>
      <c r="COV14" s="131"/>
      <c r="COW14" s="131"/>
      <c r="COX14" s="131"/>
      <c r="COY14" s="131"/>
      <c r="COZ14" s="131"/>
      <c r="CPA14" s="131"/>
      <c r="CPB14" s="131"/>
      <c r="CPC14" s="131"/>
      <c r="CPD14" s="131"/>
      <c r="CPE14" s="131"/>
      <c r="CPF14" s="1003"/>
      <c r="CPG14" s="1003"/>
      <c r="CPH14" s="1003"/>
      <c r="CPI14" s="1003"/>
      <c r="CPJ14" s="131"/>
      <c r="CPK14" s="131"/>
      <c r="CPL14" s="131"/>
      <c r="CPM14" s="131"/>
      <c r="CPN14" s="131"/>
      <c r="CPO14" s="131"/>
      <c r="CPP14" s="131"/>
      <c r="CPQ14" s="131"/>
      <c r="CPR14" s="131"/>
      <c r="CPS14" s="131"/>
      <c r="CPT14" s="131"/>
      <c r="CPU14" s="131"/>
      <c r="CPV14" s="1003"/>
      <c r="CPW14" s="1003"/>
      <c r="CPX14" s="1003"/>
      <c r="CPY14" s="1003"/>
      <c r="CPZ14" s="131"/>
      <c r="CQA14" s="131"/>
      <c r="CQB14" s="131"/>
      <c r="CQC14" s="131"/>
      <c r="CQD14" s="131"/>
      <c r="CQE14" s="131"/>
      <c r="CQF14" s="131"/>
      <c r="CQG14" s="131"/>
      <c r="CQH14" s="131"/>
      <c r="CQI14" s="131"/>
      <c r="CQJ14" s="131"/>
      <c r="CQK14" s="131"/>
      <c r="CQL14" s="1003"/>
      <c r="CQM14" s="1003"/>
      <c r="CQN14" s="1003"/>
      <c r="CQO14" s="1003"/>
      <c r="CQP14" s="131"/>
      <c r="CQQ14" s="131"/>
      <c r="CQR14" s="131"/>
      <c r="CQS14" s="131"/>
      <c r="CQT14" s="131"/>
      <c r="CQU14" s="131"/>
      <c r="CQV14" s="131"/>
      <c r="CQW14" s="131"/>
      <c r="CQX14" s="131"/>
      <c r="CQY14" s="131"/>
      <c r="CQZ14" s="131"/>
      <c r="CRA14" s="131"/>
      <c r="CRB14" s="1003"/>
      <c r="CRC14" s="1003"/>
      <c r="CRD14" s="1003"/>
      <c r="CRE14" s="1003"/>
      <c r="CRF14" s="131"/>
      <c r="CRG14" s="131"/>
      <c r="CRH14" s="131"/>
      <c r="CRI14" s="131"/>
      <c r="CRJ14" s="131"/>
      <c r="CRK14" s="131"/>
      <c r="CRL14" s="131"/>
      <c r="CRM14" s="131"/>
      <c r="CRN14" s="131"/>
      <c r="CRO14" s="131"/>
      <c r="CRP14" s="131"/>
      <c r="CRQ14" s="131"/>
      <c r="CRR14" s="1003"/>
      <c r="CRS14" s="1003"/>
      <c r="CRT14" s="1003"/>
      <c r="CRU14" s="1003"/>
      <c r="CRV14" s="131"/>
      <c r="CRW14" s="131"/>
      <c r="CRX14" s="131"/>
      <c r="CRY14" s="131"/>
      <c r="CRZ14" s="131"/>
      <c r="CSA14" s="131"/>
      <c r="CSB14" s="131"/>
      <c r="CSC14" s="131"/>
      <c r="CSD14" s="131"/>
      <c r="CSE14" s="131"/>
      <c r="CSF14" s="131"/>
      <c r="CSG14" s="131"/>
      <c r="CSH14" s="1003"/>
      <c r="CSI14" s="1003"/>
      <c r="CSJ14" s="1003"/>
      <c r="CSK14" s="1003"/>
      <c r="CSL14" s="131"/>
      <c r="CSM14" s="131"/>
      <c r="CSN14" s="131"/>
      <c r="CSO14" s="131"/>
      <c r="CSP14" s="131"/>
      <c r="CSQ14" s="131"/>
      <c r="CSR14" s="131"/>
      <c r="CSS14" s="131"/>
      <c r="CST14" s="131"/>
      <c r="CSU14" s="131"/>
      <c r="CSV14" s="131"/>
      <c r="CSW14" s="131"/>
      <c r="CSX14" s="1003"/>
      <c r="CSY14" s="1003"/>
      <c r="CSZ14" s="1003"/>
      <c r="CTA14" s="1003"/>
      <c r="CTB14" s="131"/>
      <c r="CTC14" s="131"/>
      <c r="CTD14" s="131"/>
      <c r="CTE14" s="131"/>
      <c r="CTF14" s="131"/>
      <c r="CTG14" s="131"/>
      <c r="CTH14" s="131"/>
      <c r="CTI14" s="131"/>
      <c r="CTJ14" s="131"/>
      <c r="CTK14" s="131"/>
      <c r="CTL14" s="131"/>
      <c r="CTM14" s="131"/>
      <c r="CTN14" s="1003"/>
      <c r="CTO14" s="1003"/>
      <c r="CTP14" s="1003"/>
      <c r="CTQ14" s="1003"/>
      <c r="CTR14" s="131"/>
      <c r="CTS14" s="131"/>
      <c r="CTT14" s="131"/>
      <c r="CTU14" s="131"/>
      <c r="CTV14" s="131"/>
      <c r="CTW14" s="131"/>
      <c r="CTX14" s="131"/>
      <c r="CTY14" s="131"/>
      <c r="CTZ14" s="131"/>
      <c r="CUA14" s="131"/>
      <c r="CUB14" s="131"/>
      <c r="CUC14" s="131"/>
      <c r="CUD14" s="1003"/>
      <c r="CUE14" s="1003"/>
      <c r="CUF14" s="1003"/>
      <c r="CUG14" s="1003"/>
      <c r="CUH14" s="131"/>
      <c r="CUI14" s="131"/>
      <c r="CUJ14" s="131"/>
      <c r="CUK14" s="131"/>
      <c r="CUL14" s="131"/>
      <c r="CUM14" s="131"/>
      <c r="CUN14" s="131"/>
      <c r="CUO14" s="131"/>
      <c r="CUP14" s="131"/>
      <c r="CUQ14" s="131"/>
      <c r="CUR14" s="131"/>
      <c r="CUS14" s="131"/>
      <c r="CUT14" s="1003"/>
      <c r="CUU14" s="1003"/>
      <c r="CUV14" s="1003"/>
      <c r="CUW14" s="1003"/>
      <c r="CUX14" s="131"/>
      <c r="CUY14" s="131"/>
      <c r="CUZ14" s="131"/>
      <c r="CVA14" s="131"/>
      <c r="CVB14" s="131"/>
      <c r="CVC14" s="131"/>
      <c r="CVD14" s="131"/>
      <c r="CVE14" s="131"/>
      <c r="CVF14" s="131"/>
      <c r="CVG14" s="131"/>
      <c r="CVH14" s="131"/>
      <c r="CVI14" s="131"/>
      <c r="CVJ14" s="1003"/>
      <c r="CVK14" s="1003"/>
      <c r="CVL14" s="1003"/>
      <c r="CVM14" s="1003"/>
      <c r="CVN14" s="131"/>
      <c r="CVO14" s="131"/>
      <c r="CVP14" s="131"/>
      <c r="CVQ14" s="131"/>
      <c r="CVR14" s="131"/>
      <c r="CVS14" s="131"/>
      <c r="CVT14" s="131"/>
      <c r="CVU14" s="131"/>
      <c r="CVV14" s="131"/>
      <c r="CVW14" s="131"/>
      <c r="CVX14" s="131"/>
      <c r="CVY14" s="131"/>
      <c r="CVZ14" s="1003"/>
      <c r="CWA14" s="1003"/>
      <c r="CWB14" s="1003"/>
      <c r="CWC14" s="1003"/>
      <c r="CWD14" s="131"/>
      <c r="CWE14" s="131"/>
      <c r="CWF14" s="131"/>
      <c r="CWG14" s="131"/>
      <c r="CWH14" s="131"/>
      <c r="CWI14" s="131"/>
      <c r="CWJ14" s="131"/>
      <c r="CWK14" s="131"/>
      <c r="CWL14" s="131"/>
      <c r="CWM14" s="131"/>
      <c r="CWN14" s="131"/>
      <c r="CWO14" s="131"/>
      <c r="CWP14" s="1003"/>
      <c r="CWQ14" s="1003"/>
      <c r="CWR14" s="1003"/>
      <c r="CWS14" s="1003"/>
      <c r="CWT14" s="131"/>
      <c r="CWU14" s="131"/>
      <c r="CWV14" s="131"/>
      <c r="CWW14" s="131"/>
      <c r="CWX14" s="131"/>
      <c r="CWY14" s="131"/>
      <c r="CWZ14" s="131"/>
      <c r="CXA14" s="131"/>
      <c r="CXB14" s="131"/>
      <c r="CXC14" s="131"/>
      <c r="CXD14" s="131"/>
      <c r="CXE14" s="131"/>
      <c r="CXF14" s="1003"/>
      <c r="CXG14" s="1003"/>
      <c r="CXH14" s="1003"/>
      <c r="CXI14" s="1003"/>
      <c r="CXJ14" s="131"/>
      <c r="CXK14" s="131"/>
      <c r="CXL14" s="131"/>
      <c r="CXM14" s="131"/>
      <c r="CXN14" s="131"/>
      <c r="CXO14" s="131"/>
      <c r="CXP14" s="131"/>
      <c r="CXQ14" s="131"/>
      <c r="CXR14" s="131"/>
      <c r="CXS14" s="131"/>
      <c r="CXT14" s="131"/>
      <c r="CXU14" s="131"/>
      <c r="CXV14" s="1003"/>
      <c r="CXW14" s="1003"/>
      <c r="CXX14" s="1003"/>
      <c r="CXY14" s="1003"/>
      <c r="CXZ14" s="131"/>
      <c r="CYA14" s="131"/>
      <c r="CYB14" s="131"/>
      <c r="CYC14" s="131"/>
      <c r="CYD14" s="131"/>
      <c r="CYE14" s="131"/>
      <c r="CYF14" s="131"/>
      <c r="CYG14" s="131"/>
      <c r="CYH14" s="131"/>
      <c r="CYI14" s="131"/>
      <c r="CYJ14" s="131"/>
      <c r="CYK14" s="131"/>
      <c r="CYL14" s="1003"/>
      <c r="CYM14" s="1003"/>
      <c r="CYN14" s="1003"/>
      <c r="CYO14" s="1003"/>
      <c r="CYP14" s="131"/>
      <c r="CYQ14" s="131"/>
      <c r="CYR14" s="131"/>
      <c r="CYS14" s="131"/>
      <c r="CYT14" s="131"/>
      <c r="CYU14" s="131"/>
      <c r="CYV14" s="131"/>
      <c r="CYW14" s="131"/>
      <c r="CYX14" s="131"/>
      <c r="CYY14" s="131"/>
      <c r="CYZ14" s="131"/>
      <c r="CZA14" s="131"/>
      <c r="CZB14" s="1003"/>
      <c r="CZC14" s="1003"/>
      <c r="CZD14" s="1003"/>
      <c r="CZE14" s="1003"/>
      <c r="CZF14" s="131"/>
      <c r="CZG14" s="131"/>
      <c r="CZH14" s="131"/>
      <c r="CZI14" s="131"/>
      <c r="CZJ14" s="131"/>
      <c r="CZK14" s="131"/>
      <c r="CZL14" s="131"/>
      <c r="CZM14" s="131"/>
      <c r="CZN14" s="131"/>
      <c r="CZO14" s="131"/>
      <c r="CZP14" s="131"/>
      <c r="CZQ14" s="131"/>
      <c r="CZR14" s="1003"/>
      <c r="CZS14" s="1003"/>
      <c r="CZT14" s="1003"/>
      <c r="CZU14" s="1003"/>
      <c r="CZV14" s="131"/>
      <c r="CZW14" s="131"/>
      <c r="CZX14" s="131"/>
      <c r="CZY14" s="131"/>
      <c r="CZZ14" s="131"/>
      <c r="DAA14" s="131"/>
      <c r="DAB14" s="131"/>
      <c r="DAC14" s="131"/>
      <c r="DAD14" s="131"/>
      <c r="DAE14" s="131"/>
      <c r="DAF14" s="131"/>
      <c r="DAG14" s="131"/>
      <c r="DAH14" s="1003"/>
      <c r="DAI14" s="1003"/>
      <c r="DAJ14" s="1003"/>
      <c r="DAK14" s="1003"/>
      <c r="DAL14" s="131"/>
      <c r="DAM14" s="131"/>
      <c r="DAN14" s="131"/>
      <c r="DAO14" s="131"/>
      <c r="DAP14" s="131"/>
      <c r="DAQ14" s="131"/>
      <c r="DAR14" s="131"/>
      <c r="DAS14" s="131"/>
      <c r="DAT14" s="131"/>
      <c r="DAU14" s="131"/>
      <c r="DAV14" s="131"/>
      <c r="DAW14" s="131"/>
      <c r="DAX14" s="1003"/>
      <c r="DAY14" s="1003"/>
      <c r="DAZ14" s="1003"/>
      <c r="DBA14" s="1003"/>
      <c r="DBB14" s="131"/>
      <c r="DBC14" s="131"/>
      <c r="DBD14" s="131"/>
      <c r="DBE14" s="131"/>
      <c r="DBF14" s="131"/>
      <c r="DBG14" s="131"/>
      <c r="DBH14" s="131"/>
      <c r="DBI14" s="131"/>
      <c r="DBJ14" s="131"/>
      <c r="DBK14" s="131"/>
      <c r="DBL14" s="131"/>
      <c r="DBM14" s="131"/>
      <c r="DBN14" s="1003"/>
      <c r="DBO14" s="1003"/>
      <c r="DBP14" s="1003"/>
      <c r="DBQ14" s="1003"/>
      <c r="DBR14" s="131"/>
      <c r="DBS14" s="131"/>
      <c r="DBT14" s="131"/>
      <c r="DBU14" s="131"/>
      <c r="DBV14" s="131"/>
      <c r="DBW14" s="131"/>
      <c r="DBX14" s="131"/>
      <c r="DBY14" s="131"/>
      <c r="DBZ14" s="131"/>
      <c r="DCA14" s="131"/>
      <c r="DCB14" s="131"/>
      <c r="DCC14" s="131"/>
      <c r="DCD14" s="1003"/>
      <c r="DCE14" s="1003"/>
      <c r="DCF14" s="1003"/>
      <c r="DCG14" s="1003"/>
      <c r="DCH14" s="131"/>
      <c r="DCI14" s="131"/>
      <c r="DCJ14" s="131"/>
      <c r="DCK14" s="131"/>
      <c r="DCL14" s="131"/>
      <c r="DCM14" s="131"/>
      <c r="DCN14" s="131"/>
      <c r="DCO14" s="131"/>
      <c r="DCP14" s="131"/>
      <c r="DCQ14" s="131"/>
      <c r="DCR14" s="131"/>
      <c r="DCS14" s="131"/>
      <c r="DCT14" s="1003"/>
      <c r="DCU14" s="1003"/>
      <c r="DCV14" s="1003"/>
      <c r="DCW14" s="1003"/>
      <c r="DCX14" s="131"/>
      <c r="DCY14" s="131"/>
      <c r="DCZ14" s="131"/>
      <c r="DDA14" s="131"/>
      <c r="DDB14" s="131"/>
      <c r="DDC14" s="131"/>
      <c r="DDD14" s="131"/>
      <c r="DDE14" s="131"/>
      <c r="DDF14" s="131"/>
      <c r="DDG14" s="131"/>
      <c r="DDH14" s="131"/>
      <c r="DDI14" s="131"/>
      <c r="DDJ14" s="1003"/>
      <c r="DDK14" s="1003"/>
      <c r="DDL14" s="1003"/>
      <c r="DDM14" s="1003"/>
      <c r="DDN14" s="131"/>
      <c r="DDO14" s="131"/>
      <c r="DDP14" s="131"/>
      <c r="DDQ14" s="131"/>
      <c r="DDR14" s="131"/>
      <c r="DDS14" s="131"/>
      <c r="DDT14" s="131"/>
      <c r="DDU14" s="131"/>
      <c r="DDV14" s="131"/>
      <c r="DDW14" s="131"/>
      <c r="DDX14" s="131"/>
      <c r="DDY14" s="131"/>
      <c r="DDZ14" s="1003"/>
      <c r="DEA14" s="1003"/>
      <c r="DEB14" s="1003"/>
      <c r="DEC14" s="1003"/>
      <c r="DED14" s="131"/>
      <c r="DEE14" s="131"/>
      <c r="DEF14" s="131"/>
      <c r="DEG14" s="131"/>
      <c r="DEH14" s="131"/>
      <c r="DEI14" s="131"/>
      <c r="DEJ14" s="131"/>
      <c r="DEK14" s="131"/>
      <c r="DEL14" s="131"/>
      <c r="DEM14" s="131"/>
      <c r="DEN14" s="131"/>
      <c r="DEO14" s="131"/>
      <c r="DEP14" s="1003"/>
      <c r="DEQ14" s="1003"/>
      <c r="DER14" s="1003"/>
      <c r="DES14" s="1003"/>
      <c r="DET14" s="131"/>
      <c r="DEU14" s="131"/>
      <c r="DEV14" s="131"/>
      <c r="DEW14" s="131"/>
      <c r="DEX14" s="131"/>
      <c r="DEY14" s="131"/>
      <c r="DEZ14" s="131"/>
      <c r="DFA14" s="131"/>
      <c r="DFB14" s="131"/>
      <c r="DFC14" s="131"/>
      <c r="DFD14" s="131"/>
      <c r="DFE14" s="131"/>
      <c r="DFF14" s="1003"/>
      <c r="DFG14" s="1003"/>
      <c r="DFH14" s="1003"/>
      <c r="DFI14" s="1003"/>
      <c r="DFJ14" s="131"/>
      <c r="DFK14" s="131"/>
      <c r="DFL14" s="131"/>
      <c r="DFM14" s="131"/>
      <c r="DFN14" s="131"/>
      <c r="DFO14" s="131"/>
      <c r="DFP14" s="131"/>
      <c r="DFQ14" s="131"/>
      <c r="DFR14" s="131"/>
      <c r="DFS14" s="131"/>
      <c r="DFT14" s="131"/>
      <c r="DFU14" s="131"/>
      <c r="DFV14" s="1003"/>
      <c r="DFW14" s="1003"/>
      <c r="DFX14" s="1003"/>
      <c r="DFY14" s="1003"/>
      <c r="DFZ14" s="131"/>
      <c r="DGA14" s="131"/>
      <c r="DGB14" s="131"/>
      <c r="DGC14" s="131"/>
      <c r="DGD14" s="131"/>
      <c r="DGE14" s="131"/>
      <c r="DGF14" s="131"/>
      <c r="DGG14" s="131"/>
      <c r="DGH14" s="131"/>
      <c r="DGI14" s="131"/>
      <c r="DGJ14" s="131"/>
      <c r="DGK14" s="131"/>
      <c r="DGL14" s="1003"/>
      <c r="DGM14" s="1003"/>
      <c r="DGN14" s="1003"/>
      <c r="DGO14" s="1003"/>
      <c r="DGP14" s="131"/>
      <c r="DGQ14" s="131"/>
      <c r="DGR14" s="131"/>
      <c r="DGS14" s="131"/>
      <c r="DGT14" s="131"/>
      <c r="DGU14" s="131"/>
      <c r="DGV14" s="131"/>
      <c r="DGW14" s="131"/>
      <c r="DGX14" s="131"/>
      <c r="DGY14" s="131"/>
      <c r="DGZ14" s="131"/>
      <c r="DHA14" s="131"/>
      <c r="DHB14" s="1003"/>
      <c r="DHC14" s="1003"/>
      <c r="DHD14" s="1003"/>
      <c r="DHE14" s="1003"/>
      <c r="DHF14" s="131"/>
      <c r="DHG14" s="131"/>
      <c r="DHH14" s="131"/>
      <c r="DHI14" s="131"/>
      <c r="DHJ14" s="131"/>
      <c r="DHK14" s="131"/>
      <c r="DHL14" s="131"/>
      <c r="DHM14" s="131"/>
      <c r="DHN14" s="131"/>
      <c r="DHO14" s="131"/>
      <c r="DHP14" s="131"/>
      <c r="DHQ14" s="131"/>
      <c r="DHR14" s="1003"/>
      <c r="DHS14" s="1003"/>
      <c r="DHT14" s="1003"/>
      <c r="DHU14" s="1003"/>
      <c r="DHV14" s="131"/>
      <c r="DHW14" s="131"/>
      <c r="DHX14" s="131"/>
      <c r="DHY14" s="131"/>
      <c r="DHZ14" s="131"/>
      <c r="DIA14" s="131"/>
      <c r="DIB14" s="131"/>
      <c r="DIC14" s="131"/>
      <c r="DID14" s="131"/>
      <c r="DIE14" s="131"/>
      <c r="DIF14" s="131"/>
      <c r="DIG14" s="131"/>
      <c r="DIH14" s="1003"/>
      <c r="DII14" s="1003"/>
      <c r="DIJ14" s="1003"/>
      <c r="DIK14" s="1003"/>
      <c r="DIL14" s="131"/>
      <c r="DIM14" s="131"/>
      <c r="DIN14" s="131"/>
      <c r="DIO14" s="131"/>
      <c r="DIP14" s="131"/>
      <c r="DIQ14" s="131"/>
      <c r="DIR14" s="131"/>
      <c r="DIS14" s="131"/>
      <c r="DIT14" s="131"/>
      <c r="DIU14" s="131"/>
      <c r="DIV14" s="131"/>
      <c r="DIW14" s="131"/>
      <c r="DIX14" s="1003"/>
      <c r="DIY14" s="1003"/>
      <c r="DIZ14" s="1003"/>
      <c r="DJA14" s="1003"/>
      <c r="DJB14" s="131"/>
      <c r="DJC14" s="131"/>
      <c r="DJD14" s="131"/>
      <c r="DJE14" s="131"/>
      <c r="DJF14" s="131"/>
      <c r="DJG14" s="131"/>
      <c r="DJH14" s="131"/>
      <c r="DJI14" s="131"/>
      <c r="DJJ14" s="131"/>
      <c r="DJK14" s="131"/>
      <c r="DJL14" s="131"/>
      <c r="DJM14" s="131"/>
      <c r="DJN14" s="1003"/>
      <c r="DJO14" s="1003"/>
      <c r="DJP14" s="1003"/>
      <c r="DJQ14" s="1003"/>
      <c r="DJR14" s="131"/>
      <c r="DJS14" s="131"/>
      <c r="DJT14" s="131"/>
      <c r="DJU14" s="131"/>
      <c r="DJV14" s="131"/>
      <c r="DJW14" s="131"/>
      <c r="DJX14" s="131"/>
      <c r="DJY14" s="131"/>
      <c r="DJZ14" s="131"/>
      <c r="DKA14" s="131"/>
      <c r="DKB14" s="131"/>
      <c r="DKC14" s="131"/>
      <c r="DKD14" s="1003"/>
      <c r="DKE14" s="1003"/>
      <c r="DKF14" s="1003"/>
      <c r="DKG14" s="1003"/>
      <c r="DKH14" s="131"/>
      <c r="DKI14" s="131"/>
      <c r="DKJ14" s="131"/>
      <c r="DKK14" s="131"/>
      <c r="DKL14" s="131"/>
      <c r="DKM14" s="131"/>
      <c r="DKN14" s="131"/>
      <c r="DKO14" s="131"/>
      <c r="DKP14" s="131"/>
      <c r="DKQ14" s="131"/>
      <c r="DKR14" s="131"/>
      <c r="DKS14" s="131"/>
      <c r="DKT14" s="1003"/>
      <c r="DKU14" s="1003"/>
      <c r="DKV14" s="1003"/>
      <c r="DKW14" s="1003"/>
      <c r="DKX14" s="131"/>
      <c r="DKY14" s="131"/>
      <c r="DKZ14" s="131"/>
      <c r="DLA14" s="131"/>
      <c r="DLB14" s="131"/>
      <c r="DLC14" s="131"/>
      <c r="DLD14" s="131"/>
      <c r="DLE14" s="131"/>
      <c r="DLF14" s="131"/>
      <c r="DLG14" s="131"/>
      <c r="DLH14" s="131"/>
      <c r="DLI14" s="131"/>
      <c r="DLJ14" s="1003"/>
      <c r="DLK14" s="1003"/>
      <c r="DLL14" s="1003"/>
      <c r="DLM14" s="1003"/>
      <c r="DLN14" s="131"/>
      <c r="DLO14" s="131"/>
      <c r="DLP14" s="131"/>
      <c r="DLQ14" s="131"/>
      <c r="DLR14" s="131"/>
      <c r="DLS14" s="131"/>
      <c r="DLT14" s="131"/>
      <c r="DLU14" s="131"/>
      <c r="DLV14" s="131"/>
      <c r="DLW14" s="131"/>
      <c r="DLX14" s="131"/>
      <c r="DLY14" s="131"/>
      <c r="DLZ14" s="1003"/>
      <c r="DMA14" s="1003"/>
      <c r="DMB14" s="1003"/>
      <c r="DMC14" s="1003"/>
      <c r="DMD14" s="131"/>
      <c r="DME14" s="131"/>
      <c r="DMF14" s="131"/>
      <c r="DMG14" s="131"/>
      <c r="DMH14" s="131"/>
      <c r="DMI14" s="131"/>
      <c r="DMJ14" s="131"/>
      <c r="DMK14" s="131"/>
      <c r="DML14" s="131"/>
      <c r="DMM14" s="131"/>
      <c r="DMN14" s="131"/>
      <c r="DMO14" s="131"/>
      <c r="DMP14" s="1003"/>
      <c r="DMQ14" s="1003"/>
      <c r="DMR14" s="1003"/>
      <c r="DMS14" s="1003"/>
      <c r="DNF14" s="1003"/>
      <c r="DNG14" s="1003"/>
      <c r="DNH14" s="1003"/>
      <c r="DNI14" s="1003"/>
      <c r="DNJ14" s="131"/>
      <c r="DNK14" s="131"/>
      <c r="DNL14" s="131"/>
      <c r="DNM14" s="131"/>
      <c r="DNN14" s="131"/>
      <c r="DNO14" s="131"/>
      <c r="DNP14" s="131"/>
      <c r="DNQ14" s="131"/>
      <c r="DNR14" s="131"/>
      <c r="DNS14" s="131"/>
      <c r="DNT14" s="131"/>
      <c r="DNU14" s="131"/>
      <c r="DNV14" s="1003"/>
      <c r="DNW14" s="1003"/>
      <c r="DNX14" s="1003"/>
      <c r="DNY14" s="1003"/>
      <c r="DNZ14" s="131"/>
      <c r="DOA14" s="131"/>
      <c r="DOB14" s="131"/>
      <c r="DOC14" s="131"/>
      <c r="DOD14" s="131"/>
      <c r="DOE14" s="131"/>
      <c r="DOF14" s="131"/>
      <c r="DOG14" s="131"/>
      <c r="DOH14" s="131"/>
      <c r="DOI14" s="131"/>
      <c r="DOJ14" s="131"/>
      <c r="DOK14" s="131"/>
      <c r="DOL14" s="1003"/>
      <c r="DOM14" s="1003"/>
      <c r="DON14" s="1003"/>
      <c r="DOO14" s="1003"/>
      <c r="DOP14" s="131"/>
      <c r="DOQ14" s="131"/>
      <c r="DOR14" s="131"/>
      <c r="DOS14" s="131"/>
      <c r="DOT14" s="131"/>
      <c r="DOU14" s="131"/>
      <c r="DOV14" s="131"/>
      <c r="DOW14" s="131"/>
      <c r="DOX14" s="131"/>
      <c r="DOY14" s="131"/>
      <c r="DOZ14" s="131"/>
      <c r="DPA14" s="131"/>
      <c r="DPB14" s="1003"/>
      <c r="DPC14" s="1003"/>
      <c r="DPD14" s="1003"/>
      <c r="DPE14" s="1003"/>
      <c r="DPF14" s="131"/>
      <c r="DPG14" s="131"/>
      <c r="DPH14" s="131"/>
      <c r="DPI14" s="131"/>
      <c r="DPJ14" s="131"/>
      <c r="DPK14" s="131"/>
      <c r="DPL14" s="131"/>
      <c r="DPM14" s="131"/>
      <c r="DPN14" s="131"/>
      <c r="DPO14" s="131"/>
      <c r="DPP14" s="131"/>
      <c r="DPQ14" s="131"/>
      <c r="DPR14" s="1003"/>
      <c r="DPS14" s="1003"/>
      <c r="DPT14" s="1003"/>
      <c r="DPU14" s="1003"/>
      <c r="DPV14" s="131"/>
      <c r="DPW14" s="131"/>
      <c r="DPX14" s="131"/>
      <c r="DPY14" s="131"/>
      <c r="DPZ14" s="131"/>
      <c r="DQA14" s="131"/>
      <c r="DQB14" s="131"/>
      <c r="DQC14" s="131"/>
      <c r="DQD14" s="131"/>
      <c r="DQE14" s="131"/>
      <c r="DQF14" s="131"/>
      <c r="DQG14" s="131"/>
      <c r="DQH14" s="1003"/>
      <c r="DQI14" s="1003"/>
      <c r="DQJ14" s="1003"/>
      <c r="DQK14" s="1003"/>
      <c r="DQL14" s="131"/>
      <c r="DQM14" s="131"/>
      <c r="DQN14" s="131"/>
      <c r="DQO14" s="131"/>
      <c r="DQP14" s="131"/>
      <c r="DQQ14" s="131"/>
      <c r="DQR14" s="131"/>
      <c r="DQS14" s="131"/>
      <c r="DQT14" s="131"/>
      <c r="DQU14" s="131"/>
      <c r="DQV14" s="131"/>
      <c r="DQW14" s="131"/>
      <c r="DQX14" s="1003"/>
      <c r="DQY14" s="1003"/>
      <c r="DQZ14" s="1003"/>
      <c r="DRA14" s="1003"/>
      <c r="DRB14" s="131"/>
      <c r="DRC14" s="131"/>
      <c r="DRD14" s="131"/>
      <c r="DRE14" s="131"/>
      <c r="DRF14" s="131"/>
      <c r="DRG14" s="131"/>
      <c r="DRH14" s="131"/>
      <c r="DRI14" s="131"/>
      <c r="DRJ14" s="131"/>
      <c r="DRK14" s="131"/>
      <c r="DRL14" s="131"/>
      <c r="DRM14" s="131"/>
      <c r="DRN14" s="1003"/>
      <c r="DRO14" s="1003"/>
      <c r="DRP14" s="1003"/>
      <c r="DRQ14" s="1003"/>
      <c r="DRR14" s="131"/>
      <c r="DRS14" s="131"/>
      <c r="DRT14" s="131"/>
      <c r="DRU14" s="131"/>
      <c r="DRV14" s="131"/>
      <c r="DRW14" s="131"/>
      <c r="DRX14" s="131"/>
      <c r="DRY14" s="131"/>
      <c r="DRZ14" s="131"/>
      <c r="DSA14" s="131"/>
      <c r="DSB14" s="131"/>
      <c r="DSC14" s="131"/>
      <c r="DSD14" s="1003"/>
      <c r="DSE14" s="1003"/>
      <c r="DSF14" s="1003"/>
      <c r="DSG14" s="1003"/>
      <c r="DSH14" s="131"/>
      <c r="DSI14" s="131"/>
      <c r="DSJ14" s="131"/>
      <c r="DSK14" s="131"/>
      <c r="DSL14" s="131"/>
      <c r="DSM14" s="131"/>
      <c r="DSN14" s="131"/>
      <c r="DSO14" s="131"/>
      <c r="DSP14" s="131"/>
      <c r="DSQ14" s="131"/>
      <c r="DSR14" s="131"/>
      <c r="DSS14" s="131"/>
      <c r="DST14" s="1003"/>
      <c r="DSU14" s="1003"/>
      <c r="DSV14" s="1003"/>
      <c r="DSW14" s="1003"/>
      <c r="DSX14" s="131"/>
      <c r="DSY14" s="131"/>
      <c r="DSZ14" s="131"/>
      <c r="DTA14" s="131"/>
      <c r="DTB14" s="131"/>
      <c r="DTC14" s="131"/>
      <c r="DTD14" s="131"/>
      <c r="DTE14" s="131"/>
      <c r="DTF14" s="131"/>
      <c r="DTG14" s="131"/>
      <c r="DTH14" s="131"/>
      <c r="DTI14" s="131"/>
      <c r="DTJ14" s="1003"/>
      <c r="DTK14" s="1003"/>
      <c r="DTL14" s="1003"/>
      <c r="DTM14" s="1003"/>
      <c r="DTN14" s="131"/>
      <c r="DTO14" s="131"/>
      <c r="DTP14" s="131"/>
      <c r="DTQ14" s="131"/>
      <c r="DTR14" s="131"/>
      <c r="DTS14" s="131"/>
      <c r="DTT14" s="131"/>
      <c r="DTU14" s="131"/>
      <c r="DTV14" s="131"/>
      <c r="DTW14" s="131"/>
      <c r="DTX14" s="131"/>
      <c r="DTY14" s="131"/>
      <c r="DTZ14" s="1003"/>
      <c r="DUA14" s="1003"/>
      <c r="DUB14" s="1003"/>
      <c r="DUC14" s="1003"/>
      <c r="DUD14" s="131"/>
      <c r="DUE14" s="131"/>
      <c r="DUF14" s="131"/>
      <c r="DUG14" s="131"/>
      <c r="DUH14" s="131"/>
      <c r="DUI14" s="131"/>
      <c r="DUJ14" s="131"/>
      <c r="DUK14" s="131"/>
      <c r="DUL14" s="131"/>
      <c r="DUM14" s="131"/>
      <c r="DUN14" s="131"/>
      <c r="DUO14" s="131"/>
      <c r="DUP14" s="1003"/>
      <c r="DUQ14" s="1003"/>
      <c r="DUR14" s="1003"/>
      <c r="DUS14" s="1003"/>
      <c r="DUT14" s="131"/>
      <c r="DUU14" s="131"/>
      <c r="DUV14" s="131"/>
      <c r="DUW14" s="131"/>
      <c r="DUX14" s="131"/>
      <c r="DUY14" s="131"/>
      <c r="DUZ14" s="131"/>
      <c r="DVA14" s="131"/>
      <c r="DVB14" s="131"/>
      <c r="DVC14" s="131"/>
      <c r="DVD14" s="131"/>
      <c r="DVE14" s="131"/>
      <c r="DVF14" s="1003"/>
      <c r="DVG14" s="1003"/>
      <c r="DVH14" s="1003"/>
      <c r="DVI14" s="1003"/>
      <c r="DVJ14" s="131"/>
      <c r="DVK14" s="131"/>
      <c r="DVL14" s="131"/>
      <c r="DVM14" s="131"/>
      <c r="DVN14" s="131"/>
      <c r="DVO14" s="131"/>
      <c r="DVP14" s="131"/>
      <c r="DVQ14" s="131"/>
      <c r="DVR14" s="131"/>
      <c r="DVS14" s="131"/>
      <c r="DVT14" s="131"/>
      <c r="DVU14" s="131"/>
      <c r="DVV14" s="1003"/>
      <c r="DVW14" s="1003"/>
      <c r="DVX14" s="1003"/>
      <c r="DVY14" s="1003"/>
      <c r="DVZ14" s="131"/>
      <c r="DWA14" s="131"/>
      <c r="DWB14" s="131"/>
      <c r="DWC14" s="131"/>
      <c r="DWD14" s="131"/>
      <c r="DWE14" s="131"/>
      <c r="DWF14" s="131"/>
      <c r="DWG14" s="131"/>
      <c r="DWH14" s="131"/>
      <c r="DWI14" s="131"/>
      <c r="DWJ14" s="131"/>
      <c r="DWK14" s="131"/>
      <c r="DWL14" s="1003"/>
      <c r="DWM14" s="1003"/>
      <c r="DWN14" s="1003"/>
      <c r="DWO14" s="1003"/>
      <c r="DWP14" s="131"/>
      <c r="DWQ14" s="131"/>
      <c r="DWR14" s="131"/>
      <c r="DWS14" s="131"/>
      <c r="DWT14" s="131"/>
      <c r="DWU14" s="131"/>
      <c r="DWV14" s="131"/>
      <c r="DWW14" s="131"/>
      <c r="DWX14" s="131"/>
      <c r="DWY14" s="131"/>
      <c r="DWZ14" s="131"/>
      <c r="DXA14" s="131"/>
      <c r="DXB14" s="1003"/>
      <c r="DXC14" s="1003"/>
      <c r="DXD14" s="1003"/>
      <c r="DXE14" s="1003"/>
      <c r="DXF14" s="131"/>
      <c r="DXG14" s="131"/>
      <c r="DXH14" s="131"/>
      <c r="DXI14" s="131"/>
      <c r="DXJ14" s="131"/>
      <c r="DXK14" s="131"/>
      <c r="DXL14" s="131"/>
      <c r="DXM14" s="131"/>
      <c r="DXN14" s="131"/>
      <c r="DXO14" s="131"/>
      <c r="DXP14" s="131"/>
      <c r="DXQ14" s="131"/>
      <c r="DXR14" s="1003"/>
      <c r="DXS14" s="1003"/>
      <c r="DXT14" s="1003"/>
      <c r="DXU14" s="1003"/>
      <c r="DXV14" s="131"/>
      <c r="DXW14" s="131"/>
      <c r="DXX14" s="131"/>
      <c r="DXY14" s="131"/>
      <c r="DXZ14" s="131"/>
      <c r="DYA14" s="131"/>
      <c r="DYB14" s="131"/>
      <c r="DYC14" s="131"/>
      <c r="DYD14" s="131"/>
      <c r="DYE14" s="131"/>
      <c r="DYF14" s="131"/>
      <c r="DYG14" s="131"/>
      <c r="DYH14" s="1003"/>
      <c r="DYI14" s="1003"/>
      <c r="DYJ14" s="1003"/>
      <c r="DYK14" s="1003"/>
      <c r="DYL14" s="131"/>
      <c r="DYM14" s="131"/>
      <c r="DYN14" s="131"/>
      <c r="DYO14" s="131"/>
      <c r="DYP14" s="131"/>
      <c r="DYQ14" s="131"/>
      <c r="DYR14" s="131"/>
      <c r="DYS14" s="131"/>
      <c r="DYT14" s="131"/>
      <c r="DYU14" s="131"/>
      <c r="DYV14" s="131"/>
      <c r="DYW14" s="131"/>
      <c r="DYX14" s="1003"/>
      <c r="DYY14" s="1003"/>
      <c r="DYZ14" s="1003"/>
      <c r="DZA14" s="1003"/>
      <c r="DZB14" s="131"/>
      <c r="DZC14" s="131"/>
      <c r="DZD14" s="131"/>
      <c r="DZE14" s="131"/>
      <c r="DZF14" s="131"/>
      <c r="DZG14" s="131"/>
      <c r="DZH14" s="131"/>
      <c r="DZI14" s="131"/>
      <c r="DZJ14" s="131"/>
      <c r="DZK14" s="131"/>
      <c r="DZL14" s="131"/>
      <c r="DZM14" s="131"/>
      <c r="DZN14" s="1003"/>
      <c r="DZO14" s="1003"/>
      <c r="DZP14" s="1003"/>
      <c r="DZQ14" s="1003"/>
      <c r="DZR14" s="131"/>
      <c r="DZS14" s="131"/>
      <c r="DZT14" s="131"/>
      <c r="DZU14" s="131"/>
      <c r="DZV14" s="131"/>
      <c r="DZW14" s="131"/>
      <c r="DZX14" s="131"/>
      <c r="DZY14" s="131"/>
      <c r="DZZ14" s="131"/>
      <c r="EAA14" s="131"/>
      <c r="EAB14" s="131"/>
      <c r="EAC14" s="131"/>
      <c r="EAD14" s="1003"/>
      <c r="EAE14" s="1003"/>
      <c r="EAF14" s="1003"/>
      <c r="EAG14" s="1003"/>
      <c r="EAH14" s="131"/>
      <c r="EAI14" s="131"/>
      <c r="EAJ14" s="131"/>
      <c r="EAK14" s="131"/>
      <c r="EAL14" s="131"/>
      <c r="EAM14" s="131"/>
      <c r="EAN14" s="131"/>
      <c r="EAO14" s="131"/>
      <c r="EAP14" s="131"/>
      <c r="EAQ14" s="131"/>
      <c r="EAR14" s="131"/>
      <c r="EAS14" s="131"/>
      <c r="EAT14" s="1003"/>
      <c r="EAU14" s="1003"/>
      <c r="EAV14" s="1003"/>
      <c r="EAW14" s="1003"/>
      <c r="EAX14" s="131"/>
      <c r="EAY14" s="131"/>
      <c r="EAZ14" s="131"/>
      <c r="EBA14" s="131"/>
      <c r="EBB14" s="131"/>
      <c r="EBC14" s="131"/>
      <c r="EBD14" s="131"/>
      <c r="EBE14" s="131"/>
      <c r="EBF14" s="131"/>
      <c r="EBG14" s="131"/>
      <c r="EBH14" s="131"/>
      <c r="EBI14" s="131"/>
      <c r="EBJ14" s="1003"/>
      <c r="EBK14" s="1003"/>
      <c r="EBL14" s="1003"/>
      <c r="EBM14" s="1003"/>
      <c r="EBN14" s="131"/>
      <c r="EBO14" s="131"/>
      <c r="EBP14" s="131"/>
      <c r="EBQ14" s="131"/>
      <c r="EBR14" s="131"/>
      <c r="EBS14" s="131"/>
      <c r="EBT14" s="131"/>
      <c r="EBU14" s="131"/>
      <c r="EBV14" s="131"/>
      <c r="EBW14" s="131"/>
      <c r="EBX14" s="131"/>
      <c r="EBY14" s="131"/>
      <c r="EBZ14" s="1003"/>
      <c r="ECA14" s="1003"/>
      <c r="ECB14" s="1003"/>
      <c r="ECC14" s="1003"/>
      <c r="ECD14" s="131"/>
      <c r="ECE14" s="131"/>
      <c r="ECF14" s="131"/>
      <c r="ECG14" s="131"/>
      <c r="ECH14" s="131"/>
      <c r="ECI14" s="131"/>
      <c r="ECJ14" s="131"/>
      <c r="ECK14" s="131"/>
      <c r="ECL14" s="131"/>
      <c r="ECM14" s="131"/>
      <c r="ECN14" s="131"/>
      <c r="ECO14" s="131"/>
      <c r="ECP14" s="1003"/>
      <c r="ECQ14" s="1003"/>
      <c r="ECR14" s="1003"/>
      <c r="ECS14" s="1003"/>
      <c r="ECT14" s="131"/>
      <c r="ECU14" s="131"/>
      <c r="ECV14" s="131"/>
      <c r="ECW14" s="131"/>
      <c r="ECX14" s="131"/>
      <c r="ECY14" s="131"/>
      <c r="ECZ14" s="131"/>
      <c r="EDA14" s="131"/>
      <c r="EDB14" s="131"/>
      <c r="EDC14" s="131"/>
      <c r="EDD14" s="131"/>
      <c r="EDE14" s="131"/>
      <c r="EDF14" s="1003"/>
      <c r="EDG14" s="1003"/>
      <c r="EDH14" s="1003"/>
      <c r="EDI14" s="1003"/>
      <c r="EDJ14" s="131"/>
      <c r="EDK14" s="131"/>
      <c r="EDL14" s="131"/>
      <c r="EDM14" s="131"/>
      <c r="EDN14" s="131"/>
      <c r="EDO14" s="131"/>
      <c r="EDP14" s="131"/>
      <c r="EDQ14" s="131"/>
      <c r="EDR14" s="131"/>
      <c r="EDS14" s="131"/>
      <c r="EDT14" s="131"/>
      <c r="EDU14" s="131"/>
      <c r="EDV14" s="1003"/>
      <c r="EDW14" s="1003"/>
      <c r="EDX14" s="1003"/>
      <c r="EDY14" s="1003"/>
      <c r="EDZ14" s="131"/>
      <c r="EEA14" s="131"/>
      <c r="EEB14" s="131"/>
      <c r="EEC14" s="131"/>
      <c r="EED14" s="131"/>
      <c r="EEE14" s="131"/>
      <c r="EEF14" s="131"/>
      <c r="EEG14" s="131"/>
      <c r="EEH14" s="131"/>
      <c r="EEI14" s="131"/>
      <c r="EEJ14" s="131"/>
      <c r="EEK14" s="131"/>
      <c r="EEL14" s="1003"/>
      <c r="EEM14" s="1003"/>
      <c r="EEN14" s="1003"/>
      <c r="EEO14" s="1003"/>
      <c r="EEP14" s="131"/>
      <c r="EEQ14" s="131"/>
      <c r="EER14" s="131"/>
      <c r="EES14" s="131"/>
      <c r="EET14" s="131"/>
      <c r="EEU14" s="131"/>
      <c r="EEV14" s="131"/>
      <c r="EEW14" s="131"/>
      <c r="EEX14" s="131"/>
      <c r="EEY14" s="131"/>
      <c r="EEZ14" s="131"/>
      <c r="EFA14" s="131"/>
      <c r="EFB14" s="1003"/>
      <c r="EFC14" s="1003"/>
      <c r="EFD14" s="1003"/>
      <c r="EFE14" s="1003"/>
      <c r="EFF14" s="131"/>
      <c r="EFG14" s="131"/>
      <c r="EFH14" s="131"/>
      <c r="EFI14" s="131"/>
      <c r="EFJ14" s="131"/>
      <c r="EFK14" s="131"/>
      <c r="EFL14" s="131"/>
      <c r="EFM14" s="131"/>
      <c r="EFN14" s="131"/>
      <c r="EFO14" s="131"/>
      <c r="EFP14" s="131"/>
      <c r="EFQ14" s="131"/>
      <c r="EFR14" s="1003"/>
      <c r="EFS14" s="1003"/>
      <c r="EFT14" s="1003"/>
      <c r="EFU14" s="1003"/>
      <c r="EFV14" s="131"/>
      <c r="EFW14" s="131"/>
      <c r="EFX14" s="131"/>
      <c r="EFY14" s="131"/>
      <c r="EFZ14" s="131"/>
      <c r="EGA14" s="131"/>
      <c r="EGB14" s="131"/>
      <c r="EGC14" s="131"/>
      <c r="EGD14" s="131"/>
      <c r="EGE14" s="131"/>
      <c r="EGF14" s="131"/>
      <c r="EGG14" s="131"/>
      <c r="EGH14" s="1003"/>
      <c r="EGI14" s="1003"/>
      <c r="EGJ14" s="1003"/>
      <c r="EGK14" s="1003"/>
      <c r="EGL14" s="131"/>
      <c r="EGM14" s="131"/>
      <c r="EGN14" s="131"/>
      <c r="EGO14" s="131"/>
      <c r="EGP14" s="131"/>
      <c r="EGQ14" s="131"/>
      <c r="EGR14" s="131"/>
      <c r="EGS14" s="131"/>
      <c r="EGT14" s="131"/>
      <c r="EGU14" s="131"/>
      <c r="EGV14" s="131"/>
      <c r="EGW14" s="131"/>
      <c r="EGX14" s="1003"/>
      <c r="EGY14" s="1003"/>
      <c r="EGZ14" s="1003"/>
      <c r="EHA14" s="1003"/>
      <c r="EHB14" s="131"/>
      <c r="EHC14" s="131"/>
      <c r="EHD14" s="131"/>
      <c r="EHE14" s="131"/>
      <c r="EHF14" s="131"/>
      <c r="EHG14" s="131"/>
      <c r="EHH14" s="131"/>
      <c r="EHI14" s="131"/>
      <c r="EHJ14" s="131"/>
      <c r="EHK14" s="131"/>
      <c r="EHL14" s="131"/>
      <c r="EHM14" s="131"/>
      <c r="EHN14" s="1003"/>
      <c r="EHO14" s="1003"/>
      <c r="EHP14" s="1003"/>
      <c r="EHQ14" s="1003"/>
      <c r="EHR14" s="131"/>
      <c r="EHS14" s="131"/>
      <c r="EHT14" s="131"/>
      <c r="EHU14" s="131"/>
      <c r="EHV14" s="131"/>
      <c r="EHW14" s="131"/>
      <c r="EHX14" s="131"/>
      <c r="EHY14" s="131"/>
      <c r="EHZ14" s="131"/>
      <c r="EIA14" s="131"/>
      <c r="EIB14" s="131"/>
      <c r="EIC14" s="131"/>
      <c r="EID14" s="1003"/>
      <c r="EIE14" s="1003"/>
      <c r="EIF14" s="1003"/>
      <c r="EIG14" s="1003"/>
      <c r="EIH14" s="131"/>
      <c r="EII14" s="131"/>
      <c r="EIJ14" s="131"/>
      <c r="EIK14" s="131"/>
      <c r="EIL14" s="131"/>
      <c r="EIM14" s="131"/>
      <c r="EIN14" s="131"/>
      <c r="EIO14" s="131"/>
      <c r="EIP14" s="131"/>
      <c r="EIQ14" s="131"/>
      <c r="EIR14" s="131"/>
      <c r="EIS14" s="131"/>
      <c r="EIT14" s="1003"/>
      <c r="EIU14" s="1003"/>
      <c r="EIV14" s="1003"/>
      <c r="EIW14" s="1003"/>
      <c r="EIX14" s="131"/>
      <c r="EIY14" s="131"/>
      <c r="EIZ14" s="131"/>
      <c r="EJA14" s="131"/>
      <c r="EJB14" s="131"/>
      <c r="EJC14" s="131"/>
      <c r="EJD14" s="131"/>
      <c r="EJE14" s="131"/>
      <c r="EJF14" s="131"/>
      <c r="EJG14" s="131"/>
      <c r="EJH14" s="131"/>
      <c r="EJI14" s="131"/>
      <c r="EJJ14" s="1003"/>
      <c r="EJK14" s="1003"/>
      <c r="EJL14" s="1003"/>
      <c r="EJM14" s="1003"/>
      <c r="EJN14" s="131"/>
      <c r="EJO14" s="131"/>
      <c r="EJP14" s="131"/>
      <c r="EJQ14" s="131"/>
      <c r="EJR14" s="131"/>
      <c r="EJS14" s="131"/>
      <c r="EJT14" s="131"/>
      <c r="EJU14" s="131"/>
      <c r="EJV14" s="131"/>
      <c r="EJW14" s="131"/>
      <c r="EJX14" s="131"/>
      <c r="EJY14" s="131"/>
      <c r="EJZ14" s="1003"/>
      <c r="EKA14" s="1003"/>
      <c r="EKB14" s="1003"/>
      <c r="EKC14" s="1003"/>
      <c r="EKD14" s="131"/>
      <c r="EKE14" s="131"/>
      <c r="EKF14" s="131"/>
      <c r="EKG14" s="131"/>
      <c r="EKH14" s="131"/>
      <c r="EKI14" s="131"/>
      <c r="EKJ14" s="131"/>
      <c r="EKK14" s="131"/>
      <c r="EKL14" s="131"/>
      <c r="EKM14" s="131"/>
      <c r="EKN14" s="131"/>
      <c r="EKO14" s="131"/>
      <c r="EKP14" s="1003"/>
      <c r="EKQ14" s="1003"/>
      <c r="EKR14" s="1003"/>
      <c r="EKS14" s="1003"/>
      <c r="EKT14" s="131"/>
      <c r="EKU14" s="131"/>
      <c r="EKV14" s="131"/>
      <c r="EKW14" s="131"/>
      <c r="EKX14" s="131"/>
      <c r="EKY14" s="131"/>
      <c r="EKZ14" s="131"/>
      <c r="ELA14" s="131"/>
      <c r="ELB14" s="131"/>
      <c r="ELC14" s="131"/>
      <c r="ELD14" s="131"/>
      <c r="ELE14" s="131"/>
      <c r="ELF14" s="1003"/>
      <c r="ELG14" s="1003"/>
      <c r="ELH14" s="1003"/>
      <c r="ELI14" s="1003"/>
      <c r="ELJ14" s="131"/>
      <c r="ELK14" s="131"/>
      <c r="ELL14" s="131"/>
      <c r="ELM14" s="131"/>
      <c r="ELN14" s="131"/>
      <c r="ELO14" s="131"/>
      <c r="ELP14" s="131"/>
      <c r="ELQ14" s="131"/>
      <c r="ELR14" s="131"/>
      <c r="ELS14" s="131"/>
      <c r="ELT14" s="131"/>
      <c r="ELU14" s="131"/>
      <c r="ELV14" s="1003"/>
      <c r="ELW14" s="1003"/>
      <c r="ELX14" s="1003"/>
      <c r="ELY14" s="1003"/>
      <c r="ELZ14" s="131"/>
      <c r="EMA14" s="131"/>
      <c r="EMB14" s="131"/>
      <c r="EMC14" s="131"/>
      <c r="EMD14" s="131"/>
      <c r="EME14" s="131"/>
      <c r="EMF14" s="131"/>
      <c r="EMG14" s="131"/>
      <c r="EMH14" s="131"/>
      <c r="EMI14" s="131"/>
      <c r="EMJ14" s="131"/>
      <c r="EMK14" s="131"/>
      <c r="EML14" s="1003"/>
      <c r="EMM14" s="1003"/>
      <c r="EMN14" s="1003"/>
      <c r="EMO14" s="1003"/>
      <c r="EMP14" s="131"/>
      <c r="EMQ14" s="131"/>
      <c r="EMR14" s="131"/>
      <c r="EMS14" s="131"/>
      <c r="EMT14" s="131"/>
      <c r="EMU14" s="131"/>
      <c r="EMV14" s="131"/>
      <c r="EMW14" s="131"/>
      <c r="EMX14" s="131"/>
      <c r="EMY14" s="131"/>
      <c r="EMZ14" s="131"/>
      <c r="ENA14" s="131"/>
      <c r="ENB14" s="1003"/>
      <c r="ENC14" s="1003"/>
      <c r="END14" s="1003"/>
      <c r="ENE14" s="1003"/>
      <c r="ENF14" s="131"/>
      <c r="ENG14" s="131"/>
      <c r="ENH14" s="131"/>
      <c r="ENI14" s="131"/>
      <c r="ENJ14" s="131"/>
      <c r="ENK14" s="131"/>
      <c r="ENL14" s="131"/>
      <c r="ENM14" s="131"/>
      <c r="ENN14" s="131"/>
      <c r="ENO14" s="131"/>
      <c r="ENP14" s="131"/>
      <c r="ENQ14" s="131"/>
      <c r="ENR14" s="1003"/>
      <c r="ENS14" s="1003"/>
      <c r="ENT14" s="1003"/>
      <c r="ENU14" s="1003"/>
      <c r="ENV14" s="131"/>
      <c r="ENW14" s="131"/>
      <c r="ENX14" s="131"/>
      <c r="ENY14" s="131"/>
      <c r="ENZ14" s="131"/>
      <c r="EOA14" s="131"/>
      <c r="EOB14" s="131"/>
      <c r="EOC14" s="131"/>
      <c r="EOD14" s="131"/>
      <c r="EOE14" s="131"/>
      <c r="EOF14" s="131"/>
      <c r="EOG14" s="131"/>
      <c r="EOH14" s="1003"/>
      <c r="EOI14" s="1003"/>
      <c r="EOJ14" s="1003"/>
      <c r="EOK14" s="1003"/>
      <c r="EOL14" s="131"/>
      <c r="EOM14" s="131"/>
      <c r="EON14" s="131"/>
      <c r="EOO14" s="131"/>
      <c r="EOP14" s="131"/>
      <c r="EOQ14" s="131"/>
      <c r="EOR14" s="131"/>
      <c r="EOS14" s="131"/>
      <c r="EOT14" s="131"/>
      <c r="EOU14" s="131"/>
      <c r="EOV14" s="131"/>
      <c r="EOW14" s="131"/>
      <c r="EOX14" s="1003"/>
      <c r="EOY14" s="1003"/>
      <c r="EOZ14" s="1003"/>
      <c r="EPA14" s="1003"/>
      <c r="EPB14" s="131"/>
      <c r="EPC14" s="131"/>
      <c r="EPD14" s="131"/>
      <c r="EPE14" s="131"/>
      <c r="EPF14" s="131"/>
      <c r="EPG14" s="131"/>
      <c r="EPH14" s="131"/>
      <c r="EPI14" s="131"/>
      <c r="EPJ14" s="131"/>
      <c r="EPK14" s="131"/>
      <c r="EPL14" s="131"/>
      <c r="EPM14" s="131"/>
      <c r="EPN14" s="1003"/>
      <c r="EPO14" s="1003"/>
      <c r="EPP14" s="1003"/>
      <c r="EPQ14" s="1003"/>
      <c r="EPR14" s="131"/>
      <c r="EPS14" s="131"/>
      <c r="EPT14" s="131"/>
      <c r="EPU14" s="131"/>
      <c r="EPV14" s="131"/>
      <c r="EPW14" s="131"/>
      <c r="EPX14" s="131"/>
      <c r="EPY14" s="131"/>
      <c r="EPZ14" s="131"/>
      <c r="EQA14" s="131"/>
      <c r="EQB14" s="131"/>
      <c r="EQC14" s="131"/>
      <c r="EQD14" s="1003"/>
      <c r="EQE14" s="1003"/>
      <c r="EQF14" s="1003"/>
      <c r="EQG14" s="1003"/>
      <c r="EQH14" s="131"/>
      <c r="EQI14" s="131"/>
      <c r="EQJ14" s="131"/>
      <c r="EQK14" s="131"/>
      <c r="EQL14" s="131"/>
      <c r="EQM14" s="131"/>
      <c r="EQN14" s="131"/>
      <c r="EQO14" s="131"/>
      <c r="EQP14" s="131"/>
      <c r="EQQ14" s="131"/>
      <c r="EQR14" s="131"/>
      <c r="EQS14" s="131"/>
      <c r="EQT14" s="1003"/>
      <c r="EQU14" s="1003"/>
      <c r="EQV14" s="1003"/>
      <c r="EQW14" s="1003"/>
      <c r="EQX14" s="131"/>
      <c r="EQY14" s="131"/>
      <c r="EQZ14" s="131"/>
      <c r="ERA14" s="131"/>
      <c r="ERB14" s="131"/>
      <c r="ERC14" s="131"/>
      <c r="ERD14" s="131"/>
      <c r="ERE14" s="131"/>
      <c r="ERF14" s="131"/>
      <c r="ERG14" s="131"/>
      <c r="ERH14" s="131"/>
      <c r="ERI14" s="131"/>
      <c r="ERJ14" s="1003"/>
      <c r="ERK14" s="1003"/>
      <c r="ERL14" s="1003"/>
      <c r="ERM14" s="1003"/>
      <c r="ERN14" s="131"/>
      <c r="ERO14" s="131"/>
      <c r="ERP14" s="131"/>
      <c r="ERQ14" s="131"/>
      <c r="ERR14" s="131"/>
      <c r="ERS14" s="131"/>
      <c r="ERT14" s="131"/>
      <c r="ERU14" s="131"/>
      <c r="ERV14" s="131"/>
      <c r="ERW14" s="131"/>
      <c r="ERX14" s="131"/>
      <c r="ERY14" s="131"/>
      <c r="ERZ14" s="1003"/>
      <c r="ESA14" s="1003"/>
      <c r="ESB14" s="1003"/>
      <c r="ESC14" s="1003"/>
      <c r="ESD14" s="131"/>
      <c r="ESE14" s="131"/>
      <c r="ESF14" s="131"/>
      <c r="ESG14" s="131"/>
      <c r="ESH14" s="131"/>
      <c r="ESI14" s="131"/>
      <c r="ESJ14" s="131"/>
      <c r="ESK14" s="131"/>
      <c r="ESL14" s="131"/>
      <c r="ESM14" s="131"/>
      <c r="ESN14" s="131"/>
      <c r="ESO14" s="131"/>
      <c r="ESP14" s="1003"/>
      <c r="ESQ14" s="1003"/>
      <c r="ESR14" s="1003"/>
      <c r="ESS14" s="1003"/>
      <c r="EST14" s="131"/>
      <c r="ESU14" s="131"/>
      <c r="ESV14" s="131"/>
      <c r="ESW14" s="131"/>
      <c r="ESX14" s="131"/>
      <c r="ESY14" s="131"/>
      <c r="ESZ14" s="131"/>
      <c r="ETA14" s="131"/>
      <c r="ETB14" s="131"/>
      <c r="ETC14" s="131"/>
      <c r="ETD14" s="131"/>
      <c r="ETE14" s="131"/>
      <c r="ETF14" s="1003"/>
      <c r="ETG14" s="1003"/>
      <c r="ETH14" s="1003"/>
      <c r="ETI14" s="1003"/>
      <c r="ETJ14" s="131"/>
      <c r="ETK14" s="131"/>
      <c r="ETL14" s="131"/>
      <c r="ETM14" s="131"/>
      <c r="ETN14" s="131"/>
      <c r="ETO14" s="131"/>
      <c r="ETP14" s="131"/>
      <c r="ETQ14" s="131"/>
      <c r="ETR14" s="131"/>
      <c r="ETS14" s="131"/>
      <c r="ETT14" s="131"/>
      <c r="ETU14" s="131"/>
      <c r="ETV14" s="1003"/>
      <c r="ETW14" s="1003"/>
      <c r="ETX14" s="1003"/>
      <c r="ETY14" s="1003"/>
      <c r="ETZ14" s="131"/>
      <c r="EUA14" s="131"/>
      <c r="EUB14" s="131"/>
      <c r="EUC14" s="131"/>
      <c r="EUD14" s="131"/>
      <c r="EUE14" s="131"/>
      <c r="EUF14" s="131"/>
      <c r="EUG14" s="131"/>
      <c r="EUH14" s="131"/>
      <c r="EUI14" s="131"/>
      <c r="EUJ14" s="131"/>
      <c r="EUK14" s="131"/>
      <c r="EUL14" s="1003"/>
      <c r="EUM14" s="1003"/>
      <c r="EUN14" s="1003"/>
      <c r="EUO14" s="1003"/>
      <c r="EUP14" s="131"/>
      <c r="EUQ14" s="131"/>
      <c r="EUR14" s="131"/>
      <c r="EUS14" s="131"/>
      <c r="EUT14" s="131"/>
      <c r="EUU14" s="131"/>
      <c r="EUV14" s="131"/>
      <c r="EUW14" s="131"/>
      <c r="EUX14" s="131"/>
      <c r="EUY14" s="131"/>
      <c r="EUZ14" s="131"/>
      <c r="EVA14" s="131"/>
      <c r="EVB14" s="1003"/>
      <c r="EVC14" s="1003"/>
      <c r="EVD14" s="1003"/>
      <c r="EVE14" s="1003"/>
      <c r="EVF14" s="131"/>
      <c r="EVG14" s="131"/>
      <c r="EVH14" s="131"/>
      <c r="EVI14" s="131"/>
      <c r="EVJ14" s="131"/>
      <c r="EVK14" s="131"/>
      <c r="EVL14" s="131"/>
      <c r="EVM14" s="131"/>
      <c r="EVN14" s="131"/>
      <c r="EVO14" s="131"/>
      <c r="EVP14" s="131"/>
      <c r="EVQ14" s="131"/>
      <c r="EVR14" s="1003"/>
      <c r="EVS14" s="1003"/>
      <c r="EVT14" s="1003"/>
      <c r="EVU14" s="1003"/>
      <c r="EVV14" s="131"/>
      <c r="EVW14" s="131"/>
      <c r="EVX14" s="131"/>
      <c r="EVY14" s="131"/>
      <c r="EVZ14" s="131"/>
      <c r="EWA14" s="131"/>
      <c r="EWB14" s="131"/>
      <c r="EWC14" s="131"/>
      <c r="EWD14" s="131"/>
      <c r="EWE14" s="131"/>
      <c r="EWF14" s="131"/>
      <c r="EWG14" s="131"/>
      <c r="EWH14" s="1003"/>
      <c r="EWI14" s="1003"/>
      <c r="EWJ14" s="1003"/>
      <c r="EWK14" s="1003"/>
      <c r="EWL14" s="131"/>
      <c r="EWM14" s="131"/>
      <c r="EWN14" s="131"/>
      <c r="EWO14" s="131"/>
      <c r="EWP14" s="131"/>
      <c r="EWQ14" s="131"/>
      <c r="EWR14" s="131"/>
      <c r="EWS14" s="131"/>
      <c r="EWT14" s="131"/>
      <c r="EWU14" s="131"/>
      <c r="EWV14" s="131"/>
      <c r="EWW14" s="131"/>
      <c r="EWX14" s="1003"/>
      <c r="EWY14" s="1003"/>
      <c r="EWZ14" s="1003"/>
      <c r="EXA14" s="1003"/>
      <c r="EXB14" s="131"/>
      <c r="EXC14" s="131"/>
      <c r="EXD14" s="131"/>
      <c r="EXE14" s="131"/>
      <c r="EXF14" s="131"/>
      <c r="EXG14" s="131"/>
      <c r="EXH14" s="131"/>
      <c r="EXI14" s="131"/>
      <c r="EXJ14" s="131"/>
      <c r="EXK14" s="131"/>
      <c r="EXL14" s="131"/>
      <c r="EXM14" s="131"/>
      <c r="EXN14" s="1003"/>
      <c r="EXO14" s="1003"/>
      <c r="EXP14" s="1003"/>
      <c r="EXQ14" s="1003"/>
      <c r="EXR14" s="131"/>
      <c r="EXS14" s="131"/>
      <c r="EXT14" s="131"/>
      <c r="EXU14" s="131"/>
      <c r="EXV14" s="131"/>
      <c r="EXW14" s="131"/>
      <c r="EXX14" s="131"/>
      <c r="EXY14" s="131"/>
      <c r="EXZ14" s="131"/>
      <c r="EYA14" s="131"/>
      <c r="EYB14" s="131"/>
      <c r="EYC14" s="131"/>
      <c r="EYD14" s="1003"/>
      <c r="EYE14" s="1003"/>
      <c r="EYF14" s="1003"/>
      <c r="EYG14" s="1003"/>
      <c r="EYH14" s="131"/>
      <c r="EYI14" s="131"/>
      <c r="EYJ14" s="131"/>
      <c r="EYK14" s="131"/>
      <c r="EYL14" s="131"/>
      <c r="EYM14" s="131"/>
      <c r="EYN14" s="131"/>
      <c r="EYO14" s="131"/>
      <c r="EYP14" s="131"/>
      <c r="EYQ14" s="131"/>
      <c r="EYR14" s="131"/>
      <c r="EYS14" s="131"/>
      <c r="EYT14" s="1003"/>
      <c r="EYU14" s="1003"/>
      <c r="EYV14" s="1003"/>
      <c r="EYW14" s="1003"/>
      <c r="EYX14" s="131"/>
      <c r="EYY14" s="131"/>
      <c r="EYZ14" s="131"/>
      <c r="EZA14" s="131"/>
      <c r="EZB14" s="131"/>
      <c r="EZC14" s="131"/>
      <c r="EZD14" s="131"/>
      <c r="EZE14" s="131"/>
      <c r="EZF14" s="131"/>
      <c r="EZG14" s="131"/>
      <c r="EZH14" s="131"/>
      <c r="EZI14" s="131"/>
      <c r="EZJ14" s="1003"/>
      <c r="EZK14" s="1003"/>
      <c r="EZL14" s="1003"/>
      <c r="EZM14" s="1003"/>
      <c r="EZN14" s="131"/>
      <c r="EZO14" s="131"/>
      <c r="EZP14" s="131"/>
      <c r="EZQ14" s="131"/>
      <c r="EZR14" s="131"/>
      <c r="EZS14" s="131"/>
      <c r="EZT14" s="131"/>
      <c r="EZU14" s="131"/>
      <c r="EZV14" s="131"/>
      <c r="EZW14" s="131"/>
      <c r="EZX14" s="131"/>
      <c r="EZY14" s="131"/>
      <c r="EZZ14" s="1003"/>
      <c r="FAA14" s="1003"/>
      <c r="FAB14" s="1003"/>
      <c r="FAC14" s="1003"/>
      <c r="FAP14" s="1003"/>
      <c r="FAQ14" s="1003"/>
      <c r="FAR14" s="1003"/>
      <c r="FAS14" s="1003"/>
      <c r="FAT14" s="131"/>
      <c r="FAU14" s="131"/>
      <c r="FAV14" s="131"/>
      <c r="FAW14" s="131"/>
      <c r="FAX14" s="131"/>
      <c r="FAY14" s="131"/>
      <c r="FAZ14" s="131"/>
      <c r="FBA14" s="131"/>
      <c r="FBB14" s="131"/>
      <c r="FBC14" s="131"/>
      <c r="FBD14" s="131"/>
      <c r="FBE14" s="131"/>
      <c r="FBF14" s="1003"/>
      <c r="FBG14" s="1003"/>
      <c r="FBH14" s="1003"/>
      <c r="FBI14" s="1003"/>
      <c r="FBJ14" s="131"/>
      <c r="FBK14" s="131"/>
      <c r="FBL14" s="131"/>
      <c r="FBM14" s="131"/>
      <c r="FBN14" s="131"/>
      <c r="FBO14" s="131"/>
      <c r="FBP14" s="131"/>
      <c r="FBQ14" s="131"/>
      <c r="FBR14" s="131"/>
      <c r="FBS14" s="131"/>
      <c r="FBT14" s="131"/>
      <c r="FBU14" s="131"/>
      <c r="FBV14" s="1003"/>
      <c r="FBW14" s="1003"/>
      <c r="FBX14" s="1003"/>
      <c r="FBY14" s="1003"/>
      <c r="FBZ14" s="131"/>
      <c r="FCA14" s="131"/>
      <c r="FCB14" s="131"/>
      <c r="FCC14" s="131"/>
      <c r="FCD14" s="131"/>
      <c r="FCE14" s="131"/>
      <c r="FCF14" s="131"/>
      <c r="FCG14" s="131"/>
      <c r="FCH14" s="131"/>
      <c r="FCI14" s="131"/>
      <c r="FCJ14" s="131"/>
      <c r="FCK14" s="131"/>
      <c r="FCL14" s="1003"/>
      <c r="FCM14" s="1003"/>
      <c r="FCN14" s="1003"/>
      <c r="FCO14" s="1003"/>
      <c r="FCP14" s="131"/>
      <c r="FCQ14" s="131"/>
      <c r="FCR14" s="131"/>
      <c r="FCS14" s="131"/>
      <c r="FCT14" s="131"/>
      <c r="FCU14" s="131"/>
      <c r="FCV14" s="131"/>
      <c r="FCW14" s="131"/>
      <c r="FCX14" s="131"/>
      <c r="FCY14" s="131"/>
      <c r="FCZ14" s="131"/>
      <c r="FDA14" s="131"/>
      <c r="FDB14" s="1003"/>
      <c r="FDC14" s="1003"/>
      <c r="FDD14" s="1003"/>
      <c r="FDE14" s="1003"/>
      <c r="FDF14" s="131"/>
      <c r="FDG14" s="131"/>
      <c r="FDH14" s="131"/>
      <c r="FDI14" s="131"/>
      <c r="FDJ14" s="131"/>
      <c r="FDK14" s="131"/>
      <c r="FDL14" s="131"/>
      <c r="FDM14" s="131"/>
      <c r="FDN14" s="131"/>
      <c r="FDO14" s="131"/>
      <c r="FDP14" s="131"/>
      <c r="FDQ14" s="131"/>
      <c r="FDR14" s="1003"/>
      <c r="FDS14" s="1003"/>
      <c r="FDT14" s="1003"/>
      <c r="FDU14" s="1003"/>
      <c r="FDV14" s="131"/>
      <c r="FDW14" s="131"/>
      <c r="FDX14" s="131"/>
      <c r="FDY14" s="131"/>
      <c r="FDZ14" s="131"/>
      <c r="FEA14" s="131"/>
      <c r="FEB14" s="131"/>
      <c r="FEC14" s="131"/>
      <c r="FED14" s="131"/>
      <c r="FEE14" s="131"/>
      <c r="FEF14" s="131"/>
      <c r="FEG14" s="131"/>
      <c r="FEH14" s="1003"/>
      <c r="FEI14" s="1003"/>
      <c r="FEJ14" s="1003"/>
      <c r="FEK14" s="1003"/>
      <c r="FEL14" s="131"/>
      <c r="FEM14" s="131"/>
      <c r="FEN14" s="131"/>
      <c r="FEO14" s="131"/>
      <c r="FEP14" s="131"/>
      <c r="FEQ14" s="131"/>
      <c r="FER14" s="131"/>
      <c r="FES14" s="131"/>
      <c r="FET14" s="131"/>
      <c r="FEU14" s="131"/>
      <c r="FEV14" s="131"/>
      <c r="FEW14" s="131"/>
      <c r="FEX14" s="1003"/>
      <c r="FEY14" s="1003"/>
      <c r="FEZ14" s="1003"/>
      <c r="FFA14" s="1003"/>
      <c r="FFB14" s="131"/>
      <c r="FFC14" s="131"/>
      <c r="FFD14" s="131"/>
      <c r="FFE14" s="131"/>
      <c r="FFF14" s="131"/>
      <c r="FFG14" s="131"/>
      <c r="FFH14" s="131"/>
      <c r="FFI14" s="131"/>
      <c r="FFJ14" s="131"/>
      <c r="FFK14" s="131"/>
      <c r="FFL14" s="131"/>
      <c r="FFM14" s="131"/>
      <c r="FFN14" s="1003"/>
      <c r="FFO14" s="1003"/>
      <c r="FFP14" s="1003"/>
      <c r="FFQ14" s="1003"/>
      <c r="FFR14" s="131"/>
      <c r="FFS14" s="131"/>
      <c r="FFT14" s="131"/>
      <c r="FFU14" s="131"/>
      <c r="FFV14" s="131"/>
      <c r="FFW14" s="131"/>
      <c r="FFX14" s="131"/>
      <c r="FFY14" s="131"/>
      <c r="FFZ14" s="131"/>
      <c r="FGA14" s="131"/>
      <c r="FGB14" s="131"/>
      <c r="FGC14" s="131"/>
      <c r="FGD14" s="1003"/>
      <c r="FGE14" s="1003"/>
      <c r="FGF14" s="1003"/>
      <c r="FGG14" s="1003"/>
      <c r="FGH14" s="131"/>
      <c r="FGI14" s="131"/>
      <c r="FGJ14" s="131"/>
      <c r="FGK14" s="131"/>
      <c r="FGL14" s="131"/>
      <c r="FGM14" s="131"/>
      <c r="FGN14" s="131"/>
      <c r="FGO14" s="131"/>
      <c r="FGP14" s="131"/>
      <c r="FGQ14" s="131"/>
      <c r="FGR14" s="131"/>
      <c r="FGS14" s="131"/>
      <c r="FGT14" s="1003"/>
      <c r="FGU14" s="1003"/>
      <c r="FGV14" s="1003"/>
      <c r="FGW14" s="1003"/>
      <c r="FGX14" s="131"/>
      <c r="FGY14" s="131"/>
      <c r="FGZ14" s="131"/>
      <c r="FHA14" s="131"/>
      <c r="FHB14" s="131"/>
      <c r="FHC14" s="131"/>
      <c r="FHD14" s="131"/>
      <c r="FHE14" s="131"/>
      <c r="FHF14" s="131"/>
      <c r="FHG14" s="131"/>
      <c r="FHH14" s="131"/>
      <c r="FHI14" s="131"/>
      <c r="FHJ14" s="1003"/>
      <c r="FHK14" s="1003"/>
      <c r="FHL14" s="1003"/>
      <c r="FHM14" s="1003"/>
      <c r="FHN14" s="131"/>
      <c r="FHO14" s="131"/>
      <c r="FHP14" s="131"/>
      <c r="FHQ14" s="131"/>
      <c r="FHR14" s="131"/>
      <c r="FHS14" s="131"/>
      <c r="FHT14" s="131"/>
      <c r="FHU14" s="131"/>
      <c r="FHV14" s="131"/>
      <c r="FHW14" s="131"/>
      <c r="FHX14" s="131"/>
      <c r="FHY14" s="131"/>
      <c r="FHZ14" s="1003"/>
      <c r="FIA14" s="1003"/>
      <c r="FIB14" s="1003"/>
      <c r="FIC14" s="1003"/>
      <c r="FID14" s="131"/>
      <c r="FIE14" s="131"/>
      <c r="FIF14" s="131"/>
      <c r="FIG14" s="131"/>
      <c r="FIH14" s="131"/>
      <c r="FII14" s="131"/>
      <c r="FIJ14" s="131"/>
      <c r="FIK14" s="131"/>
      <c r="FIL14" s="131"/>
      <c r="FIM14" s="131"/>
      <c r="FIN14" s="131"/>
      <c r="FIO14" s="131"/>
      <c r="FIP14" s="1003"/>
      <c r="FIQ14" s="1003"/>
      <c r="FIR14" s="1003"/>
      <c r="FIS14" s="1003"/>
      <c r="FIT14" s="131"/>
      <c r="FIU14" s="131"/>
      <c r="FIV14" s="131"/>
      <c r="FIW14" s="131"/>
      <c r="FIX14" s="131"/>
      <c r="FIY14" s="131"/>
      <c r="FIZ14" s="131"/>
      <c r="FJA14" s="131"/>
      <c r="FJB14" s="131"/>
      <c r="FJC14" s="131"/>
      <c r="FJD14" s="131"/>
      <c r="FJE14" s="131"/>
      <c r="FJF14" s="1003"/>
      <c r="FJG14" s="1003"/>
      <c r="FJH14" s="1003"/>
      <c r="FJI14" s="1003"/>
      <c r="FJJ14" s="131"/>
      <c r="FJK14" s="131"/>
      <c r="FJL14" s="131"/>
      <c r="FJM14" s="131"/>
      <c r="FJN14" s="131"/>
      <c r="FJO14" s="131"/>
      <c r="FJP14" s="131"/>
      <c r="FJQ14" s="131"/>
      <c r="FJR14" s="131"/>
      <c r="FJS14" s="131"/>
      <c r="FJT14" s="131"/>
      <c r="FJU14" s="131"/>
      <c r="FJV14" s="1003"/>
      <c r="FJW14" s="1003"/>
      <c r="FJX14" s="1003"/>
      <c r="FJY14" s="1003"/>
      <c r="FJZ14" s="131"/>
      <c r="FKA14" s="131"/>
      <c r="FKB14" s="131"/>
      <c r="FKC14" s="131"/>
      <c r="FKD14" s="131"/>
      <c r="FKE14" s="131"/>
      <c r="FKF14" s="131"/>
      <c r="FKG14" s="131"/>
      <c r="FKH14" s="131"/>
      <c r="FKI14" s="131"/>
      <c r="FKJ14" s="131"/>
      <c r="FKK14" s="131"/>
      <c r="FKL14" s="1003"/>
      <c r="FKM14" s="1003"/>
      <c r="FKN14" s="1003"/>
      <c r="FKO14" s="1003"/>
      <c r="FKP14" s="131"/>
      <c r="FKQ14" s="131"/>
      <c r="FKR14" s="131"/>
      <c r="FKS14" s="131"/>
      <c r="FKT14" s="131"/>
      <c r="FKU14" s="131"/>
      <c r="FKV14" s="131"/>
      <c r="FKW14" s="131"/>
      <c r="FKX14" s="131"/>
      <c r="FKY14" s="131"/>
      <c r="FKZ14" s="131"/>
      <c r="FLA14" s="131"/>
      <c r="FLB14" s="1003"/>
      <c r="FLC14" s="1003"/>
      <c r="FLD14" s="1003"/>
      <c r="FLE14" s="1003"/>
      <c r="FLF14" s="131"/>
      <c r="FLG14" s="131"/>
      <c r="FLH14" s="131"/>
      <c r="FLI14" s="131"/>
      <c r="FLJ14" s="131"/>
      <c r="FLK14" s="131"/>
      <c r="FLL14" s="131"/>
      <c r="FLM14" s="131"/>
      <c r="FLN14" s="131"/>
      <c r="FLO14" s="131"/>
      <c r="FLP14" s="131"/>
      <c r="FLQ14" s="131"/>
      <c r="FLR14" s="1003"/>
      <c r="FLS14" s="1003"/>
      <c r="FLT14" s="1003"/>
      <c r="FLU14" s="1003"/>
      <c r="FLV14" s="131"/>
      <c r="FLW14" s="131"/>
      <c r="FLX14" s="131"/>
      <c r="FLY14" s="131"/>
      <c r="FLZ14" s="131"/>
      <c r="FMA14" s="131"/>
      <c r="FMB14" s="131"/>
      <c r="FMC14" s="131"/>
      <c r="FMD14" s="131"/>
      <c r="FME14" s="131"/>
      <c r="FMF14" s="131"/>
      <c r="FMG14" s="131"/>
      <c r="FMH14" s="1003"/>
      <c r="FMI14" s="1003"/>
      <c r="FMJ14" s="1003"/>
      <c r="FMK14" s="1003"/>
      <c r="FML14" s="131"/>
      <c r="FMM14" s="131"/>
      <c r="FMN14" s="131"/>
      <c r="FMO14" s="131"/>
      <c r="FMP14" s="131"/>
      <c r="FMQ14" s="131"/>
      <c r="FMR14" s="131"/>
      <c r="FMS14" s="131"/>
      <c r="FMT14" s="131"/>
      <c r="FMU14" s="131"/>
      <c r="FMV14" s="131"/>
      <c r="FMW14" s="131"/>
      <c r="FMX14" s="1003"/>
      <c r="FMY14" s="1003"/>
      <c r="FMZ14" s="1003"/>
      <c r="FNA14" s="1003"/>
      <c r="FNB14" s="131"/>
      <c r="FNC14" s="131"/>
      <c r="FND14" s="131"/>
      <c r="FNE14" s="131"/>
      <c r="FNF14" s="131"/>
      <c r="FNG14" s="131"/>
      <c r="FNH14" s="131"/>
      <c r="FNI14" s="131"/>
      <c r="FNJ14" s="131"/>
      <c r="FNK14" s="131"/>
      <c r="FNL14" s="131"/>
      <c r="FNM14" s="131"/>
      <c r="FNN14" s="1003"/>
      <c r="FNO14" s="1003"/>
      <c r="FNP14" s="1003"/>
      <c r="FNQ14" s="1003"/>
      <c r="FNR14" s="131"/>
      <c r="FNS14" s="131"/>
      <c r="FNT14" s="131"/>
      <c r="FNU14" s="131"/>
      <c r="FNV14" s="131"/>
      <c r="FNW14" s="131"/>
      <c r="FNX14" s="131"/>
      <c r="FNY14" s="131"/>
      <c r="FNZ14" s="131"/>
      <c r="FOA14" s="131"/>
      <c r="FOB14" s="131"/>
      <c r="FOC14" s="131"/>
      <c r="FOD14" s="1003"/>
      <c r="FOE14" s="1003"/>
      <c r="FOF14" s="1003"/>
      <c r="FOG14" s="1003"/>
      <c r="FOH14" s="131"/>
      <c r="FOI14" s="131"/>
      <c r="FOJ14" s="131"/>
      <c r="FOK14" s="131"/>
      <c r="FOL14" s="131"/>
      <c r="FOM14" s="131"/>
      <c r="FON14" s="131"/>
      <c r="FOO14" s="131"/>
      <c r="FOP14" s="131"/>
      <c r="FOQ14" s="131"/>
      <c r="FOR14" s="131"/>
      <c r="FOS14" s="131"/>
      <c r="FOT14" s="1003"/>
      <c r="FOU14" s="1003"/>
      <c r="FOV14" s="1003"/>
      <c r="FOW14" s="1003"/>
      <c r="FOX14" s="131"/>
      <c r="FOY14" s="131"/>
      <c r="FOZ14" s="131"/>
      <c r="FPA14" s="131"/>
      <c r="FPB14" s="131"/>
      <c r="FPC14" s="131"/>
      <c r="FPD14" s="131"/>
      <c r="FPE14" s="131"/>
      <c r="FPF14" s="131"/>
      <c r="FPG14" s="131"/>
      <c r="FPH14" s="131"/>
      <c r="FPI14" s="131"/>
      <c r="FPJ14" s="1003"/>
      <c r="FPK14" s="1003"/>
      <c r="FPL14" s="1003"/>
      <c r="FPM14" s="1003"/>
      <c r="FPN14" s="131"/>
      <c r="FPO14" s="131"/>
      <c r="FPP14" s="131"/>
      <c r="FPQ14" s="131"/>
      <c r="FPR14" s="131"/>
      <c r="FPS14" s="131"/>
      <c r="FPT14" s="131"/>
      <c r="FPU14" s="131"/>
      <c r="FPV14" s="131"/>
      <c r="FPW14" s="131"/>
      <c r="FPX14" s="131"/>
      <c r="FPY14" s="131"/>
      <c r="FPZ14" s="1003"/>
      <c r="FQA14" s="1003"/>
      <c r="FQB14" s="1003"/>
      <c r="FQC14" s="1003"/>
      <c r="FQD14" s="131"/>
      <c r="FQE14" s="131"/>
      <c r="FQF14" s="131"/>
      <c r="FQG14" s="131"/>
      <c r="FQH14" s="131"/>
      <c r="FQI14" s="131"/>
      <c r="FQJ14" s="131"/>
      <c r="FQK14" s="131"/>
      <c r="FQL14" s="131"/>
      <c r="FQM14" s="131"/>
      <c r="FQN14" s="131"/>
      <c r="FQO14" s="131"/>
      <c r="FQP14" s="1003"/>
      <c r="FQQ14" s="1003"/>
      <c r="FQR14" s="1003"/>
      <c r="FQS14" s="1003"/>
      <c r="FQT14" s="131"/>
      <c r="FQU14" s="131"/>
      <c r="FQV14" s="131"/>
      <c r="FQW14" s="131"/>
      <c r="FQX14" s="131"/>
      <c r="FQY14" s="131"/>
      <c r="FQZ14" s="131"/>
      <c r="FRA14" s="131"/>
      <c r="FRB14" s="131"/>
      <c r="FRC14" s="131"/>
      <c r="FRD14" s="131"/>
      <c r="FRE14" s="131"/>
      <c r="FRF14" s="1003"/>
      <c r="FRG14" s="1003"/>
      <c r="FRH14" s="1003"/>
      <c r="FRI14" s="1003"/>
      <c r="FRJ14" s="131"/>
      <c r="FRK14" s="131"/>
      <c r="FRL14" s="131"/>
      <c r="FRM14" s="131"/>
      <c r="FRN14" s="131"/>
      <c r="FRO14" s="131"/>
      <c r="FRP14" s="131"/>
      <c r="FRQ14" s="131"/>
      <c r="FRR14" s="131"/>
      <c r="FRS14" s="131"/>
      <c r="FRT14" s="131"/>
      <c r="FRU14" s="131"/>
      <c r="FRV14" s="1003"/>
      <c r="FRW14" s="1003"/>
      <c r="FRX14" s="1003"/>
      <c r="FRY14" s="1003"/>
      <c r="FRZ14" s="131"/>
      <c r="FSA14" s="131"/>
      <c r="FSB14" s="131"/>
      <c r="FSC14" s="131"/>
      <c r="FSD14" s="131"/>
      <c r="FSE14" s="131"/>
      <c r="FSF14" s="131"/>
      <c r="FSG14" s="131"/>
      <c r="FSH14" s="131"/>
      <c r="FSI14" s="131"/>
      <c r="FSJ14" s="131"/>
      <c r="FSK14" s="131"/>
      <c r="FSL14" s="1003"/>
      <c r="FSM14" s="1003"/>
      <c r="FSN14" s="1003"/>
      <c r="FSO14" s="1003"/>
      <c r="FSP14" s="131"/>
      <c r="FSQ14" s="131"/>
      <c r="FSR14" s="131"/>
      <c r="FSS14" s="131"/>
      <c r="FST14" s="131"/>
      <c r="FSU14" s="131"/>
      <c r="FSV14" s="131"/>
      <c r="FSW14" s="131"/>
      <c r="FSX14" s="131"/>
      <c r="FSY14" s="131"/>
      <c r="FSZ14" s="131"/>
      <c r="FTA14" s="131"/>
      <c r="FTB14" s="1003"/>
      <c r="FTC14" s="1003"/>
      <c r="FTD14" s="1003"/>
      <c r="FTE14" s="1003"/>
      <c r="FTF14" s="131"/>
      <c r="FTG14" s="131"/>
      <c r="FTH14" s="131"/>
      <c r="FTI14" s="131"/>
      <c r="FTJ14" s="131"/>
      <c r="FTK14" s="131"/>
      <c r="FTL14" s="131"/>
      <c r="FTM14" s="131"/>
      <c r="FTN14" s="131"/>
      <c r="FTO14" s="131"/>
      <c r="FTP14" s="131"/>
      <c r="FTQ14" s="131"/>
      <c r="FTR14" s="1003"/>
      <c r="FTS14" s="1003"/>
      <c r="FTT14" s="1003"/>
      <c r="FTU14" s="1003"/>
      <c r="FTV14" s="131"/>
      <c r="FTW14" s="131"/>
      <c r="FTX14" s="131"/>
      <c r="FTY14" s="131"/>
      <c r="FTZ14" s="131"/>
      <c r="FUA14" s="131"/>
      <c r="FUB14" s="131"/>
      <c r="FUC14" s="131"/>
      <c r="FUD14" s="131"/>
      <c r="FUE14" s="131"/>
      <c r="FUF14" s="131"/>
      <c r="FUG14" s="131"/>
      <c r="FUH14" s="1003"/>
      <c r="FUI14" s="1003"/>
      <c r="FUJ14" s="1003"/>
      <c r="FUK14" s="1003"/>
      <c r="FUL14" s="131"/>
      <c r="FUM14" s="131"/>
      <c r="FUN14" s="131"/>
      <c r="FUO14" s="131"/>
      <c r="FUP14" s="131"/>
      <c r="FUQ14" s="131"/>
      <c r="FUR14" s="131"/>
      <c r="FUS14" s="131"/>
      <c r="FUT14" s="131"/>
      <c r="FUU14" s="131"/>
      <c r="FUV14" s="131"/>
      <c r="FUW14" s="131"/>
      <c r="FUX14" s="1003"/>
      <c r="FUY14" s="1003"/>
      <c r="FUZ14" s="1003"/>
      <c r="FVA14" s="1003"/>
      <c r="FVB14" s="131"/>
      <c r="FVC14" s="131"/>
      <c r="FVD14" s="131"/>
      <c r="FVE14" s="131"/>
      <c r="FVF14" s="131"/>
      <c r="FVG14" s="131"/>
      <c r="FVH14" s="131"/>
      <c r="FVI14" s="131"/>
      <c r="FVJ14" s="131"/>
      <c r="FVK14" s="131"/>
      <c r="FVL14" s="131"/>
      <c r="FVM14" s="131"/>
      <c r="FVN14" s="1003"/>
      <c r="FVO14" s="1003"/>
      <c r="FVP14" s="1003"/>
      <c r="FVQ14" s="1003"/>
      <c r="FVR14" s="131"/>
      <c r="FVS14" s="131"/>
      <c r="FVT14" s="131"/>
      <c r="FVU14" s="131"/>
      <c r="FVV14" s="131"/>
      <c r="FVW14" s="131"/>
      <c r="FVX14" s="131"/>
      <c r="FVY14" s="131"/>
      <c r="FVZ14" s="131"/>
      <c r="FWA14" s="131"/>
      <c r="FWB14" s="131"/>
      <c r="FWC14" s="131"/>
      <c r="FWD14" s="1003"/>
      <c r="FWE14" s="1003"/>
      <c r="FWF14" s="1003"/>
      <c r="FWG14" s="1003"/>
      <c r="FWH14" s="131"/>
      <c r="FWI14" s="131"/>
      <c r="FWJ14" s="131"/>
      <c r="FWK14" s="131"/>
      <c r="FWL14" s="131"/>
      <c r="FWM14" s="131"/>
      <c r="FWN14" s="131"/>
      <c r="FWO14" s="131"/>
      <c r="FWP14" s="131"/>
      <c r="FWQ14" s="131"/>
      <c r="FWR14" s="131"/>
      <c r="FWS14" s="131"/>
      <c r="FWT14" s="1003"/>
      <c r="FWU14" s="1003"/>
      <c r="FWV14" s="1003"/>
      <c r="FWW14" s="1003"/>
      <c r="FWX14" s="131"/>
      <c r="FWY14" s="131"/>
      <c r="FWZ14" s="131"/>
      <c r="FXA14" s="131"/>
      <c r="FXB14" s="131"/>
      <c r="FXC14" s="131"/>
      <c r="FXD14" s="131"/>
      <c r="FXE14" s="131"/>
      <c r="FXF14" s="131"/>
      <c r="FXG14" s="131"/>
      <c r="FXH14" s="131"/>
      <c r="FXI14" s="131"/>
      <c r="FXJ14" s="1003"/>
      <c r="FXK14" s="1003"/>
      <c r="FXL14" s="1003"/>
      <c r="FXM14" s="1003"/>
      <c r="FXN14" s="131"/>
      <c r="FXO14" s="131"/>
      <c r="FXP14" s="131"/>
      <c r="FXQ14" s="131"/>
      <c r="FXR14" s="131"/>
      <c r="FXS14" s="131"/>
      <c r="FXT14" s="131"/>
      <c r="FXU14" s="131"/>
      <c r="FXV14" s="131"/>
      <c r="FXW14" s="131"/>
      <c r="FXX14" s="131"/>
      <c r="FXY14" s="131"/>
      <c r="FXZ14" s="1003"/>
      <c r="FYA14" s="1003"/>
      <c r="FYB14" s="1003"/>
      <c r="FYC14" s="1003"/>
      <c r="FYD14" s="131"/>
      <c r="FYE14" s="131"/>
      <c r="FYF14" s="131"/>
      <c r="FYG14" s="131"/>
      <c r="FYH14" s="131"/>
      <c r="FYI14" s="131"/>
      <c r="FYJ14" s="131"/>
      <c r="FYK14" s="131"/>
      <c r="FYL14" s="131"/>
      <c r="FYM14" s="131"/>
      <c r="FYN14" s="131"/>
      <c r="FYO14" s="131"/>
      <c r="FYP14" s="1003"/>
      <c r="FYQ14" s="1003"/>
      <c r="FYR14" s="1003"/>
      <c r="FYS14" s="1003"/>
      <c r="FYT14" s="131"/>
      <c r="FYU14" s="131"/>
      <c r="FYV14" s="131"/>
      <c r="FYW14" s="131"/>
      <c r="FYX14" s="131"/>
      <c r="FYY14" s="131"/>
      <c r="FYZ14" s="131"/>
      <c r="FZA14" s="131"/>
      <c r="FZB14" s="131"/>
      <c r="FZC14" s="131"/>
      <c r="FZD14" s="131"/>
      <c r="FZE14" s="131"/>
      <c r="FZF14" s="1003"/>
      <c r="FZG14" s="1003"/>
      <c r="FZH14" s="1003"/>
      <c r="FZI14" s="1003"/>
      <c r="FZJ14" s="131"/>
      <c r="FZK14" s="131"/>
      <c r="FZL14" s="131"/>
      <c r="FZM14" s="131"/>
      <c r="FZN14" s="131"/>
      <c r="FZO14" s="131"/>
      <c r="FZP14" s="131"/>
      <c r="FZQ14" s="131"/>
      <c r="FZR14" s="131"/>
      <c r="FZS14" s="131"/>
      <c r="FZT14" s="131"/>
      <c r="FZU14" s="131"/>
      <c r="FZV14" s="1003"/>
      <c r="FZW14" s="1003"/>
      <c r="FZX14" s="1003"/>
      <c r="FZY14" s="1003"/>
      <c r="FZZ14" s="131"/>
      <c r="GAA14" s="131"/>
      <c r="GAB14" s="131"/>
      <c r="GAC14" s="131"/>
      <c r="GAD14" s="131"/>
      <c r="GAE14" s="131"/>
      <c r="GAF14" s="131"/>
      <c r="GAG14" s="131"/>
      <c r="GAH14" s="131"/>
      <c r="GAI14" s="131"/>
      <c r="GAJ14" s="131"/>
      <c r="GAK14" s="131"/>
      <c r="GAL14" s="1003"/>
      <c r="GAM14" s="1003"/>
      <c r="GAN14" s="1003"/>
      <c r="GAO14" s="1003"/>
      <c r="GAP14" s="131"/>
      <c r="GAQ14" s="131"/>
      <c r="GAR14" s="131"/>
      <c r="GAS14" s="131"/>
      <c r="GAT14" s="131"/>
      <c r="GAU14" s="131"/>
      <c r="GAV14" s="131"/>
      <c r="GAW14" s="131"/>
      <c r="GAX14" s="131"/>
      <c r="GAY14" s="131"/>
      <c r="GAZ14" s="131"/>
      <c r="GBA14" s="131"/>
      <c r="GBB14" s="1003"/>
      <c r="GBC14" s="1003"/>
      <c r="GBD14" s="1003"/>
      <c r="GBE14" s="1003"/>
      <c r="GBF14" s="131"/>
      <c r="GBG14" s="131"/>
      <c r="GBH14" s="131"/>
      <c r="GBI14" s="131"/>
      <c r="GBJ14" s="131"/>
      <c r="GBK14" s="131"/>
      <c r="GBL14" s="131"/>
      <c r="GBM14" s="131"/>
      <c r="GBN14" s="131"/>
      <c r="GBO14" s="131"/>
      <c r="GBP14" s="131"/>
      <c r="GBQ14" s="131"/>
      <c r="GBR14" s="1003"/>
      <c r="GBS14" s="1003"/>
      <c r="GBT14" s="1003"/>
      <c r="GBU14" s="1003"/>
      <c r="GBV14" s="131"/>
      <c r="GBW14" s="131"/>
      <c r="GBX14" s="131"/>
      <c r="GBY14" s="131"/>
      <c r="GBZ14" s="131"/>
      <c r="GCA14" s="131"/>
      <c r="GCB14" s="131"/>
      <c r="GCC14" s="131"/>
      <c r="GCD14" s="131"/>
      <c r="GCE14" s="131"/>
      <c r="GCF14" s="131"/>
      <c r="GCG14" s="131"/>
      <c r="GCH14" s="1003"/>
      <c r="GCI14" s="1003"/>
      <c r="GCJ14" s="1003"/>
      <c r="GCK14" s="1003"/>
      <c r="GCL14" s="131"/>
      <c r="GCM14" s="131"/>
      <c r="GCN14" s="131"/>
      <c r="GCO14" s="131"/>
      <c r="GCP14" s="131"/>
      <c r="GCQ14" s="131"/>
      <c r="GCR14" s="131"/>
      <c r="GCS14" s="131"/>
      <c r="GCT14" s="131"/>
      <c r="GCU14" s="131"/>
      <c r="GCV14" s="131"/>
      <c r="GCW14" s="131"/>
      <c r="GCX14" s="1003"/>
      <c r="GCY14" s="1003"/>
      <c r="GCZ14" s="1003"/>
      <c r="GDA14" s="1003"/>
      <c r="GDB14" s="131"/>
      <c r="GDC14" s="131"/>
      <c r="GDD14" s="131"/>
      <c r="GDE14" s="131"/>
      <c r="GDF14" s="131"/>
      <c r="GDG14" s="131"/>
      <c r="GDH14" s="131"/>
      <c r="GDI14" s="131"/>
      <c r="GDJ14" s="131"/>
      <c r="GDK14" s="131"/>
      <c r="GDL14" s="131"/>
      <c r="GDM14" s="131"/>
      <c r="GDN14" s="1003"/>
      <c r="GDO14" s="1003"/>
      <c r="GDP14" s="1003"/>
      <c r="GDQ14" s="1003"/>
      <c r="GDR14" s="131"/>
      <c r="GDS14" s="131"/>
      <c r="GDT14" s="131"/>
      <c r="GDU14" s="131"/>
      <c r="GDV14" s="131"/>
      <c r="GDW14" s="131"/>
      <c r="GDX14" s="131"/>
      <c r="GDY14" s="131"/>
      <c r="GDZ14" s="131"/>
      <c r="GEA14" s="131"/>
      <c r="GEB14" s="131"/>
      <c r="GEC14" s="131"/>
      <c r="GED14" s="1003"/>
      <c r="GEE14" s="1003"/>
      <c r="GEF14" s="1003"/>
      <c r="GEG14" s="1003"/>
      <c r="GEH14" s="131"/>
      <c r="GEI14" s="131"/>
      <c r="GEJ14" s="131"/>
      <c r="GEK14" s="131"/>
      <c r="GEL14" s="131"/>
      <c r="GEM14" s="131"/>
      <c r="GEN14" s="131"/>
      <c r="GEO14" s="131"/>
      <c r="GEP14" s="131"/>
      <c r="GEQ14" s="131"/>
      <c r="GER14" s="131"/>
      <c r="GES14" s="131"/>
      <c r="GET14" s="1003"/>
      <c r="GEU14" s="1003"/>
      <c r="GEV14" s="1003"/>
      <c r="GEW14" s="1003"/>
      <c r="GEX14" s="131"/>
      <c r="GEY14" s="131"/>
      <c r="GEZ14" s="131"/>
      <c r="GFA14" s="131"/>
      <c r="GFB14" s="131"/>
      <c r="GFC14" s="131"/>
      <c r="GFD14" s="131"/>
      <c r="GFE14" s="131"/>
      <c r="GFF14" s="131"/>
      <c r="GFG14" s="131"/>
      <c r="GFH14" s="131"/>
      <c r="GFI14" s="131"/>
      <c r="GFJ14" s="1003"/>
      <c r="GFK14" s="1003"/>
      <c r="GFL14" s="1003"/>
      <c r="GFM14" s="1003"/>
      <c r="GFN14" s="131"/>
      <c r="GFO14" s="131"/>
      <c r="GFP14" s="131"/>
      <c r="GFQ14" s="131"/>
      <c r="GFR14" s="131"/>
      <c r="GFS14" s="131"/>
      <c r="GFT14" s="131"/>
      <c r="GFU14" s="131"/>
      <c r="GFV14" s="131"/>
      <c r="GFW14" s="131"/>
      <c r="GFX14" s="131"/>
      <c r="GFY14" s="131"/>
      <c r="GFZ14" s="1003"/>
      <c r="GGA14" s="1003"/>
      <c r="GGB14" s="1003"/>
      <c r="GGC14" s="1003"/>
      <c r="GGD14" s="131"/>
      <c r="GGE14" s="131"/>
      <c r="GGF14" s="131"/>
      <c r="GGG14" s="131"/>
      <c r="GGH14" s="131"/>
      <c r="GGI14" s="131"/>
      <c r="GGJ14" s="131"/>
      <c r="GGK14" s="131"/>
      <c r="GGL14" s="131"/>
      <c r="GGM14" s="131"/>
      <c r="GGN14" s="131"/>
      <c r="GGO14" s="131"/>
      <c r="GGP14" s="1003"/>
      <c r="GGQ14" s="1003"/>
      <c r="GGR14" s="1003"/>
      <c r="GGS14" s="1003"/>
      <c r="GGT14" s="131"/>
      <c r="GGU14" s="131"/>
      <c r="GGV14" s="131"/>
      <c r="GGW14" s="131"/>
      <c r="GGX14" s="131"/>
      <c r="GGY14" s="131"/>
      <c r="GGZ14" s="131"/>
      <c r="GHA14" s="131"/>
      <c r="GHB14" s="131"/>
      <c r="GHC14" s="131"/>
      <c r="GHD14" s="131"/>
      <c r="GHE14" s="131"/>
      <c r="GHF14" s="1003"/>
      <c r="GHG14" s="1003"/>
      <c r="GHH14" s="1003"/>
      <c r="GHI14" s="1003"/>
      <c r="GHJ14" s="131"/>
      <c r="GHK14" s="131"/>
      <c r="GHL14" s="131"/>
      <c r="GHM14" s="131"/>
      <c r="GHN14" s="131"/>
      <c r="GHO14" s="131"/>
      <c r="GHP14" s="131"/>
      <c r="GHQ14" s="131"/>
      <c r="GHR14" s="131"/>
      <c r="GHS14" s="131"/>
      <c r="GHT14" s="131"/>
      <c r="GHU14" s="131"/>
      <c r="GHV14" s="1003"/>
      <c r="GHW14" s="1003"/>
      <c r="GHX14" s="1003"/>
      <c r="GHY14" s="1003"/>
      <c r="GHZ14" s="131"/>
      <c r="GIA14" s="131"/>
      <c r="GIB14" s="131"/>
      <c r="GIC14" s="131"/>
      <c r="GID14" s="131"/>
      <c r="GIE14" s="131"/>
      <c r="GIF14" s="131"/>
      <c r="GIG14" s="131"/>
      <c r="GIH14" s="131"/>
      <c r="GII14" s="131"/>
      <c r="GIJ14" s="131"/>
      <c r="GIK14" s="131"/>
      <c r="GIL14" s="1003"/>
      <c r="GIM14" s="1003"/>
      <c r="GIN14" s="1003"/>
      <c r="GIO14" s="1003"/>
      <c r="GIP14" s="131"/>
      <c r="GIQ14" s="131"/>
      <c r="GIR14" s="131"/>
      <c r="GIS14" s="131"/>
      <c r="GIT14" s="131"/>
      <c r="GIU14" s="131"/>
      <c r="GIV14" s="131"/>
      <c r="GIW14" s="131"/>
      <c r="GIX14" s="131"/>
      <c r="GIY14" s="131"/>
      <c r="GIZ14" s="131"/>
      <c r="GJA14" s="131"/>
      <c r="GJB14" s="1003"/>
      <c r="GJC14" s="1003"/>
      <c r="GJD14" s="1003"/>
      <c r="GJE14" s="1003"/>
      <c r="GJF14" s="131"/>
      <c r="GJG14" s="131"/>
      <c r="GJH14" s="131"/>
      <c r="GJI14" s="131"/>
      <c r="GJJ14" s="131"/>
      <c r="GJK14" s="131"/>
      <c r="GJL14" s="131"/>
      <c r="GJM14" s="131"/>
      <c r="GJN14" s="131"/>
      <c r="GJO14" s="131"/>
      <c r="GJP14" s="131"/>
      <c r="GJQ14" s="131"/>
      <c r="GJR14" s="1003"/>
      <c r="GJS14" s="1003"/>
      <c r="GJT14" s="1003"/>
      <c r="GJU14" s="1003"/>
      <c r="GJV14" s="131"/>
      <c r="GJW14" s="131"/>
      <c r="GJX14" s="131"/>
      <c r="GJY14" s="131"/>
      <c r="GJZ14" s="131"/>
      <c r="GKA14" s="131"/>
      <c r="GKB14" s="131"/>
      <c r="GKC14" s="131"/>
      <c r="GKD14" s="131"/>
      <c r="GKE14" s="131"/>
      <c r="GKF14" s="131"/>
      <c r="GKG14" s="131"/>
      <c r="GKH14" s="1003"/>
      <c r="GKI14" s="1003"/>
      <c r="GKJ14" s="1003"/>
      <c r="GKK14" s="1003"/>
      <c r="GKL14" s="131"/>
      <c r="GKM14" s="131"/>
      <c r="GKN14" s="131"/>
      <c r="GKO14" s="131"/>
      <c r="GKP14" s="131"/>
      <c r="GKQ14" s="131"/>
      <c r="GKR14" s="131"/>
      <c r="GKS14" s="131"/>
      <c r="GKT14" s="131"/>
      <c r="GKU14" s="131"/>
      <c r="GKV14" s="131"/>
      <c r="GKW14" s="131"/>
      <c r="GKX14" s="1003"/>
      <c r="GKY14" s="1003"/>
      <c r="GKZ14" s="1003"/>
      <c r="GLA14" s="1003"/>
      <c r="GLB14" s="131"/>
      <c r="GLC14" s="131"/>
      <c r="GLD14" s="131"/>
      <c r="GLE14" s="131"/>
      <c r="GLF14" s="131"/>
      <c r="GLG14" s="131"/>
      <c r="GLH14" s="131"/>
      <c r="GLI14" s="131"/>
      <c r="GLJ14" s="131"/>
      <c r="GLK14" s="131"/>
      <c r="GLL14" s="131"/>
      <c r="GLM14" s="131"/>
      <c r="GLN14" s="1003"/>
      <c r="GLO14" s="1003"/>
      <c r="GLP14" s="1003"/>
      <c r="GLQ14" s="1003"/>
      <c r="GLR14" s="131"/>
      <c r="GLS14" s="131"/>
      <c r="GLT14" s="131"/>
      <c r="GLU14" s="131"/>
      <c r="GLV14" s="131"/>
      <c r="GLW14" s="131"/>
      <c r="GLX14" s="131"/>
      <c r="GLY14" s="131"/>
      <c r="GLZ14" s="131"/>
      <c r="GMA14" s="131"/>
      <c r="GMB14" s="131"/>
      <c r="GMC14" s="131"/>
      <c r="GMD14" s="1003"/>
      <c r="GME14" s="1003"/>
      <c r="GMF14" s="1003"/>
      <c r="GMG14" s="1003"/>
      <c r="GMH14" s="131"/>
      <c r="GMI14" s="131"/>
      <c r="GMJ14" s="131"/>
      <c r="GMK14" s="131"/>
      <c r="GML14" s="131"/>
      <c r="GMM14" s="131"/>
      <c r="GMN14" s="131"/>
      <c r="GMO14" s="131"/>
      <c r="GMP14" s="131"/>
      <c r="GMQ14" s="131"/>
      <c r="GMR14" s="131"/>
      <c r="GMS14" s="131"/>
      <c r="GMT14" s="1003"/>
      <c r="GMU14" s="1003"/>
      <c r="GMV14" s="1003"/>
      <c r="GMW14" s="1003"/>
      <c r="GMX14" s="131"/>
      <c r="GMY14" s="131"/>
      <c r="GMZ14" s="131"/>
      <c r="GNA14" s="131"/>
      <c r="GNB14" s="131"/>
      <c r="GNC14" s="131"/>
      <c r="GND14" s="131"/>
      <c r="GNE14" s="131"/>
      <c r="GNF14" s="131"/>
      <c r="GNG14" s="131"/>
      <c r="GNH14" s="131"/>
      <c r="GNI14" s="131"/>
      <c r="GNJ14" s="1003"/>
      <c r="GNK14" s="1003"/>
      <c r="GNL14" s="1003"/>
      <c r="GNM14" s="1003"/>
      <c r="GNZ14" s="1003"/>
      <c r="GOA14" s="1003"/>
      <c r="GOB14" s="1003"/>
      <c r="GOC14" s="1003"/>
      <c r="GOD14" s="131"/>
      <c r="GOE14" s="131"/>
      <c r="GOF14" s="131"/>
      <c r="GOG14" s="131"/>
      <c r="GOH14" s="131"/>
      <c r="GOI14" s="131"/>
      <c r="GOJ14" s="131"/>
      <c r="GOK14" s="131"/>
      <c r="GOL14" s="131"/>
      <c r="GOM14" s="131"/>
      <c r="GON14" s="131"/>
      <c r="GOO14" s="131"/>
      <c r="GOP14" s="1003"/>
      <c r="GOQ14" s="1003"/>
      <c r="GOR14" s="1003"/>
      <c r="GOS14" s="1003"/>
      <c r="GOT14" s="131"/>
      <c r="GOU14" s="131"/>
      <c r="GOV14" s="131"/>
      <c r="GOW14" s="131"/>
      <c r="GOX14" s="131"/>
      <c r="GOY14" s="131"/>
      <c r="GOZ14" s="131"/>
      <c r="GPA14" s="131"/>
      <c r="GPB14" s="131"/>
      <c r="GPC14" s="131"/>
      <c r="GPD14" s="131"/>
      <c r="GPE14" s="131"/>
      <c r="GPF14" s="1003"/>
      <c r="GPG14" s="1003"/>
      <c r="GPH14" s="1003"/>
      <c r="GPI14" s="1003"/>
      <c r="GPJ14" s="131"/>
      <c r="GPK14" s="131"/>
      <c r="GPL14" s="131"/>
      <c r="GPM14" s="131"/>
      <c r="GPN14" s="131"/>
      <c r="GPO14" s="131"/>
      <c r="GPP14" s="131"/>
      <c r="GPQ14" s="131"/>
      <c r="GPR14" s="131"/>
      <c r="GPS14" s="131"/>
      <c r="GPT14" s="131"/>
      <c r="GPU14" s="131"/>
      <c r="GPV14" s="1003"/>
      <c r="GPW14" s="1003"/>
      <c r="GPX14" s="1003"/>
      <c r="GPY14" s="1003"/>
      <c r="GPZ14" s="131"/>
      <c r="GQA14" s="131"/>
      <c r="GQB14" s="131"/>
      <c r="GQC14" s="131"/>
      <c r="GQD14" s="131"/>
      <c r="GQE14" s="131"/>
      <c r="GQF14" s="131"/>
      <c r="GQG14" s="131"/>
      <c r="GQH14" s="131"/>
      <c r="GQI14" s="131"/>
      <c r="GQJ14" s="131"/>
      <c r="GQK14" s="131"/>
      <c r="GQL14" s="1003"/>
      <c r="GQM14" s="1003"/>
      <c r="GQN14" s="1003"/>
      <c r="GQO14" s="1003"/>
      <c r="GQP14" s="131"/>
      <c r="GQQ14" s="131"/>
      <c r="GQR14" s="131"/>
      <c r="GQS14" s="131"/>
      <c r="GQT14" s="131"/>
      <c r="GQU14" s="131"/>
      <c r="GQV14" s="131"/>
      <c r="GQW14" s="131"/>
      <c r="GQX14" s="131"/>
      <c r="GQY14" s="131"/>
      <c r="GQZ14" s="131"/>
      <c r="GRA14" s="131"/>
      <c r="GRB14" s="1003"/>
      <c r="GRC14" s="1003"/>
      <c r="GRD14" s="1003"/>
      <c r="GRE14" s="1003"/>
      <c r="GRF14" s="131"/>
      <c r="GRG14" s="131"/>
      <c r="GRH14" s="131"/>
      <c r="GRI14" s="131"/>
      <c r="GRJ14" s="131"/>
      <c r="GRK14" s="131"/>
      <c r="GRL14" s="131"/>
      <c r="GRM14" s="131"/>
      <c r="GRN14" s="131"/>
      <c r="GRO14" s="131"/>
      <c r="GRP14" s="131"/>
      <c r="GRQ14" s="131"/>
      <c r="GRR14" s="1003"/>
      <c r="GRS14" s="1003"/>
      <c r="GRT14" s="1003"/>
      <c r="GRU14" s="1003"/>
      <c r="GRV14" s="131"/>
      <c r="GRW14" s="131"/>
      <c r="GRX14" s="131"/>
      <c r="GRY14" s="131"/>
      <c r="GRZ14" s="131"/>
      <c r="GSA14" s="131"/>
      <c r="GSB14" s="131"/>
      <c r="GSC14" s="131"/>
      <c r="GSD14" s="131"/>
      <c r="GSE14" s="131"/>
      <c r="GSF14" s="131"/>
      <c r="GSG14" s="131"/>
      <c r="GSH14" s="1003"/>
      <c r="GSI14" s="1003"/>
      <c r="GSJ14" s="1003"/>
      <c r="GSK14" s="1003"/>
      <c r="GSL14" s="131"/>
      <c r="GSM14" s="131"/>
      <c r="GSN14" s="131"/>
      <c r="GSO14" s="131"/>
      <c r="GSP14" s="131"/>
      <c r="GSQ14" s="131"/>
      <c r="GSR14" s="131"/>
      <c r="GSS14" s="131"/>
      <c r="GST14" s="131"/>
      <c r="GSU14" s="131"/>
      <c r="GSV14" s="131"/>
      <c r="GSW14" s="131"/>
      <c r="GSX14" s="1003"/>
      <c r="GSY14" s="1003"/>
      <c r="GSZ14" s="1003"/>
      <c r="GTA14" s="1003"/>
      <c r="GTB14" s="131"/>
      <c r="GTC14" s="131"/>
      <c r="GTD14" s="131"/>
      <c r="GTE14" s="131"/>
      <c r="GTF14" s="131"/>
      <c r="GTG14" s="131"/>
      <c r="GTH14" s="131"/>
      <c r="GTI14" s="131"/>
      <c r="GTJ14" s="131"/>
      <c r="GTK14" s="131"/>
      <c r="GTL14" s="131"/>
      <c r="GTM14" s="131"/>
      <c r="GTN14" s="1003"/>
      <c r="GTO14" s="1003"/>
      <c r="GTP14" s="1003"/>
      <c r="GTQ14" s="1003"/>
      <c r="GTR14" s="131"/>
      <c r="GTS14" s="131"/>
      <c r="GTT14" s="131"/>
      <c r="GTU14" s="131"/>
      <c r="GTV14" s="131"/>
      <c r="GTW14" s="131"/>
      <c r="GTX14" s="131"/>
      <c r="GTY14" s="131"/>
      <c r="GTZ14" s="131"/>
      <c r="GUA14" s="131"/>
      <c r="GUB14" s="131"/>
      <c r="GUC14" s="131"/>
      <c r="GUD14" s="1003"/>
      <c r="GUE14" s="1003"/>
      <c r="GUF14" s="1003"/>
      <c r="GUG14" s="1003"/>
      <c r="GUH14" s="131"/>
      <c r="GUI14" s="131"/>
      <c r="GUJ14" s="131"/>
      <c r="GUK14" s="131"/>
      <c r="GUL14" s="131"/>
      <c r="GUM14" s="131"/>
      <c r="GUN14" s="131"/>
      <c r="GUO14" s="131"/>
      <c r="GUP14" s="131"/>
      <c r="GUQ14" s="131"/>
      <c r="GUR14" s="131"/>
      <c r="GUS14" s="131"/>
      <c r="GUT14" s="1003"/>
      <c r="GUU14" s="1003"/>
      <c r="GUV14" s="1003"/>
      <c r="GUW14" s="1003"/>
      <c r="GUX14" s="131"/>
      <c r="GUY14" s="131"/>
      <c r="GUZ14" s="131"/>
      <c r="GVA14" s="131"/>
      <c r="GVB14" s="131"/>
      <c r="GVC14" s="131"/>
      <c r="GVD14" s="131"/>
      <c r="GVE14" s="131"/>
      <c r="GVF14" s="131"/>
      <c r="GVG14" s="131"/>
      <c r="GVH14" s="131"/>
      <c r="GVI14" s="131"/>
      <c r="GVJ14" s="1003"/>
      <c r="GVK14" s="1003"/>
      <c r="GVL14" s="1003"/>
      <c r="GVM14" s="1003"/>
      <c r="GVN14" s="131"/>
      <c r="GVO14" s="131"/>
      <c r="GVP14" s="131"/>
      <c r="GVQ14" s="131"/>
      <c r="GVR14" s="131"/>
      <c r="GVS14" s="131"/>
      <c r="GVT14" s="131"/>
      <c r="GVU14" s="131"/>
      <c r="GVV14" s="131"/>
      <c r="GVW14" s="131"/>
      <c r="GVX14" s="131"/>
      <c r="GVY14" s="131"/>
      <c r="GVZ14" s="1003"/>
      <c r="GWA14" s="1003"/>
      <c r="GWB14" s="1003"/>
      <c r="GWC14" s="1003"/>
      <c r="GWD14" s="131"/>
      <c r="GWE14" s="131"/>
      <c r="GWF14" s="131"/>
      <c r="GWG14" s="131"/>
      <c r="GWH14" s="131"/>
      <c r="GWI14" s="131"/>
      <c r="GWJ14" s="131"/>
      <c r="GWK14" s="131"/>
      <c r="GWL14" s="131"/>
      <c r="GWM14" s="131"/>
      <c r="GWN14" s="131"/>
      <c r="GWO14" s="131"/>
      <c r="GWP14" s="1003"/>
      <c r="GWQ14" s="1003"/>
      <c r="GWR14" s="1003"/>
      <c r="GWS14" s="1003"/>
      <c r="GWT14" s="131"/>
      <c r="GWU14" s="131"/>
      <c r="GWV14" s="131"/>
      <c r="GWW14" s="131"/>
      <c r="GWX14" s="131"/>
      <c r="GWY14" s="131"/>
      <c r="GWZ14" s="131"/>
      <c r="GXA14" s="131"/>
      <c r="GXB14" s="131"/>
      <c r="GXC14" s="131"/>
      <c r="GXD14" s="131"/>
      <c r="GXE14" s="131"/>
      <c r="GXF14" s="1003"/>
      <c r="GXG14" s="1003"/>
      <c r="GXH14" s="1003"/>
      <c r="GXI14" s="1003"/>
      <c r="GXJ14" s="131"/>
      <c r="GXK14" s="131"/>
      <c r="GXL14" s="131"/>
      <c r="GXM14" s="131"/>
      <c r="GXN14" s="131"/>
      <c r="GXO14" s="131"/>
      <c r="GXP14" s="131"/>
      <c r="GXQ14" s="131"/>
      <c r="GXR14" s="131"/>
      <c r="GXS14" s="131"/>
      <c r="GXT14" s="131"/>
      <c r="GXU14" s="131"/>
      <c r="GXV14" s="1003"/>
      <c r="GXW14" s="1003"/>
      <c r="GXX14" s="1003"/>
      <c r="GXY14" s="1003"/>
      <c r="GXZ14" s="131"/>
      <c r="GYA14" s="131"/>
      <c r="GYB14" s="131"/>
      <c r="GYC14" s="131"/>
      <c r="GYD14" s="131"/>
      <c r="GYE14" s="131"/>
      <c r="GYF14" s="131"/>
      <c r="GYG14" s="131"/>
      <c r="GYH14" s="131"/>
      <c r="GYI14" s="131"/>
      <c r="GYJ14" s="131"/>
      <c r="GYK14" s="131"/>
      <c r="GYL14" s="1003"/>
      <c r="GYM14" s="1003"/>
      <c r="GYN14" s="1003"/>
      <c r="GYO14" s="1003"/>
      <c r="GYP14" s="131"/>
      <c r="GYQ14" s="131"/>
      <c r="GYR14" s="131"/>
      <c r="GYS14" s="131"/>
      <c r="GYT14" s="131"/>
      <c r="GYU14" s="131"/>
      <c r="GYV14" s="131"/>
      <c r="GYW14" s="131"/>
      <c r="GYX14" s="131"/>
      <c r="GYY14" s="131"/>
      <c r="GYZ14" s="131"/>
      <c r="GZA14" s="131"/>
      <c r="GZB14" s="1003"/>
      <c r="GZC14" s="1003"/>
      <c r="GZD14" s="1003"/>
      <c r="GZE14" s="1003"/>
      <c r="GZF14" s="131"/>
      <c r="GZG14" s="131"/>
      <c r="GZH14" s="131"/>
      <c r="GZI14" s="131"/>
      <c r="GZJ14" s="131"/>
      <c r="GZK14" s="131"/>
      <c r="GZL14" s="131"/>
      <c r="GZM14" s="131"/>
      <c r="GZN14" s="131"/>
      <c r="GZO14" s="131"/>
      <c r="GZP14" s="131"/>
      <c r="GZQ14" s="131"/>
      <c r="GZR14" s="1003"/>
      <c r="GZS14" s="1003"/>
      <c r="GZT14" s="1003"/>
      <c r="GZU14" s="1003"/>
      <c r="GZV14" s="131"/>
      <c r="GZW14" s="131"/>
      <c r="GZX14" s="131"/>
      <c r="GZY14" s="131"/>
      <c r="GZZ14" s="131"/>
      <c r="HAA14" s="131"/>
      <c r="HAB14" s="131"/>
      <c r="HAC14" s="131"/>
      <c r="HAD14" s="131"/>
      <c r="HAE14" s="131"/>
      <c r="HAF14" s="131"/>
      <c r="HAG14" s="131"/>
      <c r="HAH14" s="1003"/>
      <c r="HAI14" s="1003"/>
      <c r="HAJ14" s="1003"/>
      <c r="HAK14" s="1003"/>
      <c r="HAL14" s="131"/>
      <c r="HAM14" s="131"/>
      <c r="HAN14" s="131"/>
      <c r="HAO14" s="131"/>
      <c r="HAP14" s="131"/>
      <c r="HAQ14" s="131"/>
      <c r="HAR14" s="131"/>
      <c r="HAS14" s="131"/>
      <c r="HAT14" s="131"/>
      <c r="HAU14" s="131"/>
      <c r="HAV14" s="131"/>
      <c r="HAW14" s="131"/>
      <c r="HAX14" s="1003"/>
      <c r="HAY14" s="1003"/>
      <c r="HAZ14" s="1003"/>
      <c r="HBA14" s="1003"/>
      <c r="HBB14" s="131"/>
      <c r="HBC14" s="131"/>
      <c r="HBD14" s="131"/>
      <c r="HBE14" s="131"/>
      <c r="HBF14" s="131"/>
      <c r="HBG14" s="131"/>
      <c r="HBH14" s="131"/>
      <c r="HBI14" s="131"/>
      <c r="HBJ14" s="131"/>
      <c r="HBK14" s="131"/>
      <c r="HBL14" s="131"/>
      <c r="HBM14" s="131"/>
      <c r="HBN14" s="1003"/>
      <c r="HBO14" s="1003"/>
      <c r="HBP14" s="1003"/>
      <c r="HBQ14" s="1003"/>
      <c r="HBR14" s="131"/>
      <c r="HBS14" s="131"/>
      <c r="HBT14" s="131"/>
      <c r="HBU14" s="131"/>
      <c r="HBV14" s="131"/>
      <c r="HBW14" s="131"/>
      <c r="HBX14" s="131"/>
      <c r="HBY14" s="131"/>
      <c r="HBZ14" s="131"/>
      <c r="HCA14" s="131"/>
      <c r="HCB14" s="131"/>
      <c r="HCC14" s="131"/>
      <c r="HCD14" s="1003"/>
      <c r="HCE14" s="1003"/>
      <c r="HCF14" s="1003"/>
      <c r="HCG14" s="1003"/>
      <c r="HCH14" s="131"/>
      <c r="HCI14" s="131"/>
      <c r="HCJ14" s="131"/>
      <c r="HCK14" s="131"/>
      <c r="HCL14" s="131"/>
      <c r="HCM14" s="131"/>
      <c r="HCN14" s="131"/>
      <c r="HCO14" s="131"/>
      <c r="HCP14" s="131"/>
      <c r="HCQ14" s="131"/>
      <c r="HCR14" s="131"/>
      <c r="HCS14" s="131"/>
      <c r="HCT14" s="1003"/>
      <c r="HCU14" s="1003"/>
      <c r="HCV14" s="1003"/>
      <c r="HCW14" s="1003"/>
      <c r="HCX14" s="131"/>
      <c r="HCY14" s="131"/>
      <c r="HCZ14" s="131"/>
      <c r="HDA14" s="131"/>
      <c r="HDB14" s="131"/>
      <c r="HDC14" s="131"/>
      <c r="HDD14" s="131"/>
      <c r="HDE14" s="131"/>
      <c r="HDF14" s="131"/>
      <c r="HDG14" s="131"/>
      <c r="HDH14" s="131"/>
      <c r="HDI14" s="131"/>
      <c r="HDJ14" s="1003"/>
      <c r="HDK14" s="1003"/>
      <c r="HDL14" s="1003"/>
      <c r="HDM14" s="1003"/>
      <c r="HDN14" s="131"/>
      <c r="HDO14" s="131"/>
      <c r="HDP14" s="131"/>
      <c r="HDQ14" s="131"/>
      <c r="HDR14" s="131"/>
      <c r="HDS14" s="131"/>
      <c r="HDT14" s="131"/>
      <c r="HDU14" s="131"/>
      <c r="HDV14" s="131"/>
      <c r="HDW14" s="131"/>
      <c r="HDX14" s="131"/>
      <c r="HDY14" s="131"/>
      <c r="HDZ14" s="1003"/>
      <c r="HEA14" s="1003"/>
      <c r="HEB14" s="1003"/>
      <c r="HEC14" s="1003"/>
      <c r="HED14" s="131"/>
      <c r="HEE14" s="131"/>
      <c r="HEF14" s="131"/>
      <c r="HEG14" s="131"/>
      <c r="HEH14" s="131"/>
      <c r="HEI14" s="131"/>
      <c r="HEJ14" s="131"/>
      <c r="HEK14" s="131"/>
      <c r="HEL14" s="131"/>
      <c r="HEM14" s="131"/>
      <c r="HEN14" s="131"/>
      <c r="HEO14" s="131"/>
      <c r="HEP14" s="1003"/>
      <c r="HEQ14" s="1003"/>
      <c r="HER14" s="1003"/>
      <c r="HES14" s="1003"/>
      <c r="HET14" s="131"/>
      <c r="HEU14" s="131"/>
      <c r="HEV14" s="131"/>
      <c r="HEW14" s="131"/>
      <c r="HEX14" s="131"/>
      <c r="HEY14" s="131"/>
      <c r="HEZ14" s="131"/>
      <c r="HFA14" s="131"/>
      <c r="HFB14" s="131"/>
      <c r="HFC14" s="131"/>
      <c r="HFD14" s="131"/>
      <c r="HFE14" s="131"/>
      <c r="HFF14" s="1003"/>
      <c r="HFG14" s="1003"/>
      <c r="HFH14" s="1003"/>
      <c r="HFI14" s="1003"/>
      <c r="HFJ14" s="131"/>
      <c r="HFK14" s="131"/>
      <c r="HFL14" s="131"/>
      <c r="HFM14" s="131"/>
      <c r="HFN14" s="131"/>
      <c r="HFO14" s="131"/>
      <c r="HFP14" s="131"/>
      <c r="HFQ14" s="131"/>
      <c r="HFR14" s="131"/>
      <c r="HFS14" s="131"/>
      <c r="HFT14" s="131"/>
      <c r="HFU14" s="131"/>
      <c r="HFV14" s="1003"/>
      <c r="HFW14" s="1003"/>
      <c r="HFX14" s="1003"/>
      <c r="HFY14" s="1003"/>
      <c r="HFZ14" s="131"/>
      <c r="HGA14" s="131"/>
      <c r="HGB14" s="131"/>
      <c r="HGC14" s="131"/>
      <c r="HGD14" s="131"/>
      <c r="HGE14" s="131"/>
      <c r="HGF14" s="131"/>
      <c r="HGG14" s="131"/>
      <c r="HGH14" s="131"/>
      <c r="HGI14" s="131"/>
      <c r="HGJ14" s="131"/>
      <c r="HGK14" s="131"/>
      <c r="HGL14" s="1003"/>
      <c r="HGM14" s="1003"/>
      <c r="HGN14" s="1003"/>
      <c r="HGO14" s="1003"/>
      <c r="HGP14" s="131"/>
      <c r="HGQ14" s="131"/>
      <c r="HGR14" s="131"/>
      <c r="HGS14" s="131"/>
      <c r="HGT14" s="131"/>
      <c r="HGU14" s="131"/>
      <c r="HGV14" s="131"/>
      <c r="HGW14" s="131"/>
      <c r="HGX14" s="131"/>
      <c r="HGY14" s="131"/>
      <c r="HGZ14" s="131"/>
      <c r="HHA14" s="131"/>
      <c r="HHB14" s="1003"/>
      <c r="HHC14" s="1003"/>
      <c r="HHD14" s="1003"/>
      <c r="HHE14" s="1003"/>
      <c r="HHF14" s="131"/>
      <c r="HHG14" s="131"/>
      <c r="HHH14" s="131"/>
      <c r="HHI14" s="131"/>
      <c r="HHJ14" s="131"/>
      <c r="HHK14" s="131"/>
      <c r="HHL14" s="131"/>
      <c r="HHM14" s="131"/>
      <c r="HHN14" s="131"/>
      <c r="HHO14" s="131"/>
      <c r="HHP14" s="131"/>
      <c r="HHQ14" s="131"/>
      <c r="HHR14" s="1003"/>
      <c r="HHS14" s="1003"/>
      <c r="HHT14" s="1003"/>
      <c r="HHU14" s="1003"/>
      <c r="HHV14" s="131"/>
      <c r="HHW14" s="131"/>
      <c r="HHX14" s="131"/>
      <c r="HHY14" s="131"/>
      <c r="HHZ14" s="131"/>
      <c r="HIA14" s="131"/>
      <c r="HIB14" s="131"/>
      <c r="HIC14" s="131"/>
      <c r="HID14" s="131"/>
      <c r="HIE14" s="131"/>
      <c r="HIF14" s="131"/>
      <c r="HIG14" s="131"/>
      <c r="HIH14" s="1003"/>
      <c r="HII14" s="1003"/>
      <c r="HIJ14" s="1003"/>
      <c r="HIK14" s="1003"/>
      <c r="HIL14" s="131"/>
      <c r="HIM14" s="131"/>
      <c r="HIN14" s="131"/>
      <c r="HIO14" s="131"/>
      <c r="HIP14" s="131"/>
      <c r="HIQ14" s="131"/>
      <c r="HIR14" s="131"/>
      <c r="HIS14" s="131"/>
      <c r="HIT14" s="131"/>
      <c r="HIU14" s="131"/>
      <c r="HIV14" s="131"/>
      <c r="HIW14" s="131"/>
      <c r="HIX14" s="1003"/>
      <c r="HIY14" s="1003"/>
      <c r="HIZ14" s="1003"/>
      <c r="HJA14" s="1003"/>
      <c r="HJB14" s="131"/>
      <c r="HJC14" s="131"/>
      <c r="HJD14" s="131"/>
      <c r="HJE14" s="131"/>
      <c r="HJF14" s="131"/>
      <c r="HJG14" s="131"/>
      <c r="HJH14" s="131"/>
      <c r="HJI14" s="131"/>
      <c r="HJJ14" s="131"/>
      <c r="HJK14" s="131"/>
      <c r="HJL14" s="131"/>
      <c r="HJM14" s="131"/>
      <c r="HJN14" s="1003"/>
      <c r="HJO14" s="1003"/>
      <c r="HJP14" s="1003"/>
      <c r="HJQ14" s="1003"/>
      <c r="HJR14" s="131"/>
      <c r="HJS14" s="131"/>
      <c r="HJT14" s="131"/>
      <c r="HJU14" s="131"/>
      <c r="HJV14" s="131"/>
      <c r="HJW14" s="131"/>
      <c r="HJX14" s="131"/>
      <c r="HJY14" s="131"/>
      <c r="HJZ14" s="131"/>
      <c r="HKA14" s="131"/>
      <c r="HKB14" s="131"/>
      <c r="HKC14" s="131"/>
      <c r="HKD14" s="1003"/>
      <c r="HKE14" s="1003"/>
      <c r="HKF14" s="1003"/>
      <c r="HKG14" s="1003"/>
      <c r="HKH14" s="131"/>
      <c r="HKI14" s="131"/>
      <c r="HKJ14" s="131"/>
      <c r="HKK14" s="131"/>
      <c r="HKL14" s="131"/>
      <c r="HKM14" s="131"/>
      <c r="HKN14" s="131"/>
      <c r="HKO14" s="131"/>
      <c r="HKP14" s="131"/>
      <c r="HKQ14" s="131"/>
      <c r="HKR14" s="131"/>
      <c r="HKS14" s="131"/>
      <c r="HKT14" s="1003"/>
      <c r="HKU14" s="1003"/>
      <c r="HKV14" s="1003"/>
      <c r="HKW14" s="1003"/>
      <c r="HKX14" s="131"/>
      <c r="HKY14" s="131"/>
      <c r="HKZ14" s="131"/>
      <c r="HLA14" s="131"/>
      <c r="HLB14" s="131"/>
      <c r="HLC14" s="131"/>
      <c r="HLD14" s="131"/>
      <c r="HLE14" s="131"/>
      <c r="HLF14" s="131"/>
      <c r="HLG14" s="131"/>
      <c r="HLH14" s="131"/>
      <c r="HLI14" s="131"/>
      <c r="HLJ14" s="1003"/>
      <c r="HLK14" s="1003"/>
      <c r="HLL14" s="1003"/>
      <c r="HLM14" s="1003"/>
      <c r="HLN14" s="131"/>
      <c r="HLO14" s="131"/>
      <c r="HLP14" s="131"/>
      <c r="HLQ14" s="131"/>
      <c r="HLR14" s="131"/>
      <c r="HLS14" s="131"/>
      <c r="HLT14" s="131"/>
      <c r="HLU14" s="131"/>
      <c r="HLV14" s="131"/>
      <c r="HLW14" s="131"/>
      <c r="HLX14" s="131"/>
      <c r="HLY14" s="131"/>
      <c r="HLZ14" s="1003"/>
      <c r="HMA14" s="1003"/>
      <c r="HMB14" s="1003"/>
      <c r="HMC14" s="1003"/>
      <c r="HMD14" s="131"/>
      <c r="HME14" s="131"/>
      <c r="HMF14" s="131"/>
      <c r="HMG14" s="131"/>
      <c r="HMH14" s="131"/>
      <c r="HMI14" s="131"/>
      <c r="HMJ14" s="131"/>
      <c r="HMK14" s="131"/>
      <c r="HML14" s="131"/>
      <c r="HMM14" s="131"/>
      <c r="HMN14" s="131"/>
      <c r="HMO14" s="131"/>
      <c r="HMP14" s="1003"/>
      <c r="HMQ14" s="1003"/>
      <c r="HMR14" s="1003"/>
      <c r="HMS14" s="1003"/>
      <c r="HMT14" s="131"/>
      <c r="HMU14" s="131"/>
      <c r="HMV14" s="131"/>
      <c r="HMW14" s="131"/>
      <c r="HMX14" s="131"/>
      <c r="HMY14" s="131"/>
      <c r="HMZ14" s="131"/>
      <c r="HNA14" s="131"/>
      <c r="HNB14" s="131"/>
      <c r="HNC14" s="131"/>
      <c r="HND14" s="131"/>
      <c r="HNE14" s="131"/>
      <c r="HNF14" s="1003"/>
      <c r="HNG14" s="1003"/>
      <c r="HNH14" s="1003"/>
      <c r="HNI14" s="1003"/>
      <c r="HNJ14" s="131"/>
      <c r="HNK14" s="131"/>
      <c r="HNL14" s="131"/>
      <c r="HNM14" s="131"/>
      <c r="HNN14" s="131"/>
      <c r="HNO14" s="131"/>
      <c r="HNP14" s="131"/>
      <c r="HNQ14" s="131"/>
      <c r="HNR14" s="131"/>
      <c r="HNS14" s="131"/>
      <c r="HNT14" s="131"/>
      <c r="HNU14" s="131"/>
      <c r="HNV14" s="1003"/>
      <c r="HNW14" s="1003"/>
      <c r="HNX14" s="1003"/>
      <c r="HNY14" s="1003"/>
      <c r="HNZ14" s="131"/>
      <c r="HOA14" s="131"/>
      <c r="HOB14" s="131"/>
      <c r="HOC14" s="131"/>
      <c r="HOD14" s="131"/>
      <c r="HOE14" s="131"/>
      <c r="HOF14" s="131"/>
      <c r="HOG14" s="131"/>
      <c r="HOH14" s="131"/>
      <c r="HOI14" s="131"/>
      <c r="HOJ14" s="131"/>
      <c r="HOK14" s="131"/>
      <c r="HOL14" s="1003"/>
      <c r="HOM14" s="1003"/>
      <c r="HON14" s="1003"/>
      <c r="HOO14" s="1003"/>
      <c r="HOP14" s="131"/>
      <c r="HOQ14" s="131"/>
      <c r="HOR14" s="131"/>
      <c r="HOS14" s="131"/>
      <c r="HOT14" s="131"/>
      <c r="HOU14" s="131"/>
      <c r="HOV14" s="131"/>
      <c r="HOW14" s="131"/>
      <c r="HOX14" s="131"/>
      <c r="HOY14" s="131"/>
      <c r="HOZ14" s="131"/>
      <c r="HPA14" s="131"/>
      <c r="HPB14" s="1003"/>
      <c r="HPC14" s="1003"/>
      <c r="HPD14" s="1003"/>
      <c r="HPE14" s="1003"/>
      <c r="HPF14" s="131"/>
      <c r="HPG14" s="131"/>
      <c r="HPH14" s="131"/>
      <c r="HPI14" s="131"/>
      <c r="HPJ14" s="131"/>
      <c r="HPK14" s="131"/>
      <c r="HPL14" s="131"/>
      <c r="HPM14" s="131"/>
      <c r="HPN14" s="131"/>
      <c r="HPO14" s="131"/>
      <c r="HPP14" s="131"/>
      <c r="HPQ14" s="131"/>
      <c r="HPR14" s="1003"/>
      <c r="HPS14" s="1003"/>
      <c r="HPT14" s="1003"/>
      <c r="HPU14" s="1003"/>
      <c r="HPV14" s="131"/>
      <c r="HPW14" s="131"/>
      <c r="HPX14" s="131"/>
      <c r="HPY14" s="131"/>
      <c r="HPZ14" s="131"/>
      <c r="HQA14" s="131"/>
      <c r="HQB14" s="131"/>
      <c r="HQC14" s="131"/>
      <c r="HQD14" s="131"/>
      <c r="HQE14" s="131"/>
      <c r="HQF14" s="131"/>
      <c r="HQG14" s="131"/>
      <c r="HQH14" s="1003"/>
      <c r="HQI14" s="1003"/>
      <c r="HQJ14" s="1003"/>
      <c r="HQK14" s="1003"/>
      <c r="HQL14" s="131"/>
      <c r="HQM14" s="131"/>
      <c r="HQN14" s="131"/>
      <c r="HQO14" s="131"/>
      <c r="HQP14" s="131"/>
      <c r="HQQ14" s="131"/>
      <c r="HQR14" s="131"/>
      <c r="HQS14" s="131"/>
      <c r="HQT14" s="131"/>
      <c r="HQU14" s="131"/>
      <c r="HQV14" s="131"/>
      <c r="HQW14" s="131"/>
      <c r="HQX14" s="1003"/>
      <c r="HQY14" s="1003"/>
      <c r="HQZ14" s="1003"/>
      <c r="HRA14" s="1003"/>
      <c r="HRB14" s="131"/>
      <c r="HRC14" s="131"/>
      <c r="HRD14" s="131"/>
      <c r="HRE14" s="131"/>
      <c r="HRF14" s="131"/>
      <c r="HRG14" s="131"/>
      <c r="HRH14" s="131"/>
      <c r="HRI14" s="131"/>
      <c r="HRJ14" s="131"/>
      <c r="HRK14" s="131"/>
      <c r="HRL14" s="131"/>
      <c r="HRM14" s="131"/>
      <c r="HRN14" s="1003"/>
      <c r="HRO14" s="1003"/>
      <c r="HRP14" s="1003"/>
      <c r="HRQ14" s="1003"/>
      <c r="HRR14" s="131"/>
      <c r="HRS14" s="131"/>
      <c r="HRT14" s="131"/>
      <c r="HRU14" s="131"/>
      <c r="HRV14" s="131"/>
      <c r="HRW14" s="131"/>
      <c r="HRX14" s="131"/>
      <c r="HRY14" s="131"/>
      <c r="HRZ14" s="131"/>
      <c r="HSA14" s="131"/>
      <c r="HSB14" s="131"/>
      <c r="HSC14" s="131"/>
      <c r="HSD14" s="1003"/>
      <c r="HSE14" s="1003"/>
      <c r="HSF14" s="1003"/>
      <c r="HSG14" s="1003"/>
      <c r="HSH14" s="131"/>
      <c r="HSI14" s="131"/>
      <c r="HSJ14" s="131"/>
      <c r="HSK14" s="131"/>
      <c r="HSL14" s="131"/>
      <c r="HSM14" s="131"/>
      <c r="HSN14" s="131"/>
      <c r="HSO14" s="131"/>
      <c r="HSP14" s="131"/>
      <c r="HSQ14" s="131"/>
      <c r="HSR14" s="131"/>
      <c r="HSS14" s="131"/>
      <c r="HST14" s="1003"/>
      <c r="HSU14" s="1003"/>
      <c r="HSV14" s="1003"/>
      <c r="HSW14" s="1003"/>
      <c r="HSX14" s="131"/>
      <c r="HSY14" s="131"/>
      <c r="HSZ14" s="131"/>
      <c r="HTA14" s="131"/>
      <c r="HTB14" s="131"/>
      <c r="HTC14" s="131"/>
      <c r="HTD14" s="131"/>
      <c r="HTE14" s="131"/>
      <c r="HTF14" s="131"/>
      <c r="HTG14" s="131"/>
      <c r="HTH14" s="131"/>
      <c r="HTI14" s="131"/>
      <c r="HTJ14" s="1003"/>
      <c r="HTK14" s="1003"/>
      <c r="HTL14" s="1003"/>
      <c r="HTM14" s="1003"/>
      <c r="HTN14" s="131"/>
      <c r="HTO14" s="131"/>
      <c r="HTP14" s="131"/>
      <c r="HTQ14" s="131"/>
      <c r="HTR14" s="131"/>
      <c r="HTS14" s="131"/>
      <c r="HTT14" s="131"/>
      <c r="HTU14" s="131"/>
      <c r="HTV14" s="131"/>
      <c r="HTW14" s="131"/>
      <c r="HTX14" s="131"/>
      <c r="HTY14" s="131"/>
      <c r="HTZ14" s="1003"/>
      <c r="HUA14" s="1003"/>
      <c r="HUB14" s="1003"/>
      <c r="HUC14" s="1003"/>
      <c r="HUD14" s="131"/>
      <c r="HUE14" s="131"/>
      <c r="HUF14" s="131"/>
      <c r="HUG14" s="131"/>
      <c r="HUH14" s="131"/>
      <c r="HUI14" s="131"/>
      <c r="HUJ14" s="131"/>
      <c r="HUK14" s="131"/>
      <c r="HUL14" s="131"/>
      <c r="HUM14" s="131"/>
      <c r="HUN14" s="131"/>
      <c r="HUO14" s="131"/>
      <c r="HUP14" s="1003"/>
      <c r="HUQ14" s="1003"/>
      <c r="HUR14" s="1003"/>
      <c r="HUS14" s="1003"/>
      <c r="HUT14" s="131"/>
      <c r="HUU14" s="131"/>
      <c r="HUV14" s="131"/>
      <c r="HUW14" s="131"/>
      <c r="HUX14" s="131"/>
      <c r="HUY14" s="131"/>
      <c r="HUZ14" s="131"/>
      <c r="HVA14" s="131"/>
      <c r="HVB14" s="131"/>
      <c r="HVC14" s="131"/>
      <c r="HVD14" s="131"/>
      <c r="HVE14" s="131"/>
      <c r="HVF14" s="1003"/>
      <c r="HVG14" s="1003"/>
      <c r="HVH14" s="1003"/>
      <c r="HVI14" s="1003"/>
      <c r="HVJ14" s="131"/>
      <c r="HVK14" s="131"/>
      <c r="HVL14" s="131"/>
      <c r="HVM14" s="131"/>
      <c r="HVN14" s="131"/>
      <c r="HVO14" s="131"/>
      <c r="HVP14" s="131"/>
      <c r="HVQ14" s="131"/>
      <c r="HVR14" s="131"/>
      <c r="HVS14" s="131"/>
      <c r="HVT14" s="131"/>
      <c r="HVU14" s="131"/>
      <c r="HVV14" s="1003"/>
      <c r="HVW14" s="1003"/>
      <c r="HVX14" s="1003"/>
      <c r="HVY14" s="1003"/>
      <c r="HVZ14" s="131"/>
      <c r="HWA14" s="131"/>
      <c r="HWB14" s="131"/>
      <c r="HWC14" s="131"/>
      <c r="HWD14" s="131"/>
      <c r="HWE14" s="131"/>
      <c r="HWF14" s="131"/>
      <c r="HWG14" s="131"/>
      <c r="HWH14" s="131"/>
      <c r="HWI14" s="131"/>
      <c r="HWJ14" s="131"/>
      <c r="HWK14" s="131"/>
      <c r="HWL14" s="1003"/>
      <c r="HWM14" s="1003"/>
      <c r="HWN14" s="1003"/>
      <c r="HWO14" s="1003"/>
      <c r="HWP14" s="131"/>
      <c r="HWQ14" s="131"/>
      <c r="HWR14" s="131"/>
      <c r="HWS14" s="131"/>
      <c r="HWT14" s="131"/>
      <c r="HWU14" s="131"/>
      <c r="HWV14" s="131"/>
      <c r="HWW14" s="131"/>
      <c r="HWX14" s="131"/>
      <c r="HWY14" s="131"/>
      <c r="HWZ14" s="131"/>
      <c r="HXA14" s="131"/>
      <c r="HXB14" s="1003"/>
      <c r="HXC14" s="1003"/>
      <c r="HXD14" s="1003"/>
      <c r="HXE14" s="1003"/>
      <c r="HXF14" s="131"/>
      <c r="HXG14" s="131"/>
      <c r="HXH14" s="131"/>
      <c r="HXI14" s="131"/>
      <c r="HXJ14" s="131"/>
      <c r="HXK14" s="131"/>
      <c r="HXL14" s="131"/>
      <c r="HXM14" s="131"/>
      <c r="HXN14" s="131"/>
      <c r="HXO14" s="131"/>
      <c r="HXP14" s="131"/>
      <c r="HXQ14" s="131"/>
      <c r="HXR14" s="1003"/>
      <c r="HXS14" s="1003"/>
      <c r="HXT14" s="1003"/>
      <c r="HXU14" s="1003"/>
      <c r="HXV14" s="131"/>
      <c r="HXW14" s="131"/>
      <c r="HXX14" s="131"/>
      <c r="HXY14" s="131"/>
      <c r="HXZ14" s="131"/>
      <c r="HYA14" s="131"/>
      <c r="HYB14" s="131"/>
      <c r="HYC14" s="131"/>
      <c r="HYD14" s="131"/>
      <c r="HYE14" s="131"/>
      <c r="HYF14" s="131"/>
      <c r="HYG14" s="131"/>
      <c r="HYH14" s="1003"/>
      <c r="HYI14" s="1003"/>
      <c r="HYJ14" s="1003"/>
      <c r="HYK14" s="1003"/>
      <c r="HYL14" s="131"/>
      <c r="HYM14" s="131"/>
      <c r="HYN14" s="131"/>
      <c r="HYO14" s="131"/>
      <c r="HYP14" s="131"/>
      <c r="HYQ14" s="131"/>
      <c r="HYR14" s="131"/>
      <c r="HYS14" s="131"/>
      <c r="HYT14" s="131"/>
      <c r="HYU14" s="131"/>
      <c r="HYV14" s="131"/>
      <c r="HYW14" s="131"/>
      <c r="HYX14" s="1003"/>
      <c r="HYY14" s="1003"/>
      <c r="HYZ14" s="1003"/>
      <c r="HZA14" s="1003"/>
      <c r="HZB14" s="131"/>
      <c r="HZC14" s="131"/>
      <c r="HZD14" s="131"/>
      <c r="HZE14" s="131"/>
      <c r="HZF14" s="131"/>
      <c r="HZG14" s="131"/>
      <c r="HZH14" s="131"/>
      <c r="HZI14" s="131"/>
      <c r="HZJ14" s="131"/>
      <c r="HZK14" s="131"/>
      <c r="HZL14" s="131"/>
      <c r="HZM14" s="131"/>
      <c r="HZN14" s="1003"/>
      <c r="HZO14" s="1003"/>
      <c r="HZP14" s="1003"/>
      <c r="HZQ14" s="1003"/>
      <c r="HZR14" s="131"/>
      <c r="HZS14" s="131"/>
      <c r="HZT14" s="131"/>
      <c r="HZU14" s="131"/>
      <c r="HZV14" s="131"/>
      <c r="HZW14" s="131"/>
      <c r="HZX14" s="131"/>
      <c r="HZY14" s="131"/>
      <c r="HZZ14" s="131"/>
      <c r="IAA14" s="131"/>
      <c r="IAB14" s="131"/>
      <c r="IAC14" s="131"/>
      <c r="IAD14" s="1003"/>
      <c r="IAE14" s="1003"/>
      <c r="IAF14" s="1003"/>
      <c r="IAG14" s="1003"/>
      <c r="IAH14" s="131"/>
      <c r="IAI14" s="131"/>
      <c r="IAJ14" s="131"/>
      <c r="IAK14" s="131"/>
      <c r="IAL14" s="131"/>
      <c r="IAM14" s="131"/>
      <c r="IAN14" s="131"/>
      <c r="IAO14" s="131"/>
      <c r="IAP14" s="131"/>
      <c r="IAQ14" s="131"/>
      <c r="IAR14" s="131"/>
      <c r="IAS14" s="131"/>
      <c r="IAT14" s="1003"/>
      <c r="IAU14" s="1003"/>
      <c r="IAV14" s="1003"/>
      <c r="IAW14" s="1003"/>
      <c r="IBJ14" s="1003"/>
      <c r="IBK14" s="1003"/>
      <c r="IBL14" s="1003"/>
      <c r="IBM14" s="1003"/>
      <c r="IBN14" s="131"/>
      <c r="IBO14" s="131"/>
      <c r="IBP14" s="131"/>
      <c r="IBQ14" s="131"/>
      <c r="IBR14" s="131"/>
      <c r="IBS14" s="131"/>
      <c r="IBT14" s="131"/>
      <c r="IBU14" s="131"/>
      <c r="IBV14" s="131"/>
      <c r="IBW14" s="131"/>
      <c r="IBX14" s="131"/>
      <c r="IBY14" s="131"/>
      <c r="IBZ14" s="1003"/>
      <c r="ICA14" s="1003"/>
      <c r="ICB14" s="1003"/>
      <c r="ICC14" s="1003"/>
      <c r="ICD14" s="131"/>
      <c r="ICE14" s="131"/>
      <c r="ICF14" s="131"/>
      <c r="ICG14" s="131"/>
      <c r="ICH14" s="131"/>
      <c r="ICI14" s="131"/>
      <c r="ICJ14" s="131"/>
      <c r="ICK14" s="131"/>
      <c r="ICL14" s="131"/>
      <c r="ICM14" s="131"/>
      <c r="ICN14" s="131"/>
      <c r="ICO14" s="131"/>
      <c r="ICP14" s="1003"/>
      <c r="ICQ14" s="1003"/>
      <c r="ICR14" s="1003"/>
      <c r="ICS14" s="1003"/>
      <c r="ICT14" s="131"/>
      <c r="ICU14" s="131"/>
      <c r="ICV14" s="131"/>
      <c r="ICW14" s="131"/>
      <c r="ICX14" s="131"/>
      <c r="ICY14" s="131"/>
      <c r="ICZ14" s="131"/>
      <c r="IDA14" s="131"/>
      <c r="IDB14" s="131"/>
      <c r="IDC14" s="131"/>
      <c r="IDD14" s="131"/>
      <c r="IDE14" s="131"/>
      <c r="IDF14" s="1003"/>
      <c r="IDG14" s="1003"/>
      <c r="IDH14" s="1003"/>
      <c r="IDI14" s="1003"/>
      <c r="IDJ14" s="131"/>
      <c r="IDK14" s="131"/>
      <c r="IDL14" s="131"/>
      <c r="IDM14" s="131"/>
      <c r="IDN14" s="131"/>
      <c r="IDO14" s="131"/>
      <c r="IDP14" s="131"/>
      <c r="IDQ14" s="131"/>
      <c r="IDR14" s="131"/>
      <c r="IDS14" s="131"/>
      <c r="IDT14" s="131"/>
      <c r="IDU14" s="131"/>
      <c r="IDV14" s="1003"/>
      <c r="IDW14" s="1003"/>
      <c r="IDX14" s="1003"/>
      <c r="IDY14" s="1003"/>
      <c r="IDZ14" s="131"/>
      <c r="IEA14" s="131"/>
      <c r="IEB14" s="131"/>
      <c r="IEC14" s="131"/>
      <c r="IED14" s="131"/>
      <c r="IEE14" s="131"/>
      <c r="IEF14" s="131"/>
      <c r="IEG14" s="131"/>
      <c r="IEH14" s="131"/>
      <c r="IEI14" s="131"/>
      <c r="IEJ14" s="131"/>
      <c r="IEK14" s="131"/>
      <c r="IEL14" s="1003"/>
      <c r="IEM14" s="1003"/>
      <c r="IEN14" s="1003"/>
      <c r="IEO14" s="1003"/>
      <c r="IEP14" s="131"/>
      <c r="IEQ14" s="131"/>
      <c r="IER14" s="131"/>
      <c r="IES14" s="131"/>
      <c r="IET14" s="131"/>
      <c r="IEU14" s="131"/>
      <c r="IEV14" s="131"/>
      <c r="IEW14" s="131"/>
      <c r="IEX14" s="131"/>
      <c r="IEY14" s="131"/>
      <c r="IEZ14" s="131"/>
      <c r="IFA14" s="131"/>
      <c r="IFB14" s="1003"/>
      <c r="IFC14" s="1003"/>
      <c r="IFD14" s="1003"/>
      <c r="IFE14" s="1003"/>
      <c r="IFF14" s="131"/>
      <c r="IFG14" s="131"/>
      <c r="IFH14" s="131"/>
      <c r="IFI14" s="131"/>
      <c r="IFJ14" s="131"/>
      <c r="IFK14" s="131"/>
      <c r="IFL14" s="131"/>
      <c r="IFM14" s="131"/>
      <c r="IFN14" s="131"/>
      <c r="IFO14" s="131"/>
      <c r="IFP14" s="131"/>
      <c r="IFQ14" s="131"/>
      <c r="IFR14" s="1003"/>
      <c r="IFS14" s="1003"/>
      <c r="IFT14" s="1003"/>
      <c r="IFU14" s="1003"/>
      <c r="IFV14" s="131"/>
      <c r="IFW14" s="131"/>
      <c r="IFX14" s="131"/>
      <c r="IFY14" s="131"/>
      <c r="IFZ14" s="131"/>
      <c r="IGA14" s="131"/>
      <c r="IGB14" s="131"/>
      <c r="IGC14" s="131"/>
      <c r="IGD14" s="131"/>
      <c r="IGE14" s="131"/>
      <c r="IGF14" s="131"/>
      <c r="IGG14" s="131"/>
      <c r="IGH14" s="1003"/>
      <c r="IGI14" s="1003"/>
      <c r="IGJ14" s="1003"/>
      <c r="IGK14" s="1003"/>
      <c r="IGL14" s="131"/>
      <c r="IGM14" s="131"/>
      <c r="IGN14" s="131"/>
      <c r="IGO14" s="131"/>
      <c r="IGP14" s="131"/>
      <c r="IGQ14" s="131"/>
      <c r="IGR14" s="131"/>
      <c r="IGS14" s="131"/>
      <c r="IGT14" s="131"/>
      <c r="IGU14" s="131"/>
      <c r="IGV14" s="131"/>
      <c r="IGW14" s="131"/>
      <c r="IGX14" s="1003"/>
      <c r="IGY14" s="1003"/>
      <c r="IGZ14" s="1003"/>
      <c r="IHA14" s="1003"/>
      <c r="IHB14" s="131"/>
      <c r="IHC14" s="131"/>
      <c r="IHD14" s="131"/>
      <c r="IHE14" s="131"/>
      <c r="IHF14" s="131"/>
      <c r="IHG14" s="131"/>
      <c r="IHH14" s="131"/>
      <c r="IHI14" s="131"/>
      <c r="IHJ14" s="131"/>
      <c r="IHK14" s="131"/>
      <c r="IHL14" s="131"/>
      <c r="IHM14" s="131"/>
      <c r="IHN14" s="1003"/>
      <c r="IHO14" s="1003"/>
      <c r="IHP14" s="1003"/>
      <c r="IHQ14" s="1003"/>
      <c r="IHR14" s="131"/>
      <c r="IHS14" s="131"/>
      <c r="IHT14" s="131"/>
      <c r="IHU14" s="131"/>
      <c r="IHV14" s="131"/>
      <c r="IHW14" s="131"/>
      <c r="IHX14" s="131"/>
      <c r="IHY14" s="131"/>
      <c r="IHZ14" s="131"/>
      <c r="IIA14" s="131"/>
      <c r="IIB14" s="131"/>
      <c r="IIC14" s="131"/>
      <c r="IID14" s="1003"/>
      <c r="IIE14" s="1003"/>
      <c r="IIF14" s="1003"/>
      <c r="IIG14" s="1003"/>
      <c r="IIH14" s="131"/>
      <c r="III14" s="131"/>
      <c r="IIJ14" s="131"/>
      <c r="IIK14" s="131"/>
      <c r="IIL14" s="131"/>
      <c r="IIM14" s="131"/>
      <c r="IIN14" s="131"/>
      <c r="IIO14" s="131"/>
      <c r="IIP14" s="131"/>
      <c r="IIQ14" s="131"/>
      <c r="IIR14" s="131"/>
      <c r="IIS14" s="131"/>
      <c r="IIT14" s="1003"/>
      <c r="IIU14" s="1003"/>
      <c r="IIV14" s="1003"/>
      <c r="IIW14" s="1003"/>
      <c r="IIX14" s="131"/>
      <c r="IIY14" s="131"/>
      <c r="IIZ14" s="131"/>
      <c r="IJA14" s="131"/>
      <c r="IJB14" s="131"/>
      <c r="IJC14" s="131"/>
      <c r="IJD14" s="131"/>
      <c r="IJE14" s="131"/>
      <c r="IJF14" s="131"/>
      <c r="IJG14" s="131"/>
      <c r="IJH14" s="131"/>
      <c r="IJI14" s="131"/>
      <c r="IJJ14" s="1003"/>
      <c r="IJK14" s="1003"/>
      <c r="IJL14" s="1003"/>
      <c r="IJM14" s="1003"/>
      <c r="IJN14" s="131"/>
      <c r="IJO14" s="131"/>
      <c r="IJP14" s="131"/>
      <c r="IJQ14" s="131"/>
      <c r="IJR14" s="131"/>
      <c r="IJS14" s="131"/>
      <c r="IJT14" s="131"/>
      <c r="IJU14" s="131"/>
      <c r="IJV14" s="131"/>
      <c r="IJW14" s="131"/>
      <c r="IJX14" s="131"/>
      <c r="IJY14" s="131"/>
      <c r="IJZ14" s="1003"/>
      <c r="IKA14" s="1003"/>
      <c r="IKB14" s="1003"/>
      <c r="IKC14" s="1003"/>
      <c r="IKD14" s="131"/>
      <c r="IKE14" s="131"/>
      <c r="IKF14" s="131"/>
      <c r="IKG14" s="131"/>
      <c r="IKH14" s="131"/>
      <c r="IKI14" s="131"/>
      <c r="IKJ14" s="131"/>
      <c r="IKK14" s="131"/>
      <c r="IKL14" s="131"/>
      <c r="IKM14" s="131"/>
      <c r="IKN14" s="131"/>
      <c r="IKO14" s="131"/>
      <c r="IKP14" s="1003"/>
      <c r="IKQ14" s="1003"/>
      <c r="IKR14" s="1003"/>
      <c r="IKS14" s="1003"/>
      <c r="IKT14" s="131"/>
      <c r="IKU14" s="131"/>
      <c r="IKV14" s="131"/>
      <c r="IKW14" s="131"/>
      <c r="IKX14" s="131"/>
      <c r="IKY14" s="131"/>
      <c r="IKZ14" s="131"/>
      <c r="ILA14" s="131"/>
      <c r="ILB14" s="131"/>
      <c r="ILC14" s="131"/>
      <c r="ILD14" s="131"/>
      <c r="ILE14" s="131"/>
      <c r="ILF14" s="1003"/>
      <c r="ILG14" s="1003"/>
      <c r="ILH14" s="1003"/>
      <c r="ILI14" s="1003"/>
      <c r="ILJ14" s="131"/>
      <c r="ILK14" s="131"/>
      <c r="ILL14" s="131"/>
      <c r="ILM14" s="131"/>
      <c r="ILN14" s="131"/>
      <c r="ILO14" s="131"/>
      <c r="ILP14" s="131"/>
      <c r="ILQ14" s="131"/>
      <c r="ILR14" s="131"/>
      <c r="ILS14" s="131"/>
      <c r="ILT14" s="131"/>
      <c r="ILU14" s="131"/>
      <c r="ILV14" s="1003"/>
      <c r="ILW14" s="1003"/>
      <c r="ILX14" s="1003"/>
      <c r="ILY14" s="1003"/>
      <c r="ILZ14" s="131"/>
      <c r="IMA14" s="131"/>
      <c r="IMB14" s="131"/>
      <c r="IMC14" s="131"/>
      <c r="IMD14" s="131"/>
      <c r="IME14" s="131"/>
      <c r="IMF14" s="131"/>
      <c r="IMG14" s="131"/>
      <c r="IMH14" s="131"/>
      <c r="IMI14" s="131"/>
      <c r="IMJ14" s="131"/>
      <c r="IMK14" s="131"/>
      <c r="IML14" s="1003"/>
      <c r="IMM14" s="1003"/>
      <c r="IMN14" s="1003"/>
      <c r="IMO14" s="1003"/>
      <c r="IMP14" s="131"/>
      <c r="IMQ14" s="131"/>
      <c r="IMR14" s="131"/>
      <c r="IMS14" s="131"/>
      <c r="IMT14" s="131"/>
      <c r="IMU14" s="131"/>
      <c r="IMV14" s="131"/>
      <c r="IMW14" s="131"/>
      <c r="IMX14" s="131"/>
      <c r="IMY14" s="131"/>
      <c r="IMZ14" s="131"/>
      <c r="INA14" s="131"/>
      <c r="INB14" s="1003"/>
      <c r="INC14" s="1003"/>
      <c r="IND14" s="1003"/>
      <c r="INE14" s="1003"/>
      <c r="INF14" s="131"/>
      <c r="ING14" s="131"/>
      <c r="INH14" s="131"/>
      <c r="INI14" s="131"/>
      <c r="INJ14" s="131"/>
      <c r="INK14" s="131"/>
      <c r="INL14" s="131"/>
      <c r="INM14" s="131"/>
      <c r="INN14" s="131"/>
      <c r="INO14" s="131"/>
      <c r="INP14" s="131"/>
      <c r="INQ14" s="131"/>
      <c r="INR14" s="1003"/>
      <c r="INS14" s="1003"/>
      <c r="INT14" s="1003"/>
      <c r="INU14" s="1003"/>
      <c r="INV14" s="131"/>
      <c r="INW14" s="131"/>
      <c r="INX14" s="131"/>
      <c r="INY14" s="131"/>
      <c r="INZ14" s="131"/>
      <c r="IOA14" s="131"/>
      <c r="IOB14" s="131"/>
      <c r="IOC14" s="131"/>
      <c r="IOD14" s="131"/>
      <c r="IOE14" s="131"/>
      <c r="IOF14" s="131"/>
      <c r="IOG14" s="131"/>
      <c r="IOH14" s="1003"/>
      <c r="IOI14" s="1003"/>
      <c r="IOJ14" s="1003"/>
      <c r="IOK14" s="1003"/>
      <c r="IOL14" s="131"/>
      <c r="IOM14" s="131"/>
      <c r="ION14" s="131"/>
      <c r="IOO14" s="131"/>
      <c r="IOP14" s="131"/>
      <c r="IOQ14" s="131"/>
      <c r="IOR14" s="131"/>
      <c r="IOS14" s="131"/>
      <c r="IOT14" s="131"/>
      <c r="IOU14" s="131"/>
      <c r="IOV14" s="131"/>
      <c r="IOW14" s="131"/>
      <c r="IOX14" s="1003"/>
      <c r="IOY14" s="1003"/>
      <c r="IOZ14" s="1003"/>
      <c r="IPA14" s="1003"/>
      <c r="IPB14" s="131"/>
      <c r="IPC14" s="131"/>
      <c r="IPD14" s="131"/>
      <c r="IPE14" s="131"/>
      <c r="IPF14" s="131"/>
      <c r="IPG14" s="131"/>
      <c r="IPH14" s="131"/>
      <c r="IPI14" s="131"/>
      <c r="IPJ14" s="131"/>
      <c r="IPK14" s="131"/>
      <c r="IPL14" s="131"/>
      <c r="IPM14" s="131"/>
      <c r="IPN14" s="1003"/>
      <c r="IPO14" s="1003"/>
      <c r="IPP14" s="1003"/>
      <c r="IPQ14" s="1003"/>
      <c r="IPR14" s="131"/>
      <c r="IPS14" s="131"/>
      <c r="IPT14" s="131"/>
      <c r="IPU14" s="131"/>
      <c r="IPV14" s="131"/>
      <c r="IPW14" s="131"/>
      <c r="IPX14" s="131"/>
      <c r="IPY14" s="131"/>
      <c r="IPZ14" s="131"/>
      <c r="IQA14" s="131"/>
      <c r="IQB14" s="131"/>
      <c r="IQC14" s="131"/>
      <c r="IQD14" s="1003"/>
      <c r="IQE14" s="1003"/>
      <c r="IQF14" s="1003"/>
      <c r="IQG14" s="1003"/>
      <c r="IQH14" s="131"/>
      <c r="IQI14" s="131"/>
      <c r="IQJ14" s="131"/>
      <c r="IQK14" s="131"/>
      <c r="IQL14" s="131"/>
      <c r="IQM14" s="131"/>
      <c r="IQN14" s="131"/>
      <c r="IQO14" s="131"/>
      <c r="IQP14" s="131"/>
      <c r="IQQ14" s="131"/>
      <c r="IQR14" s="131"/>
      <c r="IQS14" s="131"/>
      <c r="IQT14" s="1003"/>
      <c r="IQU14" s="1003"/>
      <c r="IQV14" s="1003"/>
      <c r="IQW14" s="1003"/>
      <c r="IQX14" s="131"/>
      <c r="IQY14" s="131"/>
      <c r="IQZ14" s="131"/>
      <c r="IRA14" s="131"/>
      <c r="IRB14" s="131"/>
      <c r="IRC14" s="131"/>
      <c r="IRD14" s="131"/>
      <c r="IRE14" s="131"/>
      <c r="IRF14" s="131"/>
      <c r="IRG14" s="131"/>
      <c r="IRH14" s="131"/>
      <c r="IRI14" s="131"/>
      <c r="IRJ14" s="1003"/>
      <c r="IRK14" s="1003"/>
      <c r="IRL14" s="1003"/>
      <c r="IRM14" s="1003"/>
      <c r="IRN14" s="131"/>
      <c r="IRO14" s="131"/>
      <c r="IRP14" s="131"/>
      <c r="IRQ14" s="131"/>
      <c r="IRR14" s="131"/>
      <c r="IRS14" s="131"/>
      <c r="IRT14" s="131"/>
      <c r="IRU14" s="131"/>
      <c r="IRV14" s="131"/>
      <c r="IRW14" s="131"/>
      <c r="IRX14" s="131"/>
      <c r="IRY14" s="131"/>
      <c r="IRZ14" s="1003"/>
      <c r="ISA14" s="1003"/>
      <c r="ISB14" s="1003"/>
      <c r="ISC14" s="1003"/>
      <c r="ISD14" s="131"/>
      <c r="ISE14" s="131"/>
      <c r="ISF14" s="131"/>
      <c r="ISG14" s="131"/>
      <c r="ISH14" s="131"/>
      <c r="ISI14" s="131"/>
      <c r="ISJ14" s="131"/>
      <c r="ISK14" s="131"/>
      <c r="ISL14" s="131"/>
      <c r="ISM14" s="131"/>
      <c r="ISN14" s="131"/>
      <c r="ISO14" s="131"/>
      <c r="ISP14" s="1003"/>
      <c r="ISQ14" s="1003"/>
      <c r="ISR14" s="1003"/>
      <c r="ISS14" s="1003"/>
      <c r="IST14" s="131"/>
      <c r="ISU14" s="131"/>
      <c r="ISV14" s="131"/>
      <c r="ISW14" s="131"/>
      <c r="ISX14" s="131"/>
      <c r="ISY14" s="131"/>
      <c r="ISZ14" s="131"/>
      <c r="ITA14" s="131"/>
      <c r="ITB14" s="131"/>
      <c r="ITC14" s="131"/>
      <c r="ITD14" s="131"/>
      <c r="ITE14" s="131"/>
      <c r="ITF14" s="1003"/>
      <c r="ITG14" s="1003"/>
      <c r="ITH14" s="1003"/>
      <c r="ITI14" s="1003"/>
      <c r="ITJ14" s="131"/>
      <c r="ITK14" s="131"/>
      <c r="ITL14" s="131"/>
      <c r="ITM14" s="131"/>
      <c r="ITN14" s="131"/>
      <c r="ITO14" s="131"/>
      <c r="ITP14" s="131"/>
      <c r="ITQ14" s="131"/>
      <c r="ITR14" s="131"/>
      <c r="ITS14" s="131"/>
      <c r="ITT14" s="131"/>
      <c r="ITU14" s="131"/>
      <c r="ITV14" s="1003"/>
      <c r="ITW14" s="1003"/>
      <c r="ITX14" s="1003"/>
      <c r="ITY14" s="1003"/>
      <c r="ITZ14" s="131"/>
      <c r="IUA14" s="131"/>
      <c r="IUB14" s="131"/>
      <c r="IUC14" s="131"/>
      <c r="IUD14" s="131"/>
      <c r="IUE14" s="131"/>
      <c r="IUF14" s="131"/>
      <c r="IUG14" s="131"/>
      <c r="IUH14" s="131"/>
      <c r="IUI14" s="131"/>
      <c r="IUJ14" s="131"/>
      <c r="IUK14" s="131"/>
      <c r="IUL14" s="1003"/>
      <c r="IUM14" s="1003"/>
      <c r="IUN14" s="1003"/>
      <c r="IUO14" s="1003"/>
      <c r="IUP14" s="131"/>
      <c r="IUQ14" s="131"/>
      <c r="IUR14" s="131"/>
      <c r="IUS14" s="131"/>
      <c r="IUT14" s="131"/>
      <c r="IUU14" s="131"/>
      <c r="IUV14" s="131"/>
      <c r="IUW14" s="131"/>
      <c r="IUX14" s="131"/>
      <c r="IUY14" s="131"/>
      <c r="IUZ14" s="131"/>
      <c r="IVA14" s="131"/>
      <c r="IVB14" s="1003"/>
      <c r="IVC14" s="1003"/>
      <c r="IVD14" s="1003"/>
      <c r="IVE14" s="1003"/>
      <c r="IVF14" s="131"/>
      <c r="IVG14" s="131"/>
      <c r="IVH14" s="131"/>
      <c r="IVI14" s="131"/>
      <c r="IVJ14" s="131"/>
      <c r="IVK14" s="131"/>
      <c r="IVL14" s="131"/>
      <c r="IVM14" s="131"/>
      <c r="IVN14" s="131"/>
      <c r="IVO14" s="131"/>
      <c r="IVP14" s="131"/>
      <c r="IVQ14" s="131"/>
      <c r="IVR14" s="1003"/>
      <c r="IVS14" s="1003"/>
      <c r="IVT14" s="1003"/>
      <c r="IVU14" s="1003"/>
      <c r="IVV14" s="131"/>
      <c r="IVW14" s="131"/>
      <c r="IVX14" s="131"/>
      <c r="IVY14" s="131"/>
      <c r="IVZ14" s="131"/>
      <c r="IWA14" s="131"/>
      <c r="IWB14" s="131"/>
      <c r="IWC14" s="131"/>
      <c r="IWD14" s="131"/>
      <c r="IWE14" s="131"/>
      <c r="IWF14" s="131"/>
      <c r="IWG14" s="131"/>
      <c r="IWH14" s="1003"/>
      <c r="IWI14" s="1003"/>
      <c r="IWJ14" s="1003"/>
      <c r="IWK14" s="1003"/>
      <c r="IWL14" s="131"/>
      <c r="IWM14" s="131"/>
      <c r="IWN14" s="131"/>
      <c r="IWO14" s="131"/>
      <c r="IWP14" s="131"/>
      <c r="IWQ14" s="131"/>
      <c r="IWR14" s="131"/>
      <c r="IWS14" s="131"/>
      <c r="IWT14" s="131"/>
      <c r="IWU14" s="131"/>
      <c r="IWV14" s="131"/>
      <c r="IWW14" s="131"/>
      <c r="IWX14" s="1003"/>
      <c r="IWY14" s="1003"/>
      <c r="IWZ14" s="1003"/>
      <c r="IXA14" s="1003"/>
      <c r="IXB14" s="131"/>
      <c r="IXC14" s="131"/>
      <c r="IXD14" s="131"/>
      <c r="IXE14" s="131"/>
      <c r="IXF14" s="131"/>
      <c r="IXG14" s="131"/>
      <c r="IXH14" s="131"/>
      <c r="IXI14" s="131"/>
      <c r="IXJ14" s="131"/>
      <c r="IXK14" s="131"/>
      <c r="IXL14" s="131"/>
      <c r="IXM14" s="131"/>
      <c r="IXN14" s="1003"/>
      <c r="IXO14" s="1003"/>
      <c r="IXP14" s="1003"/>
      <c r="IXQ14" s="1003"/>
      <c r="IXR14" s="131"/>
      <c r="IXS14" s="131"/>
      <c r="IXT14" s="131"/>
      <c r="IXU14" s="131"/>
      <c r="IXV14" s="131"/>
      <c r="IXW14" s="131"/>
      <c r="IXX14" s="131"/>
      <c r="IXY14" s="131"/>
      <c r="IXZ14" s="131"/>
      <c r="IYA14" s="131"/>
      <c r="IYB14" s="131"/>
      <c r="IYC14" s="131"/>
      <c r="IYD14" s="1003"/>
      <c r="IYE14" s="1003"/>
      <c r="IYF14" s="1003"/>
      <c r="IYG14" s="1003"/>
      <c r="IYH14" s="131"/>
      <c r="IYI14" s="131"/>
      <c r="IYJ14" s="131"/>
      <c r="IYK14" s="131"/>
      <c r="IYL14" s="131"/>
      <c r="IYM14" s="131"/>
      <c r="IYN14" s="131"/>
      <c r="IYO14" s="131"/>
      <c r="IYP14" s="131"/>
      <c r="IYQ14" s="131"/>
      <c r="IYR14" s="131"/>
      <c r="IYS14" s="131"/>
      <c r="IYT14" s="1003"/>
      <c r="IYU14" s="1003"/>
      <c r="IYV14" s="1003"/>
      <c r="IYW14" s="1003"/>
      <c r="IYX14" s="131"/>
      <c r="IYY14" s="131"/>
      <c r="IYZ14" s="131"/>
      <c r="IZA14" s="131"/>
      <c r="IZB14" s="131"/>
      <c r="IZC14" s="131"/>
      <c r="IZD14" s="131"/>
      <c r="IZE14" s="131"/>
      <c r="IZF14" s="131"/>
      <c r="IZG14" s="131"/>
      <c r="IZH14" s="131"/>
      <c r="IZI14" s="131"/>
      <c r="IZJ14" s="1003"/>
      <c r="IZK14" s="1003"/>
      <c r="IZL14" s="1003"/>
      <c r="IZM14" s="1003"/>
      <c r="IZN14" s="131"/>
      <c r="IZO14" s="131"/>
      <c r="IZP14" s="131"/>
      <c r="IZQ14" s="131"/>
      <c r="IZR14" s="131"/>
      <c r="IZS14" s="131"/>
      <c r="IZT14" s="131"/>
      <c r="IZU14" s="131"/>
      <c r="IZV14" s="131"/>
      <c r="IZW14" s="131"/>
      <c r="IZX14" s="131"/>
      <c r="IZY14" s="131"/>
      <c r="IZZ14" s="1003"/>
      <c r="JAA14" s="1003"/>
      <c r="JAB14" s="1003"/>
      <c r="JAC14" s="1003"/>
      <c r="JAD14" s="131"/>
      <c r="JAE14" s="131"/>
      <c r="JAF14" s="131"/>
      <c r="JAG14" s="131"/>
      <c r="JAH14" s="131"/>
      <c r="JAI14" s="131"/>
      <c r="JAJ14" s="131"/>
      <c r="JAK14" s="131"/>
      <c r="JAL14" s="131"/>
      <c r="JAM14" s="131"/>
      <c r="JAN14" s="131"/>
      <c r="JAO14" s="131"/>
      <c r="JAP14" s="1003"/>
      <c r="JAQ14" s="1003"/>
      <c r="JAR14" s="1003"/>
      <c r="JAS14" s="1003"/>
      <c r="JAT14" s="131"/>
      <c r="JAU14" s="131"/>
      <c r="JAV14" s="131"/>
      <c r="JAW14" s="131"/>
      <c r="JAX14" s="131"/>
      <c r="JAY14" s="131"/>
      <c r="JAZ14" s="131"/>
      <c r="JBA14" s="131"/>
      <c r="JBB14" s="131"/>
      <c r="JBC14" s="131"/>
      <c r="JBD14" s="131"/>
      <c r="JBE14" s="131"/>
      <c r="JBF14" s="1003"/>
      <c r="JBG14" s="1003"/>
      <c r="JBH14" s="1003"/>
      <c r="JBI14" s="1003"/>
      <c r="JBJ14" s="131"/>
      <c r="JBK14" s="131"/>
      <c r="JBL14" s="131"/>
      <c r="JBM14" s="131"/>
      <c r="JBN14" s="131"/>
      <c r="JBO14" s="131"/>
      <c r="JBP14" s="131"/>
      <c r="JBQ14" s="131"/>
      <c r="JBR14" s="131"/>
      <c r="JBS14" s="131"/>
      <c r="JBT14" s="131"/>
      <c r="JBU14" s="131"/>
      <c r="JBV14" s="1003"/>
      <c r="JBW14" s="1003"/>
      <c r="JBX14" s="1003"/>
      <c r="JBY14" s="1003"/>
      <c r="JBZ14" s="131"/>
      <c r="JCA14" s="131"/>
      <c r="JCB14" s="131"/>
      <c r="JCC14" s="131"/>
      <c r="JCD14" s="131"/>
      <c r="JCE14" s="131"/>
      <c r="JCF14" s="131"/>
      <c r="JCG14" s="131"/>
      <c r="JCH14" s="131"/>
      <c r="JCI14" s="131"/>
      <c r="JCJ14" s="131"/>
      <c r="JCK14" s="131"/>
      <c r="JCL14" s="1003"/>
      <c r="JCM14" s="1003"/>
      <c r="JCN14" s="1003"/>
      <c r="JCO14" s="1003"/>
      <c r="JCP14" s="131"/>
      <c r="JCQ14" s="131"/>
      <c r="JCR14" s="131"/>
      <c r="JCS14" s="131"/>
      <c r="JCT14" s="131"/>
      <c r="JCU14" s="131"/>
      <c r="JCV14" s="131"/>
      <c r="JCW14" s="131"/>
      <c r="JCX14" s="131"/>
      <c r="JCY14" s="131"/>
      <c r="JCZ14" s="131"/>
      <c r="JDA14" s="131"/>
      <c r="JDB14" s="1003"/>
      <c r="JDC14" s="1003"/>
      <c r="JDD14" s="1003"/>
      <c r="JDE14" s="1003"/>
      <c r="JDF14" s="131"/>
      <c r="JDG14" s="131"/>
      <c r="JDH14" s="131"/>
      <c r="JDI14" s="131"/>
      <c r="JDJ14" s="131"/>
      <c r="JDK14" s="131"/>
      <c r="JDL14" s="131"/>
      <c r="JDM14" s="131"/>
      <c r="JDN14" s="131"/>
      <c r="JDO14" s="131"/>
      <c r="JDP14" s="131"/>
      <c r="JDQ14" s="131"/>
      <c r="JDR14" s="1003"/>
      <c r="JDS14" s="1003"/>
      <c r="JDT14" s="1003"/>
      <c r="JDU14" s="1003"/>
      <c r="JDV14" s="131"/>
      <c r="JDW14" s="131"/>
      <c r="JDX14" s="131"/>
      <c r="JDY14" s="131"/>
      <c r="JDZ14" s="131"/>
      <c r="JEA14" s="131"/>
      <c r="JEB14" s="131"/>
      <c r="JEC14" s="131"/>
      <c r="JED14" s="131"/>
      <c r="JEE14" s="131"/>
      <c r="JEF14" s="131"/>
      <c r="JEG14" s="131"/>
      <c r="JEH14" s="1003"/>
      <c r="JEI14" s="1003"/>
      <c r="JEJ14" s="1003"/>
      <c r="JEK14" s="1003"/>
      <c r="JEL14" s="131"/>
      <c r="JEM14" s="131"/>
      <c r="JEN14" s="131"/>
      <c r="JEO14" s="131"/>
      <c r="JEP14" s="131"/>
      <c r="JEQ14" s="131"/>
      <c r="JER14" s="131"/>
      <c r="JES14" s="131"/>
      <c r="JET14" s="131"/>
      <c r="JEU14" s="131"/>
      <c r="JEV14" s="131"/>
      <c r="JEW14" s="131"/>
      <c r="JEX14" s="1003"/>
      <c r="JEY14" s="1003"/>
      <c r="JEZ14" s="1003"/>
      <c r="JFA14" s="1003"/>
      <c r="JFB14" s="131"/>
      <c r="JFC14" s="131"/>
      <c r="JFD14" s="131"/>
      <c r="JFE14" s="131"/>
      <c r="JFF14" s="131"/>
      <c r="JFG14" s="131"/>
      <c r="JFH14" s="131"/>
      <c r="JFI14" s="131"/>
      <c r="JFJ14" s="131"/>
      <c r="JFK14" s="131"/>
      <c r="JFL14" s="131"/>
      <c r="JFM14" s="131"/>
      <c r="JFN14" s="1003"/>
      <c r="JFO14" s="1003"/>
      <c r="JFP14" s="1003"/>
      <c r="JFQ14" s="1003"/>
      <c r="JFR14" s="131"/>
      <c r="JFS14" s="131"/>
      <c r="JFT14" s="131"/>
      <c r="JFU14" s="131"/>
      <c r="JFV14" s="131"/>
      <c r="JFW14" s="131"/>
      <c r="JFX14" s="131"/>
      <c r="JFY14" s="131"/>
      <c r="JFZ14" s="131"/>
      <c r="JGA14" s="131"/>
      <c r="JGB14" s="131"/>
      <c r="JGC14" s="131"/>
      <c r="JGD14" s="1003"/>
      <c r="JGE14" s="1003"/>
      <c r="JGF14" s="1003"/>
      <c r="JGG14" s="1003"/>
      <c r="JGH14" s="131"/>
      <c r="JGI14" s="131"/>
      <c r="JGJ14" s="131"/>
      <c r="JGK14" s="131"/>
      <c r="JGL14" s="131"/>
      <c r="JGM14" s="131"/>
      <c r="JGN14" s="131"/>
      <c r="JGO14" s="131"/>
      <c r="JGP14" s="131"/>
      <c r="JGQ14" s="131"/>
      <c r="JGR14" s="131"/>
      <c r="JGS14" s="131"/>
      <c r="JGT14" s="1003"/>
      <c r="JGU14" s="1003"/>
      <c r="JGV14" s="1003"/>
      <c r="JGW14" s="1003"/>
      <c r="JGX14" s="131"/>
      <c r="JGY14" s="131"/>
      <c r="JGZ14" s="131"/>
      <c r="JHA14" s="131"/>
      <c r="JHB14" s="131"/>
      <c r="JHC14" s="131"/>
      <c r="JHD14" s="131"/>
      <c r="JHE14" s="131"/>
      <c r="JHF14" s="131"/>
      <c r="JHG14" s="131"/>
      <c r="JHH14" s="131"/>
      <c r="JHI14" s="131"/>
      <c r="JHJ14" s="1003"/>
      <c r="JHK14" s="1003"/>
      <c r="JHL14" s="1003"/>
      <c r="JHM14" s="1003"/>
      <c r="JHN14" s="131"/>
      <c r="JHO14" s="131"/>
      <c r="JHP14" s="131"/>
      <c r="JHQ14" s="131"/>
      <c r="JHR14" s="131"/>
      <c r="JHS14" s="131"/>
      <c r="JHT14" s="131"/>
      <c r="JHU14" s="131"/>
      <c r="JHV14" s="131"/>
      <c r="JHW14" s="131"/>
      <c r="JHX14" s="131"/>
      <c r="JHY14" s="131"/>
      <c r="JHZ14" s="1003"/>
      <c r="JIA14" s="1003"/>
      <c r="JIB14" s="1003"/>
      <c r="JIC14" s="1003"/>
      <c r="JID14" s="131"/>
      <c r="JIE14" s="131"/>
      <c r="JIF14" s="131"/>
      <c r="JIG14" s="131"/>
      <c r="JIH14" s="131"/>
      <c r="JII14" s="131"/>
      <c r="JIJ14" s="131"/>
      <c r="JIK14" s="131"/>
      <c r="JIL14" s="131"/>
      <c r="JIM14" s="131"/>
      <c r="JIN14" s="131"/>
      <c r="JIO14" s="131"/>
      <c r="JIP14" s="1003"/>
      <c r="JIQ14" s="1003"/>
      <c r="JIR14" s="1003"/>
      <c r="JIS14" s="1003"/>
      <c r="JIT14" s="131"/>
      <c r="JIU14" s="131"/>
      <c r="JIV14" s="131"/>
      <c r="JIW14" s="131"/>
      <c r="JIX14" s="131"/>
      <c r="JIY14" s="131"/>
      <c r="JIZ14" s="131"/>
      <c r="JJA14" s="131"/>
      <c r="JJB14" s="131"/>
      <c r="JJC14" s="131"/>
      <c r="JJD14" s="131"/>
      <c r="JJE14" s="131"/>
      <c r="JJF14" s="1003"/>
      <c r="JJG14" s="1003"/>
      <c r="JJH14" s="1003"/>
      <c r="JJI14" s="1003"/>
      <c r="JJJ14" s="131"/>
      <c r="JJK14" s="131"/>
      <c r="JJL14" s="131"/>
      <c r="JJM14" s="131"/>
      <c r="JJN14" s="131"/>
      <c r="JJO14" s="131"/>
      <c r="JJP14" s="131"/>
      <c r="JJQ14" s="131"/>
      <c r="JJR14" s="131"/>
      <c r="JJS14" s="131"/>
      <c r="JJT14" s="131"/>
      <c r="JJU14" s="131"/>
      <c r="JJV14" s="1003"/>
      <c r="JJW14" s="1003"/>
      <c r="JJX14" s="1003"/>
      <c r="JJY14" s="1003"/>
      <c r="JJZ14" s="131"/>
      <c r="JKA14" s="131"/>
      <c r="JKB14" s="131"/>
      <c r="JKC14" s="131"/>
      <c r="JKD14" s="131"/>
      <c r="JKE14" s="131"/>
      <c r="JKF14" s="131"/>
      <c r="JKG14" s="131"/>
      <c r="JKH14" s="131"/>
      <c r="JKI14" s="131"/>
      <c r="JKJ14" s="131"/>
      <c r="JKK14" s="131"/>
      <c r="JKL14" s="1003"/>
      <c r="JKM14" s="1003"/>
      <c r="JKN14" s="1003"/>
      <c r="JKO14" s="1003"/>
      <c r="JKP14" s="131"/>
      <c r="JKQ14" s="131"/>
      <c r="JKR14" s="131"/>
      <c r="JKS14" s="131"/>
      <c r="JKT14" s="131"/>
      <c r="JKU14" s="131"/>
      <c r="JKV14" s="131"/>
      <c r="JKW14" s="131"/>
      <c r="JKX14" s="131"/>
      <c r="JKY14" s="131"/>
      <c r="JKZ14" s="131"/>
      <c r="JLA14" s="131"/>
      <c r="JLB14" s="1003"/>
      <c r="JLC14" s="1003"/>
      <c r="JLD14" s="1003"/>
      <c r="JLE14" s="1003"/>
      <c r="JLF14" s="131"/>
      <c r="JLG14" s="131"/>
      <c r="JLH14" s="131"/>
      <c r="JLI14" s="131"/>
      <c r="JLJ14" s="131"/>
      <c r="JLK14" s="131"/>
      <c r="JLL14" s="131"/>
      <c r="JLM14" s="131"/>
      <c r="JLN14" s="131"/>
      <c r="JLO14" s="131"/>
      <c r="JLP14" s="131"/>
      <c r="JLQ14" s="131"/>
      <c r="JLR14" s="1003"/>
      <c r="JLS14" s="1003"/>
      <c r="JLT14" s="1003"/>
      <c r="JLU14" s="1003"/>
      <c r="JLV14" s="131"/>
      <c r="JLW14" s="131"/>
      <c r="JLX14" s="131"/>
      <c r="JLY14" s="131"/>
      <c r="JLZ14" s="131"/>
      <c r="JMA14" s="131"/>
      <c r="JMB14" s="131"/>
      <c r="JMC14" s="131"/>
      <c r="JMD14" s="131"/>
      <c r="JME14" s="131"/>
      <c r="JMF14" s="131"/>
      <c r="JMG14" s="131"/>
      <c r="JMH14" s="1003"/>
      <c r="JMI14" s="1003"/>
      <c r="JMJ14" s="1003"/>
      <c r="JMK14" s="1003"/>
      <c r="JML14" s="131"/>
      <c r="JMM14" s="131"/>
      <c r="JMN14" s="131"/>
      <c r="JMO14" s="131"/>
      <c r="JMP14" s="131"/>
      <c r="JMQ14" s="131"/>
      <c r="JMR14" s="131"/>
      <c r="JMS14" s="131"/>
      <c r="JMT14" s="131"/>
      <c r="JMU14" s="131"/>
      <c r="JMV14" s="131"/>
      <c r="JMW14" s="131"/>
      <c r="JMX14" s="1003"/>
      <c r="JMY14" s="1003"/>
      <c r="JMZ14" s="1003"/>
      <c r="JNA14" s="1003"/>
      <c r="JNB14" s="131"/>
      <c r="JNC14" s="131"/>
      <c r="JND14" s="131"/>
      <c r="JNE14" s="131"/>
      <c r="JNF14" s="131"/>
      <c r="JNG14" s="131"/>
      <c r="JNH14" s="131"/>
      <c r="JNI14" s="131"/>
      <c r="JNJ14" s="131"/>
      <c r="JNK14" s="131"/>
      <c r="JNL14" s="131"/>
      <c r="JNM14" s="131"/>
      <c r="JNN14" s="1003"/>
      <c r="JNO14" s="1003"/>
      <c r="JNP14" s="1003"/>
      <c r="JNQ14" s="1003"/>
      <c r="JNR14" s="131"/>
      <c r="JNS14" s="131"/>
      <c r="JNT14" s="131"/>
      <c r="JNU14" s="131"/>
      <c r="JNV14" s="131"/>
      <c r="JNW14" s="131"/>
      <c r="JNX14" s="131"/>
      <c r="JNY14" s="131"/>
      <c r="JNZ14" s="131"/>
      <c r="JOA14" s="131"/>
      <c r="JOB14" s="131"/>
      <c r="JOC14" s="131"/>
      <c r="JOD14" s="1003"/>
      <c r="JOE14" s="1003"/>
      <c r="JOF14" s="1003"/>
      <c r="JOG14" s="1003"/>
      <c r="JOT14" s="1003"/>
      <c r="JOU14" s="1003"/>
      <c r="JOV14" s="1003"/>
      <c r="JOW14" s="1003"/>
      <c r="JOX14" s="131"/>
      <c r="JOY14" s="131"/>
      <c r="JOZ14" s="131"/>
      <c r="JPA14" s="131"/>
      <c r="JPB14" s="131"/>
      <c r="JPC14" s="131"/>
      <c r="JPD14" s="131"/>
      <c r="JPE14" s="131"/>
      <c r="JPF14" s="131"/>
      <c r="JPG14" s="131"/>
      <c r="JPH14" s="131"/>
      <c r="JPI14" s="131"/>
      <c r="JPJ14" s="1003"/>
      <c r="JPK14" s="1003"/>
      <c r="JPL14" s="1003"/>
      <c r="JPM14" s="1003"/>
      <c r="JPN14" s="131"/>
      <c r="JPO14" s="131"/>
      <c r="JPP14" s="131"/>
      <c r="JPQ14" s="131"/>
      <c r="JPR14" s="131"/>
      <c r="JPS14" s="131"/>
      <c r="JPT14" s="131"/>
      <c r="JPU14" s="131"/>
      <c r="JPV14" s="131"/>
      <c r="JPW14" s="131"/>
      <c r="JPX14" s="131"/>
      <c r="JPY14" s="131"/>
      <c r="JPZ14" s="1003"/>
      <c r="JQA14" s="1003"/>
      <c r="JQB14" s="1003"/>
      <c r="JQC14" s="1003"/>
      <c r="JQD14" s="131"/>
      <c r="JQE14" s="131"/>
      <c r="JQF14" s="131"/>
      <c r="JQG14" s="131"/>
      <c r="JQH14" s="131"/>
      <c r="JQI14" s="131"/>
      <c r="JQJ14" s="131"/>
      <c r="JQK14" s="131"/>
      <c r="JQL14" s="131"/>
      <c r="JQM14" s="131"/>
      <c r="JQN14" s="131"/>
      <c r="JQO14" s="131"/>
      <c r="JQP14" s="1003"/>
      <c r="JQQ14" s="1003"/>
      <c r="JQR14" s="1003"/>
      <c r="JQS14" s="1003"/>
      <c r="JQT14" s="131"/>
      <c r="JQU14" s="131"/>
      <c r="JQV14" s="131"/>
      <c r="JQW14" s="131"/>
      <c r="JQX14" s="131"/>
      <c r="JQY14" s="131"/>
      <c r="JQZ14" s="131"/>
      <c r="JRA14" s="131"/>
      <c r="JRB14" s="131"/>
      <c r="JRC14" s="131"/>
      <c r="JRD14" s="131"/>
      <c r="JRE14" s="131"/>
      <c r="JRF14" s="1003"/>
      <c r="JRG14" s="1003"/>
      <c r="JRH14" s="1003"/>
      <c r="JRI14" s="1003"/>
      <c r="JRJ14" s="131"/>
      <c r="JRK14" s="131"/>
      <c r="JRL14" s="131"/>
      <c r="JRM14" s="131"/>
      <c r="JRN14" s="131"/>
      <c r="JRO14" s="131"/>
      <c r="JRP14" s="131"/>
      <c r="JRQ14" s="131"/>
      <c r="JRR14" s="131"/>
      <c r="JRS14" s="131"/>
      <c r="JRT14" s="131"/>
      <c r="JRU14" s="131"/>
      <c r="JRV14" s="1003"/>
      <c r="JRW14" s="1003"/>
      <c r="JRX14" s="1003"/>
      <c r="JRY14" s="1003"/>
      <c r="JRZ14" s="131"/>
      <c r="JSA14" s="131"/>
      <c r="JSB14" s="131"/>
      <c r="JSC14" s="131"/>
      <c r="JSD14" s="131"/>
      <c r="JSE14" s="131"/>
      <c r="JSF14" s="131"/>
      <c r="JSG14" s="131"/>
      <c r="JSH14" s="131"/>
      <c r="JSI14" s="131"/>
      <c r="JSJ14" s="131"/>
      <c r="JSK14" s="131"/>
      <c r="JSL14" s="1003"/>
      <c r="JSM14" s="1003"/>
      <c r="JSN14" s="1003"/>
      <c r="JSO14" s="1003"/>
      <c r="JSP14" s="131"/>
      <c r="JSQ14" s="131"/>
      <c r="JSR14" s="131"/>
      <c r="JSS14" s="131"/>
      <c r="JST14" s="131"/>
      <c r="JSU14" s="131"/>
      <c r="JSV14" s="131"/>
      <c r="JSW14" s="131"/>
      <c r="JSX14" s="131"/>
      <c r="JSY14" s="131"/>
      <c r="JSZ14" s="131"/>
      <c r="JTA14" s="131"/>
      <c r="JTB14" s="1003"/>
      <c r="JTC14" s="1003"/>
      <c r="JTD14" s="1003"/>
      <c r="JTE14" s="1003"/>
      <c r="JTF14" s="131"/>
      <c r="JTG14" s="131"/>
      <c r="JTH14" s="131"/>
      <c r="JTI14" s="131"/>
      <c r="JTJ14" s="131"/>
      <c r="JTK14" s="131"/>
      <c r="JTL14" s="131"/>
      <c r="JTM14" s="131"/>
      <c r="JTN14" s="131"/>
      <c r="JTO14" s="131"/>
      <c r="JTP14" s="131"/>
      <c r="JTQ14" s="131"/>
      <c r="JTR14" s="1003"/>
      <c r="JTS14" s="1003"/>
      <c r="JTT14" s="1003"/>
      <c r="JTU14" s="1003"/>
      <c r="JTV14" s="131"/>
      <c r="JTW14" s="131"/>
      <c r="JTX14" s="131"/>
      <c r="JTY14" s="131"/>
      <c r="JTZ14" s="131"/>
      <c r="JUA14" s="131"/>
      <c r="JUB14" s="131"/>
      <c r="JUC14" s="131"/>
      <c r="JUD14" s="131"/>
      <c r="JUE14" s="131"/>
      <c r="JUF14" s="131"/>
      <c r="JUG14" s="131"/>
      <c r="JUH14" s="1003"/>
      <c r="JUI14" s="1003"/>
      <c r="JUJ14" s="1003"/>
      <c r="JUK14" s="1003"/>
      <c r="JUL14" s="131"/>
      <c r="JUM14" s="131"/>
      <c r="JUN14" s="131"/>
      <c r="JUO14" s="131"/>
      <c r="JUP14" s="131"/>
      <c r="JUQ14" s="131"/>
      <c r="JUR14" s="131"/>
      <c r="JUS14" s="131"/>
      <c r="JUT14" s="131"/>
      <c r="JUU14" s="131"/>
      <c r="JUV14" s="131"/>
      <c r="JUW14" s="131"/>
      <c r="JUX14" s="1003"/>
      <c r="JUY14" s="1003"/>
      <c r="JUZ14" s="1003"/>
      <c r="JVA14" s="1003"/>
      <c r="JVB14" s="131"/>
      <c r="JVC14" s="131"/>
      <c r="JVD14" s="131"/>
      <c r="JVE14" s="131"/>
      <c r="JVF14" s="131"/>
      <c r="JVG14" s="131"/>
      <c r="JVH14" s="131"/>
      <c r="JVI14" s="131"/>
      <c r="JVJ14" s="131"/>
      <c r="JVK14" s="131"/>
      <c r="JVL14" s="131"/>
      <c r="JVM14" s="131"/>
      <c r="JVN14" s="1003"/>
      <c r="JVO14" s="1003"/>
      <c r="JVP14" s="1003"/>
      <c r="JVQ14" s="1003"/>
      <c r="JVR14" s="131"/>
      <c r="JVS14" s="131"/>
      <c r="JVT14" s="131"/>
      <c r="JVU14" s="131"/>
      <c r="JVV14" s="131"/>
      <c r="JVW14" s="131"/>
      <c r="JVX14" s="131"/>
      <c r="JVY14" s="131"/>
      <c r="JVZ14" s="131"/>
      <c r="JWA14" s="131"/>
      <c r="JWB14" s="131"/>
      <c r="JWC14" s="131"/>
      <c r="JWD14" s="1003"/>
      <c r="JWE14" s="1003"/>
      <c r="JWF14" s="1003"/>
      <c r="JWG14" s="1003"/>
      <c r="JWH14" s="131"/>
      <c r="JWI14" s="131"/>
      <c r="JWJ14" s="131"/>
      <c r="JWK14" s="131"/>
      <c r="JWL14" s="131"/>
      <c r="JWM14" s="131"/>
      <c r="JWN14" s="131"/>
      <c r="JWO14" s="131"/>
      <c r="JWP14" s="131"/>
      <c r="JWQ14" s="131"/>
      <c r="JWR14" s="131"/>
      <c r="JWS14" s="131"/>
      <c r="JWT14" s="1003"/>
      <c r="JWU14" s="1003"/>
      <c r="JWV14" s="1003"/>
      <c r="JWW14" s="1003"/>
      <c r="JWX14" s="131"/>
      <c r="JWY14" s="131"/>
      <c r="JWZ14" s="131"/>
      <c r="JXA14" s="131"/>
      <c r="JXB14" s="131"/>
      <c r="JXC14" s="131"/>
      <c r="JXD14" s="131"/>
      <c r="JXE14" s="131"/>
      <c r="JXF14" s="131"/>
      <c r="JXG14" s="131"/>
      <c r="JXH14" s="131"/>
      <c r="JXI14" s="131"/>
      <c r="JXJ14" s="1003"/>
      <c r="JXK14" s="1003"/>
      <c r="JXL14" s="1003"/>
      <c r="JXM14" s="1003"/>
      <c r="JXN14" s="131"/>
      <c r="JXO14" s="131"/>
      <c r="JXP14" s="131"/>
      <c r="JXQ14" s="131"/>
      <c r="JXR14" s="131"/>
      <c r="JXS14" s="131"/>
      <c r="JXT14" s="131"/>
      <c r="JXU14" s="131"/>
      <c r="JXV14" s="131"/>
      <c r="JXW14" s="131"/>
      <c r="JXX14" s="131"/>
      <c r="JXY14" s="131"/>
      <c r="JXZ14" s="1003"/>
      <c r="JYA14" s="1003"/>
      <c r="JYB14" s="1003"/>
      <c r="JYC14" s="1003"/>
      <c r="JYD14" s="131"/>
      <c r="JYE14" s="131"/>
      <c r="JYF14" s="131"/>
      <c r="JYG14" s="131"/>
      <c r="JYH14" s="131"/>
      <c r="JYI14" s="131"/>
      <c r="JYJ14" s="131"/>
      <c r="JYK14" s="131"/>
      <c r="JYL14" s="131"/>
      <c r="JYM14" s="131"/>
      <c r="JYN14" s="131"/>
      <c r="JYO14" s="131"/>
      <c r="JYP14" s="1003"/>
      <c r="JYQ14" s="1003"/>
      <c r="JYR14" s="1003"/>
      <c r="JYS14" s="1003"/>
      <c r="JYT14" s="131"/>
      <c r="JYU14" s="131"/>
      <c r="JYV14" s="131"/>
      <c r="JYW14" s="131"/>
      <c r="JYX14" s="131"/>
      <c r="JYY14" s="131"/>
      <c r="JYZ14" s="131"/>
      <c r="JZA14" s="131"/>
      <c r="JZB14" s="131"/>
      <c r="JZC14" s="131"/>
      <c r="JZD14" s="131"/>
      <c r="JZE14" s="131"/>
      <c r="JZF14" s="1003"/>
      <c r="JZG14" s="1003"/>
      <c r="JZH14" s="1003"/>
      <c r="JZI14" s="1003"/>
      <c r="JZJ14" s="131"/>
      <c r="JZK14" s="131"/>
      <c r="JZL14" s="131"/>
      <c r="JZM14" s="131"/>
      <c r="JZN14" s="131"/>
      <c r="JZO14" s="131"/>
      <c r="JZP14" s="131"/>
      <c r="JZQ14" s="131"/>
      <c r="JZR14" s="131"/>
      <c r="JZS14" s="131"/>
      <c r="JZT14" s="131"/>
      <c r="JZU14" s="131"/>
      <c r="JZV14" s="1003"/>
      <c r="JZW14" s="1003"/>
      <c r="JZX14" s="1003"/>
      <c r="JZY14" s="1003"/>
      <c r="JZZ14" s="131"/>
      <c r="KAA14" s="131"/>
      <c r="KAB14" s="131"/>
      <c r="KAC14" s="131"/>
      <c r="KAD14" s="131"/>
      <c r="KAE14" s="131"/>
      <c r="KAF14" s="131"/>
      <c r="KAG14" s="131"/>
      <c r="KAH14" s="131"/>
      <c r="KAI14" s="131"/>
      <c r="KAJ14" s="131"/>
      <c r="KAK14" s="131"/>
      <c r="KAL14" s="1003"/>
      <c r="KAM14" s="1003"/>
      <c r="KAN14" s="1003"/>
      <c r="KAO14" s="1003"/>
      <c r="KAP14" s="131"/>
      <c r="KAQ14" s="131"/>
      <c r="KAR14" s="131"/>
      <c r="KAS14" s="131"/>
      <c r="KAT14" s="131"/>
      <c r="KAU14" s="131"/>
      <c r="KAV14" s="131"/>
      <c r="KAW14" s="131"/>
      <c r="KAX14" s="131"/>
      <c r="KAY14" s="131"/>
      <c r="KAZ14" s="131"/>
      <c r="KBA14" s="131"/>
      <c r="KBB14" s="1003"/>
      <c r="KBC14" s="1003"/>
      <c r="KBD14" s="1003"/>
      <c r="KBE14" s="1003"/>
      <c r="KBF14" s="131"/>
      <c r="KBG14" s="131"/>
      <c r="KBH14" s="131"/>
      <c r="KBI14" s="131"/>
      <c r="KBJ14" s="131"/>
      <c r="KBK14" s="131"/>
      <c r="KBL14" s="131"/>
      <c r="KBM14" s="131"/>
      <c r="KBN14" s="131"/>
      <c r="KBO14" s="131"/>
      <c r="KBP14" s="131"/>
      <c r="KBQ14" s="131"/>
      <c r="KBR14" s="1003"/>
      <c r="KBS14" s="1003"/>
      <c r="KBT14" s="1003"/>
      <c r="KBU14" s="1003"/>
      <c r="KBV14" s="131"/>
      <c r="KBW14" s="131"/>
      <c r="KBX14" s="131"/>
      <c r="KBY14" s="131"/>
      <c r="KBZ14" s="131"/>
      <c r="KCA14" s="131"/>
      <c r="KCB14" s="131"/>
      <c r="KCC14" s="131"/>
      <c r="KCD14" s="131"/>
      <c r="KCE14" s="131"/>
      <c r="KCF14" s="131"/>
      <c r="KCG14" s="131"/>
      <c r="KCH14" s="1003"/>
      <c r="KCI14" s="1003"/>
      <c r="KCJ14" s="1003"/>
      <c r="KCK14" s="1003"/>
      <c r="KCL14" s="131"/>
      <c r="KCM14" s="131"/>
      <c r="KCN14" s="131"/>
      <c r="KCO14" s="131"/>
      <c r="KCP14" s="131"/>
      <c r="KCQ14" s="131"/>
      <c r="KCR14" s="131"/>
      <c r="KCS14" s="131"/>
      <c r="KCT14" s="131"/>
      <c r="KCU14" s="131"/>
      <c r="KCV14" s="131"/>
      <c r="KCW14" s="131"/>
      <c r="KCX14" s="1003"/>
      <c r="KCY14" s="1003"/>
      <c r="KCZ14" s="1003"/>
      <c r="KDA14" s="1003"/>
      <c r="KDB14" s="131"/>
      <c r="KDC14" s="131"/>
      <c r="KDD14" s="131"/>
      <c r="KDE14" s="131"/>
      <c r="KDF14" s="131"/>
      <c r="KDG14" s="131"/>
      <c r="KDH14" s="131"/>
      <c r="KDI14" s="131"/>
      <c r="KDJ14" s="131"/>
      <c r="KDK14" s="131"/>
      <c r="KDL14" s="131"/>
      <c r="KDM14" s="131"/>
      <c r="KDN14" s="1003"/>
      <c r="KDO14" s="1003"/>
      <c r="KDP14" s="1003"/>
      <c r="KDQ14" s="1003"/>
      <c r="KDR14" s="131"/>
      <c r="KDS14" s="131"/>
      <c r="KDT14" s="131"/>
      <c r="KDU14" s="131"/>
      <c r="KDV14" s="131"/>
      <c r="KDW14" s="131"/>
      <c r="KDX14" s="131"/>
      <c r="KDY14" s="131"/>
      <c r="KDZ14" s="131"/>
      <c r="KEA14" s="131"/>
      <c r="KEB14" s="131"/>
      <c r="KEC14" s="131"/>
      <c r="KED14" s="1003"/>
      <c r="KEE14" s="1003"/>
      <c r="KEF14" s="1003"/>
      <c r="KEG14" s="1003"/>
      <c r="KEH14" s="131"/>
      <c r="KEI14" s="131"/>
      <c r="KEJ14" s="131"/>
      <c r="KEK14" s="131"/>
      <c r="KEL14" s="131"/>
      <c r="KEM14" s="131"/>
      <c r="KEN14" s="131"/>
      <c r="KEO14" s="131"/>
      <c r="KEP14" s="131"/>
      <c r="KEQ14" s="131"/>
      <c r="KER14" s="131"/>
      <c r="KES14" s="131"/>
      <c r="KET14" s="1003"/>
      <c r="KEU14" s="1003"/>
      <c r="KEV14" s="1003"/>
      <c r="KEW14" s="1003"/>
      <c r="KEX14" s="131"/>
      <c r="KEY14" s="131"/>
      <c r="KEZ14" s="131"/>
      <c r="KFA14" s="131"/>
      <c r="KFB14" s="131"/>
      <c r="KFC14" s="131"/>
      <c r="KFD14" s="131"/>
      <c r="KFE14" s="131"/>
      <c r="KFF14" s="131"/>
      <c r="KFG14" s="131"/>
      <c r="KFH14" s="131"/>
      <c r="KFI14" s="131"/>
      <c r="KFJ14" s="1003"/>
      <c r="KFK14" s="1003"/>
      <c r="KFL14" s="1003"/>
      <c r="KFM14" s="1003"/>
      <c r="KFN14" s="131"/>
      <c r="KFO14" s="131"/>
      <c r="KFP14" s="131"/>
      <c r="KFQ14" s="131"/>
      <c r="KFR14" s="131"/>
      <c r="KFS14" s="131"/>
      <c r="KFT14" s="131"/>
      <c r="KFU14" s="131"/>
      <c r="KFV14" s="131"/>
      <c r="KFW14" s="131"/>
      <c r="KFX14" s="131"/>
      <c r="KFY14" s="131"/>
      <c r="KFZ14" s="1003"/>
      <c r="KGA14" s="1003"/>
      <c r="KGB14" s="1003"/>
      <c r="KGC14" s="1003"/>
      <c r="KGD14" s="131"/>
      <c r="KGE14" s="131"/>
      <c r="KGF14" s="131"/>
      <c r="KGG14" s="131"/>
      <c r="KGH14" s="131"/>
      <c r="KGI14" s="131"/>
      <c r="KGJ14" s="131"/>
      <c r="KGK14" s="131"/>
      <c r="KGL14" s="131"/>
      <c r="KGM14" s="131"/>
      <c r="KGN14" s="131"/>
      <c r="KGO14" s="131"/>
      <c r="KGP14" s="1003"/>
      <c r="KGQ14" s="1003"/>
      <c r="KGR14" s="1003"/>
      <c r="KGS14" s="1003"/>
      <c r="KGT14" s="131"/>
      <c r="KGU14" s="131"/>
      <c r="KGV14" s="131"/>
      <c r="KGW14" s="131"/>
      <c r="KGX14" s="131"/>
      <c r="KGY14" s="131"/>
      <c r="KGZ14" s="131"/>
      <c r="KHA14" s="131"/>
      <c r="KHB14" s="131"/>
      <c r="KHC14" s="131"/>
      <c r="KHD14" s="131"/>
      <c r="KHE14" s="131"/>
      <c r="KHF14" s="1003"/>
      <c r="KHG14" s="1003"/>
      <c r="KHH14" s="1003"/>
      <c r="KHI14" s="1003"/>
      <c r="KHJ14" s="131"/>
      <c r="KHK14" s="131"/>
      <c r="KHL14" s="131"/>
      <c r="KHM14" s="131"/>
      <c r="KHN14" s="131"/>
      <c r="KHO14" s="131"/>
      <c r="KHP14" s="131"/>
      <c r="KHQ14" s="131"/>
      <c r="KHR14" s="131"/>
      <c r="KHS14" s="131"/>
      <c r="KHT14" s="131"/>
      <c r="KHU14" s="131"/>
      <c r="KHV14" s="1003"/>
      <c r="KHW14" s="1003"/>
      <c r="KHX14" s="1003"/>
      <c r="KHY14" s="1003"/>
      <c r="KHZ14" s="131"/>
      <c r="KIA14" s="131"/>
      <c r="KIB14" s="131"/>
      <c r="KIC14" s="131"/>
      <c r="KID14" s="131"/>
      <c r="KIE14" s="131"/>
      <c r="KIF14" s="131"/>
      <c r="KIG14" s="131"/>
      <c r="KIH14" s="131"/>
      <c r="KII14" s="131"/>
      <c r="KIJ14" s="131"/>
      <c r="KIK14" s="131"/>
      <c r="KIL14" s="1003"/>
      <c r="KIM14" s="1003"/>
      <c r="KIN14" s="1003"/>
      <c r="KIO14" s="1003"/>
      <c r="KIP14" s="131"/>
      <c r="KIQ14" s="131"/>
      <c r="KIR14" s="131"/>
      <c r="KIS14" s="131"/>
      <c r="KIT14" s="131"/>
      <c r="KIU14" s="131"/>
      <c r="KIV14" s="131"/>
      <c r="KIW14" s="131"/>
      <c r="KIX14" s="131"/>
      <c r="KIY14" s="131"/>
      <c r="KIZ14" s="131"/>
      <c r="KJA14" s="131"/>
      <c r="KJB14" s="1003"/>
      <c r="KJC14" s="1003"/>
      <c r="KJD14" s="1003"/>
      <c r="KJE14" s="1003"/>
      <c r="KJF14" s="131"/>
      <c r="KJG14" s="131"/>
      <c r="KJH14" s="131"/>
      <c r="KJI14" s="131"/>
      <c r="KJJ14" s="131"/>
      <c r="KJK14" s="131"/>
      <c r="KJL14" s="131"/>
      <c r="KJM14" s="131"/>
      <c r="KJN14" s="131"/>
      <c r="KJO14" s="131"/>
      <c r="KJP14" s="131"/>
      <c r="KJQ14" s="131"/>
      <c r="KJR14" s="1003"/>
      <c r="KJS14" s="1003"/>
      <c r="KJT14" s="1003"/>
      <c r="KJU14" s="1003"/>
      <c r="KJV14" s="131"/>
      <c r="KJW14" s="131"/>
      <c r="KJX14" s="131"/>
      <c r="KJY14" s="131"/>
      <c r="KJZ14" s="131"/>
      <c r="KKA14" s="131"/>
      <c r="KKB14" s="131"/>
      <c r="KKC14" s="131"/>
      <c r="KKD14" s="131"/>
      <c r="KKE14" s="131"/>
      <c r="KKF14" s="131"/>
      <c r="KKG14" s="131"/>
      <c r="KKH14" s="1003"/>
      <c r="KKI14" s="1003"/>
      <c r="KKJ14" s="1003"/>
      <c r="KKK14" s="1003"/>
      <c r="KKL14" s="131"/>
      <c r="KKM14" s="131"/>
      <c r="KKN14" s="131"/>
      <c r="KKO14" s="131"/>
      <c r="KKP14" s="131"/>
      <c r="KKQ14" s="131"/>
      <c r="KKR14" s="131"/>
      <c r="KKS14" s="131"/>
      <c r="KKT14" s="131"/>
      <c r="KKU14" s="131"/>
      <c r="KKV14" s="131"/>
      <c r="KKW14" s="131"/>
      <c r="KKX14" s="1003"/>
      <c r="KKY14" s="1003"/>
      <c r="KKZ14" s="1003"/>
      <c r="KLA14" s="1003"/>
      <c r="KLB14" s="131"/>
      <c r="KLC14" s="131"/>
      <c r="KLD14" s="131"/>
      <c r="KLE14" s="131"/>
      <c r="KLF14" s="131"/>
      <c r="KLG14" s="131"/>
      <c r="KLH14" s="131"/>
      <c r="KLI14" s="131"/>
      <c r="KLJ14" s="131"/>
      <c r="KLK14" s="131"/>
      <c r="KLL14" s="131"/>
      <c r="KLM14" s="131"/>
      <c r="KLN14" s="1003"/>
      <c r="KLO14" s="1003"/>
      <c r="KLP14" s="1003"/>
      <c r="KLQ14" s="1003"/>
      <c r="KLR14" s="131"/>
      <c r="KLS14" s="131"/>
      <c r="KLT14" s="131"/>
      <c r="KLU14" s="131"/>
      <c r="KLV14" s="131"/>
      <c r="KLW14" s="131"/>
      <c r="KLX14" s="131"/>
      <c r="KLY14" s="131"/>
      <c r="KLZ14" s="131"/>
      <c r="KMA14" s="131"/>
      <c r="KMB14" s="131"/>
      <c r="KMC14" s="131"/>
      <c r="KMD14" s="1003"/>
      <c r="KME14" s="1003"/>
      <c r="KMF14" s="1003"/>
      <c r="KMG14" s="1003"/>
      <c r="KMH14" s="131"/>
      <c r="KMI14" s="131"/>
      <c r="KMJ14" s="131"/>
      <c r="KMK14" s="131"/>
      <c r="KML14" s="131"/>
      <c r="KMM14" s="131"/>
      <c r="KMN14" s="131"/>
      <c r="KMO14" s="131"/>
      <c r="KMP14" s="131"/>
      <c r="KMQ14" s="131"/>
      <c r="KMR14" s="131"/>
      <c r="KMS14" s="131"/>
      <c r="KMT14" s="1003"/>
      <c r="KMU14" s="1003"/>
      <c r="KMV14" s="1003"/>
      <c r="KMW14" s="1003"/>
      <c r="KMX14" s="131"/>
      <c r="KMY14" s="131"/>
      <c r="KMZ14" s="131"/>
      <c r="KNA14" s="131"/>
      <c r="KNB14" s="131"/>
      <c r="KNC14" s="131"/>
      <c r="KND14" s="131"/>
      <c r="KNE14" s="131"/>
      <c r="KNF14" s="131"/>
      <c r="KNG14" s="131"/>
      <c r="KNH14" s="131"/>
      <c r="KNI14" s="131"/>
      <c r="KNJ14" s="1003"/>
      <c r="KNK14" s="1003"/>
      <c r="KNL14" s="1003"/>
      <c r="KNM14" s="1003"/>
      <c r="KNN14" s="131"/>
      <c r="KNO14" s="131"/>
      <c r="KNP14" s="131"/>
      <c r="KNQ14" s="131"/>
      <c r="KNR14" s="131"/>
      <c r="KNS14" s="131"/>
      <c r="KNT14" s="131"/>
      <c r="KNU14" s="131"/>
      <c r="KNV14" s="131"/>
      <c r="KNW14" s="131"/>
      <c r="KNX14" s="131"/>
      <c r="KNY14" s="131"/>
      <c r="KNZ14" s="1003"/>
      <c r="KOA14" s="1003"/>
      <c r="KOB14" s="1003"/>
      <c r="KOC14" s="1003"/>
      <c r="KOD14" s="131"/>
      <c r="KOE14" s="131"/>
      <c r="KOF14" s="131"/>
      <c r="KOG14" s="131"/>
      <c r="KOH14" s="131"/>
      <c r="KOI14" s="131"/>
      <c r="KOJ14" s="131"/>
      <c r="KOK14" s="131"/>
      <c r="KOL14" s="131"/>
      <c r="KOM14" s="131"/>
      <c r="KON14" s="131"/>
      <c r="KOO14" s="131"/>
      <c r="KOP14" s="1003"/>
      <c r="KOQ14" s="1003"/>
      <c r="KOR14" s="1003"/>
      <c r="KOS14" s="1003"/>
      <c r="KOT14" s="131"/>
      <c r="KOU14" s="131"/>
      <c r="KOV14" s="131"/>
      <c r="KOW14" s="131"/>
      <c r="KOX14" s="131"/>
      <c r="KOY14" s="131"/>
      <c r="KOZ14" s="131"/>
      <c r="KPA14" s="131"/>
      <c r="KPB14" s="131"/>
      <c r="KPC14" s="131"/>
      <c r="KPD14" s="131"/>
      <c r="KPE14" s="131"/>
      <c r="KPF14" s="1003"/>
      <c r="KPG14" s="1003"/>
      <c r="KPH14" s="1003"/>
      <c r="KPI14" s="1003"/>
      <c r="KPJ14" s="131"/>
      <c r="KPK14" s="131"/>
      <c r="KPL14" s="131"/>
      <c r="KPM14" s="131"/>
      <c r="KPN14" s="131"/>
      <c r="KPO14" s="131"/>
      <c r="KPP14" s="131"/>
      <c r="KPQ14" s="131"/>
      <c r="KPR14" s="131"/>
      <c r="KPS14" s="131"/>
      <c r="KPT14" s="131"/>
      <c r="KPU14" s="131"/>
      <c r="KPV14" s="1003"/>
      <c r="KPW14" s="1003"/>
      <c r="KPX14" s="1003"/>
      <c r="KPY14" s="1003"/>
      <c r="KPZ14" s="131"/>
      <c r="KQA14" s="131"/>
      <c r="KQB14" s="131"/>
      <c r="KQC14" s="131"/>
      <c r="KQD14" s="131"/>
      <c r="KQE14" s="131"/>
      <c r="KQF14" s="131"/>
      <c r="KQG14" s="131"/>
      <c r="KQH14" s="131"/>
      <c r="KQI14" s="131"/>
      <c r="KQJ14" s="131"/>
      <c r="KQK14" s="131"/>
      <c r="KQL14" s="1003"/>
      <c r="KQM14" s="1003"/>
      <c r="KQN14" s="1003"/>
      <c r="KQO14" s="1003"/>
      <c r="KQP14" s="131"/>
      <c r="KQQ14" s="131"/>
      <c r="KQR14" s="131"/>
      <c r="KQS14" s="131"/>
      <c r="KQT14" s="131"/>
      <c r="KQU14" s="131"/>
      <c r="KQV14" s="131"/>
      <c r="KQW14" s="131"/>
      <c r="KQX14" s="131"/>
      <c r="KQY14" s="131"/>
      <c r="KQZ14" s="131"/>
      <c r="KRA14" s="131"/>
      <c r="KRB14" s="1003"/>
      <c r="KRC14" s="1003"/>
      <c r="KRD14" s="1003"/>
      <c r="KRE14" s="1003"/>
      <c r="KRF14" s="131"/>
      <c r="KRG14" s="131"/>
      <c r="KRH14" s="131"/>
      <c r="KRI14" s="131"/>
      <c r="KRJ14" s="131"/>
      <c r="KRK14" s="131"/>
      <c r="KRL14" s="131"/>
      <c r="KRM14" s="131"/>
      <c r="KRN14" s="131"/>
      <c r="KRO14" s="131"/>
      <c r="KRP14" s="131"/>
      <c r="KRQ14" s="131"/>
      <c r="KRR14" s="1003"/>
      <c r="KRS14" s="1003"/>
      <c r="KRT14" s="1003"/>
      <c r="KRU14" s="1003"/>
      <c r="KRV14" s="131"/>
      <c r="KRW14" s="131"/>
      <c r="KRX14" s="131"/>
      <c r="KRY14" s="131"/>
      <c r="KRZ14" s="131"/>
      <c r="KSA14" s="131"/>
      <c r="KSB14" s="131"/>
      <c r="KSC14" s="131"/>
      <c r="KSD14" s="131"/>
      <c r="KSE14" s="131"/>
      <c r="KSF14" s="131"/>
      <c r="KSG14" s="131"/>
      <c r="KSH14" s="1003"/>
      <c r="KSI14" s="1003"/>
      <c r="KSJ14" s="1003"/>
      <c r="KSK14" s="1003"/>
      <c r="KSL14" s="131"/>
      <c r="KSM14" s="131"/>
      <c r="KSN14" s="131"/>
      <c r="KSO14" s="131"/>
      <c r="KSP14" s="131"/>
      <c r="KSQ14" s="131"/>
      <c r="KSR14" s="131"/>
      <c r="KSS14" s="131"/>
      <c r="KST14" s="131"/>
      <c r="KSU14" s="131"/>
      <c r="KSV14" s="131"/>
      <c r="KSW14" s="131"/>
      <c r="KSX14" s="1003"/>
      <c r="KSY14" s="1003"/>
      <c r="KSZ14" s="1003"/>
      <c r="KTA14" s="1003"/>
      <c r="KTB14" s="131"/>
      <c r="KTC14" s="131"/>
      <c r="KTD14" s="131"/>
      <c r="KTE14" s="131"/>
      <c r="KTF14" s="131"/>
      <c r="KTG14" s="131"/>
      <c r="KTH14" s="131"/>
      <c r="KTI14" s="131"/>
      <c r="KTJ14" s="131"/>
      <c r="KTK14" s="131"/>
      <c r="KTL14" s="131"/>
      <c r="KTM14" s="131"/>
      <c r="KTN14" s="1003"/>
      <c r="KTO14" s="1003"/>
      <c r="KTP14" s="1003"/>
      <c r="KTQ14" s="1003"/>
      <c r="KTR14" s="131"/>
      <c r="KTS14" s="131"/>
      <c r="KTT14" s="131"/>
      <c r="KTU14" s="131"/>
      <c r="KTV14" s="131"/>
      <c r="KTW14" s="131"/>
      <c r="KTX14" s="131"/>
      <c r="KTY14" s="131"/>
      <c r="KTZ14" s="131"/>
      <c r="KUA14" s="131"/>
      <c r="KUB14" s="131"/>
      <c r="KUC14" s="131"/>
      <c r="KUD14" s="1003"/>
      <c r="KUE14" s="1003"/>
      <c r="KUF14" s="1003"/>
      <c r="KUG14" s="1003"/>
      <c r="KUH14" s="131"/>
      <c r="KUI14" s="131"/>
      <c r="KUJ14" s="131"/>
      <c r="KUK14" s="131"/>
      <c r="KUL14" s="131"/>
      <c r="KUM14" s="131"/>
      <c r="KUN14" s="131"/>
      <c r="KUO14" s="131"/>
      <c r="KUP14" s="131"/>
      <c r="KUQ14" s="131"/>
      <c r="KUR14" s="131"/>
      <c r="KUS14" s="131"/>
      <c r="KUT14" s="1003"/>
      <c r="KUU14" s="1003"/>
      <c r="KUV14" s="1003"/>
      <c r="KUW14" s="1003"/>
      <c r="KUX14" s="131"/>
      <c r="KUY14" s="131"/>
      <c r="KUZ14" s="131"/>
      <c r="KVA14" s="131"/>
      <c r="KVB14" s="131"/>
      <c r="KVC14" s="131"/>
      <c r="KVD14" s="131"/>
      <c r="KVE14" s="131"/>
      <c r="KVF14" s="131"/>
      <c r="KVG14" s="131"/>
      <c r="KVH14" s="131"/>
      <c r="KVI14" s="131"/>
      <c r="KVJ14" s="1003"/>
      <c r="KVK14" s="1003"/>
      <c r="KVL14" s="1003"/>
      <c r="KVM14" s="1003"/>
      <c r="KVN14" s="131"/>
      <c r="KVO14" s="131"/>
      <c r="KVP14" s="131"/>
      <c r="KVQ14" s="131"/>
      <c r="KVR14" s="131"/>
      <c r="KVS14" s="131"/>
      <c r="KVT14" s="131"/>
      <c r="KVU14" s="131"/>
      <c r="KVV14" s="131"/>
      <c r="KVW14" s="131"/>
      <c r="KVX14" s="131"/>
      <c r="KVY14" s="131"/>
      <c r="KVZ14" s="1003"/>
      <c r="KWA14" s="1003"/>
      <c r="KWB14" s="1003"/>
      <c r="KWC14" s="1003"/>
      <c r="KWD14" s="131"/>
      <c r="KWE14" s="131"/>
      <c r="KWF14" s="131"/>
      <c r="KWG14" s="131"/>
      <c r="KWH14" s="131"/>
      <c r="KWI14" s="131"/>
      <c r="KWJ14" s="131"/>
      <c r="KWK14" s="131"/>
      <c r="KWL14" s="131"/>
      <c r="KWM14" s="131"/>
      <c r="KWN14" s="131"/>
      <c r="KWO14" s="131"/>
      <c r="KWP14" s="1003"/>
      <c r="KWQ14" s="1003"/>
      <c r="KWR14" s="1003"/>
      <c r="KWS14" s="1003"/>
      <c r="KWT14" s="131"/>
      <c r="KWU14" s="131"/>
      <c r="KWV14" s="131"/>
      <c r="KWW14" s="131"/>
      <c r="KWX14" s="131"/>
      <c r="KWY14" s="131"/>
      <c r="KWZ14" s="131"/>
      <c r="KXA14" s="131"/>
      <c r="KXB14" s="131"/>
      <c r="KXC14" s="131"/>
      <c r="KXD14" s="131"/>
      <c r="KXE14" s="131"/>
      <c r="KXF14" s="1003"/>
      <c r="KXG14" s="1003"/>
      <c r="KXH14" s="1003"/>
      <c r="KXI14" s="1003"/>
      <c r="KXJ14" s="131"/>
      <c r="KXK14" s="131"/>
      <c r="KXL14" s="131"/>
      <c r="KXM14" s="131"/>
      <c r="KXN14" s="131"/>
      <c r="KXO14" s="131"/>
      <c r="KXP14" s="131"/>
      <c r="KXQ14" s="131"/>
      <c r="KXR14" s="131"/>
      <c r="KXS14" s="131"/>
      <c r="KXT14" s="131"/>
      <c r="KXU14" s="131"/>
      <c r="KXV14" s="1003"/>
      <c r="KXW14" s="1003"/>
      <c r="KXX14" s="1003"/>
      <c r="KXY14" s="1003"/>
      <c r="KXZ14" s="131"/>
      <c r="KYA14" s="131"/>
      <c r="KYB14" s="131"/>
      <c r="KYC14" s="131"/>
      <c r="KYD14" s="131"/>
      <c r="KYE14" s="131"/>
      <c r="KYF14" s="131"/>
      <c r="KYG14" s="131"/>
      <c r="KYH14" s="131"/>
      <c r="KYI14" s="131"/>
      <c r="KYJ14" s="131"/>
      <c r="KYK14" s="131"/>
      <c r="KYL14" s="1003"/>
      <c r="KYM14" s="1003"/>
      <c r="KYN14" s="1003"/>
      <c r="KYO14" s="1003"/>
      <c r="KYP14" s="131"/>
      <c r="KYQ14" s="131"/>
      <c r="KYR14" s="131"/>
      <c r="KYS14" s="131"/>
      <c r="KYT14" s="131"/>
      <c r="KYU14" s="131"/>
      <c r="KYV14" s="131"/>
      <c r="KYW14" s="131"/>
      <c r="KYX14" s="131"/>
      <c r="KYY14" s="131"/>
      <c r="KYZ14" s="131"/>
      <c r="KZA14" s="131"/>
      <c r="KZB14" s="1003"/>
      <c r="KZC14" s="1003"/>
      <c r="KZD14" s="1003"/>
      <c r="KZE14" s="1003"/>
      <c r="KZF14" s="131"/>
      <c r="KZG14" s="131"/>
      <c r="KZH14" s="131"/>
      <c r="KZI14" s="131"/>
      <c r="KZJ14" s="131"/>
      <c r="KZK14" s="131"/>
      <c r="KZL14" s="131"/>
      <c r="KZM14" s="131"/>
      <c r="KZN14" s="131"/>
      <c r="KZO14" s="131"/>
      <c r="KZP14" s="131"/>
      <c r="KZQ14" s="131"/>
      <c r="KZR14" s="1003"/>
      <c r="KZS14" s="1003"/>
      <c r="KZT14" s="1003"/>
      <c r="KZU14" s="1003"/>
      <c r="KZV14" s="131"/>
      <c r="KZW14" s="131"/>
      <c r="KZX14" s="131"/>
      <c r="KZY14" s="131"/>
      <c r="KZZ14" s="131"/>
      <c r="LAA14" s="131"/>
      <c r="LAB14" s="131"/>
      <c r="LAC14" s="131"/>
      <c r="LAD14" s="131"/>
      <c r="LAE14" s="131"/>
      <c r="LAF14" s="131"/>
      <c r="LAG14" s="131"/>
      <c r="LAH14" s="1003"/>
      <c r="LAI14" s="1003"/>
      <c r="LAJ14" s="1003"/>
      <c r="LAK14" s="1003"/>
      <c r="LAL14" s="131"/>
      <c r="LAM14" s="131"/>
      <c r="LAN14" s="131"/>
      <c r="LAO14" s="131"/>
      <c r="LAP14" s="131"/>
      <c r="LAQ14" s="131"/>
      <c r="LAR14" s="131"/>
      <c r="LAS14" s="131"/>
      <c r="LAT14" s="131"/>
      <c r="LAU14" s="131"/>
      <c r="LAV14" s="131"/>
      <c r="LAW14" s="131"/>
      <c r="LAX14" s="1003"/>
      <c r="LAY14" s="1003"/>
      <c r="LAZ14" s="1003"/>
      <c r="LBA14" s="1003"/>
      <c r="LBB14" s="131"/>
      <c r="LBC14" s="131"/>
      <c r="LBD14" s="131"/>
      <c r="LBE14" s="131"/>
      <c r="LBF14" s="131"/>
      <c r="LBG14" s="131"/>
      <c r="LBH14" s="131"/>
      <c r="LBI14" s="131"/>
      <c r="LBJ14" s="131"/>
      <c r="LBK14" s="131"/>
      <c r="LBL14" s="131"/>
      <c r="LBM14" s="131"/>
      <c r="LBN14" s="1003"/>
      <c r="LBO14" s="1003"/>
      <c r="LBP14" s="1003"/>
      <c r="LBQ14" s="1003"/>
      <c r="LCD14" s="1003"/>
      <c r="LCE14" s="1003"/>
      <c r="LCF14" s="1003"/>
      <c r="LCG14" s="1003"/>
      <c r="LCH14" s="131"/>
      <c r="LCI14" s="131"/>
      <c r="LCJ14" s="131"/>
      <c r="LCK14" s="131"/>
      <c r="LCL14" s="131"/>
      <c r="LCM14" s="131"/>
      <c r="LCN14" s="131"/>
      <c r="LCO14" s="131"/>
      <c r="LCP14" s="131"/>
      <c r="LCQ14" s="131"/>
      <c r="LCR14" s="131"/>
      <c r="LCS14" s="131"/>
      <c r="LCT14" s="1003"/>
      <c r="LCU14" s="1003"/>
      <c r="LCV14" s="1003"/>
      <c r="LCW14" s="1003"/>
      <c r="LCX14" s="131"/>
      <c r="LCY14" s="131"/>
      <c r="LCZ14" s="131"/>
      <c r="LDA14" s="131"/>
      <c r="LDB14" s="131"/>
      <c r="LDC14" s="131"/>
      <c r="LDD14" s="131"/>
      <c r="LDE14" s="131"/>
      <c r="LDF14" s="131"/>
      <c r="LDG14" s="131"/>
      <c r="LDH14" s="131"/>
      <c r="LDI14" s="131"/>
      <c r="LDJ14" s="1003"/>
      <c r="LDK14" s="1003"/>
      <c r="LDL14" s="1003"/>
      <c r="LDM14" s="1003"/>
      <c r="LDN14" s="131"/>
      <c r="LDO14" s="131"/>
      <c r="LDP14" s="131"/>
      <c r="LDQ14" s="131"/>
      <c r="LDR14" s="131"/>
      <c r="LDS14" s="131"/>
      <c r="LDT14" s="131"/>
      <c r="LDU14" s="131"/>
      <c r="LDV14" s="131"/>
      <c r="LDW14" s="131"/>
      <c r="LDX14" s="131"/>
      <c r="LDY14" s="131"/>
      <c r="LDZ14" s="1003"/>
      <c r="LEA14" s="1003"/>
      <c r="LEB14" s="1003"/>
      <c r="LEC14" s="1003"/>
      <c r="LED14" s="131"/>
      <c r="LEE14" s="131"/>
      <c r="LEF14" s="131"/>
      <c r="LEG14" s="131"/>
      <c r="LEH14" s="131"/>
      <c r="LEI14" s="131"/>
      <c r="LEJ14" s="131"/>
      <c r="LEK14" s="131"/>
      <c r="LEL14" s="131"/>
      <c r="LEM14" s="131"/>
      <c r="LEN14" s="131"/>
      <c r="LEO14" s="131"/>
      <c r="LEP14" s="1003"/>
      <c r="LEQ14" s="1003"/>
      <c r="LER14" s="1003"/>
      <c r="LES14" s="1003"/>
      <c r="LET14" s="131"/>
      <c r="LEU14" s="131"/>
      <c r="LEV14" s="131"/>
      <c r="LEW14" s="131"/>
      <c r="LEX14" s="131"/>
      <c r="LEY14" s="131"/>
      <c r="LEZ14" s="131"/>
      <c r="LFA14" s="131"/>
      <c r="LFB14" s="131"/>
      <c r="LFC14" s="131"/>
      <c r="LFD14" s="131"/>
      <c r="LFE14" s="131"/>
      <c r="LFF14" s="1003"/>
      <c r="LFG14" s="1003"/>
      <c r="LFH14" s="1003"/>
      <c r="LFI14" s="1003"/>
      <c r="LFJ14" s="131"/>
      <c r="LFK14" s="131"/>
      <c r="LFL14" s="131"/>
      <c r="LFM14" s="131"/>
      <c r="LFN14" s="131"/>
      <c r="LFO14" s="131"/>
      <c r="LFP14" s="131"/>
      <c r="LFQ14" s="131"/>
      <c r="LFR14" s="131"/>
      <c r="LFS14" s="131"/>
      <c r="LFT14" s="131"/>
      <c r="LFU14" s="131"/>
      <c r="LFV14" s="1003"/>
      <c r="LFW14" s="1003"/>
      <c r="LFX14" s="1003"/>
      <c r="LFY14" s="1003"/>
      <c r="LFZ14" s="131"/>
      <c r="LGA14" s="131"/>
      <c r="LGB14" s="131"/>
      <c r="LGC14" s="131"/>
      <c r="LGD14" s="131"/>
      <c r="LGE14" s="131"/>
      <c r="LGF14" s="131"/>
      <c r="LGG14" s="131"/>
      <c r="LGH14" s="131"/>
      <c r="LGI14" s="131"/>
      <c r="LGJ14" s="131"/>
      <c r="LGK14" s="131"/>
      <c r="LGL14" s="1003"/>
      <c r="LGM14" s="1003"/>
      <c r="LGN14" s="1003"/>
      <c r="LGO14" s="1003"/>
      <c r="LGP14" s="131"/>
      <c r="LGQ14" s="131"/>
      <c r="LGR14" s="131"/>
      <c r="LGS14" s="131"/>
      <c r="LGT14" s="131"/>
      <c r="LGU14" s="131"/>
      <c r="LGV14" s="131"/>
      <c r="LGW14" s="131"/>
      <c r="LGX14" s="131"/>
      <c r="LGY14" s="131"/>
      <c r="LGZ14" s="131"/>
      <c r="LHA14" s="131"/>
      <c r="LHB14" s="1003"/>
      <c r="LHC14" s="1003"/>
      <c r="LHD14" s="1003"/>
      <c r="LHE14" s="1003"/>
      <c r="LHF14" s="131"/>
      <c r="LHG14" s="131"/>
      <c r="LHH14" s="131"/>
      <c r="LHI14" s="131"/>
      <c r="LHJ14" s="131"/>
      <c r="LHK14" s="131"/>
      <c r="LHL14" s="131"/>
      <c r="LHM14" s="131"/>
      <c r="LHN14" s="131"/>
      <c r="LHO14" s="131"/>
      <c r="LHP14" s="131"/>
      <c r="LHQ14" s="131"/>
      <c r="LHR14" s="1003"/>
      <c r="LHS14" s="1003"/>
      <c r="LHT14" s="1003"/>
      <c r="LHU14" s="1003"/>
      <c r="LHV14" s="131"/>
      <c r="LHW14" s="131"/>
      <c r="LHX14" s="131"/>
      <c r="LHY14" s="131"/>
      <c r="LHZ14" s="131"/>
      <c r="LIA14" s="131"/>
      <c r="LIB14" s="131"/>
      <c r="LIC14" s="131"/>
      <c r="LID14" s="131"/>
      <c r="LIE14" s="131"/>
      <c r="LIF14" s="131"/>
      <c r="LIG14" s="131"/>
      <c r="LIH14" s="1003"/>
      <c r="LII14" s="1003"/>
      <c r="LIJ14" s="1003"/>
      <c r="LIK14" s="1003"/>
      <c r="LIL14" s="131"/>
      <c r="LIM14" s="131"/>
      <c r="LIN14" s="131"/>
      <c r="LIO14" s="131"/>
      <c r="LIP14" s="131"/>
      <c r="LIQ14" s="131"/>
      <c r="LIR14" s="131"/>
      <c r="LIS14" s="131"/>
      <c r="LIT14" s="131"/>
      <c r="LIU14" s="131"/>
      <c r="LIV14" s="131"/>
      <c r="LIW14" s="131"/>
      <c r="LIX14" s="1003"/>
      <c r="LIY14" s="1003"/>
      <c r="LIZ14" s="1003"/>
      <c r="LJA14" s="1003"/>
      <c r="LJB14" s="131"/>
      <c r="LJC14" s="131"/>
      <c r="LJD14" s="131"/>
      <c r="LJE14" s="131"/>
      <c r="LJF14" s="131"/>
      <c r="LJG14" s="131"/>
      <c r="LJH14" s="131"/>
      <c r="LJI14" s="131"/>
      <c r="LJJ14" s="131"/>
      <c r="LJK14" s="131"/>
      <c r="LJL14" s="131"/>
      <c r="LJM14" s="131"/>
      <c r="LJN14" s="1003"/>
      <c r="LJO14" s="1003"/>
      <c r="LJP14" s="1003"/>
      <c r="LJQ14" s="1003"/>
      <c r="LJR14" s="131"/>
      <c r="LJS14" s="131"/>
      <c r="LJT14" s="131"/>
      <c r="LJU14" s="131"/>
      <c r="LJV14" s="131"/>
      <c r="LJW14" s="131"/>
      <c r="LJX14" s="131"/>
      <c r="LJY14" s="131"/>
      <c r="LJZ14" s="131"/>
      <c r="LKA14" s="131"/>
      <c r="LKB14" s="131"/>
      <c r="LKC14" s="131"/>
      <c r="LKD14" s="1003"/>
      <c r="LKE14" s="1003"/>
      <c r="LKF14" s="1003"/>
      <c r="LKG14" s="1003"/>
      <c r="LKH14" s="131"/>
      <c r="LKI14" s="131"/>
      <c r="LKJ14" s="131"/>
      <c r="LKK14" s="131"/>
      <c r="LKL14" s="131"/>
      <c r="LKM14" s="131"/>
      <c r="LKN14" s="131"/>
      <c r="LKO14" s="131"/>
      <c r="LKP14" s="131"/>
      <c r="LKQ14" s="131"/>
      <c r="LKR14" s="131"/>
      <c r="LKS14" s="131"/>
      <c r="LKT14" s="1003"/>
      <c r="LKU14" s="1003"/>
      <c r="LKV14" s="1003"/>
      <c r="LKW14" s="1003"/>
      <c r="LKX14" s="131"/>
      <c r="LKY14" s="131"/>
      <c r="LKZ14" s="131"/>
      <c r="LLA14" s="131"/>
      <c r="LLB14" s="131"/>
      <c r="LLC14" s="131"/>
      <c r="LLD14" s="131"/>
      <c r="LLE14" s="131"/>
      <c r="LLF14" s="131"/>
      <c r="LLG14" s="131"/>
      <c r="LLH14" s="131"/>
      <c r="LLI14" s="131"/>
      <c r="LLJ14" s="1003"/>
      <c r="LLK14" s="1003"/>
      <c r="LLL14" s="1003"/>
      <c r="LLM14" s="1003"/>
      <c r="LLN14" s="131"/>
      <c r="LLO14" s="131"/>
      <c r="LLP14" s="131"/>
      <c r="LLQ14" s="131"/>
      <c r="LLR14" s="131"/>
      <c r="LLS14" s="131"/>
      <c r="LLT14" s="131"/>
      <c r="LLU14" s="131"/>
      <c r="LLV14" s="131"/>
      <c r="LLW14" s="131"/>
      <c r="LLX14" s="131"/>
      <c r="LLY14" s="131"/>
      <c r="LLZ14" s="1003"/>
      <c r="LMA14" s="1003"/>
      <c r="LMB14" s="1003"/>
      <c r="LMC14" s="1003"/>
      <c r="LMD14" s="131"/>
      <c r="LME14" s="131"/>
      <c r="LMF14" s="131"/>
      <c r="LMG14" s="131"/>
      <c r="LMH14" s="131"/>
      <c r="LMI14" s="131"/>
      <c r="LMJ14" s="131"/>
      <c r="LMK14" s="131"/>
      <c r="LML14" s="131"/>
      <c r="LMM14" s="131"/>
      <c r="LMN14" s="131"/>
      <c r="LMO14" s="131"/>
      <c r="LMP14" s="1003"/>
      <c r="LMQ14" s="1003"/>
      <c r="LMR14" s="1003"/>
      <c r="LMS14" s="1003"/>
      <c r="LMT14" s="131"/>
      <c r="LMU14" s="131"/>
      <c r="LMV14" s="131"/>
      <c r="LMW14" s="131"/>
      <c r="LMX14" s="131"/>
      <c r="LMY14" s="131"/>
      <c r="LMZ14" s="131"/>
      <c r="LNA14" s="131"/>
      <c r="LNB14" s="131"/>
      <c r="LNC14" s="131"/>
      <c r="LND14" s="131"/>
      <c r="LNE14" s="131"/>
      <c r="LNF14" s="1003"/>
      <c r="LNG14" s="1003"/>
      <c r="LNH14" s="1003"/>
      <c r="LNI14" s="1003"/>
      <c r="LNJ14" s="131"/>
      <c r="LNK14" s="131"/>
      <c r="LNL14" s="131"/>
      <c r="LNM14" s="131"/>
      <c r="LNN14" s="131"/>
      <c r="LNO14" s="131"/>
      <c r="LNP14" s="131"/>
      <c r="LNQ14" s="131"/>
      <c r="LNR14" s="131"/>
      <c r="LNS14" s="131"/>
      <c r="LNT14" s="131"/>
      <c r="LNU14" s="131"/>
      <c r="LNV14" s="1003"/>
      <c r="LNW14" s="1003"/>
      <c r="LNX14" s="1003"/>
      <c r="LNY14" s="1003"/>
      <c r="LNZ14" s="131"/>
      <c r="LOA14" s="131"/>
      <c r="LOB14" s="131"/>
      <c r="LOC14" s="131"/>
      <c r="LOD14" s="131"/>
      <c r="LOE14" s="131"/>
      <c r="LOF14" s="131"/>
      <c r="LOG14" s="131"/>
      <c r="LOH14" s="131"/>
      <c r="LOI14" s="131"/>
      <c r="LOJ14" s="131"/>
      <c r="LOK14" s="131"/>
      <c r="LOL14" s="1003"/>
      <c r="LOM14" s="1003"/>
      <c r="LON14" s="1003"/>
      <c r="LOO14" s="1003"/>
      <c r="LOP14" s="131"/>
      <c r="LOQ14" s="131"/>
      <c r="LOR14" s="131"/>
      <c r="LOS14" s="131"/>
      <c r="LOT14" s="131"/>
      <c r="LOU14" s="131"/>
      <c r="LOV14" s="131"/>
      <c r="LOW14" s="131"/>
      <c r="LOX14" s="131"/>
      <c r="LOY14" s="131"/>
      <c r="LOZ14" s="131"/>
      <c r="LPA14" s="131"/>
      <c r="LPB14" s="1003"/>
      <c r="LPC14" s="1003"/>
      <c r="LPD14" s="1003"/>
      <c r="LPE14" s="1003"/>
      <c r="LPF14" s="131"/>
      <c r="LPG14" s="131"/>
      <c r="LPH14" s="131"/>
      <c r="LPI14" s="131"/>
      <c r="LPJ14" s="131"/>
      <c r="LPK14" s="131"/>
      <c r="LPL14" s="131"/>
      <c r="LPM14" s="131"/>
      <c r="LPN14" s="131"/>
      <c r="LPO14" s="131"/>
      <c r="LPP14" s="131"/>
      <c r="LPQ14" s="131"/>
      <c r="LPR14" s="1003"/>
      <c r="LPS14" s="1003"/>
      <c r="LPT14" s="1003"/>
      <c r="LPU14" s="1003"/>
      <c r="LPV14" s="131"/>
      <c r="LPW14" s="131"/>
      <c r="LPX14" s="131"/>
      <c r="LPY14" s="131"/>
      <c r="LPZ14" s="131"/>
      <c r="LQA14" s="131"/>
      <c r="LQB14" s="131"/>
      <c r="LQC14" s="131"/>
      <c r="LQD14" s="131"/>
      <c r="LQE14" s="131"/>
      <c r="LQF14" s="131"/>
      <c r="LQG14" s="131"/>
      <c r="LQH14" s="1003"/>
      <c r="LQI14" s="1003"/>
      <c r="LQJ14" s="1003"/>
      <c r="LQK14" s="1003"/>
      <c r="LQL14" s="131"/>
      <c r="LQM14" s="131"/>
      <c r="LQN14" s="131"/>
      <c r="LQO14" s="131"/>
      <c r="LQP14" s="131"/>
      <c r="LQQ14" s="131"/>
      <c r="LQR14" s="131"/>
      <c r="LQS14" s="131"/>
      <c r="LQT14" s="131"/>
      <c r="LQU14" s="131"/>
      <c r="LQV14" s="131"/>
      <c r="LQW14" s="131"/>
      <c r="LQX14" s="1003"/>
      <c r="LQY14" s="1003"/>
      <c r="LQZ14" s="1003"/>
      <c r="LRA14" s="1003"/>
      <c r="LRB14" s="131"/>
      <c r="LRC14" s="131"/>
      <c r="LRD14" s="131"/>
      <c r="LRE14" s="131"/>
      <c r="LRF14" s="131"/>
      <c r="LRG14" s="131"/>
      <c r="LRH14" s="131"/>
      <c r="LRI14" s="131"/>
      <c r="LRJ14" s="131"/>
      <c r="LRK14" s="131"/>
      <c r="LRL14" s="131"/>
      <c r="LRM14" s="131"/>
      <c r="LRN14" s="1003"/>
      <c r="LRO14" s="1003"/>
      <c r="LRP14" s="1003"/>
      <c r="LRQ14" s="1003"/>
      <c r="LRR14" s="131"/>
      <c r="LRS14" s="131"/>
      <c r="LRT14" s="131"/>
      <c r="LRU14" s="131"/>
      <c r="LRV14" s="131"/>
      <c r="LRW14" s="131"/>
      <c r="LRX14" s="131"/>
      <c r="LRY14" s="131"/>
      <c r="LRZ14" s="131"/>
      <c r="LSA14" s="131"/>
      <c r="LSB14" s="131"/>
      <c r="LSC14" s="131"/>
      <c r="LSD14" s="1003"/>
      <c r="LSE14" s="1003"/>
      <c r="LSF14" s="1003"/>
      <c r="LSG14" s="1003"/>
      <c r="LSH14" s="131"/>
      <c r="LSI14" s="131"/>
      <c r="LSJ14" s="131"/>
      <c r="LSK14" s="131"/>
      <c r="LSL14" s="131"/>
      <c r="LSM14" s="131"/>
      <c r="LSN14" s="131"/>
      <c r="LSO14" s="131"/>
      <c r="LSP14" s="131"/>
      <c r="LSQ14" s="131"/>
      <c r="LSR14" s="131"/>
      <c r="LSS14" s="131"/>
      <c r="LST14" s="1003"/>
      <c r="LSU14" s="1003"/>
      <c r="LSV14" s="1003"/>
      <c r="LSW14" s="1003"/>
      <c r="LSX14" s="131"/>
      <c r="LSY14" s="131"/>
      <c r="LSZ14" s="131"/>
      <c r="LTA14" s="131"/>
      <c r="LTB14" s="131"/>
      <c r="LTC14" s="131"/>
      <c r="LTD14" s="131"/>
      <c r="LTE14" s="131"/>
      <c r="LTF14" s="131"/>
      <c r="LTG14" s="131"/>
      <c r="LTH14" s="131"/>
      <c r="LTI14" s="131"/>
      <c r="LTJ14" s="1003"/>
      <c r="LTK14" s="1003"/>
      <c r="LTL14" s="1003"/>
      <c r="LTM14" s="1003"/>
      <c r="LTN14" s="131"/>
      <c r="LTO14" s="131"/>
      <c r="LTP14" s="131"/>
      <c r="LTQ14" s="131"/>
      <c r="LTR14" s="131"/>
      <c r="LTS14" s="131"/>
      <c r="LTT14" s="131"/>
      <c r="LTU14" s="131"/>
      <c r="LTV14" s="131"/>
      <c r="LTW14" s="131"/>
      <c r="LTX14" s="131"/>
      <c r="LTY14" s="131"/>
      <c r="LTZ14" s="1003"/>
      <c r="LUA14" s="1003"/>
      <c r="LUB14" s="1003"/>
      <c r="LUC14" s="1003"/>
      <c r="LUD14" s="131"/>
      <c r="LUE14" s="131"/>
      <c r="LUF14" s="131"/>
      <c r="LUG14" s="131"/>
      <c r="LUH14" s="131"/>
      <c r="LUI14" s="131"/>
      <c r="LUJ14" s="131"/>
      <c r="LUK14" s="131"/>
      <c r="LUL14" s="131"/>
      <c r="LUM14" s="131"/>
      <c r="LUN14" s="131"/>
      <c r="LUO14" s="131"/>
      <c r="LUP14" s="1003"/>
      <c r="LUQ14" s="1003"/>
      <c r="LUR14" s="1003"/>
      <c r="LUS14" s="1003"/>
      <c r="LUT14" s="131"/>
      <c r="LUU14" s="131"/>
      <c r="LUV14" s="131"/>
      <c r="LUW14" s="131"/>
      <c r="LUX14" s="131"/>
      <c r="LUY14" s="131"/>
      <c r="LUZ14" s="131"/>
      <c r="LVA14" s="131"/>
      <c r="LVB14" s="131"/>
      <c r="LVC14" s="131"/>
      <c r="LVD14" s="131"/>
      <c r="LVE14" s="131"/>
      <c r="LVF14" s="1003"/>
      <c r="LVG14" s="1003"/>
      <c r="LVH14" s="1003"/>
      <c r="LVI14" s="1003"/>
      <c r="LVJ14" s="131"/>
      <c r="LVK14" s="131"/>
      <c r="LVL14" s="131"/>
      <c r="LVM14" s="131"/>
      <c r="LVN14" s="131"/>
      <c r="LVO14" s="131"/>
      <c r="LVP14" s="131"/>
      <c r="LVQ14" s="131"/>
      <c r="LVR14" s="131"/>
      <c r="LVS14" s="131"/>
      <c r="LVT14" s="131"/>
      <c r="LVU14" s="131"/>
      <c r="LVV14" s="1003"/>
      <c r="LVW14" s="1003"/>
      <c r="LVX14" s="1003"/>
      <c r="LVY14" s="1003"/>
      <c r="LVZ14" s="131"/>
      <c r="LWA14" s="131"/>
      <c r="LWB14" s="131"/>
      <c r="LWC14" s="131"/>
      <c r="LWD14" s="131"/>
      <c r="LWE14" s="131"/>
      <c r="LWF14" s="131"/>
      <c r="LWG14" s="131"/>
      <c r="LWH14" s="131"/>
      <c r="LWI14" s="131"/>
      <c r="LWJ14" s="131"/>
      <c r="LWK14" s="131"/>
      <c r="LWL14" s="1003"/>
      <c r="LWM14" s="1003"/>
      <c r="LWN14" s="1003"/>
      <c r="LWO14" s="1003"/>
      <c r="LWP14" s="131"/>
      <c r="LWQ14" s="131"/>
      <c r="LWR14" s="131"/>
      <c r="LWS14" s="131"/>
      <c r="LWT14" s="131"/>
      <c r="LWU14" s="131"/>
      <c r="LWV14" s="131"/>
      <c r="LWW14" s="131"/>
      <c r="LWX14" s="131"/>
      <c r="LWY14" s="131"/>
      <c r="LWZ14" s="131"/>
      <c r="LXA14" s="131"/>
      <c r="LXB14" s="1003"/>
      <c r="LXC14" s="1003"/>
      <c r="LXD14" s="1003"/>
      <c r="LXE14" s="1003"/>
      <c r="LXF14" s="131"/>
      <c r="LXG14" s="131"/>
      <c r="LXH14" s="131"/>
      <c r="LXI14" s="131"/>
      <c r="LXJ14" s="131"/>
      <c r="LXK14" s="131"/>
      <c r="LXL14" s="131"/>
      <c r="LXM14" s="131"/>
      <c r="LXN14" s="131"/>
      <c r="LXO14" s="131"/>
      <c r="LXP14" s="131"/>
      <c r="LXQ14" s="131"/>
      <c r="LXR14" s="1003"/>
      <c r="LXS14" s="1003"/>
      <c r="LXT14" s="1003"/>
      <c r="LXU14" s="1003"/>
      <c r="LXV14" s="131"/>
      <c r="LXW14" s="131"/>
      <c r="LXX14" s="131"/>
      <c r="LXY14" s="131"/>
      <c r="LXZ14" s="131"/>
      <c r="LYA14" s="131"/>
      <c r="LYB14" s="131"/>
      <c r="LYC14" s="131"/>
      <c r="LYD14" s="131"/>
      <c r="LYE14" s="131"/>
      <c r="LYF14" s="131"/>
      <c r="LYG14" s="131"/>
      <c r="LYH14" s="1003"/>
      <c r="LYI14" s="1003"/>
      <c r="LYJ14" s="1003"/>
      <c r="LYK14" s="1003"/>
      <c r="LYL14" s="131"/>
      <c r="LYM14" s="131"/>
      <c r="LYN14" s="131"/>
      <c r="LYO14" s="131"/>
      <c r="LYP14" s="131"/>
      <c r="LYQ14" s="131"/>
      <c r="LYR14" s="131"/>
      <c r="LYS14" s="131"/>
      <c r="LYT14" s="131"/>
      <c r="LYU14" s="131"/>
      <c r="LYV14" s="131"/>
      <c r="LYW14" s="131"/>
      <c r="LYX14" s="1003"/>
      <c r="LYY14" s="1003"/>
      <c r="LYZ14" s="1003"/>
      <c r="LZA14" s="1003"/>
      <c r="LZB14" s="131"/>
      <c r="LZC14" s="131"/>
      <c r="LZD14" s="131"/>
      <c r="LZE14" s="131"/>
      <c r="LZF14" s="131"/>
      <c r="LZG14" s="131"/>
      <c r="LZH14" s="131"/>
      <c r="LZI14" s="131"/>
      <c r="LZJ14" s="131"/>
      <c r="LZK14" s="131"/>
      <c r="LZL14" s="131"/>
      <c r="LZM14" s="131"/>
      <c r="LZN14" s="1003"/>
      <c r="LZO14" s="1003"/>
      <c r="LZP14" s="1003"/>
      <c r="LZQ14" s="1003"/>
      <c r="LZR14" s="131"/>
      <c r="LZS14" s="131"/>
      <c r="LZT14" s="131"/>
      <c r="LZU14" s="131"/>
      <c r="LZV14" s="131"/>
      <c r="LZW14" s="131"/>
      <c r="LZX14" s="131"/>
      <c r="LZY14" s="131"/>
      <c r="LZZ14" s="131"/>
      <c r="MAA14" s="131"/>
      <c r="MAB14" s="131"/>
      <c r="MAC14" s="131"/>
      <c r="MAD14" s="1003"/>
      <c r="MAE14" s="1003"/>
      <c r="MAF14" s="1003"/>
      <c r="MAG14" s="1003"/>
      <c r="MAH14" s="131"/>
      <c r="MAI14" s="131"/>
      <c r="MAJ14" s="131"/>
      <c r="MAK14" s="131"/>
      <c r="MAL14" s="131"/>
      <c r="MAM14" s="131"/>
      <c r="MAN14" s="131"/>
      <c r="MAO14" s="131"/>
      <c r="MAP14" s="131"/>
      <c r="MAQ14" s="131"/>
      <c r="MAR14" s="131"/>
      <c r="MAS14" s="131"/>
      <c r="MAT14" s="1003"/>
      <c r="MAU14" s="1003"/>
      <c r="MAV14" s="1003"/>
      <c r="MAW14" s="1003"/>
      <c r="MAX14" s="131"/>
      <c r="MAY14" s="131"/>
      <c r="MAZ14" s="131"/>
      <c r="MBA14" s="131"/>
      <c r="MBB14" s="131"/>
      <c r="MBC14" s="131"/>
      <c r="MBD14" s="131"/>
      <c r="MBE14" s="131"/>
      <c r="MBF14" s="131"/>
      <c r="MBG14" s="131"/>
      <c r="MBH14" s="131"/>
      <c r="MBI14" s="131"/>
      <c r="MBJ14" s="1003"/>
      <c r="MBK14" s="1003"/>
      <c r="MBL14" s="1003"/>
      <c r="MBM14" s="1003"/>
      <c r="MBN14" s="131"/>
      <c r="MBO14" s="131"/>
      <c r="MBP14" s="131"/>
      <c r="MBQ14" s="131"/>
      <c r="MBR14" s="131"/>
      <c r="MBS14" s="131"/>
      <c r="MBT14" s="131"/>
      <c r="MBU14" s="131"/>
      <c r="MBV14" s="131"/>
      <c r="MBW14" s="131"/>
      <c r="MBX14" s="131"/>
      <c r="MBY14" s="131"/>
      <c r="MBZ14" s="1003"/>
      <c r="MCA14" s="1003"/>
      <c r="MCB14" s="1003"/>
      <c r="MCC14" s="1003"/>
      <c r="MCD14" s="131"/>
      <c r="MCE14" s="131"/>
      <c r="MCF14" s="131"/>
      <c r="MCG14" s="131"/>
      <c r="MCH14" s="131"/>
      <c r="MCI14" s="131"/>
      <c r="MCJ14" s="131"/>
      <c r="MCK14" s="131"/>
      <c r="MCL14" s="131"/>
      <c r="MCM14" s="131"/>
      <c r="MCN14" s="131"/>
      <c r="MCO14" s="131"/>
      <c r="MCP14" s="1003"/>
      <c r="MCQ14" s="1003"/>
      <c r="MCR14" s="1003"/>
      <c r="MCS14" s="1003"/>
      <c r="MCT14" s="131"/>
      <c r="MCU14" s="131"/>
      <c r="MCV14" s="131"/>
      <c r="MCW14" s="131"/>
      <c r="MCX14" s="131"/>
      <c r="MCY14" s="131"/>
      <c r="MCZ14" s="131"/>
      <c r="MDA14" s="131"/>
      <c r="MDB14" s="131"/>
      <c r="MDC14" s="131"/>
      <c r="MDD14" s="131"/>
      <c r="MDE14" s="131"/>
      <c r="MDF14" s="1003"/>
      <c r="MDG14" s="1003"/>
      <c r="MDH14" s="1003"/>
      <c r="MDI14" s="1003"/>
      <c r="MDJ14" s="131"/>
      <c r="MDK14" s="131"/>
      <c r="MDL14" s="131"/>
      <c r="MDM14" s="131"/>
      <c r="MDN14" s="131"/>
      <c r="MDO14" s="131"/>
      <c r="MDP14" s="131"/>
      <c r="MDQ14" s="131"/>
      <c r="MDR14" s="131"/>
      <c r="MDS14" s="131"/>
      <c r="MDT14" s="131"/>
      <c r="MDU14" s="131"/>
      <c r="MDV14" s="1003"/>
      <c r="MDW14" s="1003"/>
      <c r="MDX14" s="1003"/>
      <c r="MDY14" s="1003"/>
      <c r="MDZ14" s="131"/>
      <c r="MEA14" s="131"/>
      <c r="MEB14" s="131"/>
      <c r="MEC14" s="131"/>
      <c r="MED14" s="131"/>
      <c r="MEE14" s="131"/>
      <c r="MEF14" s="131"/>
      <c r="MEG14" s="131"/>
      <c r="MEH14" s="131"/>
      <c r="MEI14" s="131"/>
      <c r="MEJ14" s="131"/>
      <c r="MEK14" s="131"/>
      <c r="MEL14" s="1003"/>
      <c r="MEM14" s="1003"/>
      <c r="MEN14" s="1003"/>
      <c r="MEO14" s="1003"/>
      <c r="MEP14" s="131"/>
      <c r="MEQ14" s="131"/>
      <c r="MER14" s="131"/>
      <c r="MES14" s="131"/>
      <c r="MET14" s="131"/>
      <c r="MEU14" s="131"/>
      <c r="MEV14" s="131"/>
      <c r="MEW14" s="131"/>
      <c r="MEX14" s="131"/>
      <c r="MEY14" s="131"/>
      <c r="MEZ14" s="131"/>
      <c r="MFA14" s="131"/>
      <c r="MFB14" s="1003"/>
      <c r="MFC14" s="1003"/>
      <c r="MFD14" s="1003"/>
      <c r="MFE14" s="1003"/>
      <c r="MFF14" s="131"/>
      <c r="MFG14" s="131"/>
      <c r="MFH14" s="131"/>
      <c r="MFI14" s="131"/>
      <c r="MFJ14" s="131"/>
      <c r="MFK14" s="131"/>
      <c r="MFL14" s="131"/>
      <c r="MFM14" s="131"/>
      <c r="MFN14" s="131"/>
      <c r="MFO14" s="131"/>
      <c r="MFP14" s="131"/>
      <c r="MFQ14" s="131"/>
      <c r="MFR14" s="1003"/>
      <c r="MFS14" s="1003"/>
      <c r="MFT14" s="1003"/>
      <c r="MFU14" s="1003"/>
      <c r="MFV14" s="131"/>
      <c r="MFW14" s="131"/>
      <c r="MFX14" s="131"/>
      <c r="MFY14" s="131"/>
      <c r="MFZ14" s="131"/>
      <c r="MGA14" s="131"/>
      <c r="MGB14" s="131"/>
      <c r="MGC14" s="131"/>
      <c r="MGD14" s="131"/>
      <c r="MGE14" s="131"/>
      <c r="MGF14" s="131"/>
      <c r="MGG14" s="131"/>
      <c r="MGH14" s="1003"/>
      <c r="MGI14" s="1003"/>
      <c r="MGJ14" s="1003"/>
      <c r="MGK14" s="1003"/>
      <c r="MGL14" s="131"/>
      <c r="MGM14" s="131"/>
      <c r="MGN14" s="131"/>
      <c r="MGO14" s="131"/>
      <c r="MGP14" s="131"/>
      <c r="MGQ14" s="131"/>
      <c r="MGR14" s="131"/>
      <c r="MGS14" s="131"/>
      <c r="MGT14" s="131"/>
      <c r="MGU14" s="131"/>
      <c r="MGV14" s="131"/>
      <c r="MGW14" s="131"/>
      <c r="MGX14" s="1003"/>
      <c r="MGY14" s="1003"/>
      <c r="MGZ14" s="1003"/>
      <c r="MHA14" s="1003"/>
      <c r="MHB14" s="131"/>
      <c r="MHC14" s="131"/>
      <c r="MHD14" s="131"/>
      <c r="MHE14" s="131"/>
      <c r="MHF14" s="131"/>
      <c r="MHG14" s="131"/>
      <c r="MHH14" s="131"/>
      <c r="MHI14" s="131"/>
      <c r="MHJ14" s="131"/>
      <c r="MHK14" s="131"/>
      <c r="MHL14" s="131"/>
      <c r="MHM14" s="131"/>
      <c r="MHN14" s="1003"/>
      <c r="MHO14" s="1003"/>
      <c r="MHP14" s="1003"/>
      <c r="MHQ14" s="1003"/>
      <c r="MHR14" s="131"/>
      <c r="MHS14" s="131"/>
      <c r="MHT14" s="131"/>
      <c r="MHU14" s="131"/>
      <c r="MHV14" s="131"/>
      <c r="MHW14" s="131"/>
      <c r="MHX14" s="131"/>
      <c r="MHY14" s="131"/>
      <c r="MHZ14" s="131"/>
      <c r="MIA14" s="131"/>
      <c r="MIB14" s="131"/>
      <c r="MIC14" s="131"/>
      <c r="MID14" s="1003"/>
      <c r="MIE14" s="1003"/>
      <c r="MIF14" s="1003"/>
      <c r="MIG14" s="1003"/>
      <c r="MIH14" s="131"/>
      <c r="MII14" s="131"/>
      <c r="MIJ14" s="131"/>
      <c r="MIK14" s="131"/>
      <c r="MIL14" s="131"/>
      <c r="MIM14" s="131"/>
      <c r="MIN14" s="131"/>
      <c r="MIO14" s="131"/>
      <c r="MIP14" s="131"/>
      <c r="MIQ14" s="131"/>
      <c r="MIR14" s="131"/>
      <c r="MIS14" s="131"/>
      <c r="MIT14" s="1003"/>
      <c r="MIU14" s="1003"/>
      <c r="MIV14" s="1003"/>
      <c r="MIW14" s="1003"/>
      <c r="MIX14" s="131"/>
      <c r="MIY14" s="131"/>
      <c r="MIZ14" s="131"/>
      <c r="MJA14" s="131"/>
      <c r="MJB14" s="131"/>
      <c r="MJC14" s="131"/>
      <c r="MJD14" s="131"/>
      <c r="MJE14" s="131"/>
      <c r="MJF14" s="131"/>
      <c r="MJG14" s="131"/>
      <c r="MJH14" s="131"/>
      <c r="MJI14" s="131"/>
      <c r="MJJ14" s="1003"/>
      <c r="MJK14" s="1003"/>
      <c r="MJL14" s="1003"/>
      <c r="MJM14" s="1003"/>
      <c r="MJN14" s="131"/>
      <c r="MJO14" s="131"/>
      <c r="MJP14" s="131"/>
      <c r="MJQ14" s="131"/>
      <c r="MJR14" s="131"/>
      <c r="MJS14" s="131"/>
      <c r="MJT14" s="131"/>
      <c r="MJU14" s="131"/>
      <c r="MJV14" s="131"/>
      <c r="MJW14" s="131"/>
      <c r="MJX14" s="131"/>
      <c r="MJY14" s="131"/>
      <c r="MJZ14" s="1003"/>
      <c r="MKA14" s="1003"/>
      <c r="MKB14" s="1003"/>
      <c r="MKC14" s="1003"/>
      <c r="MKD14" s="131"/>
      <c r="MKE14" s="131"/>
      <c r="MKF14" s="131"/>
      <c r="MKG14" s="131"/>
      <c r="MKH14" s="131"/>
      <c r="MKI14" s="131"/>
      <c r="MKJ14" s="131"/>
      <c r="MKK14" s="131"/>
      <c r="MKL14" s="131"/>
      <c r="MKM14" s="131"/>
      <c r="MKN14" s="131"/>
      <c r="MKO14" s="131"/>
      <c r="MKP14" s="1003"/>
      <c r="MKQ14" s="1003"/>
      <c r="MKR14" s="1003"/>
      <c r="MKS14" s="1003"/>
      <c r="MKT14" s="131"/>
      <c r="MKU14" s="131"/>
      <c r="MKV14" s="131"/>
      <c r="MKW14" s="131"/>
      <c r="MKX14" s="131"/>
      <c r="MKY14" s="131"/>
      <c r="MKZ14" s="131"/>
      <c r="MLA14" s="131"/>
      <c r="MLB14" s="131"/>
      <c r="MLC14" s="131"/>
      <c r="MLD14" s="131"/>
      <c r="MLE14" s="131"/>
      <c r="MLF14" s="1003"/>
      <c r="MLG14" s="1003"/>
      <c r="MLH14" s="1003"/>
      <c r="MLI14" s="1003"/>
      <c r="MLJ14" s="131"/>
      <c r="MLK14" s="131"/>
      <c r="MLL14" s="131"/>
      <c r="MLM14" s="131"/>
      <c r="MLN14" s="131"/>
      <c r="MLO14" s="131"/>
      <c r="MLP14" s="131"/>
      <c r="MLQ14" s="131"/>
      <c r="MLR14" s="131"/>
      <c r="MLS14" s="131"/>
      <c r="MLT14" s="131"/>
      <c r="MLU14" s="131"/>
      <c r="MLV14" s="1003"/>
      <c r="MLW14" s="1003"/>
      <c r="MLX14" s="1003"/>
      <c r="MLY14" s="1003"/>
      <c r="MLZ14" s="131"/>
      <c r="MMA14" s="131"/>
      <c r="MMB14" s="131"/>
      <c r="MMC14" s="131"/>
      <c r="MMD14" s="131"/>
      <c r="MME14" s="131"/>
      <c r="MMF14" s="131"/>
      <c r="MMG14" s="131"/>
      <c r="MMH14" s="131"/>
      <c r="MMI14" s="131"/>
      <c r="MMJ14" s="131"/>
      <c r="MMK14" s="131"/>
      <c r="MML14" s="1003"/>
      <c r="MMM14" s="1003"/>
      <c r="MMN14" s="1003"/>
      <c r="MMO14" s="1003"/>
      <c r="MMP14" s="131"/>
      <c r="MMQ14" s="131"/>
      <c r="MMR14" s="131"/>
      <c r="MMS14" s="131"/>
      <c r="MMT14" s="131"/>
      <c r="MMU14" s="131"/>
      <c r="MMV14" s="131"/>
      <c r="MMW14" s="131"/>
      <c r="MMX14" s="131"/>
      <c r="MMY14" s="131"/>
      <c r="MMZ14" s="131"/>
      <c r="MNA14" s="131"/>
      <c r="MNB14" s="1003"/>
      <c r="MNC14" s="1003"/>
      <c r="MND14" s="1003"/>
      <c r="MNE14" s="1003"/>
      <c r="MNF14" s="131"/>
      <c r="MNG14" s="131"/>
      <c r="MNH14" s="131"/>
      <c r="MNI14" s="131"/>
      <c r="MNJ14" s="131"/>
      <c r="MNK14" s="131"/>
      <c r="MNL14" s="131"/>
      <c r="MNM14" s="131"/>
      <c r="MNN14" s="131"/>
      <c r="MNO14" s="131"/>
      <c r="MNP14" s="131"/>
      <c r="MNQ14" s="131"/>
      <c r="MNR14" s="1003"/>
      <c r="MNS14" s="1003"/>
      <c r="MNT14" s="1003"/>
      <c r="MNU14" s="1003"/>
      <c r="MNV14" s="131"/>
      <c r="MNW14" s="131"/>
      <c r="MNX14" s="131"/>
      <c r="MNY14" s="131"/>
      <c r="MNZ14" s="131"/>
      <c r="MOA14" s="131"/>
      <c r="MOB14" s="131"/>
      <c r="MOC14" s="131"/>
      <c r="MOD14" s="131"/>
      <c r="MOE14" s="131"/>
      <c r="MOF14" s="131"/>
      <c r="MOG14" s="131"/>
      <c r="MOH14" s="1003"/>
      <c r="MOI14" s="1003"/>
      <c r="MOJ14" s="1003"/>
      <c r="MOK14" s="1003"/>
      <c r="MOL14" s="131"/>
      <c r="MOM14" s="131"/>
      <c r="MON14" s="131"/>
      <c r="MOO14" s="131"/>
      <c r="MOP14" s="131"/>
      <c r="MOQ14" s="131"/>
      <c r="MOR14" s="131"/>
      <c r="MOS14" s="131"/>
      <c r="MOT14" s="131"/>
      <c r="MOU14" s="131"/>
      <c r="MOV14" s="131"/>
      <c r="MOW14" s="131"/>
      <c r="MOX14" s="1003"/>
      <c r="MOY14" s="1003"/>
      <c r="MOZ14" s="1003"/>
      <c r="MPA14" s="1003"/>
      <c r="MPN14" s="1003"/>
      <c r="MPO14" s="1003"/>
      <c r="MPP14" s="1003"/>
      <c r="MPQ14" s="1003"/>
      <c r="MPR14" s="131"/>
      <c r="MPS14" s="131"/>
      <c r="MPT14" s="131"/>
      <c r="MPU14" s="131"/>
      <c r="MPV14" s="131"/>
      <c r="MPW14" s="131"/>
      <c r="MPX14" s="131"/>
      <c r="MPY14" s="131"/>
      <c r="MPZ14" s="131"/>
      <c r="MQA14" s="131"/>
      <c r="MQB14" s="131"/>
      <c r="MQC14" s="131"/>
      <c r="MQD14" s="1003"/>
      <c r="MQE14" s="1003"/>
      <c r="MQF14" s="1003"/>
      <c r="MQG14" s="1003"/>
      <c r="MQH14" s="131"/>
      <c r="MQI14" s="131"/>
      <c r="MQJ14" s="131"/>
      <c r="MQK14" s="131"/>
      <c r="MQL14" s="131"/>
      <c r="MQM14" s="131"/>
      <c r="MQN14" s="131"/>
      <c r="MQO14" s="131"/>
      <c r="MQP14" s="131"/>
      <c r="MQQ14" s="131"/>
      <c r="MQR14" s="131"/>
      <c r="MQS14" s="131"/>
      <c r="MQT14" s="1003"/>
      <c r="MQU14" s="1003"/>
      <c r="MQV14" s="1003"/>
      <c r="MQW14" s="1003"/>
      <c r="MQX14" s="131"/>
      <c r="MQY14" s="131"/>
      <c r="MQZ14" s="131"/>
      <c r="MRA14" s="131"/>
      <c r="MRB14" s="131"/>
      <c r="MRC14" s="131"/>
      <c r="MRD14" s="131"/>
      <c r="MRE14" s="131"/>
      <c r="MRF14" s="131"/>
      <c r="MRG14" s="131"/>
      <c r="MRH14" s="131"/>
      <c r="MRI14" s="131"/>
      <c r="MRJ14" s="1003"/>
      <c r="MRK14" s="1003"/>
      <c r="MRL14" s="1003"/>
      <c r="MRM14" s="1003"/>
      <c r="MRN14" s="131"/>
      <c r="MRO14" s="131"/>
      <c r="MRP14" s="131"/>
      <c r="MRQ14" s="131"/>
      <c r="MRR14" s="131"/>
      <c r="MRS14" s="131"/>
      <c r="MRT14" s="131"/>
      <c r="MRU14" s="131"/>
      <c r="MRV14" s="131"/>
      <c r="MRW14" s="131"/>
      <c r="MRX14" s="131"/>
      <c r="MRY14" s="131"/>
      <c r="MRZ14" s="1003"/>
      <c r="MSA14" s="1003"/>
      <c r="MSB14" s="1003"/>
      <c r="MSC14" s="1003"/>
      <c r="MSD14" s="131"/>
      <c r="MSE14" s="131"/>
      <c r="MSF14" s="131"/>
      <c r="MSG14" s="131"/>
      <c r="MSH14" s="131"/>
      <c r="MSI14" s="131"/>
      <c r="MSJ14" s="131"/>
      <c r="MSK14" s="131"/>
      <c r="MSL14" s="131"/>
      <c r="MSM14" s="131"/>
      <c r="MSN14" s="131"/>
      <c r="MSO14" s="131"/>
      <c r="MSP14" s="1003"/>
      <c r="MSQ14" s="1003"/>
      <c r="MSR14" s="1003"/>
      <c r="MSS14" s="1003"/>
      <c r="MST14" s="131"/>
      <c r="MSU14" s="131"/>
      <c r="MSV14" s="131"/>
      <c r="MSW14" s="131"/>
      <c r="MSX14" s="131"/>
      <c r="MSY14" s="131"/>
      <c r="MSZ14" s="131"/>
      <c r="MTA14" s="131"/>
      <c r="MTB14" s="131"/>
      <c r="MTC14" s="131"/>
      <c r="MTD14" s="131"/>
      <c r="MTE14" s="131"/>
      <c r="MTF14" s="1003"/>
      <c r="MTG14" s="1003"/>
      <c r="MTH14" s="1003"/>
      <c r="MTI14" s="1003"/>
      <c r="MTJ14" s="131"/>
      <c r="MTK14" s="131"/>
      <c r="MTL14" s="131"/>
      <c r="MTM14" s="131"/>
      <c r="MTN14" s="131"/>
      <c r="MTO14" s="131"/>
      <c r="MTP14" s="131"/>
      <c r="MTQ14" s="131"/>
      <c r="MTR14" s="131"/>
      <c r="MTS14" s="131"/>
      <c r="MTT14" s="131"/>
      <c r="MTU14" s="131"/>
      <c r="MTV14" s="1003"/>
      <c r="MTW14" s="1003"/>
      <c r="MTX14" s="1003"/>
      <c r="MTY14" s="1003"/>
      <c r="MTZ14" s="131"/>
      <c r="MUA14" s="131"/>
      <c r="MUB14" s="131"/>
      <c r="MUC14" s="131"/>
      <c r="MUD14" s="131"/>
      <c r="MUE14" s="131"/>
      <c r="MUF14" s="131"/>
      <c r="MUG14" s="131"/>
      <c r="MUH14" s="131"/>
      <c r="MUI14" s="131"/>
      <c r="MUJ14" s="131"/>
      <c r="MUK14" s="131"/>
      <c r="MUL14" s="1003"/>
      <c r="MUM14" s="1003"/>
      <c r="MUN14" s="1003"/>
      <c r="MUO14" s="1003"/>
      <c r="MUP14" s="131"/>
      <c r="MUQ14" s="131"/>
      <c r="MUR14" s="131"/>
      <c r="MUS14" s="131"/>
      <c r="MUT14" s="131"/>
      <c r="MUU14" s="131"/>
      <c r="MUV14" s="131"/>
      <c r="MUW14" s="131"/>
      <c r="MUX14" s="131"/>
      <c r="MUY14" s="131"/>
      <c r="MUZ14" s="131"/>
      <c r="MVA14" s="131"/>
      <c r="MVB14" s="1003"/>
      <c r="MVC14" s="1003"/>
      <c r="MVD14" s="1003"/>
      <c r="MVE14" s="1003"/>
      <c r="MVF14" s="131"/>
      <c r="MVG14" s="131"/>
      <c r="MVH14" s="131"/>
      <c r="MVI14" s="131"/>
      <c r="MVJ14" s="131"/>
      <c r="MVK14" s="131"/>
      <c r="MVL14" s="131"/>
      <c r="MVM14" s="131"/>
      <c r="MVN14" s="131"/>
      <c r="MVO14" s="131"/>
      <c r="MVP14" s="131"/>
      <c r="MVQ14" s="131"/>
      <c r="MVR14" s="1003"/>
      <c r="MVS14" s="1003"/>
      <c r="MVT14" s="1003"/>
      <c r="MVU14" s="1003"/>
      <c r="MVV14" s="131"/>
      <c r="MVW14" s="131"/>
      <c r="MVX14" s="131"/>
      <c r="MVY14" s="131"/>
      <c r="MVZ14" s="131"/>
      <c r="MWA14" s="131"/>
      <c r="MWB14" s="131"/>
      <c r="MWC14" s="131"/>
      <c r="MWD14" s="131"/>
      <c r="MWE14" s="131"/>
      <c r="MWF14" s="131"/>
      <c r="MWG14" s="131"/>
      <c r="MWH14" s="1003"/>
      <c r="MWI14" s="1003"/>
      <c r="MWJ14" s="1003"/>
      <c r="MWK14" s="1003"/>
      <c r="MWL14" s="131"/>
      <c r="MWM14" s="131"/>
      <c r="MWN14" s="131"/>
      <c r="MWO14" s="131"/>
      <c r="MWP14" s="131"/>
      <c r="MWQ14" s="131"/>
      <c r="MWR14" s="131"/>
      <c r="MWS14" s="131"/>
      <c r="MWT14" s="131"/>
      <c r="MWU14" s="131"/>
      <c r="MWV14" s="131"/>
      <c r="MWW14" s="131"/>
      <c r="MWX14" s="1003"/>
      <c r="MWY14" s="1003"/>
      <c r="MWZ14" s="1003"/>
      <c r="MXA14" s="1003"/>
      <c r="MXB14" s="131"/>
      <c r="MXC14" s="131"/>
      <c r="MXD14" s="131"/>
      <c r="MXE14" s="131"/>
      <c r="MXF14" s="131"/>
      <c r="MXG14" s="131"/>
      <c r="MXH14" s="131"/>
      <c r="MXI14" s="131"/>
      <c r="MXJ14" s="131"/>
      <c r="MXK14" s="131"/>
      <c r="MXL14" s="131"/>
      <c r="MXM14" s="131"/>
      <c r="MXN14" s="1003"/>
      <c r="MXO14" s="1003"/>
      <c r="MXP14" s="1003"/>
      <c r="MXQ14" s="1003"/>
      <c r="MXR14" s="131"/>
      <c r="MXS14" s="131"/>
      <c r="MXT14" s="131"/>
      <c r="MXU14" s="131"/>
      <c r="MXV14" s="131"/>
      <c r="MXW14" s="131"/>
      <c r="MXX14" s="131"/>
      <c r="MXY14" s="131"/>
      <c r="MXZ14" s="131"/>
      <c r="MYA14" s="131"/>
      <c r="MYB14" s="131"/>
      <c r="MYC14" s="131"/>
      <c r="MYD14" s="1003"/>
      <c r="MYE14" s="1003"/>
      <c r="MYF14" s="1003"/>
      <c r="MYG14" s="1003"/>
      <c r="MYH14" s="131"/>
      <c r="MYI14" s="131"/>
      <c r="MYJ14" s="131"/>
      <c r="MYK14" s="131"/>
      <c r="MYL14" s="131"/>
      <c r="MYM14" s="131"/>
      <c r="MYN14" s="131"/>
      <c r="MYO14" s="131"/>
      <c r="MYP14" s="131"/>
      <c r="MYQ14" s="131"/>
      <c r="MYR14" s="131"/>
      <c r="MYS14" s="131"/>
      <c r="MYT14" s="1003"/>
      <c r="MYU14" s="1003"/>
      <c r="MYV14" s="1003"/>
      <c r="MYW14" s="1003"/>
      <c r="MYX14" s="131"/>
      <c r="MYY14" s="131"/>
      <c r="MYZ14" s="131"/>
      <c r="MZA14" s="131"/>
      <c r="MZB14" s="131"/>
      <c r="MZC14" s="131"/>
      <c r="MZD14" s="131"/>
      <c r="MZE14" s="131"/>
      <c r="MZF14" s="131"/>
      <c r="MZG14" s="131"/>
      <c r="MZH14" s="131"/>
      <c r="MZI14" s="131"/>
      <c r="MZJ14" s="1003"/>
      <c r="MZK14" s="1003"/>
      <c r="MZL14" s="1003"/>
      <c r="MZM14" s="1003"/>
      <c r="MZN14" s="131"/>
      <c r="MZO14" s="131"/>
      <c r="MZP14" s="131"/>
      <c r="MZQ14" s="131"/>
      <c r="MZR14" s="131"/>
      <c r="MZS14" s="131"/>
      <c r="MZT14" s="131"/>
      <c r="MZU14" s="131"/>
      <c r="MZV14" s="131"/>
      <c r="MZW14" s="131"/>
      <c r="MZX14" s="131"/>
      <c r="MZY14" s="131"/>
      <c r="MZZ14" s="1003"/>
      <c r="NAA14" s="1003"/>
      <c r="NAB14" s="1003"/>
      <c r="NAC14" s="1003"/>
      <c r="NAD14" s="131"/>
      <c r="NAE14" s="131"/>
      <c r="NAF14" s="131"/>
      <c r="NAG14" s="131"/>
      <c r="NAH14" s="131"/>
      <c r="NAI14" s="131"/>
      <c r="NAJ14" s="131"/>
      <c r="NAK14" s="131"/>
      <c r="NAL14" s="131"/>
      <c r="NAM14" s="131"/>
      <c r="NAN14" s="131"/>
      <c r="NAO14" s="131"/>
      <c r="NAP14" s="1003"/>
      <c r="NAQ14" s="1003"/>
      <c r="NAR14" s="1003"/>
      <c r="NAS14" s="1003"/>
      <c r="NAT14" s="131"/>
      <c r="NAU14" s="131"/>
      <c r="NAV14" s="131"/>
      <c r="NAW14" s="131"/>
      <c r="NAX14" s="131"/>
      <c r="NAY14" s="131"/>
      <c r="NAZ14" s="131"/>
      <c r="NBA14" s="131"/>
      <c r="NBB14" s="131"/>
      <c r="NBC14" s="131"/>
      <c r="NBD14" s="131"/>
      <c r="NBE14" s="131"/>
      <c r="NBF14" s="1003"/>
      <c r="NBG14" s="1003"/>
      <c r="NBH14" s="1003"/>
      <c r="NBI14" s="1003"/>
      <c r="NBJ14" s="131"/>
      <c r="NBK14" s="131"/>
      <c r="NBL14" s="131"/>
      <c r="NBM14" s="131"/>
      <c r="NBN14" s="131"/>
      <c r="NBO14" s="131"/>
      <c r="NBP14" s="131"/>
      <c r="NBQ14" s="131"/>
      <c r="NBR14" s="131"/>
      <c r="NBS14" s="131"/>
      <c r="NBT14" s="131"/>
      <c r="NBU14" s="131"/>
      <c r="NBV14" s="1003"/>
      <c r="NBW14" s="1003"/>
      <c r="NBX14" s="1003"/>
      <c r="NBY14" s="1003"/>
      <c r="NBZ14" s="131"/>
      <c r="NCA14" s="131"/>
      <c r="NCB14" s="131"/>
      <c r="NCC14" s="131"/>
      <c r="NCD14" s="131"/>
      <c r="NCE14" s="131"/>
      <c r="NCF14" s="131"/>
      <c r="NCG14" s="131"/>
      <c r="NCH14" s="131"/>
      <c r="NCI14" s="131"/>
      <c r="NCJ14" s="131"/>
      <c r="NCK14" s="131"/>
      <c r="NCL14" s="1003"/>
      <c r="NCM14" s="1003"/>
      <c r="NCN14" s="1003"/>
      <c r="NCO14" s="1003"/>
      <c r="NCP14" s="131"/>
      <c r="NCQ14" s="131"/>
      <c r="NCR14" s="131"/>
      <c r="NCS14" s="131"/>
      <c r="NCT14" s="131"/>
      <c r="NCU14" s="131"/>
      <c r="NCV14" s="131"/>
      <c r="NCW14" s="131"/>
      <c r="NCX14" s="131"/>
      <c r="NCY14" s="131"/>
      <c r="NCZ14" s="131"/>
      <c r="NDA14" s="131"/>
      <c r="NDB14" s="1003"/>
      <c r="NDC14" s="1003"/>
      <c r="NDD14" s="1003"/>
      <c r="NDE14" s="1003"/>
      <c r="NDF14" s="131"/>
      <c r="NDG14" s="131"/>
      <c r="NDH14" s="131"/>
      <c r="NDI14" s="131"/>
      <c r="NDJ14" s="131"/>
      <c r="NDK14" s="131"/>
      <c r="NDL14" s="131"/>
      <c r="NDM14" s="131"/>
      <c r="NDN14" s="131"/>
      <c r="NDO14" s="131"/>
      <c r="NDP14" s="131"/>
      <c r="NDQ14" s="131"/>
      <c r="NDR14" s="1003"/>
      <c r="NDS14" s="1003"/>
      <c r="NDT14" s="1003"/>
      <c r="NDU14" s="1003"/>
      <c r="NDV14" s="131"/>
      <c r="NDW14" s="131"/>
      <c r="NDX14" s="131"/>
      <c r="NDY14" s="131"/>
      <c r="NDZ14" s="131"/>
      <c r="NEA14" s="131"/>
      <c r="NEB14" s="131"/>
      <c r="NEC14" s="131"/>
      <c r="NED14" s="131"/>
      <c r="NEE14" s="131"/>
      <c r="NEF14" s="131"/>
      <c r="NEG14" s="131"/>
      <c r="NEH14" s="1003"/>
      <c r="NEI14" s="1003"/>
      <c r="NEJ14" s="1003"/>
      <c r="NEK14" s="1003"/>
      <c r="NEL14" s="131"/>
      <c r="NEM14" s="131"/>
      <c r="NEN14" s="131"/>
      <c r="NEO14" s="131"/>
      <c r="NEP14" s="131"/>
      <c r="NEQ14" s="131"/>
      <c r="NER14" s="131"/>
      <c r="NES14" s="131"/>
      <c r="NET14" s="131"/>
      <c r="NEU14" s="131"/>
      <c r="NEV14" s="131"/>
      <c r="NEW14" s="131"/>
      <c r="NEX14" s="1003"/>
      <c r="NEY14" s="1003"/>
      <c r="NEZ14" s="1003"/>
      <c r="NFA14" s="1003"/>
      <c r="NFB14" s="131"/>
      <c r="NFC14" s="131"/>
      <c r="NFD14" s="131"/>
      <c r="NFE14" s="131"/>
      <c r="NFF14" s="131"/>
      <c r="NFG14" s="131"/>
      <c r="NFH14" s="131"/>
      <c r="NFI14" s="131"/>
      <c r="NFJ14" s="131"/>
      <c r="NFK14" s="131"/>
      <c r="NFL14" s="131"/>
      <c r="NFM14" s="131"/>
      <c r="NFN14" s="1003"/>
      <c r="NFO14" s="1003"/>
      <c r="NFP14" s="1003"/>
      <c r="NFQ14" s="1003"/>
      <c r="NFR14" s="131"/>
      <c r="NFS14" s="131"/>
      <c r="NFT14" s="131"/>
      <c r="NFU14" s="131"/>
      <c r="NFV14" s="131"/>
      <c r="NFW14" s="131"/>
      <c r="NFX14" s="131"/>
      <c r="NFY14" s="131"/>
      <c r="NFZ14" s="131"/>
      <c r="NGA14" s="131"/>
      <c r="NGB14" s="131"/>
      <c r="NGC14" s="131"/>
      <c r="NGD14" s="1003"/>
      <c r="NGE14" s="1003"/>
      <c r="NGF14" s="1003"/>
      <c r="NGG14" s="1003"/>
      <c r="NGH14" s="131"/>
      <c r="NGI14" s="131"/>
      <c r="NGJ14" s="131"/>
      <c r="NGK14" s="131"/>
      <c r="NGL14" s="131"/>
      <c r="NGM14" s="131"/>
      <c r="NGN14" s="131"/>
      <c r="NGO14" s="131"/>
      <c r="NGP14" s="131"/>
      <c r="NGQ14" s="131"/>
      <c r="NGR14" s="131"/>
      <c r="NGS14" s="131"/>
      <c r="NGT14" s="1003"/>
      <c r="NGU14" s="1003"/>
      <c r="NGV14" s="1003"/>
      <c r="NGW14" s="1003"/>
      <c r="NGX14" s="131"/>
      <c r="NGY14" s="131"/>
      <c r="NGZ14" s="131"/>
      <c r="NHA14" s="131"/>
      <c r="NHB14" s="131"/>
      <c r="NHC14" s="131"/>
      <c r="NHD14" s="131"/>
      <c r="NHE14" s="131"/>
      <c r="NHF14" s="131"/>
      <c r="NHG14" s="131"/>
      <c r="NHH14" s="131"/>
      <c r="NHI14" s="131"/>
      <c r="NHJ14" s="1003"/>
      <c r="NHK14" s="1003"/>
      <c r="NHL14" s="1003"/>
      <c r="NHM14" s="1003"/>
      <c r="NHN14" s="131"/>
      <c r="NHO14" s="131"/>
      <c r="NHP14" s="131"/>
      <c r="NHQ14" s="131"/>
      <c r="NHR14" s="131"/>
      <c r="NHS14" s="131"/>
      <c r="NHT14" s="131"/>
      <c r="NHU14" s="131"/>
      <c r="NHV14" s="131"/>
      <c r="NHW14" s="131"/>
      <c r="NHX14" s="131"/>
      <c r="NHY14" s="131"/>
      <c r="NHZ14" s="1003"/>
      <c r="NIA14" s="1003"/>
      <c r="NIB14" s="1003"/>
      <c r="NIC14" s="1003"/>
      <c r="NID14" s="131"/>
      <c r="NIE14" s="131"/>
      <c r="NIF14" s="131"/>
      <c r="NIG14" s="131"/>
      <c r="NIH14" s="131"/>
      <c r="NII14" s="131"/>
      <c r="NIJ14" s="131"/>
      <c r="NIK14" s="131"/>
      <c r="NIL14" s="131"/>
      <c r="NIM14" s="131"/>
      <c r="NIN14" s="131"/>
      <c r="NIO14" s="131"/>
      <c r="NIP14" s="1003"/>
      <c r="NIQ14" s="1003"/>
      <c r="NIR14" s="1003"/>
      <c r="NIS14" s="1003"/>
      <c r="NIT14" s="131"/>
      <c r="NIU14" s="131"/>
      <c r="NIV14" s="131"/>
      <c r="NIW14" s="131"/>
      <c r="NIX14" s="131"/>
      <c r="NIY14" s="131"/>
      <c r="NIZ14" s="131"/>
      <c r="NJA14" s="131"/>
      <c r="NJB14" s="131"/>
      <c r="NJC14" s="131"/>
      <c r="NJD14" s="131"/>
      <c r="NJE14" s="131"/>
      <c r="NJF14" s="1003"/>
      <c r="NJG14" s="1003"/>
      <c r="NJH14" s="1003"/>
      <c r="NJI14" s="1003"/>
      <c r="NJJ14" s="131"/>
      <c r="NJK14" s="131"/>
      <c r="NJL14" s="131"/>
      <c r="NJM14" s="131"/>
      <c r="NJN14" s="131"/>
      <c r="NJO14" s="131"/>
      <c r="NJP14" s="131"/>
      <c r="NJQ14" s="131"/>
      <c r="NJR14" s="131"/>
      <c r="NJS14" s="131"/>
      <c r="NJT14" s="131"/>
      <c r="NJU14" s="131"/>
      <c r="NJV14" s="1003"/>
      <c r="NJW14" s="1003"/>
      <c r="NJX14" s="1003"/>
      <c r="NJY14" s="1003"/>
      <c r="NJZ14" s="131"/>
      <c r="NKA14" s="131"/>
      <c r="NKB14" s="131"/>
      <c r="NKC14" s="131"/>
      <c r="NKD14" s="131"/>
      <c r="NKE14" s="131"/>
      <c r="NKF14" s="131"/>
      <c r="NKG14" s="131"/>
      <c r="NKH14" s="131"/>
      <c r="NKI14" s="131"/>
      <c r="NKJ14" s="131"/>
      <c r="NKK14" s="131"/>
      <c r="NKL14" s="1003"/>
      <c r="NKM14" s="1003"/>
      <c r="NKN14" s="1003"/>
      <c r="NKO14" s="1003"/>
      <c r="NKP14" s="131"/>
      <c r="NKQ14" s="131"/>
      <c r="NKR14" s="131"/>
      <c r="NKS14" s="131"/>
      <c r="NKT14" s="131"/>
      <c r="NKU14" s="131"/>
      <c r="NKV14" s="131"/>
      <c r="NKW14" s="131"/>
      <c r="NKX14" s="131"/>
      <c r="NKY14" s="131"/>
      <c r="NKZ14" s="131"/>
      <c r="NLA14" s="131"/>
      <c r="NLB14" s="1003"/>
      <c r="NLC14" s="1003"/>
      <c r="NLD14" s="1003"/>
      <c r="NLE14" s="1003"/>
      <c r="NLF14" s="131"/>
      <c r="NLG14" s="131"/>
      <c r="NLH14" s="131"/>
      <c r="NLI14" s="131"/>
      <c r="NLJ14" s="131"/>
      <c r="NLK14" s="131"/>
      <c r="NLL14" s="131"/>
      <c r="NLM14" s="131"/>
      <c r="NLN14" s="131"/>
      <c r="NLO14" s="131"/>
      <c r="NLP14" s="131"/>
      <c r="NLQ14" s="131"/>
      <c r="NLR14" s="1003"/>
      <c r="NLS14" s="1003"/>
      <c r="NLT14" s="1003"/>
      <c r="NLU14" s="1003"/>
      <c r="NLV14" s="131"/>
      <c r="NLW14" s="131"/>
      <c r="NLX14" s="131"/>
      <c r="NLY14" s="131"/>
      <c r="NLZ14" s="131"/>
      <c r="NMA14" s="131"/>
      <c r="NMB14" s="131"/>
      <c r="NMC14" s="131"/>
      <c r="NMD14" s="131"/>
      <c r="NME14" s="131"/>
      <c r="NMF14" s="131"/>
      <c r="NMG14" s="131"/>
      <c r="NMH14" s="1003"/>
      <c r="NMI14" s="1003"/>
      <c r="NMJ14" s="1003"/>
      <c r="NMK14" s="1003"/>
      <c r="NML14" s="131"/>
      <c r="NMM14" s="131"/>
      <c r="NMN14" s="131"/>
      <c r="NMO14" s="131"/>
      <c r="NMP14" s="131"/>
      <c r="NMQ14" s="131"/>
      <c r="NMR14" s="131"/>
      <c r="NMS14" s="131"/>
      <c r="NMT14" s="131"/>
      <c r="NMU14" s="131"/>
      <c r="NMV14" s="131"/>
      <c r="NMW14" s="131"/>
      <c r="NMX14" s="1003"/>
      <c r="NMY14" s="1003"/>
      <c r="NMZ14" s="1003"/>
      <c r="NNA14" s="1003"/>
      <c r="NNB14" s="131"/>
      <c r="NNC14" s="131"/>
      <c r="NND14" s="131"/>
      <c r="NNE14" s="131"/>
      <c r="NNF14" s="131"/>
      <c r="NNG14" s="131"/>
      <c r="NNH14" s="131"/>
      <c r="NNI14" s="131"/>
      <c r="NNJ14" s="131"/>
      <c r="NNK14" s="131"/>
      <c r="NNL14" s="131"/>
      <c r="NNM14" s="131"/>
      <c r="NNN14" s="1003"/>
      <c r="NNO14" s="1003"/>
      <c r="NNP14" s="1003"/>
      <c r="NNQ14" s="1003"/>
      <c r="NNR14" s="131"/>
      <c r="NNS14" s="131"/>
      <c r="NNT14" s="131"/>
      <c r="NNU14" s="131"/>
      <c r="NNV14" s="131"/>
      <c r="NNW14" s="131"/>
      <c r="NNX14" s="131"/>
      <c r="NNY14" s="131"/>
      <c r="NNZ14" s="131"/>
      <c r="NOA14" s="131"/>
      <c r="NOB14" s="131"/>
      <c r="NOC14" s="131"/>
      <c r="NOD14" s="1003"/>
      <c r="NOE14" s="1003"/>
      <c r="NOF14" s="1003"/>
      <c r="NOG14" s="1003"/>
      <c r="NOH14" s="131"/>
      <c r="NOI14" s="131"/>
      <c r="NOJ14" s="131"/>
      <c r="NOK14" s="131"/>
      <c r="NOL14" s="131"/>
      <c r="NOM14" s="131"/>
      <c r="NON14" s="131"/>
      <c r="NOO14" s="131"/>
      <c r="NOP14" s="131"/>
      <c r="NOQ14" s="131"/>
      <c r="NOR14" s="131"/>
      <c r="NOS14" s="131"/>
      <c r="NOT14" s="1003"/>
      <c r="NOU14" s="1003"/>
      <c r="NOV14" s="1003"/>
      <c r="NOW14" s="1003"/>
      <c r="NOX14" s="131"/>
      <c r="NOY14" s="131"/>
      <c r="NOZ14" s="131"/>
      <c r="NPA14" s="131"/>
      <c r="NPB14" s="131"/>
      <c r="NPC14" s="131"/>
      <c r="NPD14" s="131"/>
      <c r="NPE14" s="131"/>
      <c r="NPF14" s="131"/>
      <c r="NPG14" s="131"/>
      <c r="NPH14" s="131"/>
      <c r="NPI14" s="131"/>
      <c r="NPJ14" s="1003"/>
      <c r="NPK14" s="1003"/>
      <c r="NPL14" s="1003"/>
      <c r="NPM14" s="1003"/>
      <c r="NPN14" s="131"/>
      <c r="NPO14" s="131"/>
      <c r="NPP14" s="131"/>
      <c r="NPQ14" s="131"/>
      <c r="NPR14" s="131"/>
      <c r="NPS14" s="131"/>
      <c r="NPT14" s="131"/>
      <c r="NPU14" s="131"/>
      <c r="NPV14" s="131"/>
      <c r="NPW14" s="131"/>
      <c r="NPX14" s="131"/>
      <c r="NPY14" s="131"/>
      <c r="NPZ14" s="1003"/>
      <c r="NQA14" s="1003"/>
      <c r="NQB14" s="1003"/>
      <c r="NQC14" s="1003"/>
      <c r="NQD14" s="131"/>
      <c r="NQE14" s="131"/>
      <c r="NQF14" s="131"/>
      <c r="NQG14" s="131"/>
      <c r="NQH14" s="131"/>
      <c r="NQI14" s="131"/>
      <c r="NQJ14" s="131"/>
      <c r="NQK14" s="131"/>
      <c r="NQL14" s="131"/>
      <c r="NQM14" s="131"/>
      <c r="NQN14" s="131"/>
      <c r="NQO14" s="131"/>
      <c r="NQP14" s="1003"/>
      <c r="NQQ14" s="1003"/>
      <c r="NQR14" s="1003"/>
      <c r="NQS14" s="1003"/>
      <c r="NQT14" s="131"/>
      <c r="NQU14" s="131"/>
      <c r="NQV14" s="131"/>
      <c r="NQW14" s="131"/>
      <c r="NQX14" s="131"/>
      <c r="NQY14" s="131"/>
      <c r="NQZ14" s="131"/>
      <c r="NRA14" s="131"/>
      <c r="NRB14" s="131"/>
      <c r="NRC14" s="131"/>
      <c r="NRD14" s="131"/>
      <c r="NRE14" s="131"/>
      <c r="NRF14" s="1003"/>
      <c r="NRG14" s="1003"/>
      <c r="NRH14" s="1003"/>
      <c r="NRI14" s="1003"/>
      <c r="NRJ14" s="131"/>
      <c r="NRK14" s="131"/>
      <c r="NRL14" s="131"/>
      <c r="NRM14" s="131"/>
      <c r="NRN14" s="131"/>
      <c r="NRO14" s="131"/>
      <c r="NRP14" s="131"/>
      <c r="NRQ14" s="131"/>
      <c r="NRR14" s="131"/>
      <c r="NRS14" s="131"/>
      <c r="NRT14" s="131"/>
      <c r="NRU14" s="131"/>
      <c r="NRV14" s="1003"/>
      <c r="NRW14" s="1003"/>
      <c r="NRX14" s="1003"/>
      <c r="NRY14" s="1003"/>
      <c r="NRZ14" s="131"/>
      <c r="NSA14" s="131"/>
      <c r="NSB14" s="131"/>
      <c r="NSC14" s="131"/>
      <c r="NSD14" s="131"/>
      <c r="NSE14" s="131"/>
      <c r="NSF14" s="131"/>
      <c r="NSG14" s="131"/>
      <c r="NSH14" s="131"/>
      <c r="NSI14" s="131"/>
      <c r="NSJ14" s="131"/>
      <c r="NSK14" s="131"/>
      <c r="NSL14" s="1003"/>
      <c r="NSM14" s="1003"/>
      <c r="NSN14" s="1003"/>
      <c r="NSO14" s="1003"/>
      <c r="NSP14" s="131"/>
      <c r="NSQ14" s="131"/>
      <c r="NSR14" s="131"/>
      <c r="NSS14" s="131"/>
      <c r="NST14" s="131"/>
      <c r="NSU14" s="131"/>
      <c r="NSV14" s="131"/>
      <c r="NSW14" s="131"/>
      <c r="NSX14" s="131"/>
      <c r="NSY14" s="131"/>
      <c r="NSZ14" s="131"/>
      <c r="NTA14" s="131"/>
      <c r="NTB14" s="1003"/>
      <c r="NTC14" s="1003"/>
      <c r="NTD14" s="1003"/>
      <c r="NTE14" s="1003"/>
      <c r="NTF14" s="131"/>
      <c r="NTG14" s="131"/>
      <c r="NTH14" s="131"/>
      <c r="NTI14" s="131"/>
      <c r="NTJ14" s="131"/>
      <c r="NTK14" s="131"/>
      <c r="NTL14" s="131"/>
      <c r="NTM14" s="131"/>
      <c r="NTN14" s="131"/>
      <c r="NTO14" s="131"/>
      <c r="NTP14" s="131"/>
      <c r="NTQ14" s="131"/>
      <c r="NTR14" s="1003"/>
      <c r="NTS14" s="1003"/>
      <c r="NTT14" s="1003"/>
      <c r="NTU14" s="1003"/>
      <c r="NTV14" s="131"/>
      <c r="NTW14" s="131"/>
      <c r="NTX14" s="131"/>
      <c r="NTY14" s="131"/>
      <c r="NTZ14" s="131"/>
      <c r="NUA14" s="131"/>
      <c r="NUB14" s="131"/>
      <c r="NUC14" s="131"/>
      <c r="NUD14" s="131"/>
      <c r="NUE14" s="131"/>
      <c r="NUF14" s="131"/>
      <c r="NUG14" s="131"/>
      <c r="NUH14" s="1003"/>
      <c r="NUI14" s="1003"/>
      <c r="NUJ14" s="1003"/>
      <c r="NUK14" s="1003"/>
      <c r="NUL14" s="131"/>
      <c r="NUM14" s="131"/>
      <c r="NUN14" s="131"/>
      <c r="NUO14" s="131"/>
      <c r="NUP14" s="131"/>
      <c r="NUQ14" s="131"/>
      <c r="NUR14" s="131"/>
      <c r="NUS14" s="131"/>
      <c r="NUT14" s="131"/>
      <c r="NUU14" s="131"/>
      <c r="NUV14" s="131"/>
      <c r="NUW14" s="131"/>
      <c r="NUX14" s="1003"/>
      <c r="NUY14" s="1003"/>
      <c r="NUZ14" s="1003"/>
      <c r="NVA14" s="1003"/>
      <c r="NVB14" s="131"/>
      <c r="NVC14" s="131"/>
      <c r="NVD14" s="131"/>
      <c r="NVE14" s="131"/>
      <c r="NVF14" s="131"/>
      <c r="NVG14" s="131"/>
      <c r="NVH14" s="131"/>
      <c r="NVI14" s="131"/>
      <c r="NVJ14" s="131"/>
      <c r="NVK14" s="131"/>
      <c r="NVL14" s="131"/>
      <c r="NVM14" s="131"/>
      <c r="NVN14" s="1003"/>
      <c r="NVO14" s="1003"/>
      <c r="NVP14" s="1003"/>
      <c r="NVQ14" s="1003"/>
      <c r="NVR14" s="131"/>
      <c r="NVS14" s="131"/>
      <c r="NVT14" s="131"/>
      <c r="NVU14" s="131"/>
      <c r="NVV14" s="131"/>
      <c r="NVW14" s="131"/>
      <c r="NVX14" s="131"/>
      <c r="NVY14" s="131"/>
      <c r="NVZ14" s="131"/>
      <c r="NWA14" s="131"/>
      <c r="NWB14" s="131"/>
      <c r="NWC14" s="131"/>
      <c r="NWD14" s="1003"/>
      <c r="NWE14" s="1003"/>
      <c r="NWF14" s="1003"/>
      <c r="NWG14" s="1003"/>
      <c r="NWH14" s="131"/>
      <c r="NWI14" s="131"/>
      <c r="NWJ14" s="131"/>
      <c r="NWK14" s="131"/>
      <c r="NWL14" s="131"/>
      <c r="NWM14" s="131"/>
      <c r="NWN14" s="131"/>
      <c r="NWO14" s="131"/>
      <c r="NWP14" s="131"/>
      <c r="NWQ14" s="131"/>
      <c r="NWR14" s="131"/>
      <c r="NWS14" s="131"/>
      <c r="NWT14" s="1003"/>
      <c r="NWU14" s="1003"/>
      <c r="NWV14" s="1003"/>
      <c r="NWW14" s="1003"/>
      <c r="NWX14" s="131"/>
      <c r="NWY14" s="131"/>
      <c r="NWZ14" s="131"/>
      <c r="NXA14" s="131"/>
      <c r="NXB14" s="131"/>
      <c r="NXC14" s="131"/>
      <c r="NXD14" s="131"/>
      <c r="NXE14" s="131"/>
      <c r="NXF14" s="131"/>
      <c r="NXG14" s="131"/>
      <c r="NXH14" s="131"/>
      <c r="NXI14" s="131"/>
      <c r="NXJ14" s="1003"/>
      <c r="NXK14" s="1003"/>
      <c r="NXL14" s="1003"/>
      <c r="NXM14" s="1003"/>
      <c r="NXN14" s="131"/>
      <c r="NXO14" s="131"/>
      <c r="NXP14" s="131"/>
      <c r="NXQ14" s="131"/>
      <c r="NXR14" s="131"/>
      <c r="NXS14" s="131"/>
      <c r="NXT14" s="131"/>
      <c r="NXU14" s="131"/>
      <c r="NXV14" s="131"/>
      <c r="NXW14" s="131"/>
      <c r="NXX14" s="131"/>
      <c r="NXY14" s="131"/>
      <c r="NXZ14" s="1003"/>
      <c r="NYA14" s="1003"/>
      <c r="NYB14" s="1003"/>
      <c r="NYC14" s="1003"/>
      <c r="NYD14" s="131"/>
      <c r="NYE14" s="131"/>
      <c r="NYF14" s="131"/>
      <c r="NYG14" s="131"/>
      <c r="NYH14" s="131"/>
      <c r="NYI14" s="131"/>
      <c r="NYJ14" s="131"/>
      <c r="NYK14" s="131"/>
      <c r="NYL14" s="131"/>
      <c r="NYM14" s="131"/>
      <c r="NYN14" s="131"/>
      <c r="NYO14" s="131"/>
      <c r="NYP14" s="1003"/>
      <c r="NYQ14" s="1003"/>
      <c r="NYR14" s="1003"/>
      <c r="NYS14" s="1003"/>
      <c r="NYT14" s="131"/>
      <c r="NYU14" s="131"/>
      <c r="NYV14" s="131"/>
      <c r="NYW14" s="131"/>
      <c r="NYX14" s="131"/>
      <c r="NYY14" s="131"/>
      <c r="NYZ14" s="131"/>
      <c r="NZA14" s="131"/>
      <c r="NZB14" s="131"/>
      <c r="NZC14" s="131"/>
      <c r="NZD14" s="131"/>
      <c r="NZE14" s="131"/>
      <c r="NZF14" s="1003"/>
      <c r="NZG14" s="1003"/>
      <c r="NZH14" s="1003"/>
      <c r="NZI14" s="1003"/>
      <c r="NZJ14" s="131"/>
      <c r="NZK14" s="131"/>
      <c r="NZL14" s="131"/>
      <c r="NZM14" s="131"/>
      <c r="NZN14" s="131"/>
      <c r="NZO14" s="131"/>
      <c r="NZP14" s="131"/>
      <c r="NZQ14" s="131"/>
      <c r="NZR14" s="131"/>
      <c r="NZS14" s="131"/>
      <c r="NZT14" s="131"/>
      <c r="NZU14" s="131"/>
      <c r="NZV14" s="1003"/>
      <c r="NZW14" s="1003"/>
      <c r="NZX14" s="1003"/>
      <c r="NZY14" s="1003"/>
      <c r="NZZ14" s="131"/>
      <c r="OAA14" s="131"/>
      <c r="OAB14" s="131"/>
      <c r="OAC14" s="131"/>
      <c r="OAD14" s="131"/>
      <c r="OAE14" s="131"/>
      <c r="OAF14" s="131"/>
      <c r="OAG14" s="131"/>
      <c r="OAH14" s="131"/>
      <c r="OAI14" s="131"/>
      <c r="OAJ14" s="131"/>
      <c r="OAK14" s="131"/>
      <c r="OAL14" s="1003"/>
      <c r="OAM14" s="1003"/>
      <c r="OAN14" s="1003"/>
      <c r="OAO14" s="1003"/>
      <c r="OAP14" s="131"/>
      <c r="OAQ14" s="131"/>
      <c r="OAR14" s="131"/>
      <c r="OAS14" s="131"/>
      <c r="OAT14" s="131"/>
      <c r="OAU14" s="131"/>
      <c r="OAV14" s="131"/>
      <c r="OAW14" s="131"/>
      <c r="OAX14" s="131"/>
      <c r="OAY14" s="131"/>
      <c r="OAZ14" s="131"/>
      <c r="OBA14" s="131"/>
      <c r="OBB14" s="1003"/>
      <c r="OBC14" s="1003"/>
      <c r="OBD14" s="1003"/>
      <c r="OBE14" s="1003"/>
      <c r="OBF14" s="131"/>
      <c r="OBG14" s="131"/>
      <c r="OBH14" s="131"/>
      <c r="OBI14" s="131"/>
      <c r="OBJ14" s="131"/>
      <c r="OBK14" s="131"/>
      <c r="OBL14" s="131"/>
      <c r="OBM14" s="131"/>
      <c r="OBN14" s="131"/>
      <c r="OBO14" s="131"/>
      <c r="OBP14" s="131"/>
      <c r="OBQ14" s="131"/>
      <c r="OBR14" s="1003"/>
      <c r="OBS14" s="1003"/>
      <c r="OBT14" s="1003"/>
      <c r="OBU14" s="1003"/>
      <c r="OBV14" s="131"/>
      <c r="OBW14" s="131"/>
      <c r="OBX14" s="131"/>
      <c r="OBY14" s="131"/>
      <c r="OBZ14" s="131"/>
      <c r="OCA14" s="131"/>
      <c r="OCB14" s="131"/>
      <c r="OCC14" s="131"/>
      <c r="OCD14" s="131"/>
      <c r="OCE14" s="131"/>
      <c r="OCF14" s="131"/>
      <c r="OCG14" s="131"/>
      <c r="OCH14" s="1003"/>
      <c r="OCI14" s="1003"/>
      <c r="OCJ14" s="1003"/>
      <c r="OCK14" s="1003"/>
      <c r="OCX14" s="1003"/>
      <c r="OCY14" s="1003"/>
      <c r="OCZ14" s="1003"/>
      <c r="ODA14" s="1003"/>
      <c r="ODB14" s="131"/>
      <c r="ODC14" s="131"/>
      <c r="ODD14" s="131"/>
      <c r="ODE14" s="131"/>
      <c r="ODF14" s="131"/>
      <c r="ODG14" s="131"/>
      <c r="ODH14" s="131"/>
      <c r="ODI14" s="131"/>
      <c r="ODJ14" s="131"/>
      <c r="ODK14" s="131"/>
      <c r="ODL14" s="131"/>
      <c r="ODM14" s="131"/>
      <c r="ODN14" s="1003"/>
      <c r="ODO14" s="1003"/>
      <c r="ODP14" s="1003"/>
      <c r="ODQ14" s="1003"/>
      <c r="ODR14" s="131"/>
      <c r="ODS14" s="131"/>
      <c r="ODT14" s="131"/>
      <c r="ODU14" s="131"/>
      <c r="ODV14" s="131"/>
      <c r="ODW14" s="131"/>
      <c r="ODX14" s="131"/>
      <c r="ODY14" s="131"/>
      <c r="ODZ14" s="131"/>
      <c r="OEA14" s="131"/>
      <c r="OEB14" s="131"/>
      <c r="OEC14" s="131"/>
      <c r="OED14" s="1003"/>
      <c r="OEE14" s="1003"/>
      <c r="OEF14" s="1003"/>
      <c r="OEG14" s="1003"/>
      <c r="OEH14" s="131"/>
      <c r="OEI14" s="131"/>
      <c r="OEJ14" s="131"/>
      <c r="OEK14" s="131"/>
      <c r="OEL14" s="131"/>
      <c r="OEM14" s="131"/>
      <c r="OEN14" s="131"/>
      <c r="OEO14" s="131"/>
      <c r="OEP14" s="131"/>
      <c r="OEQ14" s="131"/>
      <c r="OER14" s="131"/>
      <c r="OES14" s="131"/>
      <c r="OET14" s="1003"/>
      <c r="OEU14" s="1003"/>
      <c r="OEV14" s="1003"/>
      <c r="OEW14" s="1003"/>
      <c r="OEX14" s="131"/>
      <c r="OEY14" s="131"/>
      <c r="OEZ14" s="131"/>
      <c r="OFA14" s="131"/>
      <c r="OFB14" s="131"/>
      <c r="OFC14" s="131"/>
      <c r="OFD14" s="131"/>
      <c r="OFE14" s="131"/>
      <c r="OFF14" s="131"/>
      <c r="OFG14" s="131"/>
      <c r="OFH14" s="131"/>
      <c r="OFI14" s="131"/>
      <c r="OFJ14" s="1003"/>
      <c r="OFK14" s="1003"/>
      <c r="OFL14" s="1003"/>
      <c r="OFM14" s="1003"/>
      <c r="OFN14" s="131"/>
      <c r="OFO14" s="131"/>
      <c r="OFP14" s="131"/>
      <c r="OFQ14" s="131"/>
      <c r="OFR14" s="131"/>
      <c r="OFS14" s="131"/>
      <c r="OFT14" s="131"/>
      <c r="OFU14" s="131"/>
      <c r="OFV14" s="131"/>
      <c r="OFW14" s="131"/>
      <c r="OFX14" s="131"/>
      <c r="OFY14" s="131"/>
      <c r="OFZ14" s="1003"/>
      <c r="OGA14" s="1003"/>
      <c r="OGB14" s="1003"/>
      <c r="OGC14" s="1003"/>
      <c r="OGD14" s="131"/>
      <c r="OGE14" s="131"/>
      <c r="OGF14" s="131"/>
      <c r="OGG14" s="131"/>
      <c r="OGH14" s="131"/>
      <c r="OGI14" s="131"/>
      <c r="OGJ14" s="131"/>
      <c r="OGK14" s="131"/>
      <c r="OGL14" s="131"/>
      <c r="OGM14" s="131"/>
      <c r="OGN14" s="131"/>
      <c r="OGO14" s="131"/>
      <c r="OGP14" s="1003"/>
      <c r="OGQ14" s="1003"/>
      <c r="OGR14" s="1003"/>
      <c r="OGS14" s="1003"/>
      <c r="OGT14" s="131"/>
      <c r="OGU14" s="131"/>
      <c r="OGV14" s="131"/>
      <c r="OGW14" s="131"/>
      <c r="OGX14" s="131"/>
      <c r="OGY14" s="131"/>
      <c r="OGZ14" s="131"/>
      <c r="OHA14" s="131"/>
      <c r="OHB14" s="131"/>
      <c r="OHC14" s="131"/>
      <c r="OHD14" s="131"/>
      <c r="OHE14" s="131"/>
      <c r="OHF14" s="1003"/>
      <c r="OHG14" s="1003"/>
      <c r="OHH14" s="1003"/>
      <c r="OHI14" s="1003"/>
      <c r="OHJ14" s="131"/>
      <c r="OHK14" s="131"/>
      <c r="OHL14" s="131"/>
      <c r="OHM14" s="131"/>
      <c r="OHN14" s="131"/>
      <c r="OHO14" s="131"/>
      <c r="OHP14" s="131"/>
      <c r="OHQ14" s="131"/>
      <c r="OHR14" s="131"/>
      <c r="OHS14" s="131"/>
      <c r="OHT14" s="131"/>
      <c r="OHU14" s="131"/>
      <c r="OHV14" s="1003"/>
      <c r="OHW14" s="1003"/>
      <c r="OHX14" s="1003"/>
      <c r="OHY14" s="1003"/>
      <c r="OHZ14" s="131"/>
      <c r="OIA14" s="131"/>
      <c r="OIB14" s="131"/>
      <c r="OIC14" s="131"/>
      <c r="OID14" s="131"/>
      <c r="OIE14" s="131"/>
      <c r="OIF14" s="131"/>
      <c r="OIG14" s="131"/>
      <c r="OIH14" s="131"/>
      <c r="OII14" s="131"/>
      <c r="OIJ14" s="131"/>
      <c r="OIK14" s="131"/>
      <c r="OIL14" s="1003"/>
      <c r="OIM14" s="1003"/>
      <c r="OIN14" s="1003"/>
      <c r="OIO14" s="1003"/>
      <c r="OIP14" s="131"/>
      <c r="OIQ14" s="131"/>
      <c r="OIR14" s="131"/>
      <c r="OIS14" s="131"/>
      <c r="OIT14" s="131"/>
      <c r="OIU14" s="131"/>
      <c r="OIV14" s="131"/>
      <c r="OIW14" s="131"/>
      <c r="OIX14" s="131"/>
      <c r="OIY14" s="131"/>
      <c r="OIZ14" s="131"/>
      <c r="OJA14" s="131"/>
      <c r="OJB14" s="1003"/>
      <c r="OJC14" s="1003"/>
      <c r="OJD14" s="1003"/>
      <c r="OJE14" s="1003"/>
      <c r="OJF14" s="131"/>
      <c r="OJG14" s="131"/>
      <c r="OJH14" s="131"/>
      <c r="OJI14" s="131"/>
      <c r="OJJ14" s="131"/>
      <c r="OJK14" s="131"/>
      <c r="OJL14" s="131"/>
      <c r="OJM14" s="131"/>
      <c r="OJN14" s="131"/>
      <c r="OJO14" s="131"/>
      <c r="OJP14" s="131"/>
      <c r="OJQ14" s="131"/>
      <c r="OJR14" s="1003"/>
      <c r="OJS14" s="1003"/>
      <c r="OJT14" s="1003"/>
      <c r="OJU14" s="1003"/>
      <c r="OJV14" s="131"/>
      <c r="OJW14" s="131"/>
      <c r="OJX14" s="131"/>
      <c r="OJY14" s="131"/>
      <c r="OJZ14" s="131"/>
      <c r="OKA14" s="131"/>
      <c r="OKB14" s="131"/>
      <c r="OKC14" s="131"/>
      <c r="OKD14" s="131"/>
      <c r="OKE14" s="131"/>
      <c r="OKF14" s="131"/>
      <c r="OKG14" s="131"/>
      <c r="OKH14" s="1003"/>
      <c r="OKI14" s="1003"/>
      <c r="OKJ14" s="1003"/>
      <c r="OKK14" s="1003"/>
      <c r="OKL14" s="131"/>
      <c r="OKM14" s="131"/>
      <c r="OKN14" s="131"/>
      <c r="OKO14" s="131"/>
      <c r="OKP14" s="131"/>
      <c r="OKQ14" s="131"/>
      <c r="OKR14" s="131"/>
      <c r="OKS14" s="131"/>
      <c r="OKT14" s="131"/>
      <c r="OKU14" s="131"/>
      <c r="OKV14" s="131"/>
      <c r="OKW14" s="131"/>
      <c r="OKX14" s="1003"/>
      <c r="OKY14" s="1003"/>
      <c r="OKZ14" s="1003"/>
      <c r="OLA14" s="1003"/>
      <c r="OLB14" s="131"/>
      <c r="OLC14" s="131"/>
      <c r="OLD14" s="131"/>
      <c r="OLE14" s="131"/>
      <c r="OLF14" s="131"/>
      <c r="OLG14" s="131"/>
      <c r="OLH14" s="131"/>
      <c r="OLI14" s="131"/>
      <c r="OLJ14" s="131"/>
      <c r="OLK14" s="131"/>
      <c r="OLL14" s="131"/>
      <c r="OLM14" s="131"/>
      <c r="OLN14" s="1003"/>
      <c r="OLO14" s="1003"/>
      <c r="OLP14" s="1003"/>
      <c r="OLQ14" s="1003"/>
      <c r="OLR14" s="131"/>
      <c r="OLS14" s="131"/>
      <c r="OLT14" s="131"/>
      <c r="OLU14" s="131"/>
      <c r="OLV14" s="131"/>
      <c r="OLW14" s="131"/>
      <c r="OLX14" s="131"/>
      <c r="OLY14" s="131"/>
      <c r="OLZ14" s="131"/>
      <c r="OMA14" s="131"/>
      <c r="OMB14" s="131"/>
      <c r="OMC14" s="131"/>
      <c r="OMD14" s="1003"/>
      <c r="OME14" s="1003"/>
      <c r="OMF14" s="1003"/>
      <c r="OMG14" s="1003"/>
      <c r="OMH14" s="131"/>
      <c r="OMI14" s="131"/>
      <c r="OMJ14" s="131"/>
      <c r="OMK14" s="131"/>
      <c r="OML14" s="131"/>
      <c r="OMM14" s="131"/>
      <c r="OMN14" s="131"/>
      <c r="OMO14" s="131"/>
      <c r="OMP14" s="131"/>
      <c r="OMQ14" s="131"/>
      <c r="OMR14" s="131"/>
      <c r="OMS14" s="131"/>
      <c r="OMT14" s="1003"/>
      <c r="OMU14" s="1003"/>
      <c r="OMV14" s="1003"/>
      <c r="OMW14" s="1003"/>
      <c r="OMX14" s="131"/>
      <c r="OMY14" s="131"/>
      <c r="OMZ14" s="131"/>
      <c r="ONA14" s="131"/>
      <c r="ONB14" s="131"/>
      <c r="ONC14" s="131"/>
      <c r="OND14" s="131"/>
      <c r="ONE14" s="131"/>
      <c r="ONF14" s="131"/>
      <c r="ONG14" s="131"/>
      <c r="ONH14" s="131"/>
      <c r="ONI14" s="131"/>
      <c r="ONJ14" s="1003"/>
      <c r="ONK14" s="1003"/>
      <c r="ONL14" s="1003"/>
      <c r="ONM14" s="1003"/>
      <c r="ONN14" s="131"/>
      <c r="ONO14" s="131"/>
      <c r="ONP14" s="131"/>
      <c r="ONQ14" s="131"/>
      <c r="ONR14" s="131"/>
      <c r="ONS14" s="131"/>
      <c r="ONT14" s="131"/>
      <c r="ONU14" s="131"/>
      <c r="ONV14" s="131"/>
      <c r="ONW14" s="131"/>
      <c r="ONX14" s="131"/>
      <c r="ONY14" s="131"/>
      <c r="ONZ14" s="1003"/>
      <c r="OOA14" s="1003"/>
      <c r="OOB14" s="1003"/>
      <c r="OOC14" s="1003"/>
      <c r="OOD14" s="131"/>
      <c r="OOE14" s="131"/>
      <c r="OOF14" s="131"/>
      <c r="OOG14" s="131"/>
      <c r="OOH14" s="131"/>
      <c r="OOI14" s="131"/>
      <c r="OOJ14" s="131"/>
      <c r="OOK14" s="131"/>
      <c r="OOL14" s="131"/>
      <c r="OOM14" s="131"/>
      <c r="OON14" s="131"/>
      <c r="OOO14" s="131"/>
      <c r="OOP14" s="1003"/>
      <c r="OOQ14" s="1003"/>
      <c r="OOR14" s="1003"/>
      <c r="OOS14" s="1003"/>
      <c r="OOT14" s="131"/>
      <c r="OOU14" s="131"/>
      <c r="OOV14" s="131"/>
      <c r="OOW14" s="131"/>
      <c r="OOX14" s="131"/>
      <c r="OOY14" s="131"/>
      <c r="OOZ14" s="131"/>
      <c r="OPA14" s="131"/>
      <c r="OPB14" s="131"/>
      <c r="OPC14" s="131"/>
      <c r="OPD14" s="131"/>
      <c r="OPE14" s="131"/>
      <c r="OPF14" s="1003"/>
      <c r="OPG14" s="1003"/>
      <c r="OPH14" s="1003"/>
      <c r="OPI14" s="1003"/>
      <c r="OPJ14" s="131"/>
      <c r="OPK14" s="131"/>
      <c r="OPL14" s="131"/>
      <c r="OPM14" s="131"/>
      <c r="OPN14" s="131"/>
      <c r="OPO14" s="131"/>
      <c r="OPP14" s="131"/>
      <c r="OPQ14" s="131"/>
      <c r="OPR14" s="131"/>
      <c r="OPS14" s="131"/>
      <c r="OPT14" s="131"/>
      <c r="OPU14" s="131"/>
      <c r="OPV14" s="1003"/>
      <c r="OPW14" s="1003"/>
      <c r="OPX14" s="1003"/>
      <c r="OPY14" s="1003"/>
      <c r="OPZ14" s="131"/>
      <c r="OQA14" s="131"/>
      <c r="OQB14" s="131"/>
      <c r="OQC14" s="131"/>
      <c r="OQD14" s="131"/>
      <c r="OQE14" s="131"/>
      <c r="OQF14" s="131"/>
      <c r="OQG14" s="131"/>
      <c r="OQH14" s="131"/>
      <c r="OQI14" s="131"/>
      <c r="OQJ14" s="131"/>
      <c r="OQK14" s="131"/>
      <c r="OQL14" s="1003"/>
      <c r="OQM14" s="1003"/>
      <c r="OQN14" s="1003"/>
      <c r="OQO14" s="1003"/>
      <c r="OQP14" s="131"/>
      <c r="OQQ14" s="131"/>
      <c r="OQR14" s="131"/>
      <c r="OQS14" s="131"/>
      <c r="OQT14" s="131"/>
      <c r="OQU14" s="131"/>
      <c r="OQV14" s="131"/>
      <c r="OQW14" s="131"/>
      <c r="OQX14" s="131"/>
      <c r="OQY14" s="131"/>
      <c r="OQZ14" s="131"/>
      <c r="ORA14" s="131"/>
      <c r="ORB14" s="1003"/>
      <c r="ORC14" s="1003"/>
      <c r="ORD14" s="1003"/>
      <c r="ORE14" s="1003"/>
      <c r="ORF14" s="131"/>
      <c r="ORG14" s="131"/>
      <c r="ORH14" s="131"/>
      <c r="ORI14" s="131"/>
      <c r="ORJ14" s="131"/>
      <c r="ORK14" s="131"/>
      <c r="ORL14" s="131"/>
      <c r="ORM14" s="131"/>
      <c r="ORN14" s="131"/>
      <c r="ORO14" s="131"/>
      <c r="ORP14" s="131"/>
      <c r="ORQ14" s="131"/>
      <c r="ORR14" s="1003"/>
      <c r="ORS14" s="1003"/>
      <c r="ORT14" s="1003"/>
      <c r="ORU14" s="1003"/>
      <c r="ORV14" s="131"/>
      <c r="ORW14" s="131"/>
      <c r="ORX14" s="131"/>
      <c r="ORY14" s="131"/>
      <c r="ORZ14" s="131"/>
      <c r="OSA14" s="131"/>
      <c r="OSB14" s="131"/>
      <c r="OSC14" s="131"/>
      <c r="OSD14" s="131"/>
      <c r="OSE14" s="131"/>
      <c r="OSF14" s="131"/>
      <c r="OSG14" s="131"/>
      <c r="OSH14" s="1003"/>
      <c r="OSI14" s="1003"/>
      <c r="OSJ14" s="1003"/>
      <c r="OSK14" s="1003"/>
      <c r="OSL14" s="131"/>
      <c r="OSM14" s="131"/>
      <c r="OSN14" s="131"/>
      <c r="OSO14" s="131"/>
      <c r="OSP14" s="131"/>
      <c r="OSQ14" s="131"/>
      <c r="OSR14" s="131"/>
      <c r="OSS14" s="131"/>
      <c r="OST14" s="131"/>
      <c r="OSU14" s="131"/>
      <c r="OSV14" s="131"/>
      <c r="OSW14" s="131"/>
      <c r="OSX14" s="1003"/>
      <c r="OSY14" s="1003"/>
      <c r="OSZ14" s="1003"/>
      <c r="OTA14" s="1003"/>
      <c r="OTB14" s="131"/>
      <c r="OTC14" s="131"/>
      <c r="OTD14" s="131"/>
      <c r="OTE14" s="131"/>
      <c r="OTF14" s="131"/>
      <c r="OTG14" s="131"/>
      <c r="OTH14" s="131"/>
      <c r="OTI14" s="131"/>
      <c r="OTJ14" s="131"/>
      <c r="OTK14" s="131"/>
      <c r="OTL14" s="131"/>
      <c r="OTM14" s="131"/>
      <c r="OTN14" s="1003"/>
      <c r="OTO14" s="1003"/>
      <c r="OTP14" s="1003"/>
      <c r="OTQ14" s="1003"/>
      <c r="OTR14" s="131"/>
      <c r="OTS14" s="131"/>
      <c r="OTT14" s="131"/>
      <c r="OTU14" s="131"/>
      <c r="OTV14" s="131"/>
      <c r="OTW14" s="131"/>
      <c r="OTX14" s="131"/>
      <c r="OTY14" s="131"/>
      <c r="OTZ14" s="131"/>
      <c r="OUA14" s="131"/>
      <c r="OUB14" s="131"/>
      <c r="OUC14" s="131"/>
      <c r="OUD14" s="1003"/>
      <c r="OUE14" s="1003"/>
      <c r="OUF14" s="1003"/>
      <c r="OUG14" s="1003"/>
      <c r="OUH14" s="131"/>
      <c r="OUI14" s="131"/>
      <c r="OUJ14" s="131"/>
      <c r="OUK14" s="131"/>
      <c r="OUL14" s="131"/>
      <c r="OUM14" s="131"/>
      <c r="OUN14" s="131"/>
      <c r="OUO14" s="131"/>
      <c r="OUP14" s="131"/>
      <c r="OUQ14" s="131"/>
      <c r="OUR14" s="131"/>
      <c r="OUS14" s="131"/>
      <c r="OUT14" s="1003"/>
      <c r="OUU14" s="1003"/>
      <c r="OUV14" s="1003"/>
      <c r="OUW14" s="1003"/>
      <c r="OUX14" s="131"/>
      <c r="OUY14" s="131"/>
      <c r="OUZ14" s="131"/>
      <c r="OVA14" s="131"/>
      <c r="OVB14" s="131"/>
      <c r="OVC14" s="131"/>
      <c r="OVD14" s="131"/>
      <c r="OVE14" s="131"/>
      <c r="OVF14" s="131"/>
      <c r="OVG14" s="131"/>
      <c r="OVH14" s="131"/>
      <c r="OVI14" s="131"/>
      <c r="OVJ14" s="1003"/>
      <c r="OVK14" s="1003"/>
      <c r="OVL14" s="1003"/>
      <c r="OVM14" s="1003"/>
      <c r="OVN14" s="131"/>
      <c r="OVO14" s="131"/>
      <c r="OVP14" s="131"/>
      <c r="OVQ14" s="131"/>
      <c r="OVR14" s="131"/>
      <c r="OVS14" s="131"/>
      <c r="OVT14" s="131"/>
      <c r="OVU14" s="131"/>
      <c r="OVV14" s="131"/>
      <c r="OVW14" s="131"/>
      <c r="OVX14" s="131"/>
      <c r="OVY14" s="131"/>
      <c r="OVZ14" s="1003"/>
      <c r="OWA14" s="1003"/>
      <c r="OWB14" s="1003"/>
      <c r="OWC14" s="1003"/>
      <c r="OWD14" s="131"/>
      <c r="OWE14" s="131"/>
      <c r="OWF14" s="131"/>
      <c r="OWG14" s="131"/>
      <c r="OWH14" s="131"/>
      <c r="OWI14" s="131"/>
      <c r="OWJ14" s="131"/>
      <c r="OWK14" s="131"/>
      <c r="OWL14" s="131"/>
      <c r="OWM14" s="131"/>
      <c r="OWN14" s="131"/>
      <c r="OWO14" s="131"/>
      <c r="OWP14" s="1003"/>
      <c r="OWQ14" s="1003"/>
      <c r="OWR14" s="1003"/>
      <c r="OWS14" s="1003"/>
      <c r="OWT14" s="131"/>
      <c r="OWU14" s="131"/>
      <c r="OWV14" s="131"/>
      <c r="OWW14" s="131"/>
      <c r="OWX14" s="131"/>
      <c r="OWY14" s="131"/>
      <c r="OWZ14" s="131"/>
      <c r="OXA14" s="131"/>
      <c r="OXB14" s="131"/>
      <c r="OXC14" s="131"/>
      <c r="OXD14" s="131"/>
      <c r="OXE14" s="131"/>
      <c r="OXF14" s="1003"/>
      <c r="OXG14" s="1003"/>
      <c r="OXH14" s="1003"/>
      <c r="OXI14" s="1003"/>
      <c r="OXJ14" s="131"/>
      <c r="OXK14" s="131"/>
      <c r="OXL14" s="131"/>
      <c r="OXM14" s="131"/>
      <c r="OXN14" s="131"/>
      <c r="OXO14" s="131"/>
      <c r="OXP14" s="131"/>
      <c r="OXQ14" s="131"/>
      <c r="OXR14" s="131"/>
      <c r="OXS14" s="131"/>
      <c r="OXT14" s="131"/>
      <c r="OXU14" s="131"/>
      <c r="OXV14" s="1003"/>
      <c r="OXW14" s="1003"/>
      <c r="OXX14" s="1003"/>
      <c r="OXY14" s="1003"/>
      <c r="OXZ14" s="131"/>
      <c r="OYA14" s="131"/>
      <c r="OYB14" s="131"/>
      <c r="OYC14" s="131"/>
      <c r="OYD14" s="131"/>
      <c r="OYE14" s="131"/>
      <c r="OYF14" s="131"/>
      <c r="OYG14" s="131"/>
      <c r="OYH14" s="131"/>
      <c r="OYI14" s="131"/>
      <c r="OYJ14" s="131"/>
      <c r="OYK14" s="131"/>
      <c r="OYL14" s="1003"/>
      <c r="OYM14" s="1003"/>
      <c r="OYN14" s="1003"/>
      <c r="OYO14" s="1003"/>
      <c r="OYP14" s="131"/>
      <c r="OYQ14" s="131"/>
      <c r="OYR14" s="131"/>
      <c r="OYS14" s="131"/>
      <c r="OYT14" s="131"/>
      <c r="OYU14" s="131"/>
      <c r="OYV14" s="131"/>
      <c r="OYW14" s="131"/>
      <c r="OYX14" s="131"/>
      <c r="OYY14" s="131"/>
      <c r="OYZ14" s="131"/>
      <c r="OZA14" s="131"/>
      <c r="OZB14" s="1003"/>
      <c r="OZC14" s="1003"/>
      <c r="OZD14" s="1003"/>
      <c r="OZE14" s="1003"/>
      <c r="OZF14" s="131"/>
      <c r="OZG14" s="131"/>
      <c r="OZH14" s="131"/>
      <c r="OZI14" s="131"/>
      <c r="OZJ14" s="131"/>
      <c r="OZK14" s="131"/>
      <c r="OZL14" s="131"/>
      <c r="OZM14" s="131"/>
      <c r="OZN14" s="131"/>
      <c r="OZO14" s="131"/>
      <c r="OZP14" s="131"/>
      <c r="OZQ14" s="131"/>
      <c r="OZR14" s="1003"/>
      <c r="OZS14" s="1003"/>
      <c r="OZT14" s="1003"/>
      <c r="OZU14" s="1003"/>
      <c r="OZV14" s="131"/>
      <c r="OZW14" s="131"/>
      <c r="OZX14" s="131"/>
      <c r="OZY14" s="131"/>
      <c r="OZZ14" s="131"/>
      <c r="PAA14" s="131"/>
      <c r="PAB14" s="131"/>
      <c r="PAC14" s="131"/>
      <c r="PAD14" s="131"/>
      <c r="PAE14" s="131"/>
      <c r="PAF14" s="131"/>
      <c r="PAG14" s="131"/>
      <c r="PAH14" s="1003"/>
      <c r="PAI14" s="1003"/>
      <c r="PAJ14" s="1003"/>
      <c r="PAK14" s="1003"/>
      <c r="PAL14" s="131"/>
      <c r="PAM14" s="131"/>
      <c r="PAN14" s="131"/>
      <c r="PAO14" s="131"/>
      <c r="PAP14" s="131"/>
      <c r="PAQ14" s="131"/>
      <c r="PAR14" s="131"/>
      <c r="PAS14" s="131"/>
      <c r="PAT14" s="131"/>
      <c r="PAU14" s="131"/>
      <c r="PAV14" s="131"/>
      <c r="PAW14" s="131"/>
      <c r="PAX14" s="1003"/>
      <c r="PAY14" s="1003"/>
      <c r="PAZ14" s="1003"/>
      <c r="PBA14" s="1003"/>
      <c r="PBB14" s="131"/>
      <c r="PBC14" s="131"/>
      <c r="PBD14" s="131"/>
      <c r="PBE14" s="131"/>
      <c r="PBF14" s="131"/>
      <c r="PBG14" s="131"/>
      <c r="PBH14" s="131"/>
      <c r="PBI14" s="131"/>
      <c r="PBJ14" s="131"/>
      <c r="PBK14" s="131"/>
      <c r="PBL14" s="131"/>
      <c r="PBM14" s="131"/>
      <c r="PBN14" s="1003"/>
      <c r="PBO14" s="1003"/>
      <c r="PBP14" s="1003"/>
      <c r="PBQ14" s="1003"/>
      <c r="PBR14" s="131"/>
      <c r="PBS14" s="131"/>
      <c r="PBT14" s="131"/>
      <c r="PBU14" s="131"/>
      <c r="PBV14" s="131"/>
      <c r="PBW14" s="131"/>
      <c r="PBX14" s="131"/>
      <c r="PBY14" s="131"/>
      <c r="PBZ14" s="131"/>
      <c r="PCA14" s="131"/>
      <c r="PCB14" s="131"/>
      <c r="PCC14" s="131"/>
      <c r="PCD14" s="1003"/>
      <c r="PCE14" s="1003"/>
      <c r="PCF14" s="1003"/>
      <c r="PCG14" s="1003"/>
      <c r="PCH14" s="131"/>
      <c r="PCI14" s="131"/>
      <c r="PCJ14" s="131"/>
      <c r="PCK14" s="131"/>
      <c r="PCL14" s="131"/>
      <c r="PCM14" s="131"/>
      <c r="PCN14" s="131"/>
      <c r="PCO14" s="131"/>
      <c r="PCP14" s="131"/>
      <c r="PCQ14" s="131"/>
      <c r="PCR14" s="131"/>
      <c r="PCS14" s="131"/>
      <c r="PCT14" s="1003"/>
      <c r="PCU14" s="1003"/>
      <c r="PCV14" s="1003"/>
      <c r="PCW14" s="1003"/>
      <c r="PCX14" s="131"/>
      <c r="PCY14" s="131"/>
      <c r="PCZ14" s="131"/>
      <c r="PDA14" s="131"/>
      <c r="PDB14" s="131"/>
      <c r="PDC14" s="131"/>
      <c r="PDD14" s="131"/>
      <c r="PDE14" s="131"/>
      <c r="PDF14" s="131"/>
      <c r="PDG14" s="131"/>
      <c r="PDH14" s="131"/>
      <c r="PDI14" s="131"/>
      <c r="PDJ14" s="1003"/>
      <c r="PDK14" s="1003"/>
      <c r="PDL14" s="1003"/>
      <c r="PDM14" s="1003"/>
      <c r="PDN14" s="131"/>
      <c r="PDO14" s="131"/>
      <c r="PDP14" s="131"/>
      <c r="PDQ14" s="131"/>
      <c r="PDR14" s="131"/>
      <c r="PDS14" s="131"/>
      <c r="PDT14" s="131"/>
      <c r="PDU14" s="131"/>
      <c r="PDV14" s="131"/>
      <c r="PDW14" s="131"/>
      <c r="PDX14" s="131"/>
      <c r="PDY14" s="131"/>
      <c r="PDZ14" s="1003"/>
      <c r="PEA14" s="1003"/>
      <c r="PEB14" s="1003"/>
      <c r="PEC14" s="1003"/>
      <c r="PED14" s="131"/>
      <c r="PEE14" s="131"/>
      <c r="PEF14" s="131"/>
      <c r="PEG14" s="131"/>
      <c r="PEH14" s="131"/>
      <c r="PEI14" s="131"/>
      <c r="PEJ14" s="131"/>
      <c r="PEK14" s="131"/>
      <c r="PEL14" s="131"/>
      <c r="PEM14" s="131"/>
      <c r="PEN14" s="131"/>
      <c r="PEO14" s="131"/>
      <c r="PEP14" s="1003"/>
      <c r="PEQ14" s="1003"/>
      <c r="PER14" s="1003"/>
      <c r="PES14" s="1003"/>
      <c r="PET14" s="131"/>
      <c r="PEU14" s="131"/>
      <c r="PEV14" s="131"/>
      <c r="PEW14" s="131"/>
      <c r="PEX14" s="131"/>
      <c r="PEY14" s="131"/>
      <c r="PEZ14" s="131"/>
      <c r="PFA14" s="131"/>
      <c r="PFB14" s="131"/>
      <c r="PFC14" s="131"/>
      <c r="PFD14" s="131"/>
      <c r="PFE14" s="131"/>
      <c r="PFF14" s="1003"/>
      <c r="PFG14" s="1003"/>
      <c r="PFH14" s="1003"/>
      <c r="PFI14" s="1003"/>
      <c r="PFJ14" s="131"/>
      <c r="PFK14" s="131"/>
      <c r="PFL14" s="131"/>
      <c r="PFM14" s="131"/>
      <c r="PFN14" s="131"/>
      <c r="PFO14" s="131"/>
      <c r="PFP14" s="131"/>
      <c r="PFQ14" s="131"/>
      <c r="PFR14" s="131"/>
      <c r="PFS14" s="131"/>
      <c r="PFT14" s="131"/>
      <c r="PFU14" s="131"/>
      <c r="PFV14" s="1003"/>
      <c r="PFW14" s="1003"/>
      <c r="PFX14" s="1003"/>
      <c r="PFY14" s="1003"/>
      <c r="PFZ14" s="131"/>
      <c r="PGA14" s="131"/>
      <c r="PGB14" s="131"/>
      <c r="PGC14" s="131"/>
      <c r="PGD14" s="131"/>
      <c r="PGE14" s="131"/>
      <c r="PGF14" s="131"/>
      <c r="PGG14" s="131"/>
      <c r="PGH14" s="131"/>
      <c r="PGI14" s="131"/>
      <c r="PGJ14" s="131"/>
      <c r="PGK14" s="131"/>
      <c r="PGL14" s="1003"/>
      <c r="PGM14" s="1003"/>
      <c r="PGN14" s="1003"/>
      <c r="PGO14" s="1003"/>
      <c r="PGP14" s="131"/>
      <c r="PGQ14" s="131"/>
      <c r="PGR14" s="131"/>
      <c r="PGS14" s="131"/>
      <c r="PGT14" s="131"/>
      <c r="PGU14" s="131"/>
      <c r="PGV14" s="131"/>
      <c r="PGW14" s="131"/>
      <c r="PGX14" s="131"/>
      <c r="PGY14" s="131"/>
      <c r="PGZ14" s="131"/>
      <c r="PHA14" s="131"/>
      <c r="PHB14" s="1003"/>
      <c r="PHC14" s="1003"/>
      <c r="PHD14" s="1003"/>
      <c r="PHE14" s="1003"/>
      <c r="PHF14" s="131"/>
      <c r="PHG14" s="131"/>
      <c r="PHH14" s="131"/>
      <c r="PHI14" s="131"/>
      <c r="PHJ14" s="131"/>
      <c r="PHK14" s="131"/>
      <c r="PHL14" s="131"/>
      <c r="PHM14" s="131"/>
      <c r="PHN14" s="131"/>
      <c r="PHO14" s="131"/>
      <c r="PHP14" s="131"/>
      <c r="PHQ14" s="131"/>
      <c r="PHR14" s="1003"/>
      <c r="PHS14" s="1003"/>
      <c r="PHT14" s="1003"/>
      <c r="PHU14" s="1003"/>
      <c r="PHV14" s="131"/>
      <c r="PHW14" s="131"/>
      <c r="PHX14" s="131"/>
      <c r="PHY14" s="131"/>
      <c r="PHZ14" s="131"/>
      <c r="PIA14" s="131"/>
      <c r="PIB14" s="131"/>
      <c r="PIC14" s="131"/>
      <c r="PID14" s="131"/>
      <c r="PIE14" s="131"/>
      <c r="PIF14" s="131"/>
      <c r="PIG14" s="131"/>
      <c r="PIH14" s="1003"/>
      <c r="PII14" s="1003"/>
      <c r="PIJ14" s="1003"/>
      <c r="PIK14" s="1003"/>
      <c r="PIL14" s="131"/>
      <c r="PIM14" s="131"/>
      <c r="PIN14" s="131"/>
      <c r="PIO14" s="131"/>
      <c r="PIP14" s="131"/>
      <c r="PIQ14" s="131"/>
      <c r="PIR14" s="131"/>
      <c r="PIS14" s="131"/>
      <c r="PIT14" s="131"/>
      <c r="PIU14" s="131"/>
      <c r="PIV14" s="131"/>
      <c r="PIW14" s="131"/>
      <c r="PIX14" s="1003"/>
      <c r="PIY14" s="1003"/>
      <c r="PIZ14" s="1003"/>
      <c r="PJA14" s="1003"/>
      <c r="PJB14" s="131"/>
      <c r="PJC14" s="131"/>
      <c r="PJD14" s="131"/>
      <c r="PJE14" s="131"/>
      <c r="PJF14" s="131"/>
      <c r="PJG14" s="131"/>
      <c r="PJH14" s="131"/>
      <c r="PJI14" s="131"/>
      <c r="PJJ14" s="131"/>
      <c r="PJK14" s="131"/>
      <c r="PJL14" s="131"/>
      <c r="PJM14" s="131"/>
      <c r="PJN14" s="1003"/>
      <c r="PJO14" s="1003"/>
      <c r="PJP14" s="1003"/>
      <c r="PJQ14" s="1003"/>
      <c r="PJR14" s="131"/>
      <c r="PJS14" s="131"/>
      <c r="PJT14" s="131"/>
      <c r="PJU14" s="131"/>
      <c r="PJV14" s="131"/>
      <c r="PJW14" s="131"/>
      <c r="PJX14" s="131"/>
      <c r="PJY14" s="131"/>
      <c r="PJZ14" s="131"/>
      <c r="PKA14" s="131"/>
      <c r="PKB14" s="131"/>
      <c r="PKC14" s="131"/>
      <c r="PKD14" s="1003"/>
      <c r="PKE14" s="1003"/>
      <c r="PKF14" s="1003"/>
      <c r="PKG14" s="1003"/>
      <c r="PKH14" s="131"/>
      <c r="PKI14" s="131"/>
      <c r="PKJ14" s="131"/>
      <c r="PKK14" s="131"/>
      <c r="PKL14" s="131"/>
      <c r="PKM14" s="131"/>
      <c r="PKN14" s="131"/>
      <c r="PKO14" s="131"/>
      <c r="PKP14" s="131"/>
      <c r="PKQ14" s="131"/>
      <c r="PKR14" s="131"/>
      <c r="PKS14" s="131"/>
      <c r="PKT14" s="1003"/>
      <c r="PKU14" s="1003"/>
      <c r="PKV14" s="1003"/>
      <c r="PKW14" s="1003"/>
      <c r="PKX14" s="131"/>
      <c r="PKY14" s="131"/>
      <c r="PKZ14" s="131"/>
      <c r="PLA14" s="131"/>
      <c r="PLB14" s="131"/>
      <c r="PLC14" s="131"/>
      <c r="PLD14" s="131"/>
      <c r="PLE14" s="131"/>
      <c r="PLF14" s="131"/>
      <c r="PLG14" s="131"/>
      <c r="PLH14" s="131"/>
      <c r="PLI14" s="131"/>
      <c r="PLJ14" s="1003"/>
      <c r="PLK14" s="1003"/>
      <c r="PLL14" s="1003"/>
      <c r="PLM14" s="1003"/>
      <c r="PLN14" s="131"/>
      <c r="PLO14" s="131"/>
      <c r="PLP14" s="131"/>
      <c r="PLQ14" s="131"/>
      <c r="PLR14" s="131"/>
      <c r="PLS14" s="131"/>
      <c r="PLT14" s="131"/>
      <c r="PLU14" s="131"/>
      <c r="PLV14" s="131"/>
      <c r="PLW14" s="131"/>
      <c r="PLX14" s="131"/>
      <c r="PLY14" s="131"/>
      <c r="PLZ14" s="1003"/>
      <c r="PMA14" s="1003"/>
      <c r="PMB14" s="1003"/>
      <c r="PMC14" s="1003"/>
      <c r="PMD14" s="131"/>
      <c r="PME14" s="131"/>
      <c r="PMF14" s="131"/>
      <c r="PMG14" s="131"/>
      <c r="PMH14" s="131"/>
      <c r="PMI14" s="131"/>
      <c r="PMJ14" s="131"/>
      <c r="PMK14" s="131"/>
      <c r="PML14" s="131"/>
      <c r="PMM14" s="131"/>
      <c r="PMN14" s="131"/>
      <c r="PMO14" s="131"/>
      <c r="PMP14" s="1003"/>
      <c r="PMQ14" s="1003"/>
      <c r="PMR14" s="1003"/>
      <c r="PMS14" s="1003"/>
      <c r="PMT14" s="131"/>
      <c r="PMU14" s="131"/>
      <c r="PMV14" s="131"/>
      <c r="PMW14" s="131"/>
      <c r="PMX14" s="131"/>
      <c r="PMY14" s="131"/>
      <c r="PMZ14" s="131"/>
      <c r="PNA14" s="131"/>
      <c r="PNB14" s="131"/>
      <c r="PNC14" s="131"/>
      <c r="PND14" s="131"/>
      <c r="PNE14" s="131"/>
      <c r="PNF14" s="1003"/>
      <c r="PNG14" s="1003"/>
      <c r="PNH14" s="1003"/>
      <c r="PNI14" s="1003"/>
      <c r="PNJ14" s="131"/>
      <c r="PNK14" s="131"/>
      <c r="PNL14" s="131"/>
      <c r="PNM14" s="131"/>
      <c r="PNN14" s="131"/>
      <c r="PNO14" s="131"/>
      <c r="PNP14" s="131"/>
      <c r="PNQ14" s="131"/>
      <c r="PNR14" s="131"/>
      <c r="PNS14" s="131"/>
      <c r="PNT14" s="131"/>
      <c r="PNU14" s="131"/>
      <c r="PNV14" s="1003"/>
      <c r="PNW14" s="1003"/>
      <c r="PNX14" s="1003"/>
      <c r="PNY14" s="1003"/>
      <c r="PNZ14" s="131"/>
      <c r="POA14" s="131"/>
      <c r="POB14" s="131"/>
      <c r="POC14" s="131"/>
      <c r="POD14" s="131"/>
      <c r="POE14" s="131"/>
      <c r="POF14" s="131"/>
      <c r="POG14" s="131"/>
      <c r="POH14" s="131"/>
      <c r="POI14" s="131"/>
      <c r="POJ14" s="131"/>
      <c r="POK14" s="131"/>
      <c r="POL14" s="1003"/>
      <c r="POM14" s="1003"/>
      <c r="PON14" s="1003"/>
      <c r="POO14" s="1003"/>
    </row>
    <row r="15" spans="1:1013 1026:2037 2050:3061 3074:4085 4098:5109 5122:6133 6146:7157 7170:8181 8194:9205 9218:10229 10242:11221" s="132" customFormat="1" ht="14.95" customHeight="1" thickBot="1" x14ac:dyDescent="0.3">
      <c r="A15" s="145" t="s">
        <v>433</v>
      </c>
      <c r="B15" s="139" t="s">
        <v>104</v>
      </c>
      <c r="C15" s="140" t="s">
        <v>432</v>
      </c>
      <c r="D15" s="141" t="s">
        <v>36</v>
      </c>
      <c r="E15" s="141" t="s">
        <v>34</v>
      </c>
      <c r="F15" s="141">
        <v>26</v>
      </c>
      <c r="G15" s="141">
        <v>52</v>
      </c>
      <c r="H15" s="141">
        <v>1</v>
      </c>
      <c r="I15" s="141">
        <v>0</v>
      </c>
      <c r="J15" s="141">
        <v>4</v>
      </c>
      <c r="K15" s="141">
        <v>3</v>
      </c>
      <c r="L15" s="141">
        <v>0</v>
      </c>
      <c r="M15" s="141">
        <v>0</v>
      </c>
      <c r="N15" s="141">
        <v>1</v>
      </c>
      <c r="O15" s="141">
        <v>0</v>
      </c>
      <c r="P15" s="141">
        <v>1</v>
      </c>
      <c r="Q15" s="141">
        <v>0</v>
      </c>
      <c r="R15" s="141">
        <v>8</v>
      </c>
      <c r="S15" s="283">
        <v>16332</v>
      </c>
      <c r="T15" s="421" t="s">
        <v>690</v>
      </c>
      <c r="U15" s="143" t="s">
        <v>560</v>
      </c>
      <c r="V15" s="142" t="s">
        <v>561</v>
      </c>
      <c r="W15" s="142" t="s">
        <v>654</v>
      </c>
      <c r="X15" s="144" t="s">
        <v>563</v>
      </c>
      <c r="Y15" s="142">
        <v>1</v>
      </c>
      <c r="Z15" s="142">
        <v>0</v>
      </c>
      <c r="AA15" s="142">
        <v>0</v>
      </c>
      <c r="AB15" s="142">
        <v>1</v>
      </c>
      <c r="AC15" s="142">
        <v>0</v>
      </c>
      <c r="AD15" s="142">
        <v>0</v>
      </c>
      <c r="AE15" s="142">
        <v>0</v>
      </c>
      <c r="AF15" s="142">
        <v>0</v>
      </c>
      <c r="AG15" s="142">
        <v>1</v>
      </c>
      <c r="AH15" s="142">
        <v>0</v>
      </c>
      <c r="AI15" s="142">
        <v>0</v>
      </c>
      <c r="AJ15" s="143">
        <v>1</v>
      </c>
      <c r="AK15" s="142">
        <v>0</v>
      </c>
      <c r="AL15" s="142">
        <v>0</v>
      </c>
      <c r="AM15" s="142">
        <v>0</v>
      </c>
      <c r="AN15" s="143">
        <v>0</v>
      </c>
      <c r="AO15" s="131"/>
      <c r="AP15" s="131"/>
      <c r="AQ15" s="131"/>
      <c r="AR15" s="131"/>
      <c r="AS15" s="131"/>
      <c r="AT15" s="131"/>
      <c r="AU15" s="131"/>
      <c r="AV15" s="131"/>
      <c r="AW15" s="131"/>
      <c r="AX15" s="135"/>
      <c r="AY15" s="135"/>
      <c r="AZ15" s="135"/>
      <c r="BA15" s="135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5"/>
      <c r="BO15" s="135"/>
      <c r="BP15" s="135"/>
      <c r="BQ15" s="135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5"/>
      <c r="CE15" s="135"/>
      <c r="CF15" s="135"/>
      <c r="CG15" s="135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5"/>
      <c r="CU15" s="135"/>
      <c r="CV15" s="135"/>
      <c r="CW15" s="135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5"/>
      <c r="DK15" s="135"/>
      <c r="DL15" s="135"/>
      <c r="DM15" s="135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5"/>
      <c r="EA15" s="135"/>
      <c r="EB15" s="135"/>
      <c r="EC15" s="135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5"/>
      <c r="EQ15" s="135"/>
      <c r="ER15" s="135"/>
      <c r="ES15" s="135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5"/>
      <c r="FG15" s="135"/>
      <c r="FH15" s="135"/>
      <c r="FI15" s="135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5"/>
      <c r="FW15" s="135"/>
      <c r="FX15" s="135"/>
      <c r="FY15" s="135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5"/>
      <c r="GM15" s="135"/>
      <c r="GN15" s="135"/>
      <c r="GO15" s="135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5"/>
      <c r="HC15" s="135"/>
      <c r="HD15" s="135"/>
      <c r="HE15" s="135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5"/>
      <c r="HS15" s="135"/>
      <c r="HT15" s="135"/>
      <c r="HU15" s="135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5"/>
      <c r="II15" s="135"/>
      <c r="IJ15" s="135"/>
      <c r="IK15" s="135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5"/>
      <c r="IY15" s="135"/>
      <c r="IZ15" s="135"/>
      <c r="JA15" s="135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5"/>
      <c r="JO15" s="135"/>
      <c r="JP15" s="135"/>
      <c r="JQ15" s="135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5"/>
      <c r="KE15" s="135"/>
      <c r="KF15" s="135"/>
      <c r="KG15" s="135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5"/>
      <c r="KU15" s="135"/>
      <c r="KV15" s="135"/>
      <c r="KW15" s="135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5"/>
      <c r="LK15" s="135"/>
      <c r="LL15" s="135"/>
      <c r="LM15" s="135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5"/>
      <c r="MA15" s="135"/>
      <c r="MB15" s="135"/>
      <c r="MC15" s="135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5"/>
      <c r="MQ15" s="135"/>
      <c r="MR15" s="135"/>
      <c r="MS15" s="135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5"/>
      <c r="NG15" s="135"/>
      <c r="NH15" s="135"/>
      <c r="NI15" s="135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5"/>
      <c r="NW15" s="135"/>
      <c r="NX15" s="135"/>
      <c r="NY15" s="135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5"/>
      <c r="OM15" s="135"/>
      <c r="ON15" s="135"/>
      <c r="OO15" s="135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5"/>
      <c r="PC15" s="135"/>
      <c r="PD15" s="135"/>
      <c r="PE15" s="135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5"/>
      <c r="PS15" s="135"/>
      <c r="PT15" s="135"/>
      <c r="PU15" s="135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5"/>
      <c r="QI15" s="135"/>
      <c r="QJ15" s="135"/>
      <c r="QK15" s="135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5"/>
      <c r="QY15" s="135"/>
      <c r="QZ15" s="135"/>
      <c r="RA15" s="135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5"/>
      <c r="RO15" s="135"/>
      <c r="RP15" s="135"/>
      <c r="RQ15" s="135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5"/>
      <c r="SE15" s="135"/>
      <c r="SF15" s="135"/>
      <c r="SG15" s="135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5"/>
      <c r="SU15" s="135"/>
      <c r="SV15" s="135"/>
      <c r="SW15" s="135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5"/>
      <c r="TK15" s="135"/>
      <c r="TL15" s="135"/>
      <c r="TM15" s="135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5"/>
      <c r="UA15" s="135"/>
      <c r="UB15" s="135"/>
      <c r="UC15" s="135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5"/>
      <c r="UQ15" s="135"/>
      <c r="UR15" s="135"/>
      <c r="US15" s="135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5"/>
      <c r="VG15" s="135"/>
      <c r="VH15" s="135"/>
      <c r="VI15" s="135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5"/>
      <c r="VW15" s="135"/>
      <c r="VX15" s="135"/>
      <c r="VY15" s="135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5"/>
      <c r="WM15" s="135"/>
      <c r="WN15" s="135"/>
      <c r="WO15" s="135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5"/>
      <c r="XC15" s="135"/>
      <c r="XD15" s="135"/>
      <c r="XE15" s="135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5"/>
      <c r="XS15" s="135"/>
      <c r="XT15" s="135"/>
      <c r="XU15" s="135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5"/>
      <c r="YI15" s="135"/>
      <c r="YJ15" s="135"/>
      <c r="YK15" s="135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5"/>
      <c r="YY15" s="135"/>
      <c r="YZ15" s="135"/>
      <c r="ZA15" s="135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5"/>
      <c r="ZO15" s="135"/>
      <c r="ZP15" s="135"/>
      <c r="ZQ15" s="135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5"/>
      <c r="AAE15" s="135"/>
      <c r="AAF15" s="135"/>
      <c r="AAG15" s="135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5"/>
      <c r="AAU15" s="135"/>
      <c r="AAV15" s="135"/>
      <c r="AAW15" s="135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5"/>
      <c r="ABK15" s="135"/>
      <c r="ABL15" s="135"/>
      <c r="ABM15" s="135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5"/>
      <c r="ACA15" s="135"/>
      <c r="ACB15" s="135"/>
      <c r="ACC15" s="135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5"/>
      <c r="ACQ15" s="135"/>
      <c r="ACR15" s="135"/>
      <c r="ACS15" s="135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5"/>
      <c r="ADG15" s="135"/>
      <c r="ADH15" s="135"/>
      <c r="ADI15" s="135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5"/>
      <c r="ADW15" s="135"/>
      <c r="ADX15" s="135"/>
      <c r="ADY15" s="135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5"/>
      <c r="AEM15" s="135"/>
      <c r="AEN15" s="135"/>
      <c r="AEO15" s="135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5"/>
      <c r="AFC15" s="135"/>
      <c r="AFD15" s="135"/>
      <c r="AFE15" s="135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5"/>
      <c r="AFS15" s="135"/>
      <c r="AFT15" s="135"/>
      <c r="AFU15" s="135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5"/>
      <c r="AGI15" s="135"/>
      <c r="AGJ15" s="135"/>
      <c r="AGK15" s="135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5"/>
      <c r="AGY15" s="135"/>
      <c r="AGZ15" s="135"/>
      <c r="AHA15" s="135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5"/>
      <c r="AHO15" s="135"/>
      <c r="AHP15" s="135"/>
      <c r="AHQ15" s="135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5"/>
      <c r="AIE15" s="135"/>
      <c r="AIF15" s="135"/>
      <c r="AIG15" s="135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5"/>
      <c r="AIU15" s="135"/>
      <c r="AIV15" s="135"/>
      <c r="AIW15" s="135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5"/>
      <c r="AJK15" s="135"/>
      <c r="AJL15" s="135"/>
      <c r="AJM15" s="135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5"/>
      <c r="AKA15" s="135"/>
      <c r="AKB15" s="135"/>
      <c r="AKC15" s="135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5"/>
      <c r="AKQ15" s="135"/>
      <c r="AKR15" s="135"/>
      <c r="AKS15" s="135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5"/>
      <c r="ALG15" s="135"/>
      <c r="ALH15" s="135"/>
      <c r="ALI15" s="135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5"/>
      <c r="ALW15" s="135"/>
      <c r="ALX15" s="135"/>
      <c r="ALY15" s="135"/>
      <c r="AML15" s="135"/>
      <c r="AMM15" s="135"/>
      <c r="AMN15" s="135"/>
      <c r="AMO15" s="135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5"/>
      <c r="ANC15" s="135"/>
      <c r="AND15" s="135"/>
      <c r="ANE15" s="135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5"/>
      <c r="ANS15" s="135"/>
      <c r="ANT15" s="135"/>
      <c r="ANU15" s="135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5"/>
      <c r="AOI15" s="135"/>
      <c r="AOJ15" s="135"/>
      <c r="AOK15" s="135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5"/>
      <c r="AOY15" s="135"/>
      <c r="AOZ15" s="135"/>
      <c r="APA15" s="135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5"/>
      <c r="APO15" s="135"/>
      <c r="APP15" s="135"/>
      <c r="APQ15" s="135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5"/>
      <c r="AQE15" s="135"/>
      <c r="AQF15" s="135"/>
      <c r="AQG15" s="135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5"/>
      <c r="AQU15" s="135"/>
      <c r="AQV15" s="135"/>
      <c r="AQW15" s="135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5"/>
      <c r="ARK15" s="135"/>
      <c r="ARL15" s="135"/>
      <c r="ARM15" s="135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5"/>
      <c r="ASA15" s="135"/>
      <c r="ASB15" s="135"/>
      <c r="ASC15" s="135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5"/>
      <c r="ASQ15" s="135"/>
      <c r="ASR15" s="135"/>
      <c r="ASS15" s="135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5"/>
      <c r="ATG15" s="135"/>
      <c r="ATH15" s="135"/>
      <c r="ATI15" s="135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5"/>
      <c r="ATW15" s="135"/>
      <c r="ATX15" s="135"/>
      <c r="ATY15" s="135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5"/>
      <c r="AUM15" s="135"/>
      <c r="AUN15" s="135"/>
      <c r="AUO15" s="135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5"/>
      <c r="AVC15" s="135"/>
      <c r="AVD15" s="135"/>
      <c r="AVE15" s="135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5"/>
      <c r="AVS15" s="135"/>
      <c r="AVT15" s="135"/>
      <c r="AVU15" s="135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5"/>
      <c r="AWI15" s="135"/>
      <c r="AWJ15" s="135"/>
      <c r="AWK15" s="135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5"/>
      <c r="AWY15" s="135"/>
      <c r="AWZ15" s="135"/>
      <c r="AXA15" s="135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5"/>
      <c r="AXO15" s="135"/>
      <c r="AXP15" s="135"/>
      <c r="AXQ15" s="135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5"/>
      <c r="AYE15" s="135"/>
      <c r="AYF15" s="135"/>
      <c r="AYG15" s="135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5"/>
      <c r="AYU15" s="135"/>
      <c r="AYV15" s="135"/>
      <c r="AYW15" s="135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5"/>
      <c r="AZK15" s="135"/>
      <c r="AZL15" s="135"/>
      <c r="AZM15" s="135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5"/>
      <c r="BAA15" s="135"/>
      <c r="BAB15" s="135"/>
      <c r="BAC15" s="135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5"/>
      <c r="BAQ15" s="135"/>
      <c r="BAR15" s="135"/>
      <c r="BAS15" s="135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5"/>
      <c r="BBG15" s="135"/>
      <c r="BBH15" s="135"/>
      <c r="BBI15" s="135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5"/>
      <c r="BBW15" s="135"/>
      <c r="BBX15" s="135"/>
      <c r="BBY15" s="135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5"/>
      <c r="BCM15" s="135"/>
      <c r="BCN15" s="135"/>
      <c r="BCO15" s="135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5"/>
      <c r="BDC15" s="135"/>
      <c r="BDD15" s="135"/>
      <c r="BDE15" s="135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5"/>
      <c r="BDS15" s="135"/>
      <c r="BDT15" s="135"/>
      <c r="BDU15" s="135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5"/>
      <c r="BEI15" s="135"/>
      <c r="BEJ15" s="135"/>
      <c r="BEK15" s="135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5"/>
      <c r="BEY15" s="135"/>
      <c r="BEZ15" s="135"/>
      <c r="BFA15" s="135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5"/>
      <c r="BFO15" s="135"/>
      <c r="BFP15" s="135"/>
      <c r="BFQ15" s="135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5"/>
      <c r="BGE15" s="135"/>
      <c r="BGF15" s="135"/>
      <c r="BGG15" s="135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5"/>
      <c r="BGU15" s="135"/>
      <c r="BGV15" s="135"/>
      <c r="BGW15" s="135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5"/>
      <c r="BHK15" s="135"/>
      <c r="BHL15" s="135"/>
      <c r="BHM15" s="135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5"/>
      <c r="BIA15" s="135"/>
      <c r="BIB15" s="135"/>
      <c r="BIC15" s="135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5"/>
      <c r="BIQ15" s="135"/>
      <c r="BIR15" s="135"/>
      <c r="BIS15" s="135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5"/>
      <c r="BJG15" s="135"/>
      <c r="BJH15" s="135"/>
      <c r="BJI15" s="135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5"/>
      <c r="BJW15" s="135"/>
      <c r="BJX15" s="135"/>
      <c r="BJY15" s="135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5"/>
      <c r="BKM15" s="135"/>
      <c r="BKN15" s="135"/>
      <c r="BKO15" s="135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5"/>
      <c r="BLC15" s="135"/>
      <c r="BLD15" s="135"/>
      <c r="BLE15" s="135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5"/>
      <c r="BLS15" s="135"/>
      <c r="BLT15" s="135"/>
      <c r="BLU15" s="135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5"/>
      <c r="BMI15" s="135"/>
      <c r="BMJ15" s="135"/>
      <c r="BMK15" s="135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5"/>
      <c r="BMY15" s="135"/>
      <c r="BMZ15" s="135"/>
      <c r="BNA15" s="135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5"/>
      <c r="BNO15" s="135"/>
      <c r="BNP15" s="135"/>
      <c r="BNQ15" s="135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5"/>
      <c r="BOE15" s="135"/>
      <c r="BOF15" s="135"/>
      <c r="BOG15" s="135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5"/>
      <c r="BOU15" s="135"/>
      <c r="BOV15" s="135"/>
      <c r="BOW15" s="135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5"/>
      <c r="BPK15" s="135"/>
      <c r="BPL15" s="135"/>
      <c r="BPM15" s="135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5"/>
      <c r="BQA15" s="135"/>
      <c r="BQB15" s="135"/>
      <c r="BQC15" s="135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5"/>
      <c r="BQQ15" s="135"/>
      <c r="BQR15" s="135"/>
      <c r="BQS15" s="135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5"/>
      <c r="BRG15" s="135"/>
      <c r="BRH15" s="135"/>
      <c r="BRI15" s="135"/>
      <c r="BRJ15" s="131"/>
      <c r="BRK15" s="131"/>
      <c r="BRL15" s="131"/>
      <c r="BRM15" s="131"/>
      <c r="BRN15" s="131"/>
      <c r="BRO15" s="131"/>
      <c r="BRP15" s="131"/>
      <c r="BRQ15" s="131"/>
      <c r="BRR15" s="131"/>
      <c r="BRS15" s="131"/>
      <c r="BRT15" s="131"/>
      <c r="BRU15" s="131"/>
      <c r="BRV15" s="135"/>
      <c r="BRW15" s="135"/>
      <c r="BRX15" s="135"/>
      <c r="BRY15" s="135"/>
      <c r="BRZ15" s="131"/>
      <c r="BSA15" s="131"/>
      <c r="BSB15" s="131"/>
      <c r="BSC15" s="131"/>
      <c r="BSD15" s="131"/>
      <c r="BSE15" s="131"/>
      <c r="BSF15" s="131"/>
      <c r="BSG15" s="131"/>
      <c r="BSH15" s="131"/>
      <c r="BSI15" s="131"/>
      <c r="BSJ15" s="131"/>
      <c r="BSK15" s="131"/>
      <c r="BSL15" s="135"/>
      <c r="BSM15" s="135"/>
      <c r="BSN15" s="135"/>
      <c r="BSO15" s="135"/>
      <c r="BSP15" s="131"/>
      <c r="BSQ15" s="131"/>
      <c r="BSR15" s="131"/>
      <c r="BSS15" s="131"/>
      <c r="BST15" s="131"/>
      <c r="BSU15" s="131"/>
      <c r="BSV15" s="131"/>
      <c r="BSW15" s="131"/>
      <c r="BSX15" s="131"/>
      <c r="BSY15" s="131"/>
      <c r="BSZ15" s="131"/>
      <c r="BTA15" s="131"/>
      <c r="BTB15" s="135"/>
      <c r="BTC15" s="135"/>
      <c r="BTD15" s="135"/>
      <c r="BTE15" s="135"/>
      <c r="BTF15" s="131"/>
      <c r="BTG15" s="131"/>
      <c r="BTH15" s="131"/>
      <c r="BTI15" s="131"/>
      <c r="BTJ15" s="131"/>
      <c r="BTK15" s="131"/>
      <c r="BTL15" s="131"/>
      <c r="BTM15" s="131"/>
      <c r="BTN15" s="131"/>
      <c r="BTO15" s="131"/>
      <c r="BTP15" s="131"/>
      <c r="BTQ15" s="131"/>
      <c r="BTR15" s="135"/>
      <c r="BTS15" s="135"/>
      <c r="BTT15" s="135"/>
      <c r="BTU15" s="135"/>
      <c r="BTV15" s="131"/>
      <c r="BTW15" s="131"/>
      <c r="BTX15" s="131"/>
      <c r="BTY15" s="131"/>
      <c r="BTZ15" s="131"/>
      <c r="BUA15" s="131"/>
      <c r="BUB15" s="131"/>
      <c r="BUC15" s="131"/>
      <c r="BUD15" s="131"/>
      <c r="BUE15" s="131"/>
      <c r="BUF15" s="131"/>
      <c r="BUG15" s="131"/>
      <c r="BUH15" s="135"/>
      <c r="BUI15" s="135"/>
      <c r="BUJ15" s="135"/>
      <c r="BUK15" s="135"/>
      <c r="BUL15" s="131"/>
      <c r="BUM15" s="131"/>
      <c r="BUN15" s="131"/>
      <c r="BUO15" s="131"/>
      <c r="BUP15" s="131"/>
      <c r="BUQ15" s="131"/>
      <c r="BUR15" s="131"/>
      <c r="BUS15" s="131"/>
      <c r="BUT15" s="131"/>
      <c r="BUU15" s="131"/>
      <c r="BUV15" s="131"/>
      <c r="BUW15" s="131"/>
      <c r="BUX15" s="135"/>
      <c r="BUY15" s="135"/>
      <c r="BUZ15" s="135"/>
      <c r="BVA15" s="135"/>
      <c r="BVB15" s="131"/>
      <c r="BVC15" s="131"/>
      <c r="BVD15" s="131"/>
      <c r="BVE15" s="131"/>
      <c r="BVF15" s="131"/>
      <c r="BVG15" s="131"/>
      <c r="BVH15" s="131"/>
      <c r="BVI15" s="131"/>
      <c r="BVJ15" s="131"/>
      <c r="BVK15" s="131"/>
      <c r="BVL15" s="131"/>
      <c r="BVM15" s="131"/>
      <c r="BVN15" s="135"/>
      <c r="BVO15" s="135"/>
      <c r="BVP15" s="135"/>
      <c r="BVQ15" s="135"/>
      <c r="BVR15" s="131"/>
      <c r="BVS15" s="131"/>
      <c r="BVT15" s="131"/>
      <c r="BVU15" s="131"/>
      <c r="BVV15" s="131"/>
      <c r="BVW15" s="131"/>
      <c r="BVX15" s="131"/>
      <c r="BVY15" s="131"/>
      <c r="BVZ15" s="131"/>
      <c r="BWA15" s="131"/>
      <c r="BWB15" s="131"/>
      <c r="BWC15" s="131"/>
      <c r="BWD15" s="135"/>
      <c r="BWE15" s="135"/>
      <c r="BWF15" s="135"/>
      <c r="BWG15" s="135"/>
      <c r="BWH15" s="131"/>
      <c r="BWI15" s="131"/>
      <c r="BWJ15" s="131"/>
      <c r="BWK15" s="131"/>
      <c r="BWL15" s="131"/>
      <c r="BWM15" s="131"/>
      <c r="BWN15" s="131"/>
      <c r="BWO15" s="131"/>
      <c r="BWP15" s="131"/>
      <c r="BWQ15" s="131"/>
      <c r="BWR15" s="131"/>
      <c r="BWS15" s="131"/>
      <c r="BWT15" s="135"/>
      <c r="BWU15" s="135"/>
      <c r="BWV15" s="135"/>
      <c r="BWW15" s="135"/>
      <c r="BWX15" s="131"/>
      <c r="BWY15" s="131"/>
      <c r="BWZ15" s="131"/>
      <c r="BXA15" s="131"/>
      <c r="BXB15" s="131"/>
      <c r="BXC15" s="131"/>
      <c r="BXD15" s="131"/>
      <c r="BXE15" s="131"/>
      <c r="BXF15" s="131"/>
      <c r="BXG15" s="131"/>
      <c r="BXH15" s="131"/>
      <c r="BXI15" s="131"/>
      <c r="BXJ15" s="135"/>
      <c r="BXK15" s="135"/>
      <c r="BXL15" s="135"/>
      <c r="BXM15" s="135"/>
      <c r="BXN15" s="131"/>
      <c r="BXO15" s="131"/>
      <c r="BXP15" s="131"/>
      <c r="BXQ15" s="131"/>
      <c r="BXR15" s="131"/>
      <c r="BXS15" s="131"/>
      <c r="BXT15" s="131"/>
      <c r="BXU15" s="131"/>
      <c r="BXV15" s="131"/>
      <c r="BXW15" s="131"/>
      <c r="BXX15" s="131"/>
      <c r="BXY15" s="131"/>
      <c r="BXZ15" s="135"/>
      <c r="BYA15" s="135"/>
      <c r="BYB15" s="135"/>
      <c r="BYC15" s="135"/>
      <c r="BYD15" s="131"/>
      <c r="BYE15" s="131"/>
      <c r="BYF15" s="131"/>
      <c r="BYG15" s="131"/>
      <c r="BYH15" s="131"/>
      <c r="BYI15" s="131"/>
      <c r="BYJ15" s="131"/>
      <c r="BYK15" s="131"/>
      <c r="BYL15" s="131"/>
      <c r="BYM15" s="131"/>
      <c r="BYN15" s="131"/>
      <c r="BYO15" s="131"/>
      <c r="BYP15" s="135"/>
      <c r="BYQ15" s="135"/>
      <c r="BYR15" s="135"/>
      <c r="BYS15" s="135"/>
      <c r="BYT15" s="131"/>
      <c r="BYU15" s="131"/>
      <c r="BYV15" s="131"/>
      <c r="BYW15" s="131"/>
      <c r="BYX15" s="131"/>
      <c r="BYY15" s="131"/>
      <c r="BYZ15" s="131"/>
      <c r="BZA15" s="131"/>
      <c r="BZB15" s="131"/>
      <c r="BZC15" s="131"/>
      <c r="BZD15" s="131"/>
      <c r="BZE15" s="131"/>
      <c r="BZF15" s="135"/>
      <c r="BZG15" s="135"/>
      <c r="BZH15" s="135"/>
      <c r="BZI15" s="135"/>
      <c r="BZV15" s="135"/>
      <c r="BZW15" s="135"/>
      <c r="BZX15" s="135"/>
      <c r="BZY15" s="135"/>
      <c r="BZZ15" s="131"/>
      <c r="CAA15" s="131"/>
      <c r="CAB15" s="131"/>
      <c r="CAC15" s="131"/>
      <c r="CAD15" s="131"/>
      <c r="CAE15" s="131"/>
      <c r="CAF15" s="131"/>
      <c r="CAG15" s="131"/>
      <c r="CAH15" s="131"/>
      <c r="CAI15" s="131"/>
      <c r="CAJ15" s="131"/>
      <c r="CAK15" s="131"/>
      <c r="CAL15" s="135"/>
      <c r="CAM15" s="135"/>
      <c r="CAN15" s="135"/>
      <c r="CAO15" s="135"/>
      <c r="CAP15" s="131"/>
      <c r="CAQ15" s="131"/>
      <c r="CAR15" s="131"/>
      <c r="CAS15" s="131"/>
      <c r="CAT15" s="131"/>
      <c r="CAU15" s="131"/>
      <c r="CAV15" s="131"/>
      <c r="CAW15" s="131"/>
      <c r="CAX15" s="131"/>
      <c r="CAY15" s="131"/>
      <c r="CAZ15" s="131"/>
      <c r="CBA15" s="131"/>
      <c r="CBB15" s="135"/>
      <c r="CBC15" s="135"/>
      <c r="CBD15" s="135"/>
      <c r="CBE15" s="135"/>
      <c r="CBF15" s="131"/>
      <c r="CBG15" s="131"/>
      <c r="CBH15" s="131"/>
      <c r="CBI15" s="131"/>
      <c r="CBJ15" s="131"/>
      <c r="CBK15" s="131"/>
      <c r="CBL15" s="131"/>
      <c r="CBM15" s="131"/>
      <c r="CBN15" s="131"/>
      <c r="CBO15" s="131"/>
      <c r="CBP15" s="131"/>
      <c r="CBQ15" s="131"/>
      <c r="CBR15" s="135"/>
      <c r="CBS15" s="135"/>
      <c r="CBT15" s="135"/>
      <c r="CBU15" s="135"/>
      <c r="CBV15" s="131"/>
      <c r="CBW15" s="131"/>
      <c r="CBX15" s="131"/>
      <c r="CBY15" s="131"/>
      <c r="CBZ15" s="131"/>
      <c r="CCA15" s="131"/>
      <c r="CCB15" s="131"/>
      <c r="CCC15" s="131"/>
      <c r="CCD15" s="131"/>
      <c r="CCE15" s="131"/>
      <c r="CCF15" s="131"/>
      <c r="CCG15" s="131"/>
      <c r="CCH15" s="135"/>
      <c r="CCI15" s="135"/>
      <c r="CCJ15" s="135"/>
      <c r="CCK15" s="135"/>
      <c r="CCL15" s="131"/>
      <c r="CCM15" s="131"/>
      <c r="CCN15" s="131"/>
      <c r="CCO15" s="131"/>
      <c r="CCP15" s="131"/>
      <c r="CCQ15" s="131"/>
      <c r="CCR15" s="131"/>
      <c r="CCS15" s="131"/>
      <c r="CCT15" s="131"/>
      <c r="CCU15" s="131"/>
      <c r="CCV15" s="131"/>
      <c r="CCW15" s="131"/>
      <c r="CCX15" s="135"/>
      <c r="CCY15" s="135"/>
      <c r="CCZ15" s="135"/>
      <c r="CDA15" s="135"/>
      <c r="CDB15" s="131"/>
      <c r="CDC15" s="131"/>
      <c r="CDD15" s="131"/>
      <c r="CDE15" s="131"/>
      <c r="CDF15" s="131"/>
      <c r="CDG15" s="131"/>
      <c r="CDH15" s="131"/>
      <c r="CDI15" s="131"/>
      <c r="CDJ15" s="131"/>
      <c r="CDK15" s="131"/>
      <c r="CDL15" s="131"/>
      <c r="CDM15" s="131"/>
      <c r="CDN15" s="135"/>
      <c r="CDO15" s="135"/>
      <c r="CDP15" s="135"/>
      <c r="CDQ15" s="135"/>
      <c r="CDR15" s="131"/>
      <c r="CDS15" s="131"/>
      <c r="CDT15" s="131"/>
      <c r="CDU15" s="131"/>
      <c r="CDV15" s="131"/>
      <c r="CDW15" s="131"/>
      <c r="CDX15" s="131"/>
      <c r="CDY15" s="131"/>
      <c r="CDZ15" s="131"/>
      <c r="CEA15" s="131"/>
      <c r="CEB15" s="131"/>
      <c r="CEC15" s="131"/>
      <c r="CED15" s="135"/>
      <c r="CEE15" s="135"/>
      <c r="CEF15" s="135"/>
      <c r="CEG15" s="135"/>
      <c r="CEH15" s="131"/>
      <c r="CEI15" s="131"/>
      <c r="CEJ15" s="131"/>
      <c r="CEK15" s="131"/>
      <c r="CEL15" s="131"/>
      <c r="CEM15" s="131"/>
      <c r="CEN15" s="131"/>
      <c r="CEO15" s="131"/>
      <c r="CEP15" s="131"/>
      <c r="CEQ15" s="131"/>
      <c r="CER15" s="131"/>
      <c r="CES15" s="131"/>
      <c r="CET15" s="135"/>
      <c r="CEU15" s="135"/>
      <c r="CEV15" s="135"/>
      <c r="CEW15" s="135"/>
      <c r="CEX15" s="131"/>
      <c r="CEY15" s="131"/>
      <c r="CEZ15" s="131"/>
      <c r="CFA15" s="131"/>
      <c r="CFB15" s="131"/>
      <c r="CFC15" s="131"/>
      <c r="CFD15" s="131"/>
      <c r="CFE15" s="131"/>
      <c r="CFF15" s="131"/>
      <c r="CFG15" s="131"/>
      <c r="CFH15" s="131"/>
      <c r="CFI15" s="131"/>
      <c r="CFJ15" s="135"/>
      <c r="CFK15" s="135"/>
      <c r="CFL15" s="135"/>
      <c r="CFM15" s="135"/>
      <c r="CFN15" s="131"/>
      <c r="CFO15" s="131"/>
      <c r="CFP15" s="131"/>
      <c r="CFQ15" s="131"/>
      <c r="CFR15" s="131"/>
      <c r="CFS15" s="131"/>
      <c r="CFT15" s="131"/>
      <c r="CFU15" s="131"/>
      <c r="CFV15" s="131"/>
      <c r="CFW15" s="131"/>
      <c r="CFX15" s="131"/>
      <c r="CFY15" s="131"/>
      <c r="CFZ15" s="135"/>
      <c r="CGA15" s="135"/>
      <c r="CGB15" s="135"/>
      <c r="CGC15" s="135"/>
      <c r="CGD15" s="131"/>
      <c r="CGE15" s="131"/>
      <c r="CGF15" s="131"/>
      <c r="CGG15" s="131"/>
      <c r="CGH15" s="131"/>
      <c r="CGI15" s="131"/>
      <c r="CGJ15" s="131"/>
      <c r="CGK15" s="131"/>
      <c r="CGL15" s="131"/>
      <c r="CGM15" s="131"/>
      <c r="CGN15" s="131"/>
      <c r="CGO15" s="131"/>
      <c r="CGP15" s="135"/>
      <c r="CGQ15" s="135"/>
      <c r="CGR15" s="135"/>
      <c r="CGS15" s="135"/>
      <c r="CGT15" s="131"/>
      <c r="CGU15" s="131"/>
      <c r="CGV15" s="131"/>
      <c r="CGW15" s="131"/>
      <c r="CGX15" s="131"/>
      <c r="CGY15" s="131"/>
      <c r="CGZ15" s="131"/>
      <c r="CHA15" s="131"/>
      <c r="CHB15" s="131"/>
      <c r="CHC15" s="131"/>
      <c r="CHD15" s="131"/>
      <c r="CHE15" s="131"/>
      <c r="CHF15" s="135"/>
      <c r="CHG15" s="135"/>
      <c r="CHH15" s="135"/>
      <c r="CHI15" s="135"/>
      <c r="CHJ15" s="131"/>
      <c r="CHK15" s="131"/>
      <c r="CHL15" s="131"/>
      <c r="CHM15" s="131"/>
      <c r="CHN15" s="131"/>
      <c r="CHO15" s="131"/>
      <c r="CHP15" s="131"/>
      <c r="CHQ15" s="131"/>
      <c r="CHR15" s="131"/>
      <c r="CHS15" s="131"/>
      <c r="CHT15" s="131"/>
      <c r="CHU15" s="131"/>
      <c r="CHV15" s="135"/>
      <c r="CHW15" s="135"/>
      <c r="CHX15" s="135"/>
      <c r="CHY15" s="135"/>
      <c r="CHZ15" s="131"/>
      <c r="CIA15" s="131"/>
      <c r="CIB15" s="131"/>
      <c r="CIC15" s="131"/>
      <c r="CID15" s="131"/>
      <c r="CIE15" s="131"/>
      <c r="CIF15" s="131"/>
      <c r="CIG15" s="131"/>
      <c r="CIH15" s="131"/>
      <c r="CII15" s="131"/>
      <c r="CIJ15" s="131"/>
      <c r="CIK15" s="131"/>
      <c r="CIL15" s="135"/>
      <c r="CIM15" s="135"/>
      <c r="CIN15" s="135"/>
      <c r="CIO15" s="135"/>
      <c r="CIP15" s="131"/>
      <c r="CIQ15" s="131"/>
      <c r="CIR15" s="131"/>
      <c r="CIS15" s="131"/>
      <c r="CIT15" s="131"/>
      <c r="CIU15" s="131"/>
      <c r="CIV15" s="131"/>
      <c r="CIW15" s="131"/>
      <c r="CIX15" s="131"/>
      <c r="CIY15" s="131"/>
      <c r="CIZ15" s="131"/>
      <c r="CJA15" s="131"/>
      <c r="CJB15" s="135"/>
      <c r="CJC15" s="135"/>
      <c r="CJD15" s="135"/>
      <c r="CJE15" s="135"/>
      <c r="CJF15" s="131"/>
      <c r="CJG15" s="131"/>
      <c r="CJH15" s="131"/>
      <c r="CJI15" s="131"/>
      <c r="CJJ15" s="131"/>
      <c r="CJK15" s="131"/>
      <c r="CJL15" s="131"/>
      <c r="CJM15" s="131"/>
      <c r="CJN15" s="131"/>
      <c r="CJO15" s="131"/>
      <c r="CJP15" s="131"/>
      <c r="CJQ15" s="131"/>
      <c r="CJR15" s="135"/>
      <c r="CJS15" s="135"/>
      <c r="CJT15" s="135"/>
      <c r="CJU15" s="135"/>
      <c r="CJV15" s="131"/>
      <c r="CJW15" s="131"/>
      <c r="CJX15" s="131"/>
      <c r="CJY15" s="131"/>
      <c r="CJZ15" s="131"/>
      <c r="CKA15" s="131"/>
      <c r="CKB15" s="131"/>
      <c r="CKC15" s="131"/>
      <c r="CKD15" s="131"/>
      <c r="CKE15" s="131"/>
      <c r="CKF15" s="131"/>
      <c r="CKG15" s="131"/>
      <c r="CKH15" s="135"/>
      <c r="CKI15" s="135"/>
      <c r="CKJ15" s="135"/>
      <c r="CKK15" s="135"/>
      <c r="CKL15" s="131"/>
      <c r="CKM15" s="131"/>
      <c r="CKN15" s="131"/>
      <c r="CKO15" s="131"/>
      <c r="CKP15" s="131"/>
      <c r="CKQ15" s="131"/>
      <c r="CKR15" s="131"/>
      <c r="CKS15" s="131"/>
      <c r="CKT15" s="131"/>
      <c r="CKU15" s="131"/>
      <c r="CKV15" s="131"/>
      <c r="CKW15" s="131"/>
      <c r="CKX15" s="135"/>
      <c r="CKY15" s="135"/>
      <c r="CKZ15" s="135"/>
      <c r="CLA15" s="135"/>
      <c r="CLB15" s="131"/>
      <c r="CLC15" s="131"/>
      <c r="CLD15" s="131"/>
      <c r="CLE15" s="131"/>
      <c r="CLF15" s="131"/>
      <c r="CLG15" s="131"/>
      <c r="CLH15" s="131"/>
      <c r="CLI15" s="131"/>
      <c r="CLJ15" s="131"/>
      <c r="CLK15" s="131"/>
      <c r="CLL15" s="131"/>
      <c r="CLM15" s="131"/>
      <c r="CLN15" s="135"/>
      <c r="CLO15" s="135"/>
      <c r="CLP15" s="135"/>
      <c r="CLQ15" s="135"/>
      <c r="CLR15" s="131"/>
      <c r="CLS15" s="131"/>
      <c r="CLT15" s="131"/>
      <c r="CLU15" s="131"/>
      <c r="CLV15" s="131"/>
      <c r="CLW15" s="131"/>
      <c r="CLX15" s="131"/>
      <c r="CLY15" s="131"/>
      <c r="CLZ15" s="131"/>
      <c r="CMA15" s="131"/>
      <c r="CMB15" s="131"/>
      <c r="CMC15" s="131"/>
      <c r="CMD15" s="135"/>
      <c r="CME15" s="135"/>
      <c r="CMF15" s="135"/>
      <c r="CMG15" s="135"/>
      <c r="CMH15" s="131"/>
      <c r="CMI15" s="131"/>
      <c r="CMJ15" s="131"/>
      <c r="CMK15" s="131"/>
      <c r="CML15" s="131"/>
      <c r="CMM15" s="131"/>
      <c r="CMN15" s="131"/>
      <c r="CMO15" s="131"/>
      <c r="CMP15" s="131"/>
      <c r="CMQ15" s="131"/>
      <c r="CMR15" s="131"/>
      <c r="CMS15" s="131"/>
      <c r="CMT15" s="135"/>
      <c r="CMU15" s="135"/>
      <c r="CMV15" s="135"/>
      <c r="CMW15" s="135"/>
      <c r="CMX15" s="131"/>
      <c r="CMY15" s="131"/>
      <c r="CMZ15" s="131"/>
      <c r="CNA15" s="131"/>
      <c r="CNB15" s="131"/>
      <c r="CNC15" s="131"/>
      <c r="CND15" s="131"/>
      <c r="CNE15" s="131"/>
      <c r="CNF15" s="131"/>
      <c r="CNG15" s="131"/>
      <c r="CNH15" s="131"/>
      <c r="CNI15" s="131"/>
      <c r="CNJ15" s="135"/>
      <c r="CNK15" s="135"/>
      <c r="CNL15" s="135"/>
      <c r="CNM15" s="135"/>
      <c r="CNN15" s="131"/>
      <c r="CNO15" s="131"/>
      <c r="CNP15" s="131"/>
      <c r="CNQ15" s="131"/>
      <c r="CNR15" s="131"/>
      <c r="CNS15" s="131"/>
      <c r="CNT15" s="131"/>
      <c r="CNU15" s="131"/>
      <c r="CNV15" s="131"/>
      <c r="CNW15" s="131"/>
      <c r="CNX15" s="131"/>
      <c r="CNY15" s="131"/>
      <c r="CNZ15" s="135"/>
      <c r="COA15" s="135"/>
      <c r="COB15" s="135"/>
      <c r="COC15" s="135"/>
      <c r="COD15" s="131"/>
      <c r="COE15" s="131"/>
      <c r="COF15" s="131"/>
      <c r="COG15" s="131"/>
      <c r="COH15" s="131"/>
      <c r="COI15" s="131"/>
      <c r="COJ15" s="131"/>
      <c r="COK15" s="131"/>
      <c r="COL15" s="131"/>
      <c r="COM15" s="131"/>
      <c r="CON15" s="131"/>
      <c r="COO15" s="131"/>
      <c r="COP15" s="135"/>
      <c r="COQ15" s="135"/>
      <c r="COR15" s="135"/>
      <c r="COS15" s="135"/>
      <c r="COT15" s="131"/>
      <c r="COU15" s="131"/>
      <c r="COV15" s="131"/>
      <c r="COW15" s="131"/>
      <c r="COX15" s="131"/>
      <c r="COY15" s="131"/>
      <c r="COZ15" s="131"/>
      <c r="CPA15" s="131"/>
      <c r="CPB15" s="131"/>
      <c r="CPC15" s="131"/>
      <c r="CPD15" s="131"/>
      <c r="CPE15" s="131"/>
      <c r="CPF15" s="135"/>
      <c r="CPG15" s="135"/>
      <c r="CPH15" s="135"/>
      <c r="CPI15" s="135"/>
      <c r="CPJ15" s="131"/>
      <c r="CPK15" s="131"/>
      <c r="CPL15" s="131"/>
      <c r="CPM15" s="131"/>
      <c r="CPN15" s="131"/>
      <c r="CPO15" s="131"/>
      <c r="CPP15" s="131"/>
      <c r="CPQ15" s="131"/>
      <c r="CPR15" s="131"/>
      <c r="CPS15" s="131"/>
      <c r="CPT15" s="131"/>
      <c r="CPU15" s="131"/>
      <c r="CPV15" s="135"/>
      <c r="CPW15" s="135"/>
      <c r="CPX15" s="135"/>
      <c r="CPY15" s="135"/>
      <c r="CPZ15" s="131"/>
      <c r="CQA15" s="131"/>
      <c r="CQB15" s="131"/>
      <c r="CQC15" s="131"/>
      <c r="CQD15" s="131"/>
      <c r="CQE15" s="131"/>
      <c r="CQF15" s="131"/>
      <c r="CQG15" s="131"/>
      <c r="CQH15" s="131"/>
      <c r="CQI15" s="131"/>
      <c r="CQJ15" s="131"/>
      <c r="CQK15" s="131"/>
      <c r="CQL15" s="135"/>
      <c r="CQM15" s="135"/>
      <c r="CQN15" s="135"/>
      <c r="CQO15" s="135"/>
      <c r="CQP15" s="131"/>
      <c r="CQQ15" s="131"/>
      <c r="CQR15" s="131"/>
      <c r="CQS15" s="131"/>
      <c r="CQT15" s="131"/>
      <c r="CQU15" s="131"/>
      <c r="CQV15" s="131"/>
      <c r="CQW15" s="131"/>
      <c r="CQX15" s="131"/>
      <c r="CQY15" s="131"/>
      <c r="CQZ15" s="131"/>
      <c r="CRA15" s="131"/>
      <c r="CRB15" s="135"/>
      <c r="CRC15" s="135"/>
      <c r="CRD15" s="135"/>
      <c r="CRE15" s="135"/>
      <c r="CRF15" s="131"/>
      <c r="CRG15" s="131"/>
      <c r="CRH15" s="131"/>
      <c r="CRI15" s="131"/>
      <c r="CRJ15" s="131"/>
      <c r="CRK15" s="131"/>
      <c r="CRL15" s="131"/>
      <c r="CRM15" s="131"/>
      <c r="CRN15" s="131"/>
      <c r="CRO15" s="131"/>
      <c r="CRP15" s="131"/>
      <c r="CRQ15" s="131"/>
      <c r="CRR15" s="135"/>
      <c r="CRS15" s="135"/>
      <c r="CRT15" s="135"/>
      <c r="CRU15" s="135"/>
      <c r="CRV15" s="131"/>
      <c r="CRW15" s="131"/>
      <c r="CRX15" s="131"/>
      <c r="CRY15" s="131"/>
      <c r="CRZ15" s="131"/>
      <c r="CSA15" s="131"/>
      <c r="CSB15" s="131"/>
      <c r="CSC15" s="131"/>
      <c r="CSD15" s="131"/>
      <c r="CSE15" s="131"/>
      <c r="CSF15" s="131"/>
      <c r="CSG15" s="131"/>
      <c r="CSH15" s="135"/>
      <c r="CSI15" s="135"/>
      <c r="CSJ15" s="135"/>
      <c r="CSK15" s="135"/>
      <c r="CSL15" s="131"/>
      <c r="CSM15" s="131"/>
      <c r="CSN15" s="131"/>
      <c r="CSO15" s="131"/>
      <c r="CSP15" s="131"/>
      <c r="CSQ15" s="131"/>
      <c r="CSR15" s="131"/>
      <c r="CSS15" s="131"/>
      <c r="CST15" s="131"/>
      <c r="CSU15" s="131"/>
      <c r="CSV15" s="131"/>
      <c r="CSW15" s="131"/>
      <c r="CSX15" s="135"/>
      <c r="CSY15" s="135"/>
      <c r="CSZ15" s="135"/>
      <c r="CTA15" s="135"/>
      <c r="CTB15" s="131"/>
      <c r="CTC15" s="131"/>
      <c r="CTD15" s="131"/>
      <c r="CTE15" s="131"/>
      <c r="CTF15" s="131"/>
      <c r="CTG15" s="131"/>
      <c r="CTH15" s="131"/>
      <c r="CTI15" s="131"/>
      <c r="CTJ15" s="131"/>
      <c r="CTK15" s="131"/>
      <c r="CTL15" s="131"/>
      <c r="CTM15" s="131"/>
      <c r="CTN15" s="135"/>
      <c r="CTO15" s="135"/>
      <c r="CTP15" s="135"/>
      <c r="CTQ15" s="135"/>
      <c r="CTR15" s="131"/>
      <c r="CTS15" s="131"/>
      <c r="CTT15" s="131"/>
      <c r="CTU15" s="131"/>
      <c r="CTV15" s="131"/>
      <c r="CTW15" s="131"/>
      <c r="CTX15" s="131"/>
      <c r="CTY15" s="131"/>
      <c r="CTZ15" s="131"/>
      <c r="CUA15" s="131"/>
      <c r="CUB15" s="131"/>
      <c r="CUC15" s="131"/>
      <c r="CUD15" s="135"/>
      <c r="CUE15" s="135"/>
      <c r="CUF15" s="135"/>
      <c r="CUG15" s="135"/>
      <c r="CUH15" s="131"/>
      <c r="CUI15" s="131"/>
      <c r="CUJ15" s="131"/>
      <c r="CUK15" s="131"/>
      <c r="CUL15" s="131"/>
      <c r="CUM15" s="131"/>
      <c r="CUN15" s="131"/>
      <c r="CUO15" s="131"/>
      <c r="CUP15" s="131"/>
      <c r="CUQ15" s="131"/>
      <c r="CUR15" s="131"/>
      <c r="CUS15" s="131"/>
      <c r="CUT15" s="135"/>
      <c r="CUU15" s="135"/>
      <c r="CUV15" s="135"/>
      <c r="CUW15" s="135"/>
      <c r="CUX15" s="131"/>
      <c r="CUY15" s="131"/>
      <c r="CUZ15" s="131"/>
      <c r="CVA15" s="131"/>
      <c r="CVB15" s="131"/>
      <c r="CVC15" s="131"/>
      <c r="CVD15" s="131"/>
      <c r="CVE15" s="131"/>
      <c r="CVF15" s="131"/>
      <c r="CVG15" s="131"/>
      <c r="CVH15" s="131"/>
      <c r="CVI15" s="131"/>
      <c r="CVJ15" s="135"/>
      <c r="CVK15" s="135"/>
      <c r="CVL15" s="135"/>
      <c r="CVM15" s="135"/>
      <c r="CVN15" s="131"/>
      <c r="CVO15" s="131"/>
      <c r="CVP15" s="131"/>
      <c r="CVQ15" s="131"/>
      <c r="CVR15" s="131"/>
      <c r="CVS15" s="131"/>
      <c r="CVT15" s="131"/>
      <c r="CVU15" s="131"/>
      <c r="CVV15" s="131"/>
      <c r="CVW15" s="131"/>
      <c r="CVX15" s="131"/>
      <c r="CVY15" s="131"/>
      <c r="CVZ15" s="135"/>
      <c r="CWA15" s="135"/>
      <c r="CWB15" s="135"/>
      <c r="CWC15" s="135"/>
      <c r="CWD15" s="131"/>
      <c r="CWE15" s="131"/>
      <c r="CWF15" s="131"/>
      <c r="CWG15" s="131"/>
      <c r="CWH15" s="131"/>
      <c r="CWI15" s="131"/>
      <c r="CWJ15" s="131"/>
      <c r="CWK15" s="131"/>
      <c r="CWL15" s="131"/>
      <c r="CWM15" s="131"/>
      <c r="CWN15" s="131"/>
      <c r="CWO15" s="131"/>
      <c r="CWP15" s="135"/>
      <c r="CWQ15" s="135"/>
      <c r="CWR15" s="135"/>
      <c r="CWS15" s="135"/>
      <c r="CWT15" s="131"/>
      <c r="CWU15" s="131"/>
      <c r="CWV15" s="131"/>
      <c r="CWW15" s="131"/>
      <c r="CWX15" s="131"/>
      <c r="CWY15" s="131"/>
      <c r="CWZ15" s="131"/>
      <c r="CXA15" s="131"/>
      <c r="CXB15" s="131"/>
      <c r="CXC15" s="131"/>
      <c r="CXD15" s="131"/>
      <c r="CXE15" s="131"/>
      <c r="CXF15" s="135"/>
      <c r="CXG15" s="135"/>
      <c r="CXH15" s="135"/>
      <c r="CXI15" s="135"/>
      <c r="CXJ15" s="131"/>
      <c r="CXK15" s="131"/>
      <c r="CXL15" s="131"/>
      <c r="CXM15" s="131"/>
      <c r="CXN15" s="131"/>
      <c r="CXO15" s="131"/>
      <c r="CXP15" s="131"/>
      <c r="CXQ15" s="131"/>
      <c r="CXR15" s="131"/>
      <c r="CXS15" s="131"/>
      <c r="CXT15" s="131"/>
      <c r="CXU15" s="131"/>
      <c r="CXV15" s="135"/>
      <c r="CXW15" s="135"/>
      <c r="CXX15" s="135"/>
      <c r="CXY15" s="135"/>
      <c r="CXZ15" s="131"/>
      <c r="CYA15" s="131"/>
      <c r="CYB15" s="131"/>
      <c r="CYC15" s="131"/>
      <c r="CYD15" s="131"/>
      <c r="CYE15" s="131"/>
      <c r="CYF15" s="131"/>
      <c r="CYG15" s="131"/>
      <c r="CYH15" s="131"/>
      <c r="CYI15" s="131"/>
      <c r="CYJ15" s="131"/>
      <c r="CYK15" s="131"/>
      <c r="CYL15" s="135"/>
      <c r="CYM15" s="135"/>
      <c r="CYN15" s="135"/>
      <c r="CYO15" s="135"/>
      <c r="CYP15" s="131"/>
      <c r="CYQ15" s="131"/>
      <c r="CYR15" s="131"/>
      <c r="CYS15" s="131"/>
      <c r="CYT15" s="131"/>
      <c r="CYU15" s="131"/>
      <c r="CYV15" s="131"/>
      <c r="CYW15" s="131"/>
      <c r="CYX15" s="131"/>
      <c r="CYY15" s="131"/>
      <c r="CYZ15" s="131"/>
      <c r="CZA15" s="131"/>
      <c r="CZB15" s="135"/>
      <c r="CZC15" s="135"/>
      <c r="CZD15" s="135"/>
      <c r="CZE15" s="135"/>
      <c r="CZF15" s="131"/>
      <c r="CZG15" s="131"/>
      <c r="CZH15" s="131"/>
      <c r="CZI15" s="131"/>
      <c r="CZJ15" s="131"/>
      <c r="CZK15" s="131"/>
      <c r="CZL15" s="131"/>
      <c r="CZM15" s="131"/>
      <c r="CZN15" s="131"/>
      <c r="CZO15" s="131"/>
      <c r="CZP15" s="131"/>
      <c r="CZQ15" s="131"/>
      <c r="CZR15" s="135"/>
      <c r="CZS15" s="135"/>
      <c r="CZT15" s="135"/>
      <c r="CZU15" s="135"/>
      <c r="CZV15" s="131"/>
      <c r="CZW15" s="131"/>
      <c r="CZX15" s="131"/>
      <c r="CZY15" s="131"/>
      <c r="CZZ15" s="131"/>
      <c r="DAA15" s="131"/>
      <c r="DAB15" s="131"/>
      <c r="DAC15" s="131"/>
      <c r="DAD15" s="131"/>
      <c r="DAE15" s="131"/>
      <c r="DAF15" s="131"/>
      <c r="DAG15" s="131"/>
      <c r="DAH15" s="135"/>
      <c r="DAI15" s="135"/>
      <c r="DAJ15" s="135"/>
      <c r="DAK15" s="135"/>
      <c r="DAL15" s="131"/>
      <c r="DAM15" s="131"/>
      <c r="DAN15" s="131"/>
      <c r="DAO15" s="131"/>
      <c r="DAP15" s="131"/>
      <c r="DAQ15" s="131"/>
      <c r="DAR15" s="131"/>
      <c r="DAS15" s="131"/>
      <c r="DAT15" s="131"/>
      <c r="DAU15" s="131"/>
      <c r="DAV15" s="131"/>
      <c r="DAW15" s="131"/>
      <c r="DAX15" s="135"/>
      <c r="DAY15" s="135"/>
      <c r="DAZ15" s="135"/>
      <c r="DBA15" s="135"/>
      <c r="DBB15" s="131"/>
      <c r="DBC15" s="131"/>
      <c r="DBD15" s="131"/>
      <c r="DBE15" s="131"/>
      <c r="DBF15" s="131"/>
      <c r="DBG15" s="131"/>
      <c r="DBH15" s="131"/>
      <c r="DBI15" s="131"/>
      <c r="DBJ15" s="131"/>
      <c r="DBK15" s="131"/>
      <c r="DBL15" s="131"/>
      <c r="DBM15" s="131"/>
      <c r="DBN15" s="135"/>
      <c r="DBO15" s="135"/>
      <c r="DBP15" s="135"/>
      <c r="DBQ15" s="135"/>
      <c r="DBR15" s="131"/>
      <c r="DBS15" s="131"/>
      <c r="DBT15" s="131"/>
      <c r="DBU15" s="131"/>
      <c r="DBV15" s="131"/>
      <c r="DBW15" s="131"/>
      <c r="DBX15" s="131"/>
      <c r="DBY15" s="131"/>
      <c r="DBZ15" s="131"/>
      <c r="DCA15" s="131"/>
      <c r="DCB15" s="131"/>
      <c r="DCC15" s="131"/>
      <c r="DCD15" s="135"/>
      <c r="DCE15" s="135"/>
      <c r="DCF15" s="135"/>
      <c r="DCG15" s="135"/>
      <c r="DCH15" s="131"/>
      <c r="DCI15" s="131"/>
      <c r="DCJ15" s="131"/>
      <c r="DCK15" s="131"/>
      <c r="DCL15" s="131"/>
      <c r="DCM15" s="131"/>
      <c r="DCN15" s="131"/>
      <c r="DCO15" s="131"/>
      <c r="DCP15" s="131"/>
      <c r="DCQ15" s="131"/>
      <c r="DCR15" s="131"/>
      <c r="DCS15" s="131"/>
      <c r="DCT15" s="135"/>
      <c r="DCU15" s="135"/>
      <c r="DCV15" s="135"/>
      <c r="DCW15" s="135"/>
      <c r="DCX15" s="131"/>
      <c r="DCY15" s="131"/>
      <c r="DCZ15" s="131"/>
      <c r="DDA15" s="131"/>
      <c r="DDB15" s="131"/>
      <c r="DDC15" s="131"/>
      <c r="DDD15" s="131"/>
      <c r="DDE15" s="131"/>
      <c r="DDF15" s="131"/>
      <c r="DDG15" s="131"/>
      <c r="DDH15" s="131"/>
      <c r="DDI15" s="131"/>
      <c r="DDJ15" s="135"/>
      <c r="DDK15" s="135"/>
      <c r="DDL15" s="135"/>
      <c r="DDM15" s="135"/>
      <c r="DDN15" s="131"/>
      <c r="DDO15" s="131"/>
      <c r="DDP15" s="131"/>
      <c r="DDQ15" s="131"/>
      <c r="DDR15" s="131"/>
      <c r="DDS15" s="131"/>
      <c r="DDT15" s="131"/>
      <c r="DDU15" s="131"/>
      <c r="DDV15" s="131"/>
      <c r="DDW15" s="131"/>
      <c r="DDX15" s="131"/>
      <c r="DDY15" s="131"/>
      <c r="DDZ15" s="135"/>
      <c r="DEA15" s="135"/>
      <c r="DEB15" s="135"/>
      <c r="DEC15" s="135"/>
      <c r="DED15" s="131"/>
      <c r="DEE15" s="131"/>
      <c r="DEF15" s="131"/>
      <c r="DEG15" s="131"/>
      <c r="DEH15" s="131"/>
      <c r="DEI15" s="131"/>
      <c r="DEJ15" s="131"/>
      <c r="DEK15" s="131"/>
      <c r="DEL15" s="131"/>
      <c r="DEM15" s="131"/>
      <c r="DEN15" s="131"/>
      <c r="DEO15" s="131"/>
      <c r="DEP15" s="135"/>
      <c r="DEQ15" s="135"/>
      <c r="DER15" s="135"/>
      <c r="DES15" s="135"/>
      <c r="DET15" s="131"/>
      <c r="DEU15" s="131"/>
      <c r="DEV15" s="131"/>
      <c r="DEW15" s="131"/>
      <c r="DEX15" s="131"/>
      <c r="DEY15" s="131"/>
      <c r="DEZ15" s="131"/>
      <c r="DFA15" s="131"/>
      <c r="DFB15" s="131"/>
      <c r="DFC15" s="131"/>
      <c r="DFD15" s="131"/>
      <c r="DFE15" s="131"/>
      <c r="DFF15" s="135"/>
      <c r="DFG15" s="135"/>
      <c r="DFH15" s="135"/>
      <c r="DFI15" s="135"/>
      <c r="DFJ15" s="131"/>
      <c r="DFK15" s="131"/>
      <c r="DFL15" s="131"/>
      <c r="DFM15" s="131"/>
      <c r="DFN15" s="131"/>
      <c r="DFO15" s="131"/>
      <c r="DFP15" s="131"/>
      <c r="DFQ15" s="131"/>
      <c r="DFR15" s="131"/>
      <c r="DFS15" s="131"/>
      <c r="DFT15" s="131"/>
      <c r="DFU15" s="131"/>
      <c r="DFV15" s="135"/>
      <c r="DFW15" s="135"/>
      <c r="DFX15" s="135"/>
      <c r="DFY15" s="135"/>
      <c r="DFZ15" s="131"/>
      <c r="DGA15" s="131"/>
      <c r="DGB15" s="131"/>
      <c r="DGC15" s="131"/>
      <c r="DGD15" s="131"/>
      <c r="DGE15" s="131"/>
      <c r="DGF15" s="131"/>
      <c r="DGG15" s="131"/>
      <c r="DGH15" s="131"/>
      <c r="DGI15" s="131"/>
      <c r="DGJ15" s="131"/>
      <c r="DGK15" s="131"/>
      <c r="DGL15" s="135"/>
      <c r="DGM15" s="135"/>
      <c r="DGN15" s="135"/>
      <c r="DGO15" s="135"/>
      <c r="DGP15" s="131"/>
      <c r="DGQ15" s="131"/>
      <c r="DGR15" s="131"/>
      <c r="DGS15" s="131"/>
      <c r="DGT15" s="131"/>
      <c r="DGU15" s="131"/>
      <c r="DGV15" s="131"/>
      <c r="DGW15" s="131"/>
      <c r="DGX15" s="131"/>
      <c r="DGY15" s="131"/>
      <c r="DGZ15" s="131"/>
      <c r="DHA15" s="131"/>
      <c r="DHB15" s="135"/>
      <c r="DHC15" s="135"/>
      <c r="DHD15" s="135"/>
      <c r="DHE15" s="135"/>
      <c r="DHF15" s="131"/>
      <c r="DHG15" s="131"/>
      <c r="DHH15" s="131"/>
      <c r="DHI15" s="131"/>
      <c r="DHJ15" s="131"/>
      <c r="DHK15" s="131"/>
      <c r="DHL15" s="131"/>
      <c r="DHM15" s="131"/>
      <c r="DHN15" s="131"/>
      <c r="DHO15" s="131"/>
      <c r="DHP15" s="131"/>
      <c r="DHQ15" s="131"/>
      <c r="DHR15" s="135"/>
      <c r="DHS15" s="135"/>
      <c r="DHT15" s="135"/>
      <c r="DHU15" s="135"/>
      <c r="DHV15" s="131"/>
      <c r="DHW15" s="131"/>
      <c r="DHX15" s="131"/>
      <c r="DHY15" s="131"/>
      <c r="DHZ15" s="131"/>
      <c r="DIA15" s="131"/>
      <c r="DIB15" s="131"/>
      <c r="DIC15" s="131"/>
      <c r="DID15" s="131"/>
      <c r="DIE15" s="131"/>
      <c r="DIF15" s="131"/>
      <c r="DIG15" s="131"/>
      <c r="DIH15" s="135"/>
      <c r="DII15" s="135"/>
      <c r="DIJ15" s="135"/>
      <c r="DIK15" s="135"/>
      <c r="DIL15" s="131"/>
      <c r="DIM15" s="131"/>
      <c r="DIN15" s="131"/>
      <c r="DIO15" s="131"/>
      <c r="DIP15" s="131"/>
      <c r="DIQ15" s="131"/>
      <c r="DIR15" s="131"/>
      <c r="DIS15" s="131"/>
      <c r="DIT15" s="131"/>
      <c r="DIU15" s="131"/>
      <c r="DIV15" s="131"/>
      <c r="DIW15" s="131"/>
      <c r="DIX15" s="135"/>
      <c r="DIY15" s="135"/>
      <c r="DIZ15" s="135"/>
      <c r="DJA15" s="135"/>
      <c r="DJB15" s="131"/>
      <c r="DJC15" s="131"/>
      <c r="DJD15" s="131"/>
      <c r="DJE15" s="131"/>
      <c r="DJF15" s="131"/>
      <c r="DJG15" s="131"/>
      <c r="DJH15" s="131"/>
      <c r="DJI15" s="131"/>
      <c r="DJJ15" s="131"/>
      <c r="DJK15" s="131"/>
      <c r="DJL15" s="131"/>
      <c r="DJM15" s="131"/>
      <c r="DJN15" s="135"/>
      <c r="DJO15" s="135"/>
      <c r="DJP15" s="135"/>
      <c r="DJQ15" s="135"/>
      <c r="DJR15" s="131"/>
      <c r="DJS15" s="131"/>
      <c r="DJT15" s="131"/>
      <c r="DJU15" s="131"/>
      <c r="DJV15" s="131"/>
      <c r="DJW15" s="131"/>
      <c r="DJX15" s="131"/>
      <c r="DJY15" s="131"/>
      <c r="DJZ15" s="131"/>
      <c r="DKA15" s="131"/>
      <c r="DKB15" s="131"/>
      <c r="DKC15" s="131"/>
      <c r="DKD15" s="135"/>
      <c r="DKE15" s="135"/>
      <c r="DKF15" s="135"/>
      <c r="DKG15" s="135"/>
      <c r="DKH15" s="131"/>
      <c r="DKI15" s="131"/>
      <c r="DKJ15" s="131"/>
      <c r="DKK15" s="131"/>
      <c r="DKL15" s="131"/>
      <c r="DKM15" s="131"/>
      <c r="DKN15" s="131"/>
      <c r="DKO15" s="131"/>
      <c r="DKP15" s="131"/>
      <c r="DKQ15" s="131"/>
      <c r="DKR15" s="131"/>
      <c r="DKS15" s="131"/>
      <c r="DKT15" s="135"/>
      <c r="DKU15" s="135"/>
      <c r="DKV15" s="135"/>
      <c r="DKW15" s="135"/>
      <c r="DKX15" s="131"/>
      <c r="DKY15" s="131"/>
      <c r="DKZ15" s="131"/>
      <c r="DLA15" s="131"/>
      <c r="DLB15" s="131"/>
      <c r="DLC15" s="131"/>
      <c r="DLD15" s="131"/>
      <c r="DLE15" s="131"/>
      <c r="DLF15" s="131"/>
      <c r="DLG15" s="131"/>
      <c r="DLH15" s="131"/>
      <c r="DLI15" s="131"/>
      <c r="DLJ15" s="135"/>
      <c r="DLK15" s="135"/>
      <c r="DLL15" s="135"/>
      <c r="DLM15" s="135"/>
      <c r="DLN15" s="131"/>
      <c r="DLO15" s="131"/>
      <c r="DLP15" s="131"/>
      <c r="DLQ15" s="131"/>
      <c r="DLR15" s="131"/>
      <c r="DLS15" s="131"/>
      <c r="DLT15" s="131"/>
      <c r="DLU15" s="131"/>
      <c r="DLV15" s="131"/>
      <c r="DLW15" s="131"/>
      <c r="DLX15" s="131"/>
      <c r="DLY15" s="131"/>
      <c r="DLZ15" s="135"/>
      <c r="DMA15" s="135"/>
      <c r="DMB15" s="135"/>
      <c r="DMC15" s="135"/>
      <c r="DMD15" s="131"/>
      <c r="DME15" s="131"/>
      <c r="DMF15" s="131"/>
      <c r="DMG15" s="131"/>
      <c r="DMH15" s="131"/>
      <c r="DMI15" s="131"/>
      <c r="DMJ15" s="131"/>
      <c r="DMK15" s="131"/>
      <c r="DML15" s="131"/>
      <c r="DMM15" s="131"/>
      <c r="DMN15" s="131"/>
      <c r="DMO15" s="131"/>
      <c r="DMP15" s="135"/>
      <c r="DMQ15" s="135"/>
      <c r="DMR15" s="135"/>
      <c r="DMS15" s="135"/>
      <c r="DNF15" s="135"/>
      <c r="DNG15" s="135"/>
      <c r="DNH15" s="135"/>
      <c r="DNI15" s="135"/>
      <c r="DNJ15" s="131"/>
      <c r="DNK15" s="131"/>
      <c r="DNL15" s="131"/>
      <c r="DNM15" s="131"/>
      <c r="DNN15" s="131"/>
      <c r="DNO15" s="131"/>
      <c r="DNP15" s="131"/>
      <c r="DNQ15" s="131"/>
      <c r="DNR15" s="131"/>
      <c r="DNS15" s="131"/>
      <c r="DNT15" s="131"/>
      <c r="DNU15" s="131"/>
      <c r="DNV15" s="135"/>
      <c r="DNW15" s="135"/>
      <c r="DNX15" s="135"/>
      <c r="DNY15" s="135"/>
      <c r="DNZ15" s="131"/>
      <c r="DOA15" s="131"/>
      <c r="DOB15" s="131"/>
      <c r="DOC15" s="131"/>
      <c r="DOD15" s="131"/>
      <c r="DOE15" s="131"/>
      <c r="DOF15" s="131"/>
      <c r="DOG15" s="131"/>
      <c r="DOH15" s="131"/>
      <c r="DOI15" s="131"/>
      <c r="DOJ15" s="131"/>
      <c r="DOK15" s="131"/>
      <c r="DOL15" s="135"/>
      <c r="DOM15" s="135"/>
      <c r="DON15" s="135"/>
      <c r="DOO15" s="135"/>
      <c r="DOP15" s="131"/>
      <c r="DOQ15" s="131"/>
      <c r="DOR15" s="131"/>
      <c r="DOS15" s="131"/>
      <c r="DOT15" s="131"/>
      <c r="DOU15" s="131"/>
      <c r="DOV15" s="131"/>
      <c r="DOW15" s="131"/>
      <c r="DOX15" s="131"/>
      <c r="DOY15" s="131"/>
      <c r="DOZ15" s="131"/>
      <c r="DPA15" s="131"/>
      <c r="DPB15" s="135"/>
      <c r="DPC15" s="135"/>
      <c r="DPD15" s="135"/>
      <c r="DPE15" s="135"/>
      <c r="DPF15" s="131"/>
      <c r="DPG15" s="131"/>
      <c r="DPH15" s="131"/>
      <c r="DPI15" s="131"/>
      <c r="DPJ15" s="131"/>
      <c r="DPK15" s="131"/>
      <c r="DPL15" s="131"/>
      <c r="DPM15" s="131"/>
      <c r="DPN15" s="131"/>
      <c r="DPO15" s="131"/>
      <c r="DPP15" s="131"/>
      <c r="DPQ15" s="131"/>
      <c r="DPR15" s="135"/>
      <c r="DPS15" s="135"/>
      <c r="DPT15" s="135"/>
      <c r="DPU15" s="135"/>
      <c r="DPV15" s="131"/>
      <c r="DPW15" s="131"/>
      <c r="DPX15" s="131"/>
      <c r="DPY15" s="131"/>
      <c r="DPZ15" s="131"/>
      <c r="DQA15" s="131"/>
      <c r="DQB15" s="131"/>
      <c r="DQC15" s="131"/>
      <c r="DQD15" s="131"/>
      <c r="DQE15" s="131"/>
      <c r="DQF15" s="131"/>
      <c r="DQG15" s="131"/>
      <c r="DQH15" s="135"/>
      <c r="DQI15" s="135"/>
      <c r="DQJ15" s="135"/>
      <c r="DQK15" s="135"/>
      <c r="DQL15" s="131"/>
      <c r="DQM15" s="131"/>
      <c r="DQN15" s="131"/>
      <c r="DQO15" s="131"/>
      <c r="DQP15" s="131"/>
      <c r="DQQ15" s="131"/>
      <c r="DQR15" s="131"/>
      <c r="DQS15" s="131"/>
      <c r="DQT15" s="131"/>
      <c r="DQU15" s="131"/>
      <c r="DQV15" s="131"/>
      <c r="DQW15" s="131"/>
      <c r="DQX15" s="135"/>
      <c r="DQY15" s="135"/>
      <c r="DQZ15" s="135"/>
      <c r="DRA15" s="135"/>
      <c r="DRB15" s="131"/>
      <c r="DRC15" s="131"/>
      <c r="DRD15" s="131"/>
      <c r="DRE15" s="131"/>
      <c r="DRF15" s="131"/>
      <c r="DRG15" s="131"/>
      <c r="DRH15" s="131"/>
      <c r="DRI15" s="131"/>
      <c r="DRJ15" s="131"/>
      <c r="DRK15" s="131"/>
      <c r="DRL15" s="131"/>
      <c r="DRM15" s="131"/>
      <c r="DRN15" s="135"/>
      <c r="DRO15" s="135"/>
      <c r="DRP15" s="135"/>
      <c r="DRQ15" s="135"/>
      <c r="DRR15" s="131"/>
      <c r="DRS15" s="131"/>
      <c r="DRT15" s="131"/>
      <c r="DRU15" s="131"/>
      <c r="DRV15" s="131"/>
      <c r="DRW15" s="131"/>
      <c r="DRX15" s="131"/>
      <c r="DRY15" s="131"/>
      <c r="DRZ15" s="131"/>
      <c r="DSA15" s="131"/>
      <c r="DSB15" s="131"/>
      <c r="DSC15" s="131"/>
      <c r="DSD15" s="135"/>
      <c r="DSE15" s="135"/>
      <c r="DSF15" s="135"/>
      <c r="DSG15" s="135"/>
      <c r="DSH15" s="131"/>
      <c r="DSI15" s="131"/>
      <c r="DSJ15" s="131"/>
      <c r="DSK15" s="131"/>
      <c r="DSL15" s="131"/>
      <c r="DSM15" s="131"/>
      <c r="DSN15" s="131"/>
      <c r="DSO15" s="131"/>
      <c r="DSP15" s="131"/>
      <c r="DSQ15" s="131"/>
      <c r="DSR15" s="131"/>
      <c r="DSS15" s="131"/>
      <c r="DST15" s="135"/>
      <c r="DSU15" s="135"/>
      <c r="DSV15" s="135"/>
      <c r="DSW15" s="135"/>
      <c r="DSX15" s="131"/>
      <c r="DSY15" s="131"/>
      <c r="DSZ15" s="131"/>
      <c r="DTA15" s="131"/>
      <c r="DTB15" s="131"/>
      <c r="DTC15" s="131"/>
      <c r="DTD15" s="131"/>
      <c r="DTE15" s="131"/>
      <c r="DTF15" s="131"/>
      <c r="DTG15" s="131"/>
      <c r="DTH15" s="131"/>
      <c r="DTI15" s="131"/>
      <c r="DTJ15" s="135"/>
      <c r="DTK15" s="135"/>
      <c r="DTL15" s="135"/>
      <c r="DTM15" s="135"/>
      <c r="DTN15" s="131"/>
      <c r="DTO15" s="131"/>
      <c r="DTP15" s="131"/>
      <c r="DTQ15" s="131"/>
      <c r="DTR15" s="131"/>
      <c r="DTS15" s="131"/>
      <c r="DTT15" s="131"/>
      <c r="DTU15" s="131"/>
      <c r="DTV15" s="131"/>
      <c r="DTW15" s="131"/>
      <c r="DTX15" s="131"/>
      <c r="DTY15" s="131"/>
      <c r="DTZ15" s="135"/>
      <c r="DUA15" s="135"/>
      <c r="DUB15" s="135"/>
      <c r="DUC15" s="135"/>
      <c r="DUD15" s="131"/>
      <c r="DUE15" s="131"/>
      <c r="DUF15" s="131"/>
      <c r="DUG15" s="131"/>
      <c r="DUH15" s="131"/>
      <c r="DUI15" s="131"/>
      <c r="DUJ15" s="131"/>
      <c r="DUK15" s="131"/>
      <c r="DUL15" s="131"/>
      <c r="DUM15" s="131"/>
      <c r="DUN15" s="131"/>
      <c r="DUO15" s="131"/>
      <c r="DUP15" s="135"/>
      <c r="DUQ15" s="135"/>
      <c r="DUR15" s="135"/>
      <c r="DUS15" s="135"/>
      <c r="DUT15" s="131"/>
      <c r="DUU15" s="131"/>
      <c r="DUV15" s="131"/>
      <c r="DUW15" s="131"/>
      <c r="DUX15" s="131"/>
      <c r="DUY15" s="131"/>
      <c r="DUZ15" s="131"/>
      <c r="DVA15" s="131"/>
      <c r="DVB15" s="131"/>
      <c r="DVC15" s="131"/>
      <c r="DVD15" s="131"/>
      <c r="DVE15" s="131"/>
      <c r="DVF15" s="135"/>
      <c r="DVG15" s="135"/>
      <c r="DVH15" s="135"/>
      <c r="DVI15" s="135"/>
      <c r="DVJ15" s="131"/>
      <c r="DVK15" s="131"/>
      <c r="DVL15" s="131"/>
      <c r="DVM15" s="131"/>
      <c r="DVN15" s="131"/>
      <c r="DVO15" s="131"/>
      <c r="DVP15" s="131"/>
      <c r="DVQ15" s="131"/>
      <c r="DVR15" s="131"/>
      <c r="DVS15" s="131"/>
      <c r="DVT15" s="131"/>
      <c r="DVU15" s="131"/>
      <c r="DVV15" s="135"/>
      <c r="DVW15" s="135"/>
      <c r="DVX15" s="135"/>
      <c r="DVY15" s="135"/>
      <c r="DVZ15" s="131"/>
      <c r="DWA15" s="131"/>
      <c r="DWB15" s="131"/>
      <c r="DWC15" s="131"/>
      <c r="DWD15" s="131"/>
      <c r="DWE15" s="131"/>
      <c r="DWF15" s="131"/>
      <c r="DWG15" s="131"/>
      <c r="DWH15" s="131"/>
      <c r="DWI15" s="131"/>
      <c r="DWJ15" s="131"/>
      <c r="DWK15" s="131"/>
      <c r="DWL15" s="135"/>
      <c r="DWM15" s="135"/>
      <c r="DWN15" s="135"/>
      <c r="DWO15" s="135"/>
      <c r="DWP15" s="131"/>
      <c r="DWQ15" s="131"/>
      <c r="DWR15" s="131"/>
      <c r="DWS15" s="131"/>
      <c r="DWT15" s="131"/>
      <c r="DWU15" s="131"/>
      <c r="DWV15" s="131"/>
      <c r="DWW15" s="131"/>
      <c r="DWX15" s="131"/>
      <c r="DWY15" s="131"/>
      <c r="DWZ15" s="131"/>
      <c r="DXA15" s="131"/>
      <c r="DXB15" s="135"/>
      <c r="DXC15" s="135"/>
      <c r="DXD15" s="135"/>
      <c r="DXE15" s="135"/>
      <c r="DXF15" s="131"/>
      <c r="DXG15" s="131"/>
      <c r="DXH15" s="131"/>
      <c r="DXI15" s="131"/>
      <c r="DXJ15" s="131"/>
      <c r="DXK15" s="131"/>
      <c r="DXL15" s="131"/>
      <c r="DXM15" s="131"/>
      <c r="DXN15" s="131"/>
      <c r="DXO15" s="131"/>
      <c r="DXP15" s="131"/>
      <c r="DXQ15" s="131"/>
      <c r="DXR15" s="135"/>
      <c r="DXS15" s="135"/>
      <c r="DXT15" s="135"/>
      <c r="DXU15" s="135"/>
      <c r="DXV15" s="131"/>
      <c r="DXW15" s="131"/>
      <c r="DXX15" s="131"/>
      <c r="DXY15" s="131"/>
      <c r="DXZ15" s="131"/>
      <c r="DYA15" s="131"/>
      <c r="DYB15" s="131"/>
      <c r="DYC15" s="131"/>
      <c r="DYD15" s="131"/>
      <c r="DYE15" s="131"/>
      <c r="DYF15" s="131"/>
      <c r="DYG15" s="131"/>
      <c r="DYH15" s="135"/>
      <c r="DYI15" s="135"/>
      <c r="DYJ15" s="135"/>
      <c r="DYK15" s="135"/>
      <c r="DYL15" s="131"/>
      <c r="DYM15" s="131"/>
      <c r="DYN15" s="131"/>
      <c r="DYO15" s="131"/>
      <c r="DYP15" s="131"/>
      <c r="DYQ15" s="131"/>
      <c r="DYR15" s="131"/>
      <c r="DYS15" s="131"/>
      <c r="DYT15" s="131"/>
      <c r="DYU15" s="131"/>
      <c r="DYV15" s="131"/>
      <c r="DYW15" s="131"/>
      <c r="DYX15" s="135"/>
      <c r="DYY15" s="135"/>
      <c r="DYZ15" s="135"/>
      <c r="DZA15" s="135"/>
      <c r="DZB15" s="131"/>
      <c r="DZC15" s="131"/>
      <c r="DZD15" s="131"/>
      <c r="DZE15" s="131"/>
      <c r="DZF15" s="131"/>
      <c r="DZG15" s="131"/>
      <c r="DZH15" s="131"/>
      <c r="DZI15" s="131"/>
      <c r="DZJ15" s="131"/>
      <c r="DZK15" s="131"/>
      <c r="DZL15" s="131"/>
      <c r="DZM15" s="131"/>
      <c r="DZN15" s="135"/>
      <c r="DZO15" s="135"/>
      <c r="DZP15" s="135"/>
      <c r="DZQ15" s="135"/>
      <c r="DZR15" s="131"/>
      <c r="DZS15" s="131"/>
      <c r="DZT15" s="131"/>
      <c r="DZU15" s="131"/>
      <c r="DZV15" s="131"/>
      <c r="DZW15" s="131"/>
      <c r="DZX15" s="131"/>
      <c r="DZY15" s="131"/>
      <c r="DZZ15" s="131"/>
      <c r="EAA15" s="131"/>
      <c r="EAB15" s="131"/>
      <c r="EAC15" s="131"/>
      <c r="EAD15" s="135"/>
      <c r="EAE15" s="135"/>
      <c r="EAF15" s="135"/>
      <c r="EAG15" s="135"/>
      <c r="EAH15" s="131"/>
      <c r="EAI15" s="131"/>
      <c r="EAJ15" s="131"/>
      <c r="EAK15" s="131"/>
      <c r="EAL15" s="131"/>
      <c r="EAM15" s="131"/>
      <c r="EAN15" s="131"/>
      <c r="EAO15" s="131"/>
      <c r="EAP15" s="131"/>
      <c r="EAQ15" s="131"/>
      <c r="EAR15" s="131"/>
      <c r="EAS15" s="131"/>
      <c r="EAT15" s="135"/>
      <c r="EAU15" s="135"/>
      <c r="EAV15" s="135"/>
      <c r="EAW15" s="135"/>
      <c r="EAX15" s="131"/>
      <c r="EAY15" s="131"/>
      <c r="EAZ15" s="131"/>
      <c r="EBA15" s="131"/>
      <c r="EBB15" s="131"/>
      <c r="EBC15" s="131"/>
      <c r="EBD15" s="131"/>
      <c r="EBE15" s="131"/>
      <c r="EBF15" s="131"/>
      <c r="EBG15" s="131"/>
      <c r="EBH15" s="131"/>
      <c r="EBI15" s="131"/>
      <c r="EBJ15" s="135"/>
      <c r="EBK15" s="135"/>
      <c r="EBL15" s="135"/>
      <c r="EBM15" s="135"/>
      <c r="EBN15" s="131"/>
      <c r="EBO15" s="131"/>
      <c r="EBP15" s="131"/>
      <c r="EBQ15" s="131"/>
      <c r="EBR15" s="131"/>
      <c r="EBS15" s="131"/>
      <c r="EBT15" s="131"/>
      <c r="EBU15" s="131"/>
      <c r="EBV15" s="131"/>
      <c r="EBW15" s="131"/>
      <c r="EBX15" s="131"/>
      <c r="EBY15" s="131"/>
      <c r="EBZ15" s="135"/>
      <c r="ECA15" s="135"/>
      <c r="ECB15" s="135"/>
      <c r="ECC15" s="135"/>
      <c r="ECD15" s="131"/>
      <c r="ECE15" s="131"/>
      <c r="ECF15" s="131"/>
      <c r="ECG15" s="131"/>
      <c r="ECH15" s="131"/>
      <c r="ECI15" s="131"/>
      <c r="ECJ15" s="131"/>
      <c r="ECK15" s="131"/>
      <c r="ECL15" s="131"/>
      <c r="ECM15" s="131"/>
      <c r="ECN15" s="131"/>
      <c r="ECO15" s="131"/>
      <c r="ECP15" s="135"/>
      <c r="ECQ15" s="135"/>
      <c r="ECR15" s="135"/>
      <c r="ECS15" s="135"/>
      <c r="ECT15" s="131"/>
      <c r="ECU15" s="131"/>
      <c r="ECV15" s="131"/>
      <c r="ECW15" s="131"/>
      <c r="ECX15" s="131"/>
      <c r="ECY15" s="131"/>
      <c r="ECZ15" s="131"/>
      <c r="EDA15" s="131"/>
      <c r="EDB15" s="131"/>
      <c r="EDC15" s="131"/>
      <c r="EDD15" s="131"/>
      <c r="EDE15" s="131"/>
      <c r="EDF15" s="135"/>
      <c r="EDG15" s="135"/>
      <c r="EDH15" s="135"/>
      <c r="EDI15" s="135"/>
      <c r="EDJ15" s="131"/>
      <c r="EDK15" s="131"/>
      <c r="EDL15" s="131"/>
      <c r="EDM15" s="131"/>
      <c r="EDN15" s="131"/>
      <c r="EDO15" s="131"/>
      <c r="EDP15" s="131"/>
      <c r="EDQ15" s="131"/>
      <c r="EDR15" s="131"/>
      <c r="EDS15" s="131"/>
      <c r="EDT15" s="131"/>
      <c r="EDU15" s="131"/>
      <c r="EDV15" s="135"/>
      <c r="EDW15" s="135"/>
      <c r="EDX15" s="135"/>
      <c r="EDY15" s="135"/>
      <c r="EDZ15" s="131"/>
      <c r="EEA15" s="131"/>
      <c r="EEB15" s="131"/>
      <c r="EEC15" s="131"/>
      <c r="EED15" s="131"/>
      <c r="EEE15" s="131"/>
      <c r="EEF15" s="131"/>
      <c r="EEG15" s="131"/>
      <c r="EEH15" s="131"/>
      <c r="EEI15" s="131"/>
      <c r="EEJ15" s="131"/>
      <c r="EEK15" s="131"/>
      <c r="EEL15" s="135"/>
      <c r="EEM15" s="135"/>
      <c r="EEN15" s="135"/>
      <c r="EEO15" s="135"/>
      <c r="EEP15" s="131"/>
      <c r="EEQ15" s="131"/>
      <c r="EER15" s="131"/>
      <c r="EES15" s="131"/>
      <c r="EET15" s="131"/>
      <c r="EEU15" s="131"/>
      <c r="EEV15" s="131"/>
      <c r="EEW15" s="131"/>
      <c r="EEX15" s="131"/>
      <c r="EEY15" s="131"/>
      <c r="EEZ15" s="131"/>
      <c r="EFA15" s="131"/>
      <c r="EFB15" s="135"/>
      <c r="EFC15" s="135"/>
      <c r="EFD15" s="135"/>
      <c r="EFE15" s="135"/>
      <c r="EFF15" s="131"/>
      <c r="EFG15" s="131"/>
      <c r="EFH15" s="131"/>
      <c r="EFI15" s="131"/>
      <c r="EFJ15" s="131"/>
      <c r="EFK15" s="131"/>
      <c r="EFL15" s="131"/>
      <c r="EFM15" s="131"/>
      <c r="EFN15" s="131"/>
      <c r="EFO15" s="131"/>
      <c r="EFP15" s="131"/>
      <c r="EFQ15" s="131"/>
      <c r="EFR15" s="135"/>
      <c r="EFS15" s="135"/>
      <c r="EFT15" s="135"/>
      <c r="EFU15" s="135"/>
      <c r="EFV15" s="131"/>
      <c r="EFW15" s="131"/>
      <c r="EFX15" s="131"/>
      <c r="EFY15" s="131"/>
      <c r="EFZ15" s="131"/>
      <c r="EGA15" s="131"/>
      <c r="EGB15" s="131"/>
      <c r="EGC15" s="131"/>
      <c r="EGD15" s="131"/>
      <c r="EGE15" s="131"/>
      <c r="EGF15" s="131"/>
      <c r="EGG15" s="131"/>
      <c r="EGH15" s="135"/>
      <c r="EGI15" s="135"/>
      <c r="EGJ15" s="135"/>
      <c r="EGK15" s="135"/>
      <c r="EGL15" s="131"/>
      <c r="EGM15" s="131"/>
      <c r="EGN15" s="131"/>
      <c r="EGO15" s="131"/>
      <c r="EGP15" s="131"/>
      <c r="EGQ15" s="131"/>
      <c r="EGR15" s="131"/>
      <c r="EGS15" s="131"/>
      <c r="EGT15" s="131"/>
      <c r="EGU15" s="131"/>
      <c r="EGV15" s="131"/>
      <c r="EGW15" s="131"/>
      <c r="EGX15" s="135"/>
      <c r="EGY15" s="135"/>
      <c r="EGZ15" s="135"/>
      <c r="EHA15" s="135"/>
      <c r="EHB15" s="131"/>
      <c r="EHC15" s="131"/>
      <c r="EHD15" s="131"/>
      <c r="EHE15" s="131"/>
      <c r="EHF15" s="131"/>
      <c r="EHG15" s="131"/>
      <c r="EHH15" s="131"/>
      <c r="EHI15" s="131"/>
      <c r="EHJ15" s="131"/>
      <c r="EHK15" s="131"/>
      <c r="EHL15" s="131"/>
      <c r="EHM15" s="131"/>
      <c r="EHN15" s="135"/>
      <c r="EHO15" s="135"/>
      <c r="EHP15" s="135"/>
      <c r="EHQ15" s="135"/>
      <c r="EHR15" s="131"/>
      <c r="EHS15" s="131"/>
      <c r="EHT15" s="131"/>
      <c r="EHU15" s="131"/>
      <c r="EHV15" s="131"/>
      <c r="EHW15" s="131"/>
      <c r="EHX15" s="131"/>
      <c r="EHY15" s="131"/>
      <c r="EHZ15" s="131"/>
      <c r="EIA15" s="131"/>
      <c r="EIB15" s="131"/>
      <c r="EIC15" s="131"/>
      <c r="EID15" s="135"/>
      <c r="EIE15" s="135"/>
      <c r="EIF15" s="135"/>
      <c r="EIG15" s="135"/>
      <c r="EIH15" s="131"/>
      <c r="EII15" s="131"/>
      <c r="EIJ15" s="131"/>
      <c r="EIK15" s="131"/>
      <c r="EIL15" s="131"/>
      <c r="EIM15" s="131"/>
      <c r="EIN15" s="131"/>
      <c r="EIO15" s="131"/>
      <c r="EIP15" s="131"/>
      <c r="EIQ15" s="131"/>
      <c r="EIR15" s="131"/>
      <c r="EIS15" s="131"/>
      <c r="EIT15" s="135"/>
      <c r="EIU15" s="135"/>
      <c r="EIV15" s="135"/>
      <c r="EIW15" s="135"/>
      <c r="EIX15" s="131"/>
      <c r="EIY15" s="131"/>
      <c r="EIZ15" s="131"/>
      <c r="EJA15" s="131"/>
      <c r="EJB15" s="131"/>
      <c r="EJC15" s="131"/>
      <c r="EJD15" s="131"/>
      <c r="EJE15" s="131"/>
      <c r="EJF15" s="131"/>
      <c r="EJG15" s="131"/>
      <c r="EJH15" s="131"/>
      <c r="EJI15" s="131"/>
      <c r="EJJ15" s="135"/>
      <c r="EJK15" s="135"/>
      <c r="EJL15" s="135"/>
      <c r="EJM15" s="135"/>
      <c r="EJN15" s="131"/>
      <c r="EJO15" s="131"/>
      <c r="EJP15" s="131"/>
      <c r="EJQ15" s="131"/>
      <c r="EJR15" s="131"/>
      <c r="EJS15" s="131"/>
      <c r="EJT15" s="131"/>
      <c r="EJU15" s="131"/>
      <c r="EJV15" s="131"/>
      <c r="EJW15" s="131"/>
      <c r="EJX15" s="131"/>
      <c r="EJY15" s="131"/>
      <c r="EJZ15" s="135"/>
      <c r="EKA15" s="135"/>
      <c r="EKB15" s="135"/>
      <c r="EKC15" s="135"/>
      <c r="EKD15" s="131"/>
      <c r="EKE15" s="131"/>
      <c r="EKF15" s="131"/>
      <c r="EKG15" s="131"/>
      <c r="EKH15" s="131"/>
      <c r="EKI15" s="131"/>
      <c r="EKJ15" s="131"/>
      <c r="EKK15" s="131"/>
      <c r="EKL15" s="131"/>
      <c r="EKM15" s="131"/>
      <c r="EKN15" s="131"/>
      <c r="EKO15" s="131"/>
      <c r="EKP15" s="135"/>
      <c r="EKQ15" s="135"/>
      <c r="EKR15" s="135"/>
      <c r="EKS15" s="135"/>
      <c r="EKT15" s="131"/>
      <c r="EKU15" s="131"/>
      <c r="EKV15" s="131"/>
      <c r="EKW15" s="131"/>
      <c r="EKX15" s="131"/>
      <c r="EKY15" s="131"/>
      <c r="EKZ15" s="131"/>
      <c r="ELA15" s="131"/>
      <c r="ELB15" s="131"/>
      <c r="ELC15" s="131"/>
      <c r="ELD15" s="131"/>
      <c r="ELE15" s="131"/>
      <c r="ELF15" s="135"/>
      <c r="ELG15" s="135"/>
      <c r="ELH15" s="135"/>
      <c r="ELI15" s="135"/>
      <c r="ELJ15" s="131"/>
      <c r="ELK15" s="131"/>
      <c r="ELL15" s="131"/>
      <c r="ELM15" s="131"/>
      <c r="ELN15" s="131"/>
      <c r="ELO15" s="131"/>
      <c r="ELP15" s="131"/>
      <c r="ELQ15" s="131"/>
      <c r="ELR15" s="131"/>
      <c r="ELS15" s="131"/>
      <c r="ELT15" s="131"/>
      <c r="ELU15" s="131"/>
      <c r="ELV15" s="135"/>
      <c r="ELW15" s="135"/>
      <c r="ELX15" s="135"/>
      <c r="ELY15" s="135"/>
      <c r="ELZ15" s="131"/>
      <c r="EMA15" s="131"/>
      <c r="EMB15" s="131"/>
      <c r="EMC15" s="131"/>
      <c r="EMD15" s="131"/>
      <c r="EME15" s="131"/>
      <c r="EMF15" s="131"/>
      <c r="EMG15" s="131"/>
      <c r="EMH15" s="131"/>
      <c r="EMI15" s="131"/>
      <c r="EMJ15" s="131"/>
      <c r="EMK15" s="131"/>
      <c r="EML15" s="135"/>
      <c r="EMM15" s="135"/>
      <c r="EMN15" s="135"/>
      <c r="EMO15" s="135"/>
      <c r="EMP15" s="131"/>
      <c r="EMQ15" s="131"/>
      <c r="EMR15" s="131"/>
      <c r="EMS15" s="131"/>
      <c r="EMT15" s="131"/>
      <c r="EMU15" s="131"/>
      <c r="EMV15" s="131"/>
      <c r="EMW15" s="131"/>
      <c r="EMX15" s="131"/>
      <c r="EMY15" s="131"/>
      <c r="EMZ15" s="131"/>
      <c r="ENA15" s="131"/>
      <c r="ENB15" s="135"/>
      <c r="ENC15" s="135"/>
      <c r="END15" s="135"/>
      <c r="ENE15" s="135"/>
      <c r="ENF15" s="131"/>
      <c r="ENG15" s="131"/>
      <c r="ENH15" s="131"/>
      <c r="ENI15" s="131"/>
      <c r="ENJ15" s="131"/>
      <c r="ENK15" s="131"/>
      <c r="ENL15" s="131"/>
      <c r="ENM15" s="131"/>
      <c r="ENN15" s="131"/>
      <c r="ENO15" s="131"/>
      <c r="ENP15" s="131"/>
      <c r="ENQ15" s="131"/>
      <c r="ENR15" s="135"/>
      <c r="ENS15" s="135"/>
      <c r="ENT15" s="135"/>
      <c r="ENU15" s="135"/>
      <c r="ENV15" s="131"/>
      <c r="ENW15" s="131"/>
      <c r="ENX15" s="131"/>
      <c r="ENY15" s="131"/>
      <c r="ENZ15" s="131"/>
      <c r="EOA15" s="131"/>
      <c r="EOB15" s="131"/>
      <c r="EOC15" s="131"/>
      <c r="EOD15" s="131"/>
      <c r="EOE15" s="131"/>
      <c r="EOF15" s="131"/>
      <c r="EOG15" s="131"/>
      <c r="EOH15" s="135"/>
      <c r="EOI15" s="135"/>
      <c r="EOJ15" s="135"/>
      <c r="EOK15" s="135"/>
      <c r="EOL15" s="131"/>
      <c r="EOM15" s="131"/>
      <c r="EON15" s="131"/>
      <c r="EOO15" s="131"/>
      <c r="EOP15" s="131"/>
      <c r="EOQ15" s="131"/>
      <c r="EOR15" s="131"/>
      <c r="EOS15" s="131"/>
      <c r="EOT15" s="131"/>
      <c r="EOU15" s="131"/>
      <c r="EOV15" s="131"/>
      <c r="EOW15" s="131"/>
      <c r="EOX15" s="135"/>
      <c r="EOY15" s="135"/>
      <c r="EOZ15" s="135"/>
      <c r="EPA15" s="135"/>
      <c r="EPB15" s="131"/>
      <c r="EPC15" s="131"/>
      <c r="EPD15" s="131"/>
      <c r="EPE15" s="131"/>
      <c r="EPF15" s="131"/>
      <c r="EPG15" s="131"/>
      <c r="EPH15" s="131"/>
      <c r="EPI15" s="131"/>
      <c r="EPJ15" s="131"/>
      <c r="EPK15" s="131"/>
      <c r="EPL15" s="131"/>
      <c r="EPM15" s="131"/>
      <c r="EPN15" s="135"/>
      <c r="EPO15" s="135"/>
      <c r="EPP15" s="135"/>
      <c r="EPQ15" s="135"/>
      <c r="EPR15" s="131"/>
      <c r="EPS15" s="131"/>
      <c r="EPT15" s="131"/>
      <c r="EPU15" s="131"/>
      <c r="EPV15" s="131"/>
      <c r="EPW15" s="131"/>
      <c r="EPX15" s="131"/>
      <c r="EPY15" s="131"/>
      <c r="EPZ15" s="131"/>
      <c r="EQA15" s="131"/>
      <c r="EQB15" s="131"/>
      <c r="EQC15" s="131"/>
      <c r="EQD15" s="135"/>
      <c r="EQE15" s="135"/>
      <c r="EQF15" s="135"/>
      <c r="EQG15" s="135"/>
      <c r="EQH15" s="131"/>
      <c r="EQI15" s="131"/>
      <c r="EQJ15" s="131"/>
      <c r="EQK15" s="131"/>
      <c r="EQL15" s="131"/>
      <c r="EQM15" s="131"/>
      <c r="EQN15" s="131"/>
      <c r="EQO15" s="131"/>
      <c r="EQP15" s="131"/>
      <c r="EQQ15" s="131"/>
      <c r="EQR15" s="131"/>
      <c r="EQS15" s="131"/>
      <c r="EQT15" s="135"/>
      <c r="EQU15" s="135"/>
      <c r="EQV15" s="135"/>
      <c r="EQW15" s="135"/>
      <c r="EQX15" s="131"/>
      <c r="EQY15" s="131"/>
      <c r="EQZ15" s="131"/>
      <c r="ERA15" s="131"/>
      <c r="ERB15" s="131"/>
      <c r="ERC15" s="131"/>
      <c r="ERD15" s="131"/>
      <c r="ERE15" s="131"/>
      <c r="ERF15" s="131"/>
      <c r="ERG15" s="131"/>
      <c r="ERH15" s="131"/>
      <c r="ERI15" s="131"/>
      <c r="ERJ15" s="135"/>
      <c r="ERK15" s="135"/>
      <c r="ERL15" s="135"/>
      <c r="ERM15" s="135"/>
      <c r="ERN15" s="131"/>
      <c r="ERO15" s="131"/>
      <c r="ERP15" s="131"/>
      <c r="ERQ15" s="131"/>
      <c r="ERR15" s="131"/>
      <c r="ERS15" s="131"/>
      <c r="ERT15" s="131"/>
      <c r="ERU15" s="131"/>
      <c r="ERV15" s="131"/>
      <c r="ERW15" s="131"/>
      <c r="ERX15" s="131"/>
      <c r="ERY15" s="131"/>
      <c r="ERZ15" s="135"/>
      <c r="ESA15" s="135"/>
      <c r="ESB15" s="135"/>
      <c r="ESC15" s="135"/>
      <c r="ESD15" s="131"/>
      <c r="ESE15" s="131"/>
      <c r="ESF15" s="131"/>
      <c r="ESG15" s="131"/>
      <c r="ESH15" s="131"/>
      <c r="ESI15" s="131"/>
      <c r="ESJ15" s="131"/>
      <c r="ESK15" s="131"/>
      <c r="ESL15" s="131"/>
      <c r="ESM15" s="131"/>
      <c r="ESN15" s="131"/>
      <c r="ESO15" s="131"/>
      <c r="ESP15" s="135"/>
      <c r="ESQ15" s="135"/>
      <c r="ESR15" s="135"/>
      <c r="ESS15" s="135"/>
      <c r="EST15" s="131"/>
      <c r="ESU15" s="131"/>
      <c r="ESV15" s="131"/>
      <c r="ESW15" s="131"/>
      <c r="ESX15" s="131"/>
      <c r="ESY15" s="131"/>
      <c r="ESZ15" s="131"/>
      <c r="ETA15" s="131"/>
      <c r="ETB15" s="131"/>
      <c r="ETC15" s="131"/>
      <c r="ETD15" s="131"/>
      <c r="ETE15" s="131"/>
      <c r="ETF15" s="135"/>
      <c r="ETG15" s="135"/>
      <c r="ETH15" s="135"/>
      <c r="ETI15" s="135"/>
      <c r="ETJ15" s="131"/>
      <c r="ETK15" s="131"/>
      <c r="ETL15" s="131"/>
      <c r="ETM15" s="131"/>
      <c r="ETN15" s="131"/>
      <c r="ETO15" s="131"/>
      <c r="ETP15" s="131"/>
      <c r="ETQ15" s="131"/>
      <c r="ETR15" s="131"/>
      <c r="ETS15" s="131"/>
      <c r="ETT15" s="131"/>
      <c r="ETU15" s="131"/>
      <c r="ETV15" s="135"/>
      <c r="ETW15" s="135"/>
      <c r="ETX15" s="135"/>
      <c r="ETY15" s="135"/>
      <c r="ETZ15" s="131"/>
      <c r="EUA15" s="131"/>
      <c r="EUB15" s="131"/>
      <c r="EUC15" s="131"/>
      <c r="EUD15" s="131"/>
      <c r="EUE15" s="131"/>
      <c r="EUF15" s="131"/>
      <c r="EUG15" s="131"/>
      <c r="EUH15" s="131"/>
      <c r="EUI15" s="131"/>
      <c r="EUJ15" s="131"/>
      <c r="EUK15" s="131"/>
      <c r="EUL15" s="135"/>
      <c r="EUM15" s="135"/>
      <c r="EUN15" s="135"/>
      <c r="EUO15" s="135"/>
      <c r="EUP15" s="131"/>
      <c r="EUQ15" s="131"/>
      <c r="EUR15" s="131"/>
      <c r="EUS15" s="131"/>
      <c r="EUT15" s="131"/>
      <c r="EUU15" s="131"/>
      <c r="EUV15" s="131"/>
      <c r="EUW15" s="131"/>
      <c r="EUX15" s="131"/>
      <c r="EUY15" s="131"/>
      <c r="EUZ15" s="131"/>
      <c r="EVA15" s="131"/>
      <c r="EVB15" s="135"/>
      <c r="EVC15" s="135"/>
      <c r="EVD15" s="135"/>
      <c r="EVE15" s="135"/>
      <c r="EVF15" s="131"/>
      <c r="EVG15" s="131"/>
      <c r="EVH15" s="131"/>
      <c r="EVI15" s="131"/>
      <c r="EVJ15" s="131"/>
      <c r="EVK15" s="131"/>
      <c r="EVL15" s="131"/>
      <c r="EVM15" s="131"/>
      <c r="EVN15" s="131"/>
      <c r="EVO15" s="131"/>
      <c r="EVP15" s="131"/>
      <c r="EVQ15" s="131"/>
      <c r="EVR15" s="135"/>
      <c r="EVS15" s="135"/>
      <c r="EVT15" s="135"/>
      <c r="EVU15" s="135"/>
      <c r="EVV15" s="131"/>
      <c r="EVW15" s="131"/>
      <c r="EVX15" s="131"/>
      <c r="EVY15" s="131"/>
      <c r="EVZ15" s="131"/>
      <c r="EWA15" s="131"/>
      <c r="EWB15" s="131"/>
      <c r="EWC15" s="131"/>
      <c r="EWD15" s="131"/>
      <c r="EWE15" s="131"/>
      <c r="EWF15" s="131"/>
      <c r="EWG15" s="131"/>
      <c r="EWH15" s="135"/>
      <c r="EWI15" s="135"/>
      <c r="EWJ15" s="135"/>
      <c r="EWK15" s="135"/>
      <c r="EWL15" s="131"/>
      <c r="EWM15" s="131"/>
      <c r="EWN15" s="131"/>
      <c r="EWO15" s="131"/>
      <c r="EWP15" s="131"/>
      <c r="EWQ15" s="131"/>
      <c r="EWR15" s="131"/>
      <c r="EWS15" s="131"/>
      <c r="EWT15" s="131"/>
      <c r="EWU15" s="131"/>
      <c r="EWV15" s="131"/>
      <c r="EWW15" s="131"/>
      <c r="EWX15" s="135"/>
      <c r="EWY15" s="135"/>
      <c r="EWZ15" s="135"/>
      <c r="EXA15" s="135"/>
      <c r="EXB15" s="131"/>
      <c r="EXC15" s="131"/>
      <c r="EXD15" s="131"/>
      <c r="EXE15" s="131"/>
      <c r="EXF15" s="131"/>
      <c r="EXG15" s="131"/>
      <c r="EXH15" s="131"/>
      <c r="EXI15" s="131"/>
      <c r="EXJ15" s="131"/>
      <c r="EXK15" s="131"/>
      <c r="EXL15" s="131"/>
      <c r="EXM15" s="131"/>
      <c r="EXN15" s="135"/>
      <c r="EXO15" s="135"/>
      <c r="EXP15" s="135"/>
      <c r="EXQ15" s="135"/>
      <c r="EXR15" s="131"/>
      <c r="EXS15" s="131"/>
      <c r="EXT15" s="131"/>
      <c r="EXU15" s="131"/>
      <c r="EXV15" s="131"/>
      <c r="EXW15" s="131"/>
      <c r="EXX15" s="131"/>
      <c r="EXY15" s="131"/>
      <c r="EXZ15" s="131"/>
      <c r="EYA15" s="131"/>
      <c r="EYB15" s="131"/>
      <c r="EYC15" s="131"/>
      <c r="EYD15" s="135"/>
      <c r="EYE15" s="135"/>
      <c r="EYF15" s="135"/>
      <c r="EYG15" s="135"/>
      <c r="EYH15" s="131"/>
      <c r="EYI15" s="131"/>
      <c r="EYJ15" s="131"/>
      <c r="EYK15" s="131"/>
      <c r="EYL15" s="131"/>
      <c r="EYM15" s="131"/>
      <c r="EYN15" s="131"/>
      <c r="EYO15" s="131"/>
      <c r="EYP15" s="131"/>
      <c r="EYQ15" s="131"/>
      <c r="EYR15" s="131"/>
      <c r="EYS15" s="131"/>
      <c r="EYT15" s="135"/>
      <c r="EYU15" s="135"/>
      <c r="EYV15" s="135"/>
      <c r="EYW15" s="135"/>
      <c r="EYX15" s="131"/>
      <c r="EYY15" s="131"/>
      <c r="EYZ15" s="131"/>
      <c r="EZA15" s="131"/>
      <c r="EZB15" s="131"/>
      <c r="EZC15" s="131"/>
      <c r="EZD15" s="131"/>
      <c r="EZE15" s="131"/>
      <c r="EZF15" s="131"/>
      <c r="EZG15" s="131"/>
      <c r="EZH15" s="131"/>
      <c r="EZI15" s="131"/>
      <c r="EZJ15" s="135"/>
      <c r="EZK15" s="135"/>
      <c r="EZL15" s="135"/>
      <c r="EZM15" s="135"/>
      <c r="EZN15" s="131"/>
      <c r="EZO15" s="131"/>
      <c r="EZP15" s="131"/>
      <c r="EZQ15" s="131"/>
      <c r="EZR15" s="131"/>
      <c r="EZS15" s="131"/>
      <c r="EZT15" s="131"/>
      <c r="EZU15" s="131"/>
      <c r="EZV15" s="131"/>
      <c r="EZW15" s="131"/>
      <c r="EZX15" s="131"/>
      <c r="EZY15" s="131"/>
      <c r="EZZ15" s="135"/>
      <c r="FAA15" s="135"/>
      <c r="FAB15" s="135"/>
      <c r="FAC15" s="135"/>
      <c r="FAP15" s="135"/>
      <c r="FAQ15" s="135"/>
      <c r="FAR15" s="135"/>
      <c r="FAS15" s="135"/>
      <c r="FAT15" s="131"/>
      <c r="FAU15" s="131"/>
      <c r="FAV15" s="131"/>
      <c r="FAW15" s="131"/>
      <c r="FAX15" s="131"/>
      <c r="FAY15" s="131"/>
      <c r="FAZ15" s="131"/>
      <c r="FBA15" s="131"/>
      <c r="FBB15" s="131"/>
      <c r="FBC15" s="131"/>
      <c r="FBD15" s="131"/>
      <c r="FBE15" s="131"/>
      <c r="FBF15" s="135"/>
      <c r="FBG15" s="135"/>
      <c r="FBH15" s="135"/>
      <c r="FBI15" s="135"/>
      <c r="FBJ15" s="131"/>
      <c r="FBK15" s="131"/>
      <c r="FBL15" s="131"/>
      <c r="FBM15" s="131"/>
      <c r="FBN15" s="131"/>
      <c r="FBO15" s="131"/>
      <c r="FBP15" s="131"/>
      <c r="FBQ15" s="131"/>
      <c r="FBR15" s="131"/>
      <c r="FBS15" s="131"/>
      <c r="FBT15" s="131"/>
      <c r="FBU15" s="131"/>
      <c r="FBV15" s="135"/>
      <c r="FBW15" s="135"/>
      <c r="FBX15" s="135"/>
      <c r="FBY15" s="135"/>
      <c r="FBZ15" s="131"/>
      <c r="FCA15" s="131"/>
      <c r="FCB15" s="131"/>
      <c r="FCC15" s="131"/>
      <c r="FCD15" s="131"/>
      <c r="FCE15" s="131"/>
      <c r="FCF15" s="131"/>
      <c r="FCG15" s="131"/>
      <c r="FCH15" s="131"/>
      <c r="FCI15" s="131"/>
      <c r="FCJ15" s="131"/>
      <c r="FCK15" s="131"/>
      <c r="FCL15" s="135"/>
      <c r="FCM15" s="135"/>
      <c r="FCN15" s="135"/>
      <c r="FCO15" s="135"/>
      <c r="FCP15" s="131"/>
      <c r="FCQ15" s="131"/>
      <c r="FCR15" s="131"/>
      <c r="FCS15" s="131"/>
      <c r="FCT15" s="131"/>
      <c r="FCU15" s="131"/>
      <c r="FCV15" s="131"/>
      <c r="FCW15" s="131"/>
      <c r="FCX15" s="131"/>
      <c r="FCY15" s="131"/>
      <c r="FCZ15" s="131"/>
      <c r="FDA15" s="131"/>
      <c r="FDB15" s="135"/>
      <c r="FDC15" s="135"/>
      <c r="FDD15" s="135"/>
      <c r="FDE15" s="135"/>
      <c r="FDF15" s="131"/>
      <c r="FDG15" s="131"/>
      <c r="FDH15" s="131"/>
      <c r="FDI15" s="131"/>
      <c r="FDJ15" s="131"/>
      <c r="FDK15" s="131"/>
      <c r="FDL15" s="131"/>
      <c r="FDM15" s="131"/>
      <c r="FDN15" s="131"/>
      <c r="FDO15" s="131"/>
      <c r="FDP15" s="131"/>
      <c r="FDQ15" s="131"/>
      <c r="FDR15" s="135"/>
      <c r="FDS15" s="135"/>
      <c r="FDT15" s="135"/>
      <c r="FDU15" s="135"/>
      <c r="FDV15" s="131"/>
      <c r="FDW15" s="131"/>
      <c r="FDX15" s="131"/>
      <c r="FDY15" s="131"/>
      <c r="FDZ15" s="131"/>
      <c r="FEA15" s="131"/>
      <c r="FEB15" s="131"/>
      <c r="FEC15" s="131"/>
      <c r="FED15" s="131"/>
      <c r="FEE15" s="131"/>
      <c r="FEF15" s="131"/>
      <c r="FEG15" s="131"/>
      <c r="FEH15" s="135"/>
      <c r="FEI15" s="135"/>
      <c r="FEJ15" s="135"/>
      <c r="FEK15" s="135"/>
      <c r="FEL15" s="131"/>
      <c r="FEM15" s="131"/>
      <c r="FEN15" s="131"/>
      <c r="FEO15" s="131"/>
      <c r="FEP15" s="131"/>
      <c r="FEQ15" s="131"/>
      <c r="FER15" s="131"/>
      <c r="FES15" s="131"/>
      <c r="FET15" s="131"/>
      <c r="FEU15" s="131"/>
      <c r="FEV15" s="131"/>
      <c r="FEW15" s="131"/>
      <c r="FEX15" s="135"/>
      <c r="FEY15" s="135"/>
      <c r="FEZ15" s="135"/>
      <c r="FFA15" s="135"/>
      <c r="FFB15" s="131"/>
      <c r="FFC15" s="131"/>
      <c r="FFD15" s="131"/>
      <c r="FFE15" s="131"/>
      <c r="FFF15" s="131"/>
      <c r="FFG15" s="131"/>
      <c r="FFH15" s="131"/>
      <c r="FFI15" s="131"/>
      <c r="FFJ15" s="131"/>
      <c r="FFK15" s="131"/>
      <c r="FFL15" s="131"/>
      <c r="FFM15" s="131"/>
      <c r="FFN15" s="135"/>
      <c r="FFO15" s="135"/>
      <c r="FFP15" s="135"/>
      <c r="FFQ15" s="135"/>
      <c r="FFR15" s="131"/>
      <c r="FFS15" s="131"/>
      <c r="FFT15" s="131"/>
      <c r="FFU15" s="131"/>
      <c r="FFV15" s="131"/>
      <c r="FFW15" s="131"/>
      <c r="FFX15" s="131"/>
      <c r="FFY15" s="131"/>
      <c r="FFZ15" s="131"/>
      <c r="FGA15" s="131"/>
      <c r="FGB15" s="131"/>
      <c r="FGC15" s="131"/>
      <c r="FGD15" s="135"/>
      <c r="FGE15" s="135"/>
      <c r="FGF15" s="135"/>
      <c r="FGG15" s="135"/>
      <c r="FGH15" s="131"/>
      <c r="FGI15" s="131"/>
      <c r="FGJ15" s="131"/>
      <c r="FGK15" s="131"/>
      <c r="FGL15" s="131"/>
      <c r="FGM15" s="131"/>
      <c r="FGN15" s="131"/>
      <c r="FGO15" s="131"/>
      <c r="FGP15" s="131"/>
      <c r="FGQ15" s="131"/>
      <c r="FGR15" s="131"/>
      <c r="FGS15" s="131"/>
      <c r="FGT15" s="135"/>
      <c r="FGU15" s="135"/>
      <c r="FGV15" s="135"/>
      <c r="FGW15" s="135"/>
      <c r="FGX15" s="131"/>
      <c r="FGY15" s="131"/>
      <c r="FGZ15" s="131"/>
      <c r="FHA15" s="131"/>
      <c r="FHB15" s="131"/>
      <c r="FHC15" s="131"/>
      <c r="FHD15" s="131"/>
      <c r="FHE15" s="131"/>
      <c r="FHF15" s="131"/>
      <c r="FHG15" s="131"/>
      <c r="FHH15" s="131"/>
      <c r="FHI15" s="131"/>
      <c r="FHJ15" s="135"/>
      <c r="FHK15" s="135"/>
      <c r="FHL15" s="135"/>
      <c r="FHM15" s="135"/>
      <c r="FHN15" s="131"/>
      <c r="FHO15" s="131"/>
      <c r="FHP15" s="131"/>
      <c r="FHQ15" s="131"/>
      <c r="FHR15" s="131"/>
      <c r="FHS15" s="131"/>
      <c r="FHT15" s="131"/>
      <c r="FHU15" s="131"/>
      <c r="FHV15" s="131"/>
      <c r="FHW15" s="131"/>
      <c r="FHX15" s="131"/>
      <c r="FHY15" s="131"/>
      <c r="FHZ15" s="135"/>
      <c r="FIA15" s="135"/>
      <c r="FIB15" s="135"/>
      <c r="FIC15" s="135"/>
      <c r="FID15" s="131"/>
      <c r="FIE15" s="131"/>
      <c r="FIF15" s="131"/>
      <c r="FIG15" s="131"/>
      <c r="FIH15" s="131"/>
      <c r="FII15" s="131"/>
      <c r="FIJ15" s="131"/>
      <c r="FIK15" s="131"/>
      <c r="FIL15" s="131"/>
      <c r="FIM15" s="131"/>
      <c r="FIN15" s="131"/>
      <c r="FIO15" s="131"/>
      <c r="FIP15" s="135"/>
      <c r="FIQ15" s="135"/>
      <c r="FIR15" s="135"/>
      <c r="FIS15" s="135"/>
      <c r="FIT15" s="131"/>
      <c r="FIU15" s="131"/>
      <c r="FIV15" s="131"/>
      <c r="FIW15" s="131"/>
      <c r="FIX15" s="131"/>
      <c r="FIY15" s="131"/>
      <c r="FIZ15" s="131"/>
      <c r="FJA15" s="131"/>
      <c r="FJB15" s="131"/>
      <c r="FJC15" s="131"/>
      <c r="FJD15" s="131"/>
      <c r="FJE15" s="131"/>
      <c r="FJF15" s="135"/>
      <c r="FJG15" s="135"/>
      <c r="FJH15" s="135"/>
      <c r="FJI15" s="135"/>
      <c r="FJJ15" s="131"/>
      <c r="FJK15" s="131"/>
      <c r="FJL15" s="131"/>
      <c r="FJM15" s="131"/>
      <c r="FJN15" s="131"/>
      <c r="FJO15" s="131"/>
      <c r="FJP15" s="131"/>
      <c r="FJQ15" s="131"/>
      <c r="FJR15" s="131"/>
      <c r="FJS15" s="131"/>
      <c r="FJT15" s="131"/>
      <c r="FJU15" s="131"/>
      <c r="FJV15" s="135"/>
      <c r="FJW15" s="135"/>
      <c r="FJX15" s="135"/>
      <c r="FJY15" s="135"/>
      <c r="FJZ15" s="131"/>
      <c r="FKA15" s="131"/>
      <c r="FKB15" s="131"/>
      <c r="FKC15" s="131"/>
      <c r="FKD15" s="131"/>
      <c r="FKE15" s="131"/>
      <c r="FKF15" s="131"/>
      <c r="FKG15" s="131"/>
      <c r="FKH15" s="131"/>
      <c r="FKI15" s="131"/>
      <c r="FKJ15" s="131"/>
      <c r="FKK15" s="131"/>
      <c r="FKL15" s="135"/>
      <c r="FKM15" s="135"/>
      <c r="FKN15" s="135"/>
      <c r="FKO15" s="135"/>
      <c r="FKP15" s="131"/>
      <c r="FKQ15" s="131"/>
      <c r="FKR15" s="131"/>
      <c r="FKS15" s="131"/>
      <c r="FKT15" s="131"/>
      <c r="FKU15" s="131"/>
      <c r="FKV15" s="131"/>
      <c r="FKW15" s="131"/>
      <c r="FKX15" s="131"/>
      <c r="FKY15" s="131"/>
      <c r="FKZ15" s="131"/>
      <c r="FLA15" s="131"/>
      <c r="FLB15" s="135"/>
      <c r="FLC15" s="135"/>
      <c r="FLD15" s="135"/>
      <c r="FLE15" s="135"/>
      <c r="FLF15" s="131"/>
      <c r="FLG15" s="131"/>
      <c r="FLH15" s="131"/>
      <c r="FLI15" s="131"/>
      <c r="FLJ15" s="131"/>
      <c r="FLK15" s="131"/>
      <c r="FLL15" s="131"/>
      <c r="FLM15" s="131"/>
      <c r="FLN15" s="131"/>
      <c r="FLO15" s="131"/>
      <c r="FLP15" s="131"/>
      <c r="FLQ15" s="131"/>
      <c r="FLR15" s="135"/>
      <c r="FLS15" s="135"/>
      <c r="FLT15" s="135"/>
      <c r="FLU15" s="135"/>
      <c r="FLV15" s="131"/>
      <c r="FLW15" s="131"/>
      <c r="FLX15" s="131"/>
      <c r="FLY15" s="131"/>
      <c r="FLZ15" s="131"/>
      <c r="FMA15" s="131"/>
      <c r="FMB15" s="131"/>
      <c r="FMC15" s="131"/>
      <c r="FMD15" s="131"/>
      <c r="FME15" s="131"/>
      <c r="FMF15" s="131"/>
      <c r="FMG15" s="131"/>
      <c r="FMH15" s="135"/>
      <c r="FMI15" s="135"/>
      <c r="FMJ15" s="135"/>
      <c r="FMK15" s="135"/>
      <c r="FML15" s="131"/>
      <c r="FMM15" s="131"/>
      <c r="FMN15" s="131"/>
      <c r="FMO15" s="131"/>
      <c r="FMP15" s="131"/>
      <c r="FMQ15" s="131"/>
      <c r="FMR15" s="131"/>
      <c r="FMS15" s="131"/>
      <c r="FMT15" s="131"/>
      <c r="FMU15" s="131"/>
      <c r="FMV15" s="131"/>
      <c r="FMW15" s="131"/>
      <c r="FMX15" s="135"/>
      <c r="FMY15" s="135"/>
      <c r="FMZ15" s="135"/>
      <c r="FNA15" s="135"/>
      <c r="FNB15" s="131"/>
      <c r="FNC15" s="131"/>
      <c r="FND15" s="131"/>
      <c r="FNE15" s="131"/>
      <c r="FNF15" s="131"/>
      <c r="FNG15" s="131"/>
      <c r="FNH15" s="131"/>
      <c r="FNI15" s="131"/>
      <c r="FNJ15" s="131"/>
      <c r="FNK15" s="131"/>
      <c r="FNL15" s="131"/>
      <c r="FNM15" s="131"/>
      <c r="FNN15" s="135"/>
      <c r="FNO15" s="135"/>
      <c r="FNP15" s="135"/>
      <c r="FNQ15" s="135"/>
      <c r="FNR15" s="131"/>
      <c r="FNS15" s="131"/>
      <c r="FNT15" s="131"/>
      <c r="FNU15" s="131"/>
      <c r="FNV15" s="131"/>
      <c r="FNW15" s="131"/>
      <c r="FNX15" s="131"/>
      <c r="FNY15" s="131"/>
      <c r="FNZ15" s="131"/>
      <c r="FOA15" s="131"/>
      <c r="FOB15" s="131"/>
      <c r="FOC15" s="131"/>
      <c r="FOD15" s="135"/>
      <c r="FOE15" s="135"/>
      <c r="FOF15" s="135"/>
      <c r="FOG15" s="135"/>
      <c r="FOH15" s="131"/>
      <c r="FOI15" s="131"/>
      <c r="FOJ15" s="131"/>
      <c r="FOK15" s="131"/>
      <c r="FOL15" s="131"/>
      <c r="FOM15" s="131"/>
      <c r="FON15" s="131"/>
      <c r="FOO15" s="131"/>
      <c r="FOP15" s="131"/>
      <c r="FOQ15" s="131"/>
      <c r="FOR15" s="131"/>
      <c r="FOS15" s="131"/>
      <c r="FOT15" s="135"/>
      <c r="FOU15" s="135"/>
      <c r="FOV15" s="135"/>
      <c r="FOW15" s="135"/>
      <c r="FOX15" s="131"/>
      <c r="FOY15" s="131"/>
      <c r="FOZ15" s="131"/>
      <c r="FPA15" s="131"/>
      <c r="FPB15" s="131"/>
      <c r="FPC15" s="131"/>
      <c r="FPD15" s="131"/>
      <c r="FPE15" s="131"/>
      <c r="FPF15" s="131"/>
      <c r="FPG15" s="131"/>
      <c r="FPH15" s="131"/>
      <c r="FPI15" s="131"/>
      <c r="FPJ15" s="135"/>
      <c r="FPK15" s="135"/>
      <c r="FPL15" s="135"/>
      <c r="FPM15" s="135"/>
      <c r="FPN15" s="131"/>
      <c r="FPO15" s="131"/>
      <c r="FPP15" s="131"/>
      <c r="FPQ15" s="131"/>
      <c r="FPR15" s="131"/>
      <c r="FPS15" s="131"/>
      <c r="FPT15" s="131"/>
      <c r="FPU15" s="131"/>
      <c r="FPV15" s="131"/>
      <c r="FPW15" s="131"/>
      <c r="FPX15" s="131"/>
      <c r="FPY15" s="131"/>
      <c r="FPZ15" s="135"/>
      <c r="FQA15" s="135"/>
      <c r="FQB15" s="135"/>
      <c r="FQC15" s="135"/>
      <c r="FQD15" s="131"/>
      <c r="FQE15" s="131"/>
      <c r="FQF15" s="131"/>
      <c r="FQG15" s="131"/>
      <c r="FQH15" s="131"/>
      <c r="FQI15" s="131"/>
      <c r="FQJ15" s="131"/>
      <c r="FQK15" s="131"/>
      <c r="FQL15" s="131"/>
      <c r="FQM15" s="131"/>
      <c r="FQN15" s="131"/>
      <c r="FQO15" s="131"/>
      <c r="FQP15" s="135"/>
      <c r="FQQ15" s="135"/>
      <c r="FQR15" s="135"/>
      <c r="FQS15" s="135"/>
      <c r="FQT15" s="131"/>
      <c r="FQU15" s="131"/>
      <c r="FQV15" s="131"/>
      <c r="FQW15" s="131"/>
      <c r="FQX15" s="131"/>
      <c r="FQY15" s="131"/>
      <c r="FQZ15" s="131"/>
      <c r="FRA15" s="131"/>
      <c r="FRB15" s="131"/>
      <c r="FRC15" s="131"/>
      <c r="FRD15" s="131"/>
      <c r="FRE15" s="131"/>
      <c r="FRF15" s="135"/>
      <c r="FRG15" s="135"/>
      <c r="FRH15" s="135"/>
      <c r="FRI15" s="135"/>
      <c r="FRJ15" s="131"/>
      <c r="FRK15" s="131"/>
      <c r="FRL15" s="131"/>
      <c r="FRM15" s="131"/>
      <c r="FRN15" s="131"/>
      <c r="FRO15" s="131"/>
      <c r="FRP15" s="131"/>
      <c r="FRQ15" s="131"/>
      <c r="FRR15" s="131"/>
      <c r="FRS15" s="131"/>
      <c r="FRT15" s="131"/>
      <c r="FRU15" s="131"/>
      <c r="FRV15" s="135"/>
      <c r="FRW15" s="135"/>
      <c r="FRX15" s="135"/>
      <c r="FRY15" s="135"/>
      <c r="FRZ15" s="131"/>
      <c r="FSA15" s="131"/>
      <c r="FSB15" s="131"/>
      <c r="FSC15" s="131"/>
      <c r="FSD15" s="131"/>
      <c r="FSE15" s="131"/>
      <c r="FSF15" s="131"/>
      <c r="FSG15" s="131"/>
      <c r="FSH15" s="131"/>
      <c r="FSI15" s="131"/>
      <c r="FSJ15" s="131"/>
      <c r="FSK15" s="131"/>
      <c r="FSL15" s="135"/>
      <c r="FSM15" s="135"/>
      <c r="FSN15" s="135"/>
      <c r="FSO15" s="135"/>
      <c r="FSP15" s="131"/>
      <c r="FSQ15" s="131"/>
      <c r="FSR15" s="131"/>
      <c r="FSS15" s="131"/>
      <c r="FST15" s="131"/>
      <c r="FSU15" s="131"/>
      <c r="FSV15" s="131"/>
      <c r="FSW15" s="131"/>
      <c r="FSX15" s="131"/>
      <c r="FSY15" s="131"/>
      <c r="FSZ15" s="131"/>
      <c r="FTA15" s="131"/>
      <c r="FTB15" s="135"/>
      <c r="FTC15" s="135"/>
      <c r="FTD15" s="135"/>
      <c r="FTE15" s="135"/>
      <c r="FTF15" s="131"/>
      <c r="FTG15" s="131"/>
      <c r="FTH15" s="131"/>
      <c r="FTI15" s="131"/>
      <c r="FTJ15" s="131"/>
      <c r="FTK15" s="131"/>
      <c r="FTL15" s="131"/>
      <c r="FTM15" s="131"/>
      <c r="FTN15" s="131"/>
      <c r="FTO15" s="131"/>
      <c r="FTP15" s="131"/>
      <c r="FTQ15" s="131"/>
      <c r="FTR15" s="135"/>
      <c r="FTS15" s="135"/>
      <c r="FTT15" s="135"/>
      <c r="FTU15" s="135"/>
      <c r="FTV15" s="131"/>
      <c r="FTW15" s="131"/>
      <c r="FTX15" s="131"/>
      <c r="FTY15" s="131"/>
      <c r="FTZ15" s="131"/>
      <c r="FUA15" s="131"/>
      <c r="FUB15" s="131"/>
      <c r="FUC15" s="131"/>
      <c r="FUD15" s="131"/>
      <c r="FUE15" s="131"/>
      <c r="FUF15" s="131"/>
      <c r="FUG15" s="131"/>
      <c r="FUH15" s="135"/>
      <c r="FUI15" s="135"/>
      <c r="FUJ15" s="135"/>
      <c r="FUK15" s="135"/>
      <c r="FUL15" s="131"/>
      <c r="FUM15" s="131"/>
      <c r="FUN15" s="131"/>
      <c r="FUO15" s="131"/>
      <c r="FUP15" s="131"/>
      <c r="FUQ15" s="131"/>
      <c r="FUR15" s="131"/>
      <c r="FUS15" s="131"/>
      <c r="FUT15" s="131"/>
      <c r="FUU15" s="131"/>
      <c r="FUV15" s="131"/>
      <c r="FUW15" s="131"/>
      <c r="FUX15" s="135"/>
      <c r="FUY15" s="135"/>
      <c r="FUZ15" s="135"/>
      <c r="FVA15" s="135"/>
      <c r="FVB15" s="131"/>
      <c r="FVC15" s="131"/>
      <c r="FVD15" s="131"/>
      <c r="FVE15" s="131"/>
      <c r="FVF15" s="131"/>
      <c r="FVG15" s="131"/>
      <c r="FVH15" s="131"/>
      <c r="FVI15" s="131"/>
      <c r="FVJ15" s="131"/>
      <c r="FVK15" s="131"/>
      <c r="FVL15" s="131"/>
      <c r="FVM15" s="131"/>
      <c r="FVN15" s="135"/>
      <c r="FVO15" s="135"/>
      <c r="FVP15" s="135"/>
      <c r="FVQ15" s="135"/>
      <c r="FVR15" s="131"/>
      <c r="FVS15" s="131"/>
      <c r="FVT15" s="131"/>
      <c r="FVU15" s="131"/>
      <c r="FVV15" s="131"/>
      <c r="FVW15" s="131"/>
      <c r="FVX15" s="131"/>
      <c r="FVY15" s="131"/>
      <c r="FVZ15" s="131"/>
      <c r="FWA15" s="131"/>
      <c r="FWB15" s="131"/>
      <c r="FWC15" s="131"/>
      <c r="FWD15" s="135"/>
      <c r="FWE15" s="135"/>
      <c r="FWF15" s="135"/>
      <c r="FWG15" s="135"/>
      <c r="FWH15" s="131"/>
      <c r="FWI15" s="131"/>
      <c r="FWJ15" s="131"/>
      <c r="FWK15" s="131"/>
      <c r="FWL15" s="131"/>
      <c r="FWM15" s="131"/>
      <c r="FWN15" s="131"/>
      <c r="FWO15" s="131"/>
      <c r="FWP15" s="131"/>
      <c r="FWQ15" s="131"/>
      <c r="FWR15" s="131"/>
      <c r="FWS15" s="131"/>
      <c r="FWT15" s="135"/>
      <c r="FWU15" s="135"/>
      <c r="FWV15" s="135"/>
      <c r="FWW15" s="135"/>
      <c r="FWX15" s="131"/>
      <c r="FWY15" s="131"/>
      <c r="FWZ15" s="131"/>
      <c r="FXA15" s="131"/>
      <c r="FXB15" s="131"/>
      <c r="FXC15" s="131"/>
      <c r="FXD15" s="131"/>
      <c r="FXE15" s="131"/>
      <c r="FXF15" s="131"/>
      <c r="FXG15" s="131"/>
      <c r="FXH15" s="131"/>
      <c r="FXI15" s="131"/>
      <c r="FXJ15" s="135"/>
      <c r="FXK15" s="135"/>
      <c r="FXL15" s="135"/>
      <c r="FXM15" s="135"/>
      <c r="FXN15" s="131"/>
      <c r="FXO15" s="131"/>
      <c r="FXP15" s="131"/>
      <c r="FXQ15" s="131"/>
      <c r="FXR15" s="131"/>
      <c r="FXS15" s="131"/>
      <c r="FXT15" s="131"/>
      <c r="FXU15" s="131"/>
      <c r="FXV15" s="131"/>
      <c r="FXW15" s="131"/>
      <c r="FXX15" s="131"/>
      <c r="FXY15" s="131"/>
      <c r="FXZ15" s="135"/>
      <c r="FYA15" s="135"/>
      <c r="FYB15" s="135"/>
      <c r="FYC15" s="135"/>
      <c r="FYD15" s="131"/>
      <c r="FYE15" s="131"/>
      <c r="FYF15" s="131"/>
      <c r="FYG15" s="131"/>
      <c r="FYH15" s="131"/>
      <c r="FYI15" s="131"/>
      <c r="FYJ15" s="131"/>
      <c r="FYK15" s="131"/>
      <c r="FYL15" s="131"/>
      <c r="FYM15" s="131"/>
      <c r="FYN15" s="131"/>
      <c r="FYO15" s="131"/>
      <c r="FYP15" s="135"/>
      <c r="FYQ15" s="135"/>
      <c r="FYR15" s="135"/>
      <c r="FYS15" s="135"/>
      <c r="FYT15" s="131"/>
      <c r="FYU15" s="131"/>
      <c r="FYV15" s="131"/>
      <c r="FYW15" s="131"/>
      <c r="FYX15" s="131"/>
      <c r="FYY15" s="131"/>
      <c r="FYZ15" s="131"/>
      <c r="FZA15" s="131"/>
      <c r="FZB15" s="131"/>
      <c r="FZC15" s="131"/>
      <c r="FZD15" s="131"/>
      <c r="FZE15" s="131"/>
      <c r="FZF15" s="135"/>
      <c r="FZG15" s="135"/>
      <c r="FZH15" s="135"/>
      <c r="FZI15" s="135"/>
      <c r="FZJ15" s="131"/>
      <c r="FZK15" s="131"/>
      <c r="FZL15" s="131"/>
      <c r="FZM15" s="131"/>
      <c r="FZN15" s="131"/>
      <c r="FZO15" s="131"/>
      <c r="FZP15" s="131"/>
      <c r="FZQ15" s="131"/>
      <c r="FZR15" s="131"/>
      <c r="FZS15" s="131"/>
      <c r="FZT15" s="131"/>
      <c r="FZU15" s="131"/>
      <c r="FZV15" s="135"/>
      <c r="FZW15" s="135"/>
      <c r="FZX15" s="135"/>
      <c r="FZY15" s="135"/>
      <c r="FZZ15" s="131"/>
      <c r="GAA15" s="131"/>
      <c r="GAB15" s="131"/>
      <c r="GAC15" s="131"/>
      <c r="GAD15" s="131"/>
      <c r="GAE15" s="131"/>
      <c r="GAF15" s="131"/>
      <c r="GAG15" s="131"/>
      <c r="GAH15" s="131"/>
      <c r="GAI15" s="131"/>
      <c r="GAJ15" s="131"/>
      <c r="GAK15" s="131"/>
      <c r="GAL15" s="135"/>
      <c r="GAM15" s="135"/>
      <c r="GAN15" s="135"/>
      <c r="GAO15" s="135"/>
      <c r="GAP15" s="131"/>
      <c r="GAQ15" s="131"/>
      <c r="GAR15" s="131"/>
      <c r="GAS15" s="131"/>
      <c r="GAT15" s="131"/>
      <c r="GAU15" s="131"/>
      <c r="GAV15" s="131"/>
      <c r="GAW15" s="131"/>
      <c r="GAX15" s="131"/>
      <c r="GAY15" s="131"/>
      <c r="GAZ15" s="131"/>
      <c r="GBA15" s="131"/>
      <c r="GBB15" s="135"/>
      <c r="GBC15" s="135"/>
      <c r="GBD15" s="135"/>
      <c r="GBE15" s="135"/>
      <c r="GBF15" s="131"/>
      <c r="GBG15" s="131"/>
      <c r="GBH15" s="131"/>
      <c r="GBI15" s="131"/>
      <c r="GBJ15" s="131"/>
      <c r="GBK15" s="131"/>
      <c r="GBL15" s="131"/>
      <c r="GBM15" s="131"/>
      <c r="GBN15" s="131"/>
      <c r="GBO15" s="131"/>
      <c r="GBP15" s="131"/>
      <c r="GBQ15" s="131"/>
      <c r="GBR15" s="135"/>
      <c r="GBS15" s="135"/>
      <c r="GBT15" s="135"/>
      <c r="GBU15" s="135"/>
      <c r="GBV15" s="131"/>
      <c r="GBW15" s="131"/>
      <c r="GBX15" s="131"/>
      <c r="GBY15" s="131"/>
      <c r="GBZ15" s="131"/>
      <c r="GCA15" s="131"/>
      <c r="GCB15" s="131"/>
      <c r="GCC15" s="131"/>
      <c r="GCD15" s="131"/>
      <c r="GCE15" s="131"/>
      <c r="GCF15" s="131"/>
      <c r="GCG15" s="131"/>
      <c r="GCH15" s="135"/>
      <c r="GCI15" s="135"/>
      <c r="GCJ15" s="135"/>
      <c r="GCK15" s="135"/>
      <c r="GCL15" s="131"/>
      <c r="GCM15" s="131"/>
      <c r="GCN15" s="131"/>
      <c r="GCO15" s="131"/>
      <c r="GCP15" s="131"/>
      <c r="GCQ15" s="131"/>
      <c r="GCR15" s="131"/>
      <c r="GCS15" s="131"/>
      <c r="GCT15" s="131"/>
      <c r="GCU15" s="131"/>
      <c r="GCV15" s="131"/>
      <c r="GCW15" s="131"/>
      <c r="GCX15" s="135"/>
      <c r="GCY15" s="135"/>
      <c r="GCZ15" s="135"/>
      <c r="GDA15" s="135"/>
      <c r="GDB15" s="131"/>
      <c r="GDC15" s="131"/>
      <c r="GDD15" s="131"/>
      <c r="GDE15" s="131"/>
      <c r="GDF15" s="131"/>
      <c r="GDG15" s="131"/>
      <c r="GDH15" s="131"/>
      <c r="GDI15" s="131"/>
      <c r="GDJ15" s="131"/>
      <c r="GDK15" s="131"/>
      <c r="GDL15" s="131"/>
      <c r="GDM15" s="131"/>
      <c r="GDN15" s="135"/>
      <c r="GDO15" s="135"/>
      <c r="GDP15" s="135"/>
      <c r="GDQ15" s="135"/>
      <c r="GDR15" s="131"/>
      <c r="GDS15" s="131"/>
      <c r="GDT15" s="131"/>
      <c r="GDU15" s="131"/>
      <c r="GDV15" s="131"/>
      <c r="GDW15" s="131"/>
      <c r="GDX15" s="131"/>
      <c r="GDY15" s="131"/>
      <c r="GDZ15" s="131"/>
      <c r="GEA15" s="131"/>
      <c r="GEB15" s="131"/>
      <c r="GEC15" s="131"/>
      <c r="GED15" s="135"/>
      <c r="GEE15" s="135"/>
      <c r="GEF15" s="135"/>
      <c r="GEG15" s="135"/>
      <c r="GEH15" s="131"/>
      <c r="GEI15" s="131"/>
      <c r="GEJ15" s="131"/>
      <c r="GEK15" s="131"/>
      <c r="GEL15" s="131"/>
      <c r="GEM15" s="131"/>
      <c r="GEN15" s="131"/>
      <c r="GEO15" s="131"/>
      <c r="GEP15" s="131"/>
      <c r="GEQ15" s="131"/>
      <c r="GER15" s="131"/>
      <c r="GES15" s="131"/>
      <c r="GET15" s="135"/>
      <c r="GEU15" s="135"/>
      <c r="GEV15" s="135"/>
      <c r="GEW15" s="135"/>
      <c r="GEX15" s="131"/>
      <c r="GEY15" s="131"/>
      <c r="GEZ15" s="131"/>
      <c r="GFA15" s="131"/>
      <c r="GFB15" s="131"/>
      <c r="GFC15" s="131"/>
      <c r="GFD15" s="131"/>
      <c r="GFE15" s="131"/>
      <c r="GFF15" s="131"/>
      <c r="GFG15" s="131"/>
      <c r="GFH15" s="131"/>
      <c r="GFI15" s="131"/>
      <c r="GFJ15" s="135"/>
      <c r="GFK15" s="135"/>
      <c r="GFL15" s="135"/>
      <c r="GFM15" s="135"/>
      <c r="GFN15" s="131"/>
      <c r="GFO15" s="131"/>
      <c r="GFP15" s="131"/>
      <c r="GFQ15" s="131"/>
      <c r="GFR15" s="131"/>
      <c r="GFS15" s="131"/>
      <c r="GFT15" s="131"/>
      <c r="GFU15" s="131"/>
      <c r="GFV15" s="131"/>
      <c r="GFW15" s="131"/>
      <c r="GFX15" s="131"/>
      <c r="GFY15" s="131"/>
      <c r="GFZ15" s="135"/>
      <c r="GGA15" s="135"/>
      <c r="GGB15" s="135"/>
      <c r="GGC15" s="135"/>
      <c r="GGD15" s="131"/>
      <c r="GGE15" s="131"/>
      <c r="GGF15" s="131"/>
      <c r="GGG15" s="131"/>
      <c r="GGH15" s="131"/>
      <c r="GGI15" s="131"/>
      <c r="GGJ15" s="131"/>
      <c r="GGK15" s="131"/>
      <c r="GGL15" s="131"/>
      <c r="GGM15" s="131"/>
      <c r="GGN15" s="131"/>
      <c r="GGO15" s="131"/>
      <c r="GGP15" s="135"/>
      <c r="GGQ15" s="135"/>
      <c r="GGR15" s="135"/>
      <c r="GGS15" s="135"/>
      <c r="GGT15" s="131"/>
      <c r="GGU15" s="131"/>
      <c r="GGV15" s="131"/>
      <c r="GGW15" s="131"/>
      <c r="GGX15" s="131"/>
      <c r="GGY15" s="131"/>
      <c r="GGZ15" s="131"/>
      <c r="GHA15" s="131"/>
      <c r="GHB15" s="131"/>
      <c r="GHC15" s="131"/>
      <c r="GHD15" s="131"/>
      <c r="GHE15" s="131"/>
      <c r="GHF15" s="135"/>
      <c r="GHG15" s="135"/>
      <c r="GHH15" s="135"/>
      <c r="GHI15" s="135"/>
      <c r="GHJ15" s="131"/>
      <c r="GHK15" s="131"/>
      <c r="GHL15" s="131"/>
      <c r="GHM15" s="131"/>
      <c r="GHN15" s="131"/>
      <c r="GHO15" s="131"/>
      <c r="GHP15" s="131"/>
      <c r="GHQ15" s="131"/>
      <c r="GHR15" s="131"/>
      <c r="GHS15" s="131"/>
      <c r="GHT15" s="131"/>
      <c r="GHU15" s="131"/>
      <c r="GHV15" s="135"/>
      <c r="GHW15" s="135"/>
      <c r="GHX15" s="135"/>
      <c r="GHY15" s="135"/>
      <c r="GHZ15" s="131"/>
      <c r="GIA15" s="131"/>
      <c r="GIB15" s="131"/>
      <c r="GIC15" s="131"/>
      <c r="GID15" s="131"/>
      <c r="GIE15" s="131"/>
      <c r="GIF15" s="131"/>
      <c r="GIG15" s="131"/>
      <c r="GIH15" s="131"/>
      <c r="GII15" s="131"/>
      <c r="GIJ15" s="131"/>
      <c r="GIK15" s="131"/>
      <c r="GIL15" s="135"/>
      <c r="GIM15" s="135"/>
      <c r="GIN15" s="135"/>
      <c r="GIO15" s="135"/>
      <c r="GIP15" s="131"/>
      <c r="GIQ15" s="131"/>
      <c r="GIR15" s="131"/>
      <c r="GIS15" s="131"/>
      <c r="GIT15" s="131"/>
      <c r="GIU15" s="131"/>
      <c r="GIV15" s="131"/>
      <c r="GIW15" s="131"/>
      <c r="GIX15" s="131"/>
      <c r="GIY15" s="131"/>
      <c r="GIZ15" s="131"/>
      <c r="GJA15" s="131"/>
      <c r="GJB15" s="135"/>
      <c r="GJC15" s="135"/>
      <c r="GJD15" s="135"/>
      <c r="GJE15" s="135"/>
      <c r="GJF15" s="131"/>
      <c r="GJG15" s="131"/>
      <c r="GJH15" s="131"/>
      <c r="GJI15" s="131"/>
      <c r="GJJ15" s="131"/>
      <c r="GJK15" s="131"/>
      <c r="GJL15" s="131"/>
      <c r="GJM15" s="131"/>
      <c r="GJN15" s="131"/>
      <c r="GJO15" s="131"/>
      <c r="GJP15" s="131"/>
      <c r="GJQ15" s="131"/>
      <c r="GJR15" s="135"/>
      <c r="GJS15" s="135"/>
      <c r="GJT15" s="135"/>
      <c r="GJU15" s="135"/>
      <c r="GJV15" s="131"/>
      <c r="GJW15" s="131"/>
      <c r="GJX15" s="131"/>
      <c r="GJY15" s="131"/>
      <c r="GJZ15" s="131"/>
      <c r="GKA15" s="131"/>
      <c r="GKB15" s="131"/>
      <c r="GKC15" s="131"/>
      <c r="GKD15" s="131"/>
      <c r="GKE15" s="131"/>
      <c r="GKF15" s="131"/>
      <c r="GKG15" s="131"/>
      <c r="GKH15" s="135"/>
      <c r="GKI15" s="135"/>
      <c r="GKJ15" s="135"/>
      <c r="GKK15" s="135"/>
      <c r="GKL15" s="131"/>
      <c r="GKM15" s="131"/>
      <c r="GKN15" s="131"/>
      <c r="GKO15" s="131"/>
      <c r="GKP15" s="131"/>
      <c r="GKQ15" s="131"/>
      <c r="GKR15" s="131"/>
      <c r="GKS15" s="131"/>
      <c r="GKT15" s="131"/>
      <c r="GKU15" s="131"/>
      <c r="GKV15" s="131"/>
      <c r="GKW15" s="131"/>
      <c r="GKX15" s="135"/>
      <c r="GKY15" s="135"/>
      <c r="GKZ15" s="135"/>
      <c r="GLA15" s="135"/>
      <c r="GLB15" s="131"/>
      <c r="GLC15" s="131"/>
      <c r="GLD15" s="131"/>
      <c r="GLE15" s="131"/>
      <c r="GLF15" s="131"/>
      <c r="GLG15" s="131"/>
      <c r="GLH15" s="131"/>
      <c r="GLI15" s="131"/>
      <c r="GLJ15" s="131"/>
      <c r="GLK15" s="131"/>
      <c r="GLL15" s="131"/>
      <c r="GLM15" s="131"/>
      <c r="GLN15" s="135"/>
      <c r="GLO15" s="135"/>
      <c r="GLP15" s="135"/>
      <c r="GLQ15" s="135"/>
      <c r="GLR15" s="131"/>
      <c r="GLS15" s="131"/>
      <c r="GLT15" s="131"/>
      <c r="GLU15" s="131"/>
      <c r="GLV15" s="131"/>
      <c r="GLW15" s="131"/>
      <c r="GLX15" s="131"/>
      <c r="GLY15" s="131"/>
      <c r="GLZ15" s="131"/>
      <c r="GMA15" s="131"/>
      <c r="GMB15" s="131"/>
      <c r="GMC15" s="131"/>
      <c r="GMD15" s="135"/>
      <c r="GME15" s="135"/>
      <c r="GMF15" s="135"/>
      <c r="GMG15" s="135"/>
      <c r="GMH15" s="131"/>
      <c r="GMI15" s="131"/>
      <c r="GMJ15" s="131"/>
      <c r="GMK15" s="131"/>
      <c r="GML15" s="131"/>
      <c r="GMM15" s="131"/>
      <c r="GMN15" s="131"/>
      <c r="GMO15" s="131"/>
      <c r="GMP15" s="131"/>
      <c r="GMQ15" s="131"/>
      <c r="GMR15" s="131"/>
      <c r="GMS15" s="131"/>
      <c r="GMT15" s="135"/>
      <c r="GMU15" s="135"/>
      <c r="GMV15" s="135"/>
      <c r="GMW15" s="135"/>
      <c r="GMX15" s="131"/>
      <c r="GMY15" s="131"/>
      <c r="GMZ15" s="131"/>
      <c r="GNA15" s="131"/>
      <c r="GNB15" s="131"/>
      <c r="GNC15" s="131"/>
      <c r="GND15" s="131"/>
      <c r="GNE15" s="131"/>
      <c r="GNF15" s="131"/>
      <c r="GNG15" s="131"/>
      <c r="GNH15" s="131"/>
      <c r="GNI15" s="131"/>
      <c r="GNJ15" s="135"/>
      <c r="GNK15" s="135"/>
      <c r="GNL15" s="135"/>
      <c r="GNM15" s="135"/>
      <c r="GNZ15" s="135"/>
      <c r="GOA15" s="135"/>
      <c r="GOB15" s="135"/>
      <c r="GOC15" s="135"/>
      <c r="GOD15" s="131"/>
      <c r="GOE15" s="131"/>
      <c r="GOF15" s="131"/>
      <c r="GOG15" s="131"/>
      <c r="GOH15" s="131"/>
      <c r="GOI15" s="131"/>
      <c r="GOJ15" s="131"/>
      <c r="GOK15" s="131"/>
      <c r="GOL15" s="131"/>
      <c r="GOM15" s="131"/>
      <c r="GON15" s="131"/>
      <c r="GOO15" s="131"/>
      <c r="GOP15" s="135"/>
      <c r="GOQ15" s="135"/>
      <c r="GOR15" s="135"/>
      <c r="GOS15" s="135"/>
      <c r="GOT15" s="131"/>
      <c r="GOU15" s="131"/>
      <c r="GOV15" s="131"/>
      <c r="GOW15" s="131"/>
      <c r="GOX15" s="131"/>
      <c r="GOY15" s="131"/>
      <c r="GOZ15" s="131"/>
      <c r="GPA15" s="131"/>
      <c r="GPB15" s="131"/>
      <c r="GPC15" s="131"/>
      <c r="GPD15" s="131"/>
      <c r="GPE15" s="131"/>
      <c r="GPF15" s="135"/>
      <c r="GPG15" s="135"/>
      <c r="GPH15" s="135"/>
      <c r="GPI15" s="135"/>
      <c r="GPJ15" s="131"/>
      <c r="GPK15" s="131"/>
      <c r="GPL15" s="131"/>
      <c r="GPM15" s="131"/>
      <c r="GPN15" s="131"/>
      <c r="GPO15" s="131"/>
      <c r="GPP15" s="131"/>
      <c r="GPQ15" s="131"/>
      <c r="GPR15" s="131"/>
      <c r="GPS15" s="131"/>
      <c r="GPT15" s="131"/>
      <c r="GPU15" s="131"/>
      <c r="GPV15" s="135"/>
      <c r="GPW15" s="135"/>
      <c r="GPX15" s="135"/>
      <c r="GPY15" s="135"/>
      <c r="GPZ15" s="131"/>
      <c r="GQA15" s="131"/>
      <c r="GQB15" s="131"/>
      <c r="GQC15" s="131"/>
      <c r="GQD15" s="131"/>
      <c r="GQE15" s="131"/>
      <c r="GQF15" s="131"/>
      <c r="GQG15" s="131"/>
      <c r="GQH15" s="131"/>
      <c r="GQI15" s="131"/>
      <c r="GQJ15" s="131"/>
      <c r="GQK15" s="131"/>
      <c r="GQL15" s="135"/>
      <c r="GQM15" s="135"/>
      <c r="GQN15" s="135"/>
      <c r="GQO15" s="135"/>
      <c r="GQP15" s="131"/>
      <c r="GQQ15" s="131"/>
      <c r="GQR15" s="131"/>
      <c r="GQS15" s="131"/>
      <c r="GQT15" s="131"/>
      <c r="GQU15" s="131"/>
      <c r="GQV15" s="131"/>
      <c r="GQW15" s="131"/>
      <c r="GQX15" s="131"/>
      <c r="GQY15" s="131"/>
      <c r="GQZ15" s="131"/>
      <c r="GRA15" s="131"/>
      <c r="GRB15" s="135"/>
      <c r="GRC15" s="135"/>
      <c r="GRD15" s="135"/>
      <c r="GRE15" s="135"/>
      <c r="GRF15" s="131"/>
      <c r="GRG15" s="131"/>
      <c r="GRH15" s="131"/>
      <c r="GRI15" s="131"/>
      <c r="GRJ15" s="131"/>
      <c r="GRK15" s="131"/>
      <c r="GRL15" s="131"/>
      <c r="GRM15" s="131"/>
      <c r="GRN15" s="131"/>
      <c r="GRO15" s="131"/>
      <c r="GRP15" s="131"/>
      <c r="GRQ15" s="131"/>
      <c r="GRR15" s="135"/>
      <c r="GRS15" s="135"/>
      <c r="GRT15" s="135"/>
      <c r="GRU15" s="135"/>
      <c r="GRV15" s="131"/>
      <c r="GRW15" s="131"/>
      <c r="GRX15" s="131"/>
      <c r="GRY15" s="131"/>
      <c r="GRZ15" s="131"/>
      <c r="GSA15" s="131"/>
      <c r="GSB15" s="131"/>
      <c r="GSC15" s="131"/>
      <c r="GSD15" s="131"/>
      <c r="GSE15" s="131"/>
      <c r="GSF15" s="131"/>
      <c r="GSG15" s="131"/>
      <c r="GSH15" s="135"/>
      <c r="GSI15" s="135"/>
      <c r="GSJ15" s="135"/>
      <c r="GSK15" s="135"/>
      <c r="GSL15" s="131"/>
      <c r="GSM15" s="131"/>
      <c r="GSN15" s="131"/>
      <c r="GSO15" s="131"/>
      <c r="GSP15" s="131"/>
      <c r="GSQ15" s="131"/>
      <c r="GSR15" s="131"/>
      <c r="GSS15" s="131"/>
      <c r="GST15" s="131"/>
      <c r="GSU15" s="131"/>
      <c r="GSV15" s="131"/>
      <c r="GSW15" s="131"/>
      <c r="GSX15" s="135"/>
      <c r="GSY15" s="135"/>
      <c r="GSZ15" s="135"/>
      <c r="GTA15" s="135"/>
      <c r="GTB15" s="131"/>
      <c r="GTC15" s="131"/>
      <c r="GTD15" s="131"/>
      <c r="GTE15" s="131"/>
      <c r="GTF15" s="131"/>
      <c r="GTG15" s="131"/>
      <c r="GTH15" s="131"/>
      <c r="GTI15" s="131"/>
      <c r="GTJ15" s="131"/>
      <c r="GTK15" s="131"/>
      <c r="GTL15" s="131"/>
      <c r="GTM15" s="131"/>
      <c r="GTN15" s="135"/>
      <c r="GTO15" s="135"/>
      <c r="GTP15" s="135"/>
      <c r="GTQ15" s="135"/>
      <c r="GTR15" s="131"/>
      <c r="GTS15" s="131"/>
      <c r="GTT15" s="131"/>
      <c r="GTU15" s="131"/>
      <c r="GTV15" s="131"/>
      <c r="GTW15" s="131"/>
      <c r="GTX15" s="131"/>
      <c r="GTY15" s="131"/>
      <c r="GTZ15" s="131"/>
      <c r="GUA15" s="131"/>
      <c r="GUB15" s="131"/>
      <c r="GUC15" s="131"/>
      <c r="GUD15" s="135"/>
      <c r="GUE15" s="135"/>
      <c r="GUF15" s="135"/>
      <c r="GUG15" s="135"/>
      <c r="GUH15" s="131"/>
      <c r="GUI15" s="131"/>
      <c r="GUJ15" s="131"/>
      <c r="GUK15" s="131"/>
      <c r="GUL15" s="131"/>
      <c r="GUM15" s="131"/>
      <c r="GUN15" s="131"/>
      <c r="GUO15" s="131"/>
      <c r="GUP15" s="131"/>
      <c r="GUQ15" s="131"/>
      <c r="GUR15" s="131"/>
      <c r="GUS15" s="131"/>
      <c r="GUT15" s="135"/>
      <c r="GUU15" s="135"/>
      <c r="GUV15" s="135"/>
      <c r="GUW15" s="135"/>
      <c r="GUX15" s="131"/>
      <c r="GUY15" s="131"/>
      <c r="GUZ15" s="131"/>
      <c r="GVA15" s="131"/>
      <c r="GVB15" s="131"/>
      <c r="GVC15" s="131"/>
      <c r="GVD15" s="131"/>
      <c r="GVE15" s="131"/>
      <c r="GVF15" s="131"/>
      <c r="GVG15" s="131"/>
      <c r="GVH15" s="131"/>
      <c r="GVI15" s="131"/>
      <c r="GVJ15" s="135"/>
      <c r="GVK15" s="135"/>
      <c r="GVL15" s="135"/>
      <c r="GVM15" s="135"/>
      <c r="GVN15" s="131"/>
      <c r="GVO15" s="131"/>
      <c r="GVP15" s="131"/>
      <c r="GVQ15" s="131"/>
      <c r="GVR15" s="131"/>
      <c r="GVS15" s="131"/>
      <c r="GVT15" s="131"/>
      <c r="GVU15" s="131"/>
      <c r="GVV15" s="131"/>
      <c r="GVW15" s="131"/>
      <c r="GVX15" s="131"/>
      <c r="GVY15" s="131"/>
      <c r="GVZ15" s="135"/>
      <c r="GWA15" s="135"/>
      <c r="GWB15" s="135"/>
      <c r="GWC15" s="135"/>
      <c r="GWD15" s="131"/>
      <c r="GWE15" s="131"/>
      <c r="GWF15" s="131"/>
      <c r="GWG15" s="131"/>
      <c r="GWH15" s="131"/>
      <c r="GWI15" s="131"/>
      <c r="GWJ15" s="131"/>
      <c r="GWK15" s="131"/>
      <c r="GWL15" s="131"/>
      <c r="GWM15" s="131"/>
      <c r="GWN15" s="131"/>
      <c r="GWO15" s="131"/>
      <c r="GWP15" s="135"/>
      <c r="GWQ15" s="135"/>
      <c r="GWR15" s="135"/>
      <c r="GWS15" s="135"/>
      <c r="GWT15" s="131"/>
      <c r="GWU15" s="131"/>
      <c r="GWV15" s="131"/>
      <c r="GWW15" s="131"/>
      <c r="GWX15" s="131"/>
      <c r="GWY15" s="131"/>
      <c r="GWZ15" s="131"/>
      <c r="GXA15" s="131"/>
      <c r="GXB15" s="131"/>
      <c r="GXC15" s="131"/>
      <c r="GXD15" s="131"/>
      <c r="GXE15" s="131"/>
      <c r="GXF15" s="135"/>
      <c r="GXG15" s="135"/>
      <c r="GXH15" s="135"/>
      <c r="GXI15" s="135"/>
      <c r="GXJ15" s="131"/>
      <c r="GXK15" s="131"/>
      <c r="GXL15" s="131"/>
      <c r="GXM15" s="131"/>
      <c r="GXN15" s="131"/>
      <c r="GXO15" s="131"/>
      <c r="GXP15" s="131"/>
      <c r="GXQ15" s="131"/>
      <c r="GXR15" s="131"/>
      <c r="GXS15" s="131"/>
      <c r="GXT15" s="131"/>
      <c r="GXU15" s="131"/>
      <c r="GXV15" s="135"/>
      <c r="GXW15" s="135"/>
      <c r="GXX15" s="135"/>
      <c r="GXY15" s="135"/>
      <c r="GXZ15" s="131"/>
      <c r="GYA15" s="131"/>
      <c r="GYB15" s="131"/>
      <c r="GYC15" s="131"/>
      <c r="GYD15" s="131"/>
      <c r="GYE15" s="131"/>
      <c r="GYF15" s="131"/>
      <c r="GYG15" s="131"/>
      <c r="GYH15" s="131"/>
      <c r="GYI15" s="131"/>
      <c r="GYJ15" s="131"/>
      <c r="GYK15" s="131"/>
      <c r="GYL15" s="135"/>
      <c r="GYM15" s="135"/>
      <c r="GYN15" s="135"/>
      <c r="GYO15" s="135"/>
      <c r="GYP15" s="131"/>
      <c r="GYQ15" s="131"/>
      <c r="GYR15" s="131"/>
      <c r="GYS15" s="131"/>
      <c r="GYT15" s="131"/>
      <c r="GYU15" s="131"/>
      <c r="GYV15" s="131"/>
      <c r="GYW15" s="131"/>
      <c r="GYX15" s="131"/>
      <c r="GYY15" s="131"/>
      <c r="GYZ15" s="131"/>
      <c r="GZA15" s="131"/>
      <c r="GZB15" s="135"/>
      <c r="GZC15" s="135"/>
      <c r="GZD15" s="135"/>
      <c r="GZE15" s="135"/>
      <c r="GZF15" s="131"/>
      <c r="GZG15" s="131"/>
      <c r="GZH15" s="131"/>
      <c r="GZI15" s="131"/>
      <c r="GZJ15" s="131"/>
      <c r="GZK15" s="131"/>
      <c r="GZL15" s="131"/>
      <c r="GZM15" s="131"/>
      <c r="GZN15" s="131"/>
      <c r="GZO15" s="131"/>
      <c r="GZP15" s="131"/>
      <c r="GZQ15" s="131"/>
      <c r="GZR15" s="135"/>
      <c r="GZS15" s="135"/>
      <c r="GZT15" s="135"/>
      <c r="GZU15" s="135"/>
      <c r="GZV15" s="131"/>
      <c r="GZW15" s="131"/>
      <c r="GZX15" s="131"/>
      <c r="GZY15" s="131"/>
      <c r="GZZ15" s="131"/>
      <c r="HAA15" s="131"/>
      <c r="HAB15" s="131"/>
      <c r="HAC15" s="131"/>
      <c r="HAD15" s="131"/>
      <c r="HAE15" s="131"/>
      <c r="HAF15" s="131"/>
      <c r="HAG15" s="131"/>
      <c r="HAH15" s="135"/>
      <c r="HAI15" s="135"/>
      <c r="HAJ15" s="135"/>
      <c r="HAK15" s="135"/>
      <c r="HAL15" s="131"/>
      <c r="HAM15" s="131"/>
      <c r="HAN15" s="131"/>
      <c r="HAO15" s="131"/>
      <c r="HAP15" s="131"/>
      <c r="HAQ15" s="131"/>
      <c r="HAR15" s="131"/>
      <c r="HAS15" s="131"/>
      <c r="HAT15" s="131"/>
      <c r="HAU15" s="131"/>
      <c r="HAV15" s="131"/>
      <c r="HAW15" s="131"/>
      <c r="HAX15" s="135"/>
      <c r="HAY15" s="135"/>
      <c r="HAZ15" s="135"/>
      <c r="HBA15" s="135"/>
      <c r="HBB15" s="131"/>
      <c r="HBC15" s="131"/>
      <c r="HBD15" s="131"/>
      <c r="HBE15" s="131"/>
      <c r="HBF15" s="131"/>
      <c r="HBG15" s="131"/>
      <c r="HBH15" s="131"/>
      <c r="HBI15" s="131"/>
      <c r="HBJ15" s="131"/>
      <c r="HBK15" s="131"/>
      <c r="HBL15" s="131"/>
      <c r="HBM15" s="131"/>
      <c r="HBN15" s="135"/>
      <c r="HBO15" s="135"/>
      <c r="HBP15" s="135"/>
      <c r="HBQ15" s="135"/>
      <c r="HBR15" s="131"/>
      <c r="HBS15" s="131"/>
      <c r="HBT15" s="131"/>
      <c r="HBU15" s="131"/>
      <c r="HBV15" s="131"/>
      <c r="HBW15" s="131"/>
      <c r="HBX15" s="131"/>
      <c r="HBY15" s="131"/>
      <c r="HBZ15" s="131"/>
      <c r="HCA15" s="131"/>
      <c r="HCB15" s="131"/>
      <c r="HCC15" s="131"/>
      <c r="HCD15" s="135"/>
      <c r="HCE15" s="135"/>
      <c r="HCF15" s="135"/>
      <c r="HCG15" s="135"/>
      <c r="HCH15" s="131"/>
      <c r="HCI15" s="131"/>
      <c r="HCJ15" s="131"/>
      <c r="HCK15" s="131"/>
      <c r="HCL15" s="131"/>
      <c r="HCM15" s="131"/>
      <c r="HCN15" s="131"/>
      <c r="HCO15" s="131"/>
      <c r="HCP15" s="131"/>
      <c r="HCQ15" s="131"/>
      <c r="HCR15" s="131"/>
      <c r="HCS15" s="131"/>
      <c r="HCT15" s="135"/>
      <c r="HCU15" s="135"/>
      <c r="HCV15" s="135"/>
      <c r="HCW15" s="135"/>
      <c r="HCX15" s="131"/>
      <c r="HCY15" s="131"/>
      <c r="HCZ15" s="131"/>
      <c r="HDA15" s="131"/>
      <c r="HDB15" s="131"/>
      <c r="HDC15" s="131"/>
      <c r="HDD15" s="131"/>
      <c r="HDE15" s="131"/>
      <c r="HDF15" s="131"/>
      <c r="HDG15" s="131"/>
      <c r="HDH15" s="131"/>
      <c r="HDI15" s="131"/>
      <c r="HDJ15" s="135"/>
      <c r="HDK15" s="135"/>
      <c r="HDL15" s="135"/>
      <c r="HDM15" s="135"/>
      <c r="HDN15" s="131"/>
      <c r="HDO15" s="131"/>
      <c r="HDP15" s="131"/>
      <c r="HDQ15" s="131"/>
      <c r="HDR15" s="131"/>
      <c r="HDS15" s="131"/>
      <c r="HDT15" s="131"/>
      <c r="HDU15" s="131"/>
      <c r="HDV15" s="131"/>
      <c r="HDW15" s="131"/>
      <c r="HDX15" s="131"/>
      <c r="HDY15" s="131"/>
      <c r="HDZ15" s="135"/>
      <c r="HEA15" s="135"/>
      <c r="HEB15" s="135"/>
      <c r="HEC15" s="135"/>
      <c r="HED15" s="131"/>
      <c r="HEE15" s="131"/>
      <c r="HEF15" s="131"/>
      <c r="HEG15" s="131"/>
      <c r="HEH15" s="131"/>
      <c r="HEI15" s="131"/>
      <c r="HEJ15" s="131"/>
      <c r="HEK15" s="131"/>
      <c r="HEL15" s="131"/>
      <c r="HEM15" s="131"/>
      <c r="HEN15" s="131"/>
      <c r="HEO15" s="131"/>
      <c r="HEP15" s="135"/>
      <c r="HEQ15" s="135"/>
      <c r="HER15" s="135"/>
      <c r="HES15" s="135"/>
      <c r="HET15" s="131"/>
      <c r="HEU15" s="131"/>
      <c r="HEV15" s="131"/>
      <c r="HEW15" s="131"/>
      <c r="HEX15" s="131"/>
      <c r="HEY15" s="131"/>
      <c r="HEZ15" s="131"/>
      <c r="HFA15" s="131"/>
      <c r="HFB15" s="131"/>
      <c r="HFC15" s="131"/>
      <c r="HFD15" s="131"/>
      <c r="HFE15" s="131"/>
      <c r="HFF15" s="135"/>
      <c r="HFG15" s="135"/>
      <c r="HFH15" s="135"/>
      <c r="HFI15" s="135"/>
      <c r="HFJ15" s="131"/>
      <c r="HFK15" s="131"/>
      <c r="HFL15" s="131"/>
      <c r="HFM15" s="131"/>
      <c r="HFN15" s="131"/>
      <c r="HFO15" s="131"/>
      <c r="HFP15" s="131"/>
      <c r="HFQ15" s="131"/>
      <c r="HFR15" s="131"/>
      <c r="HFS15" s="131"/>
      <c r="HFT15" s="131"/>
      <c r="HFU15" s="131"/>
      <c r="HFV15" s="135"/>
      <c r="HFW15" s="135"/>
      <c r="HFX15" s="135"/>
      <c r="HFY15" s="135"/>
      <c r="HFZ15" s="131"/>
      <c r="HGA15" s="131"/>
      <c r="HGB15" s="131"/>
      <c r="HGC15" s="131"/>
      <c r="HGD15" s="131"/>
      <c r="HGE15" s="131"/>
      <c r="HGF15" s="131"/>
      <c r="HGG15" s="131"/>
      <c r="HGH15" s="131"/>
      <c r="HGI15" s="131"/>
      <c r="HGJ15" s="131"/>
      <c r="HGK15" s="131"/>
      <c r="HGL15" s="135"/>
      <c r="HGM15" s="135"/>
      <c r="HGN15" s="135"/>
      <c r="HGO15" s="135"/>
      <c r="HGP15" s="131"/>
      <c r="HGQ15" s="131"/>
      <c r="HGR15" s="131"/>
      <c r="HGS15" s="131"/>
      <c r="HGT15" s="131"/>
      <c r="HGU15" s="131"/>
      <c r="HGV15" s="131"/>
      <c r="HGW15" s="131"/>
      <c r="HGX15" s="131"/>
      <c r="HGY15" s="131"/>
      <c r="HGZ15" s="131"/>
      <c r="HHA15" s="131"/>
      <c r="HHB15" s="135"/>
      <c r="HHC15" s="135"/>
      <c r="HHD15" s="135"/>
      <c r="HHE15" s="135"/>
      <c r="HHF15" s="131"/>
      <c r="HHG15" s="131"/>
      <c r="HHH15" s="131"/>
      <c r="HHI15" s="131"/>
      <c r="HHJ15" s="131"/>
      <c r="HHK15" s="131"/>
      <c r="HHL15" s="131"/>
      <c r="HHM15" s="131"/>
      <c r="HHN15" s="131"/>
      <c r="HHO15" s="131"/>
      <c r="HHP15" s="131"/>
      <c r="HHQ15" s="131"/>
      <c r="HHR15" s="135"/>
      <c r="HHS15" s="135"/>
      <c r="HHT15" s="135"/>
      <c r="HHU15" s="135"/>
      <c r="HHV15" s="131"/>
      <c r="HHW15" s="131"/>
      <c r="HHX15" s="131"/>
      <c r="HHY15" s="131"/>
      <c r="HHZ15" s="131"/>
      <c r="HIA15" s="131"/>
      <c r="HIB15" s="131"/>
      <c r="HIC15" s="131"/>
      <c r="HID15" s="131"/>
      <c r="HIE15" s="131"/>
      <c r="HIF15" s="131"/>
      <c r="HIG15" s="131"/>
      <c r="HIH15" s="135"/>
      <c r="HII15" s="135"/>
      <c r="HIJ15" s="135"/>
      <c r="HIK15" s="135"/>
      <c r="HIL15" s="131"/>
      <c r="HIM15" s="131"/>
      <c r="HIN15" s="131"/>
      <c r="HIO15" s="131"/>
      <c r="HIP15" s="131"/>
      <c r="HIQ15" s="131"/>
      <c r="HIR15" s="131"/>
      <c r="HIS15" s="131"/>
      <c r="HIT15" s="131"/>
      <c r="HIU15" s="131"/>
      <c r="HIV15" s="131"/>
      <c r="HIW15" s="131"/>
      <c r="HIX15" s="135"/>
      <c r="HIY15" s="135"/>
      <c r="HIZ15" s="135"/>
      <c r="HJA15" s="135"/>
      <c r="HJB15" s="131"/>
      <c r="HJC15" s="131"/>
      <c r="HJD15" s="131"/>
      <c r="HJE15" s="131"/>
      <c r="HJF15" s="131"/>
      <c r="HJG15" s="131"/>
      <c r="HJH15" s="131"/>
      <c r="HJI15" s="131"/>
      <c r="HJJ15" s="131"/>
      <c r="HJK15" s="131"/>
      <c r="HJL15" s="131"/>
      <c r="HJM15" s="131"/>
      <c r="HJN15" s="135"/>
      <c r="HJO15" s="135"/>
      <c r="HJP15" s="135"/>
      <c r="HJQ15" s="135"/>
      <c r="HJR15" s="131"/>
      <c r="HJS15" s="131"/>
      <c r="HJT15" s="131"/>
      <c r="HJU15" s="131"/>
      <c r="HJV15" s="131"/>
      <c r="HJW15" s="131"/>
      <c r="HJX15" s="131"/>
      <c r="HJY15" s="131"/>
      <c r="HJZ15" s="131"/>
      <c r="HKA15" s="131"/>
      <c r="HKB15" s="131"/>
      <c r="HKC15" s="131"/>
      <c r="HKD15" s="135"/>
      <c r="HKE15" s="135"/>
      <c r="HKF15" s="135"/>
      <c r="HKG15" s="135"/>
      <c r="HKH15" s="131"/>
      <c r="HKI15" s="131"/>
      <c r="HKJ15" s="131"/>
      <c r="HKK15" s="131"/>
      <c r="HKL15" s="131"/>
      <c r="HKM15" s="131"/>
      <c r="HKN15" s="131"/>
      <c r="HKO15" s="131"/>
      <c r="HKP15" s="131"/>
      <c r="HKQ15" s="131"/>
      <c r="HKR15" s="131"/>
      <c r="HKS15" s="131"/>
      <c r="HKT15" s="135"/>
      <c r="HKU15" s="135"/>
      <c r="HKV15" s="135"/>
      <c r="HKW15" s="135"/>
      <c r="HKX15" s="131"/>
      <c r="HKY15" s="131"/>
      <c r="HKZ15" s="131"/>
      <c r="HLA15" s="131"/>
      <c r="HLB15" s="131"/>
      <c r="HLC15" s="131"/>
      <c r="HLD15" s="131"/>
      <c r="HLE15" s="131"/>
      <c r="HLF15" s="131"/>
      <c r="HLG15" s="131"/>
      <c r="HLH15" s="131"/>
      <c r="HLI15" s="131"/>
      <c r="HLJ15" s="135"/>
      <c r="HLK15" s="135"/>
      <c r="HLL15" s="135"/>
      <c r="HLM15" s="135"/>
      <c r="HLN15" s="131"/>
      <c r="HLO15" s="131"/>
      <c r="HLP15" s="131"/>
      <c r="HLQ15" s="131"/>
      <c r="HLR15" s="131"/>
      <c r="HLS15" s="131"/>
      <c r="HLT15" s="131"/>
      <c r="HLU15" s="131"/>
      <c r="HLV15" s="131"/>
      <c r="HLW15" s="131"/>
      <c r="HLX15" s="131"/>
      <c r="HLY15" s="131"/>
      <c r="HLZ15" s="135"/>
      <c r="HMA15" s="135"/>
      <c r="HMB15" s="135"/>
      <c r="HMC15" s="135"/>
      <c r="HMD15" s="131"/>
      <c r="HME15" s="131"/>
      <c r="HMF15" s="131"/>
      <c r="HMG15" s="131"/>
      <c r="HMH15" s="131"/>
      <c r="HMI15" s="131"/>
      <c r="HMJ15" s="131"/>
      <c r="HMK15" s="131"/>
      <c r="HML15" s="131"/>
      <c r="HMM15" s="131"/>
      <c r="HMN15" s="131"/>
      <c r="HMO15" s="131"/>
      <c r="HMP15" s="135"/>
      <c r="HMQ15" s="135"/>
      <c r="HMR15" s="135"/>
      <c r="HMS15" s="135"/>
      <c r="HMT15" s="131"/>
      <c r="HMU15" s="131"/>
      <c r="HMV15" s="131"/>
      <c r="HMW15" s="131"/>
      <c r="HMX15" s="131"/>
      <c r="HMY15" s="131"/>
      <c r="HMZ15" s="131"/>
      <c r="HNA15" s="131"/>
      <c r="HNB15" s="131"/>
      <c r="HNC15" s="131"/>
      <c r="HND15" s="131"/>
      <c r="HNE15" s="131"/>
      <c r="HNF15" s="135"/>
      <c r="HNG15" s="135"/>
      <c r="HNH15" s="135"/>
      <c r="HNI15" s="135"/>
      <c r="HNJ15" s="131"/>
      <c r="HNK15" s="131"/>
      <c r="HNL15" s="131"/>
      <c r="HNM15" s="131"/>
      <c r="HNN15" s="131"/>
      <c r="HNO15" s="131"/>
      <c r="HNP15" s="131"/>
      <c r="HNQ15" s="131"/>
      <c r="HNR15" s="131"/>
      <c r="HNS15" s="131"/>
      <c r="HNT15" s="131"/>
      <c r="HNU15" s="131"/>
      <c r="HNV15" s="135"/>
      <c r="HNW15" s="135"/>
      <c r="HNX15" s="135"/>
      <c r="HNY15" s="135"/>
      <c r="HNZ15" s="131"/>
      <c r="HOA15" s="131"/>
      <c r="HOB15" s="131"/>
      <c r="HOC15" s="131"/>
      <c r="HOD15" s="131"/>
      <c r="HOE15" s="131"/>
      <c r="HOF15" s="131"/>
      <c r="HOG15" s="131"/>
      <c r="HOH15" s="131"/>
      <c r="HOI15" s="131"/>
      <c r="HOJ15" s="131"/>
      <c r="HOK15" s="131"/>
      <c r="HOL15" s="135"/>
      <c r="HOM15" s="135"/>
      <c r="HON15" s="135"/>
      <c r="HOO15" s="135"/>
      <c r="HOP15" s="131"/>
      <c r="HOQ15" s="131"/>
      <c r="HOR15" s="131"/>
      <c r="HOS15" s="131"/>
      <c r="HOT15" s="131"/>
      <c r="HOU15" s="131"/>
      <c r="HOV15" s="131"/>
      <c r="HOW15" s="131"/>
      <c r="HOX15" s="131"/>
      <c r="HOY15" s="131"/>
      <c r="HOZ15" s="131"/>
      <c r="HPA15" s="131"/>
      <c r="HPB15" s="135"/>
      <c r="HPC15" s="135"/>
      <c r="HPD15" s="135"/>
      <c r="HPE15" s="135"/>
      <c r="HPF15" s="131"/>
      <c r="HPG15" s="131"/>
      <c r="HPH15" s="131"/>
      <c r="HPI15" s="131"/>
      <c r="HPJ15" s="131"/>
      <c r="HPK15" s="131"/>
      <c r="HPL15" s="131"/>
      <c r="HPM15" s="131"/>
      <c r="HPN15" s="131"/>
      <c r="HPO15" s="131"/>
      <c r="HPP15" s="131"/>
      <c r="HPQ15" s="131"/>
      <c r="HPR15" s="135"/>
      <c r="HPS15" s="135"/>
      <c r="HPT15" s="135"/>
      <c r="HPU15" s="135"/>
      <c r="HPV15" s="131"/>
      <c r="HPW15" s="131"/>
      <c r="HPX15" s="131"/>
      <c r="HPY15" s="131"/>
      <c r="HPZ15" s="131"/>
      <c r="HQA15" s="131"/>
      <c r="HQB15" s="131"/>
      <c r="HQC15" s="131"/>
      <c r="HQD15" s="131"/>
      <c r="HQE15" s="131"/>
      <c r="HQF15" s="131"/>
      <c r="HQG15" s="131"/>
      <c r="HQH15" s="135"/>
      <c r="HQI15" s="135"/>
      <c r="HQJ15" s="135"/>
      <c r="HQK15" s="135"/>
      <c r="HQL15" s="131"/>
      <c r="HQM15" s="131"/>
      <c r="HQN15" s="131"/>
      <c r="HQO15" s="131"/>
      <c r="HQP15" s="131"/>
      <c r="HQQ15" s="131"/>
      <c r="HQR15" s="131"/>
      <c r="HQS15" s="131"/>
      <c r="HQT15" s="131"/>
      <c r="HQU15" s="131"/>
      <c r="HQV15" s="131"/>
      <c r="HQW15" s="131"/>
      <c r="HQX15" s="135"/>
      <c r="HQY15" s="135"/>
      <c r="HQZ15" s="135"/>
      <c r="HRA15" s="135"/>
      <c r="HRB15" s="131"/>
      <c r="HRC15" s="131"/>
      <c r="HRD15" s="131"/>
      <c r="HRE15" s="131"/>
      <c r="HRF15" s="131"/>
      <c r="HRG15" s="131"/>
      <c r="HRH15" s="131"/>
      <c r="HRI15" s="131"/>
      <c r="HRJ15" s="131"/>
      <c r="HRK15" s="131"/>
      <c r="HRL15" s="131"/>
      <c r="HRM15" s="131"/>
      <c r="HRN15" s="135"/>
      <c r="HRO15" s="135"/>
      <c r="HRP15" s="135"/>
      <c r="HRQ15" s="135"/>
      <c r="HRR15" s="131"/>
      <c r="HRS15" s="131"/>
      <c r="HRT15" s="131"/>
      <c r="HRU15" s="131"/>
      <c r="HRV15" s="131"/>
      <c r="HRW15" s="131"/>
      <c r="HRX15" s="131"/>
      <c r="HRY15" s="131"/>
      <c r="HRZ15" s="131"/>
      <c r="HSA15" s="131"/>
      <c r="HSB15" s="131"/>
      <c r="HSC15" s="131"/>
      <c r="HSD15" s="135"/>
      <c r="HSE15" s="135"/>
      <c r="HSF15" s="135"/>
      <c r="HSG15" s="135"/>
      <c r="HSH15" s="131"/>
      <c r="HSI15" s="131"/>
      <c r="HSJ15" s="131"/>
      <c r="HSK15" s="131"/>
      <c r="HSL15" s="131"/>
      <c r="HSM15" s="131"/>
      <c r="HSN15" s="131"/>
      <c r="HSO15" s="131"/>
      <c r="HSP15" s="131"/>
      <c r="HSQ15" s="131"/>
      <c r="HSR15" s="131"/>
      <c r="HSS15" s="131"/>
      <c r="HST15" s="135"/>
      <c r="HSU15" s="135"/>
      <c r="HSV15" s="135"/>
      <c r="HSW15" s="135"/>
      <c r="HSX15" s="131"/>
      <c r="HSY15" s="131"/>
      <c r="HSZ15" s="131"/>
      <c r="HTA15" s="131"/>
      <c r="HTB15" s="131"/>
      <c r="HTC15" s="131"/>
      <c r="HTD15" s="131"/>
      <c r="HTE15" s="131"/>
      <c r="HTF15" s="131"/>
      <c r="HTG15" s="131"/>
      <c r="HTH15" s="131"/>
      <c r="HTI15" s="131"/>
      <c r="HTJ15" s="135"/>
      <c r="HTK15" s="135"/>
      <c r="HTL15" s="135"/>
      <c r="HTM15" s="135"/>
      <c r="HTN15" s="131"/>
      <c r="HTO15" s="131"/>
      <c r="HTP15" s="131"/>
      <c r="HTQ15" s="131"/>
      <c r="HTR15" s="131"/>
      <c r="HTS15" s="131"/>
      <c r="HTT15" s="131"/>
      <c r="HTU15" s="131"/>
      <c r="HTV15" s="131"/>
      <c r="HTW15" s="131"/>
      <c r="HTX15" s="131"/>
      <c r="HTY15" s="131"/>
      <c r="HTZ15" s="135"/>
      <c r="HUA15" s="135"/>
      <c r="HUB15" s="135"/>
      <c r="HUC15" s="135"/>
      <c r="HUD15" s="131"/>
      <c r="HUE15" s="131"/>
      <c r="HUF15" s="131"/>
      <c r="HUG15" s="131"/>
      <c r="HUH15" s="131"/>
      <c r="HUI15" s="131"/>
      <c r="HUJ15" s="131"/>
      <c r="HUK15" s="131"/>
      <c r="HUL15" s="131"/>
      <c r="HUM15" s="131"/>
      <c r="HUN15" s="131"/>
      <c r="HUO15" s="131"/>
      <c r="HUP15" s="135"/>
      <c r="HUQ15" s="135"/>
      <c r="HUR15" s="135"/>
      <c r="HUS15" s="135"/>
      <c r="HUT15" s="131"/>
      <c r="HUU15" s="131"/>
      <c r="HUV15" s="131"/>
      <c r="HUW15" s="131"/>
      <c r="HUX15" s="131"/>
      <c r="HUY15" s="131"/>
      <c r="HUZ15" s="131"/>
      <c r="HVA15" s="131"/>
      <c r="HVB15" s="131"/>
      <c r="HVC15" s="131"/>
      <c r="HVD15" s="131"/>
      <c r="HVE15" s="131"/>
      <c r="HVF15" s="135"/>
      <c r="HVG15" s="135"/>
      <c r="HVH15" s="135"/>
      <c r="HVI15" s="135"/>
      <c r="HVJ15" s="131"/>
      <c r="HVK15" s="131"/>
      <c r="HVL15" s="131"/>
      <c r="HVM15" s="131"/>
      <c r="HVN15" s="131"/>
      <c r="HVO15" s="131"/>
      <c r="HVP15" s="131"/>
      <c r="HVQ15" s="131"/>
      <c r="HVR15" s="131"/>
      <c r="HVS15" s="131"/>
      <c r="HVT15" s="131"/>
      <c r="HVU15" s="131"/>
      <c r="HVV15" s="135"/>
      <c r="HVW15" s="135"/>
      <c r="HVX15" s="135"/>
      <c r="HVY15" s="135"/>
      <c r="HVZ15" s="131"/>
      <c r="HWA15" s="131"/>
      <c r="HWB15" s="131"/>
      <c r="HWC15" s="131"/>
      <c r="HWD15" s="131"/>
      <c r="HWE15" s="131"/>
      <c r="HWF15" s="131"/>
      <c r="HWG15" s="131"/>
      <c r="HWH15" s="131"/>
      <c r="HWI15" s="131"/>
      <c r="HWJ15" s="131"/>
      <c r="HWK15" s="131"/>
      <c r="HWL15" s="135"/>
      <c r="HWM15" s="135"/>
      <c r="HWN15" s="135"/>
      <c r="HWO15" s="135"/>
      <c r="HWP15" s="131"/>
      <c r="HWQ15" s="131"/>
      <c r="HWR15" s="131"/>
      <c r="HWS15" s="131"/>
      <c r="HWT15" s="131"/>
      <c r="HWU15" s="131"/>
      <c r="HWV15" s="131"/>
      <c r="HWW15" s="131"/>
      <c r="HWX15" s="131"/>
      <c r="HWY15" s="131"/>
      <c r="HWZ15" s="131"/>
      <c r="HXA15" s="131"/>
      <c r="HXB15" s="135"/>
      <c r="HXC15" s="135"/>
      <c r="HXD15" s="135"/>
      <c r="HXE15" s="135"/>
      <c r="HXF15" s="131"/>
      <c r="HXG15" s="131"/>
      <c r="HXH15" s="131"/>
      <c r="HXI15" s="131"/>
      <c r="HXJ15" s="131"/>
      <c r="HXK15" s="131"/>
      <c r="HXL15" s="131"/>
      <c r="HXM15" s="131"/>
      <c r="HXN15" s="131"/>
      <c r="HXO15" s="131"/>
      <c r="HXP15" s="131"/>
      <c r="HXQ15" s="131"/>
      <c r="HXR15" s="135"/>
      <c r="HXS15" s="135"/>
      <c r="HXT15" s="135"/>
      <c r="HXU15" s="135"/>
      <c r="HXV15" s="131"/>
      <c r="HXW15" s="131"/>
      <c r="HXX15" s="131"/>
      <c r="HXY15" s="131"/>
      <c r="HXZ15" s="131"/>
      <c r="HYA15" s="131"/>
      <c r="HYB15" s="131"/>
      <c r="HYC15" s="131"/>
      <c r="HYD15" s="131"/>
      <c r="HYE15" s="131"/>
      <c r="HYF15" s="131"/>
      <c r="HYG15" s="131"/>
      <c r="HYH15" s="135"/>
      <c r="HYI15" s="135"/>
      <c r="HYJ15" s="135"/>
      <c r="HYK15" s="135"/>
      <c r="HYL15" s="131"/>
      <c r="HYM15" s="131"/>
      <c r="HYN15" s="131"/>
      <c r="HYO15" s="131"/>
      <c r="HYP15" s="131"/>
      <c r="HYQ15" s="131"/>
      <c r="HYR15" s="131"/>
      <c r="HYS15" s="131"/>
      <c r="HYT15" s="131"/>
      <c r="HYU15" s="131"/>
      <c r="HYV15" s="131"/>
      <c r="HYW15" s="131"/>
      <c r="HYX15" s="135"/>
      <c r="HYY15" s="135"/>
      <c r="HYZ15" s="135"/>
      <c r="HZA15" s="135"/>
      <c r="HZB15" s="131"/>
      <c r="HZC15" s="131"/>
      <c r="HZD15" s="131"/>
      <c r="HZE15" s="131"/>
      <c r="HZF15" s="131"/>
      <c r="HZG15" s="131"/>
      <c r="HZH15" s="131"/>
      <c r="HZI15" s="131"/>
      <c r="HZJ15" s="131"/>
      <c r="HZK15" s="131"/>
      <c r="HZL15" s="131"/>
      <c r="HZM15" s="131"/>
      <c r="HZN15" s="135"/>
      <c r="HZO15" s="135"/>
      <c r="HZP15" s="135"/>
      <c r="HZQ15" s="135"/>
      <c r="HZR15" s="131"/>
      <c r="HZS15" s="131"/>
      <c r="HZT15" s="131"/>
      <c r="HZU15" s="131"/>
      <c r="HZV15" s="131"/>
      <c r="HZW15" s="131"/>
      <c r="HZX15" s="131"/>
      <c r="HZY15" s="131"/>
      <c r="HZZ15" s="131"/>
      <c r="IAA15" s="131"/>
      <c r="IAB15" s="131"/>
      <c r="IAC15" s="131"/>
      <c r="IAD15" s="135"/>
      <c r="IAE15" s="135"/>
      <c r="IAF15" s="135"/>
      <c r="IAG15" s="135"/>
      <c r="IAH15" s="131"/>
      <c r="IAI15" s="131"/>
      <c r="IAJ15" s="131"/>
      <c r="IAK15" s="131"/>
      <c r="IAL15" s="131"/>
      <c r="IAM15" s="131"/>
      <c r="IAN15" s="131"/>
      <c r="IAO15" s="131"/>
      <c r="IAP15" s="131"/>
      <c r="IAQ15" s="131"/>
      <c r="IAR15" s="131"/>
      <c r="IAS15" s="131"/>
      <c r="IAT15" s="135"/>
      <c r="IAU15" s="135"/>
      <c r="IAV15" s="135"/>
      <c r="IAW15" s="135"/>
      <c r="IBJ15" s="135"/>
      <c r="IBK15" s="135"/>
      <c r="IBL15" s="135"/>
      <c r="IBM15" s="135"/>
      <c r="IBN15" s="131"/>
      <c r="IBO15" s="131"/>
      <c r="IBP15" s="131"/>
      <c r="IBQ15" s="131"/>
      <c r="IBR15" s="131"/>
      <c r="IBS15" s="131"/>
      <c r="IBT15" s="131"/>
      <c r="IBU15" s="131"/>
      <c r="IBV15" s="131"/>
      <c r="IBW15" s="131"/>
      <c r="IBX15" s="131"/>
      <c r="IBY15" s="131"/>
      <c r="IBZ15" s="135"/>
      <c r="ICA15" s="135"/>
      <c r="ICB15" s="135"/>
      <c r="ICC15" s="135"/>
      <c r="ICD15" s="131"/>
      <c r="ICE15" s="131"/>
      <c r="ICF15" s="131"/>
      <c r="ICG15" s="131"/>
      <c r="ICH15" s="131"/>
      <c r="ICI15" s="131"/>
      <c r="ICJ15" s="131"/>
      <c r="ICK15" s="131"/>
      <c r="ICL15" s="131"/>
      <c r="ICM15" s="131"/>
      <c r="ICN15" s="131"/>
      <c r="ICO15" s="131"/>
      <c r="ICP15" s="135"/>
      <c r="ICQ15" s="135"/>
      <c r="ICR15" s="135"/>
      <c r="ICS15" s="135"/>
      <c r="ICT15" s="131"/>
      <c r="ICU15" s="131"/>
      <c r="ICV15" s="131"/>
      <c r="ICW15" s="131"/>
      <c r="ICX15" s="131"/>
      <c r="ICY15" s="131"/>
      <c r="ICZ15" s="131"/>
      <c r="IDA15" s="131"/>
      <c r="IDB15" s="131"/>
      <c r="IDC15" s="131"/>
      <c r="IDD15" s="131"/>
      <c r="IDE15" s="131"/>
      <c r="IDF15" s="135"/>
      <c r="IDG15" s="135"/>
      <c r="IDH15" s="135"/>
      <c r="IDI15" s="135"/>
      <c r="IDJ15" s="131"/>
      <c r="IDK15" s="131"/>
      <c r="IDL15" s="131"/>
      <c r="IDM15" s="131"/>
      <c r="IDN15" s="131"/>
      <c r="IDO15" s="131"/>
      <c r="IDP15" s="131"/>
      <c r="IDQ15" s="131"/>
      <c r="IDR15" s="131"/>
      <c r="IDS15" s="131"/>
      <c r="IDT15" s="131"/>
      <c r="IDU15" s="131"/>
      <c r="IDV15" s="135"/>
      <c r="IDW15" s="135"/>
      <c r="IDX15" s="135"/>
      <c r="IDY15" s="135"/>
      <c r="IDZ15" s="131"/>
      <c r="IEA15" s="131"/>
      <c r="IEB15" s="131"/>
      <c r="IEC15" s="131"/>
      <c r="IED15" s="131"/>
      <c r="IEE15" s="131"/>
      <c r="IEF15" s="131"/>
      <c r="IEG15" s="131"/>
      <c r="IEH15" s="131"/>
      <c r="IEI15" s="131"/>
      <c r="IEJ15" s="131"/>
      <c r="IEK15" s="131"/>
      <c r="IEL15" s="135"/>
      <c r="IEM15" s="135"/>
      <c r="IEN15" s="135"/>
      <c r="IEO15" s="135"/>
      <c r="IEP15" s="131"/>
      <c r="IEQ15" s="131"/>
      <c r="IER15" s="131"/>
      <c r="IES15" s="131"/>
      <c r="IET15" s="131"/>
      <c r="IEU15" s="131"/>
      <c r="IEV15" s="131"/>
      <c r="IEW15" s="131"/>
      <c r="IEX15" s="131"/>
      <c r="IEY15" s="131"/>
      <c r="IEZ15" s="131"/>
      <c r="IFA15" s="131"/>
      <c r="IFB15" s="135"/>
      <c r="IFC15" s="135"/>
      <c r="IFD15" s="135"/>
      <c r="IFE15" s="135"/>
      <c r="IFF15" s="131"/>
      <c r="IFG15" s="131"/>
      <c r="IFH15" s="131"/>
      <c r="IFI15" s="131"/>
      <c r="IFJ15" s="131"/>
      <c r="IFK15" s="131"/>
      <c r="IFL15" s="131"/>
      <c r="IFM15" s="131"/>
      <c r="IFN15" s="131"/>
      <c r="IFO15" s="131"/>
      <c r="IFP15" s="131"/>
      <c r="IFQ15" s="131"/>
      <c r="IFR15" s="135"/>
      <c r="IFS15" s="135"/>
      <c r="IFT15" s="135"/>
      <c r="IFU15" s="135"/>
      <c r="IFV15" s="131"/>
      <c r="IFW15" s="131"/>
      <c r="IFX15" s="131"/>
      <c r="IFY15" s="131"/>
      <c r="IFZ15" s="131"/>
      <c r="IGA15" s="131"/>
      <c r="IGB15" s="131"/>
      <c r="IGC15" s="131"/>
      <c r="IGD15" s="131"/>
      <c r="IGE15" s="131"/>
      <c r="IGF15" s="131"/>
      <c r="IGG15" s="131"/>
      <c r="IGH15" s="135"/>
      <c r="IGI15" s="135"/>
      <c r="IGJ15" s="135"/>
      <c r="IGK15" s="135"/>
      <c r="IGL15" s="131"/>
      <c r="IGM15" s="131"/>
      <c r="IGN15" s="131"/>
      <c r="IGO15" s="131"/>
      <c r="IGP15" s="131"/>
      <c r="IGQ15" s="131"/>
      <c r="IGR15" s="131"/>
      <c r="IGS15" s="131"/>
      <c r="IGT15" s="131"/>
      <c r="IGU15" s="131"/>
      <c r="IGV15" s="131"/>
      <c r="IGW15" s="131"/>
      <c r="IGX15" s="135"/>
      <c r="IGY15" s="135"/>
      <c r="IGZ15" s="135"/>
      <c r="IHA15" s="135"/>
      <c r="IHB15" s="131"/>
      <c r="IHC15" s="131"/>
      <c r="IHD15" s="131"/>
      <c r="IHE15" s="131"/>
      <c r="IHF15" s="131"/>
      <c r="IHG15" s="131"/>
      <c r="IHH15" s="131"/>
      <c r="IHI15" s="131"/>
      <c r="IHJ15" s="131"/>
      <c r="IHK15" s="131"/>
      <c r="IHL15" s="131"/>
      <c r="IHM15" s="131"/>
      <c r="IHN15" s="135"/>
      <c r="IHO15" s="135"/>
      <c r="IHP15" s="135"/>
      <c r="IHQ15" s="135"/>
      <c r="IHR15" s="131"/>
      <c r="IHS15" s="131"/>
      <c r="IHT15" s="131"/>
      <c r="IHU15" s="131"/>
      <c r="IHV15" s="131"/>
      <c r="IHW15" s="131"/>
      <c r="IHX15" s="131"/>
      <c r="IHY15" s="131"/>
      <c r="IHZ15" s="131"/>
      <c r="IIA15" s="131"/>
      <c r="IIB15" s="131"/>
      <c r="IIC15" s="131"/>
      <c r="IID15" s="135"/>
      <c r="IIE15" s="135"/>
      <c r="IIF15" s="135"/>
      <c r="IIG15" s="135"/>
      <c r="IIH15" s="131"/>
      <c r="III15" s="131"/>
      <c r="IIJ15" s="131"/>
      <c r="IIK15" s="131"/>
      <c r="IIL15" s="131"/>
      <c r="IIM15" s="131"/>
      <c r="IIN15" s="131"/>
      <c r="IIO15" s="131"/>
      <c r="IIP15" s="131"/>
      <c r="IIQ15" s="131"/>
      <c r="IIR15" s="131"/>
      <c r="IIS15" s="131"/>
      <c r="IIT15" s="135"/>
      <c r="IIU15" s="135"/>
      <c r="IIV15" s="135"/>
      <c r="IIW15" s="135"/>
      <c r="IIX15" s="131"/>
      <c r="IIY15" s="131"/>
      <c r="IIZ15" s="131"/>
      <c r="IJA15" s="131"/>
      <c r="IJB15" s="131"/>
      <c r="IJC15" s="131"/>
      <c r="IJD15" s="131"/>
      <c r="IJE15" s="131"/>
      <c r="IJF15" s="131"/>
      <c r="IJG15" s="131"/>
      <c r="IJH15" s="131"/>
      <c r="IJI15" s="131"/>
      <c r="IJJ15" s="135"/>
      <c r="IJK15" s="135"/>
      <c r="IJL15" s="135"/>
      <c r="IJM15" s="135"/>
      <c r="IJN15" s="131"/>
      <c r="IJO15" s="131"/>
      <c r="IJP15" s="131"/>
      <c r="IJQ15" s="131"/>
      <c r="IJR15" s="131"/>
      <c r="IJS15" s="131"/>
      <c r="IJT15" s="131"/>
      <c r="IJU15" s="131"/>
      <c r="IJV15" s="131"/>
      <c r="IJW15" s="131"/>
      <c r="IJX15" s="131"/>
      <c r="IJY15" s="131"/>
      <c r="IJZ15" s="135"/>
      <c r="IKA15" s="135"/>
      <c r="IKB15" s="135"/>
      <c r="IKC15" s="135"/>
      <c r="IKD15" s="131"/>
      <c r="IKE15" s="131"/>
      <c r="IKF15" s="131"/>
      <c r="IKG15" s="131"/>
      <c r="IKH15" s="131"/>
      <c r="IKI15" s="131"/>
      <c r="IKJ15" s="131"/>
      <c r="IKK15" s="131"/>
      <c r="IKL15" s="131"/>
      <c r="IKM15" s="131"/>
      <c r="IKN15" s="131"/>
      <c r="IKO15" s="131"/>
      <c r="IKP15" s="135"/>
      <c r="IKQ15" s="135"/>
      <c r="IKR15" s="135"/>
      <c r="IKS15" s="135"/>
      <c r="IKT15" s="131"/>
      <c r="IKU15" s="131"/>
      <c r="IKV15" s="131"/>
      <c r="IKW15" s="131"/>
      <c r="IKX15" s="131"/>
      <c r="IKY15" s="131"/>
      <c r="IKZ15" s="131"/>
      <c r="ILA15" s="131"/>
      <c r="ILB15" s="131"/>
      <c r="ILC15" s="131"/>
      <c r="ILD15" s="131"/>
      <c r="ILE15" s="131"/>
      <c r="ILF15" s="135"/>
      <c r="ILG15" s="135"/>
      <c r="ILH15" s="135"/>
      <c r="ILI15" s="135"/>
      <c r="ILJ15" s="131"/>
      <c r="ILK15" s="131"/>
      <c r="ILL15" s="131"/>
      <c r="ILM15" s="131"/>
      <c r="ILN15" s="131"/>
      <c r="ILO15" s="131"/>
      <c r="ILP15" s="131"/>
      <c r="ILQ15" s="131"/>
      <c r="ILR15" s="131"/>
      <c r="ILS15" s="131"/>
      <c r="ILT15" s="131"/>
      <c r="ILU15" s="131"/>
      <c r="ILV15" s="135"/>
      <c r="ILW15" s="135"/>
      <c r="ILX15" s="135"/>
      <c r="ILY15" s="135"/>
      <c r="ILZ15" s="131"/>
      <c r="IMA15" s="131"/>
      <c r="IMB15" s="131"/>
      <c r="IMC15" s="131"/>
      <c r="IMD15" s="131"/>
      <c r="IME15" s="131"/>
      <c r="IMF15" s="131"/>
      <c r="IMG15" s="131"/>
      <c r="IMH15" s="131"/>
      <c r="IMI15" s="131"/>
      <c r="IMJ15" s="131"/>
      <c r="IMK15" s="131"/>
      <c r="IML15" s="135"/>
      <c r="IMM15" s="135"/>
      <c r="IMN15" s="135"/>
      <c r="IMO15" s="135"/>
      <c r="IMP15" s="131"/>
      <c r="IMQ15" s="131"/>
      <c r="IMR15" s="131"/>
      <c r="IMS15" s="131"/>
      <c r="IMT15" s="131"/>
      <c r="IMU15" s="131"/>
      <c r="IMV15" s="131"/>
      <c r="IMW15" s="131"/>
      <c r="IMX15" s="131"/>
      <c r="IMY15" s="131"/>
      <c r="IMZ15" s="131"/>
      <c r="INA15" s="131"/>
      <c r="INB15" s="135"/>
      <c r="INC15" s="135"/>
      <c r="IND15" s="135"/>
      <c r="INE15" s="135"/>
      <c r="INF15" s="131"/>
      <c r="ING15" s="131"/>
      <c r="INH15" s="131"/>
      <c r="INI15" s="131"/>
      <c r="INJ15" s="131"/>
      <c r="INK15" s="131"/>
      <c r="INL15" s="131"/>
      <c r="INM15" s="131"/>
      <c r="INN15" s="131"/>
      <c r="INO15" s="131"/>
      <c r="INP15" s="131"/>
      <c r="INQ15" s="131"/>
      <c r="INR15" s="135"/>
      <c r="INS15" s="135"/>
      <c r="INT15" s="135"/>
      <c r="INU15" s="135"/>
      <c r="INV15" s="131"/>
      <c r="INW15" s="131"/>
      <c r="INX15" s="131"/>
      <c r="INY15" s="131"/>
      <c r="INZ15" s="131"/>
      <c r="IOA15" s="131"/>
      <c r="IOB15" s="131"/>
      <c r="IOC15" s="131"/>
      <c r="IOD15" s="131"/>
      <c r="IOE15" s="131"/>
      <c r="IOF15" s="131"/>
      <c r="IOG15" s="131"/>
      <c r="IOH15" s="135"/>
      <c r="IOI15" s="135"/>
      <c r="IOJ15" s="135"/>
      <c r="IOK15" s="135"/>
      <c r="IOL15" s="131"/>
      <c r="IOM15" s="131"/>
      <c r="ION15" s="131"/>
      <c r="IOO15" s="131"/>
      <c r="IOP15" s="131"/>
      <c r="IOQ15" s="131"/>
      <c r="IOR15" s="131"/>
      <c r="IOS15" s="131"/>
      <c r="IOT15" s="131"/>
      <c r="IOU15" s="131"/>
      <c r="IOV15" s="131"/>
      <c r="IOW15" s="131"/>
      <c r="IOX15" s="135"/>
      <c r="IOY15" s="135"/>
      <c r="IOZ15" s="135"/>
      <c r="IPA15" s="135"/>
      <c r="IPB15" s="131"/>
      <c r="IPC15" s="131"/>
      <c r="IPD15" s="131"/>
      <c r="IPE15" s="131"/>
      <c r="IPF15" s="131"/>
      <c r="IPG15" s="131"/>
      <c r="IPH15" s="131"/>
      <c r="IPI15" s="131"/>
      <c r="IPJ15" s="131"/>
      <c r="IPK15" s="131"/>
      <c r="IPL15" s="131"/>
      <c r="IPM15" s="131"/>
      <c r="IPN15" s="135"/>
      <c r="IPO15" s="135"/>
      <c r="IPP15" s="135"/>
      <c r="IPQ15" s="135"/>
      <c r="IPR15" s="131"/>
      <c r="IPS15" s="131"/>
      <c r="IPT15" s="131"/>
      <c r="IPU15" s="131"/>
      <c r="IPV15" s="131"/>
      <c r="IPW15" s="131"/>
      <c r="IPX15" s="131"/>
      <c r="IPY15" s="131"/>
      <c r="IPZ15" s="131"/>
      <c r="IQA15" s="131"/>
      <c r="IQB15" s="131"/>
      <c r="IQC15" s="131"/>
      <c r="IQD15" s="135"/>
      <c r="IQE15" s="135"/>
      <c r="IQF15" s="135"/>
      <c r="IQG15" s="135"/>
      <c r="IQH15" s="131"/>
      <c r="IQI15" s="131"/>
      <c r="IQJ15" s="131"/>
      <c r="IQK15" s="131"/>
      <c r="IQL15" s="131"/>
      <c r="IQM15" s="131"/>
      <c r="IQN15" s="131"/>
      <c r="IQO15" s="131"/>
      <c r="IQP15" s="131"/>
      <c r="IQQ15" s="131"/>
      <c r="IQR15" s="131"/>
      <c r="IQS15" s="131"/>
      <c r="IQT15" s="135"/>
      <c r="IQU15" s="135"/>
      <c r="IQV15" s="135"/>
      <c r="IQW15" s="135"/>
      <c r="IQX15" s="131"/>
      <c r="IQY15" s="131"/>
      <c r="IQZ15" s="131"/>
      <c r="IRA15" s="131"/>
      <c r="IRB15" s="131"/>
      <c r="IRC15" s="131"/>
      <c r="IRD15" s="131"/>
      <c r="IRE15" s="131"/>
      <c r="IRF15" s="131"/>
      <c r="IRG15" s="131"/>
      <c r="IRH15" s="131"/>
      <c r="IRI15" s="131"/>
      <c r="IRJ15" s="135"/>
      <c r="IRK15" s="135"/>
      <c r="IRL15" s="135"/>
      <c r="IRM15" s="135"/>
      <c r="IRN15" s="131"/>
      <c r="IRO15" s="131"/>
      <c r="IRP15" s="131"/>
      <c r="IRQ15" s="131"/>
      <c r="IRR15" s="131"/>
      <c r="IRS15" s="131"/>
      <c r="IRT15" s="131"/>
      <c r="IRU15" s="131"/>
      <c r="IRV15" s="131"/>
      <c r="IRW15" s="131"/>
      <c r="IRX15" s="131"/>
      <c r="IRY15" s="131"/>
      <c r="IRZ15" s="135"/>
      <c r="ISA15" s="135"/>
      <c r="ISB15" s="135"/>
      <c r="ISC15" s="135"/>
      <c r="ISD15" s="131"/>
      <c r="ISE15" s="131"/>
      <c r="ISF15" s="131"/>
      <c r="ISG15" s="131"/>
      <c r="ISH15" s="131"/>
      <c r="ISI15" s="131"/>
      <c r="ISJ15" s="131"/>
      <c r="ISK15" s="131"/>
      <c r="ISL15" s="131"/>
      <c r="ISM15" s="131"/>
      <c r="ISN15" s="131"/>
      <c r="ISO15" s="131"/>
      <c r="ISP15" s="135"/>
      <c r="ISQ15" s="135"/>
      <c r="ISR15" s="135"/>
      <c r="ISS15" s="135"/>
      <c r="IST15" s="131"/>
      <c r="ISU15" s="131"/>
      <c r="ISV15" s="131"/>
      <c r="ISW15" s="131"/>
      <c r="ISX15" s="131"/>
      <c r="ISY15" s="131"/>
      <c r="ISZ15" s="131"/>
      <c r="ITA15" s="131"/>
      <c r="ITB15" s="131"/>
      <c r="ITC15" s="131"/>
      <c r="ITD15" s="131"/>
      <c r="ITE15" s="131"/>
      <c r="ITF15" s="135"/>
      <c r="ITG15" s="135"/>
      <c r="ITH15" s="135"/>
      <c r="ITI15" s="135"/>
      <c r="ITJ15" s="131"/>
      <c r="ITK15" s="131"/>
      <c r="ITL15" s="131"/>
      <c r="ITM15" s="131"/>
      <c r="ITN15" s="131"/>
      <c r="ITO15" s="131"/>
      <c r="ITP15" s="131"/>
      <c r="ITQ15" s="131"/>
      <c r="ITR15" s="131"/>
      <c r="ITS15" s="131"/>
      <c r="ITT15" s="131"/>
      <c r="ITU15" s="131"/>
      <c r="ITV15" s="135"/>
      <c r="ITW15" s="135"/>
      <c r="ITX15" s="135"/>
      <c r="ITY15" s="135"/>
      <c r="ITZ15" s="131"/>
      <c r="IUA15" s="131"/>
      <c r="IUB15" s="131"/>
      <c r="IUC15" s="131"/>
      <c r="IUD15" s="131"/>
      <c r="IUE15" s="131"/>
      <c r="IUF15" s="131"/>
      <c r="IUG15" s="131"/>
      <c r="IUH15" s="131"/>
      <c r="IUI15" s="131"/>
      <c r="IUJ15" s="131"/>
      <c r="IUK15" s="131"/>
      <c r="IUL15" s="135"/>
      <c r="IUM15" s="135"/>
      <c r="IUN15" s="135"/>
      <c r="IUO15" s="135"/>
      <c r="IUP15" s="131"/>
      <c r="IUQ15" s="131"/>
      <c r="IUR15" s="131"/>
      <c r="IUS15" s="131"/>
      <c r="IUT15" s="131"/>
      <c r="IUU15" s="131"/>
      <c r="IUV15" s="131"/>
      <c r="IUW15" s="131"/>
      <c r="IUX15" s="131"/>
      <c r="IUY15" s="131"/>
      <c r="IUZ15" s="131"/>
      <c r="IVA15" s="131"/>
      <c r="IVB15" s="135"/>
      <c r="IVC15" s="135"/>
      <c r="IVD15" s="135"/>
      <c r="IVE15" s="135"/>
      <c r="IVF15" s="131"/>
      <c r="IVG15" s="131"/>
      <c r="IVH15" s="131"/>
      <c r="IVI15" s="131"/>
      <c r="IVJ15" s="131"/>
      <c r="IVK15" s="131"/>
      <c r="IVL15" s="131"/>
      <c r="IVM15" s="131"/>
      <c r="IVN15" s="131"/>
      <c r="IVO15" s="131"/>
      <c r="IVP15" s="131"/>
      <c r="IVQ15" s="131"/>
      <c r="IVR15" s="135"/>
      <c r="IVS15" s="135"/>
      <c r="IVT15" s="135"/>
      <c r="IVU15" s="135"/>
      <c r="IVV15" s="131"/>
      <c r="IVW15" s="131"/>
      <c r="IVX15" s="131"/>
      <c r="IVY15" s="131"/>
      <c r="IVZ15" s="131"/>
      <c r="IWA15" s="131"/>
      <c r="IWB15" s="131"/>
      <c r="IWC15" s="131"/>
      <c r="IWD15" s="131"/>
      <c r="IWE15" s="131"/>
      <c r="IWF15" s="131"/>
      <c r="IWG15" s="131"/>
      <c r="IWH15" s="135"/>
      <c r="IWI15" s="135"/>
      <c r="IWJ15" s="135"/>
      <c r="IWK15" s="135"/>
      <c r="IWL15" s="131"/>
      <c r="IWM15" s="131"/>
      <c r="IWN15" s="131"/>
      <c r="IWO15" s="131"/>
      <c r="IWP15" s="131"/>
      <c r="IWQ15" s="131"/>
      <c r="IWR15" s="131"/>
      <c r="IWS15" s="131"/>
      <c r="IWT15" s="131"/>
      <c r="IWU15" s="131"/>
      <c r="IWV15" s="131"/>
      <c r="IWW15" s="131"/>
      <c r="IWX15" s="135"/>
      <c r="IWY15" s="135"/>
      <c r="IWZ15" s="135"/>
      <c r="IXA15" s="135"/>
      <c r="IXB15" s="131"/>
      <c r="IXC15" s="131"/>
      <c r="IXD15" s="131"/>
      <c r="IXE15" s="131"/>
      <c r="IXF15" s="131"/>
      <c r="IXG15" s="131"/>
      <c r="IXH15" s="131"/>
      <c r="IXI15" s="131"/>
      <c r="IXJ15" s="131"/>
      <c r="IXK15" s="131"/>
      <c r="IXL15" s="131"/>
      <c r="IXM15" s="131"/>
      <c r="IXN15" s="135"/>
      <c r="IXO15" s="135"/>
      <c r="IXP15" s="135"/>
      <c r="IXQ15" s="135"/>
      <c r="IXR15" s="131"/>
      <c r="IXS15" s="131"/>
      <c r="IXT15" s="131"/>
      <c r="IXU15" s="131"/>
      <c r="IXV15" s="131"/>
      <c r="IXW15" s="131"/>
      <c r="IXX15" s="131"/>
      <c r="IXY15" s="131"/>
      <c r="IXZ15" s="131"/>
      <c r="IYA15" s="131"/>
      <c r="IYB15" s="131"/>
      <c r="IYC15" s="131"/>
      <c r="IYD15" s="135"/>
      <c r="IYE15" s="135"/>
      <c r="IYF15" s="135"/>
      <c r="IYG15" s="135"/>
      <c r="IYH15" s="131"/>
      <c r="IYI15" s="131"/>
      <c r="IYJ15" s="131"/>
      <c r="IYK15" s="131"/>
      <c r="IYL15" s="131"/>
      <c r="IYM15" s="131"/>
      <c r="IYN15" s="131"/>
      <c r="IYO15" s="131"/>
      <c r="IYP15" s="131"/>
      <c r="IYQ15" s="131"/>
      <c r="IYR15" s="131"/>
      <c r="IYS15" s="131"/>
      <c r="IYT15" s="135"/>
      <c r="IYU15" s="135"/>
      <c r="IYV15" s="135"/>
      <c r="IYW15" s="135"/>
      <c r="IYX15" s="131"/>
      <c r="IYY15" s="131"/>
      <c r="IYZ15" s="131"/>
      <c r="IZA15" s="131"/>
      <c r="IZB15" s="131"/>
      <c r="IZC15" s="131"/>
      <c r="IZD15" s="131"/>
      <c r="IZE15" s="131"/>
      <c r="IZF15" s="131"/>
      <c r="IZG15" s="131"/>
      <c r="IZH15" s="131"/>
      <c r="IZI15" s="131"/>
      <c r="IZJ15" s="135"/>
      <c r="IZK15" s="135"/>
      <c r="IZL15" s="135"/>
      <c r="IZM15" s="135"/>
      <c r="IZN15" s="131"/>
      <c r="IZO15" s="131"/>
      <c r="IZP15" s="131"/>
      <c r="IZQ15" s="131"/>
      <c r="IZR15" s="131"/>
      <c r="IZS15" s="131"/>
      <c r="IZT15" s="131"/>
      <c r="IZU15" s="131"/>
      <c r="IZV15" s="131"/>
      <c r="IZW15" s="131"/>
      <c r="IZX15" s="131"/>
      <c r="IZY15" s="131"/>
      <c r="IZZ15" s="135"/>
      <c r="JAA15" s="135"/>
      <c r="JAB15" s="135"/>
      <c r="JAC15" s="135"/>
      <c r="JAD15" s="131"/>
      <c r="JAE15" s="131"/>
      <c r="JAF15" s="131"/>
      <c r="JAG15" s="131"/>
      <c r="JAH15" s="131"/>
      <c r="JAI15" s="131"/>
      <c r="JAJ15" s="131"/>
      <c r="JAK15" s="131"/>
      <c r="JAL15" s="131"/>
      <c r="JAM15" s="131"/>
      <c r="JAN15" s="131"/>
      <c r="JAO15" s="131"/>
      <c r="JAP15" s="135"/>
      <c r="JAQ15" s="135"/>
      <c r="JAR15" s="135"/>
      <c r="JAS15" s="135"/>
      <c r="JAT15" s="131"/>
      <c r="JAU15" s="131"/>
      <c r="JAV15" s="131"/>
      <c r="JAW15" s="131"/>
      <c r="JAX15" s="131"/>
      <c r="JAY15" s="131"/>
      <c r="JAZ15" s="131"/>
      <c r="JBA15" s="131"/>
      <c r="JBB15" s="131"/>
      <c r="JBC15" s="131"/>
      <c r="JBD15" s="131"/>
      <c r="JBE15" s="131"/>
      <c r="JBF15" s="135"/>
      <c r="JBG15" s="135"/>
      <c r="JBH15" s="135"/>
      <c r="JBI15" s="135"/>
      <c r="JBJ15" s="131"/>
      <c r="JBK15" s="131"/>
      <c r="JBL15" s="131"/>
      <c r="JBM15" s="131"/>
      <c r="JBN15" s="131"/>
      <c r="JBO15" s="131"/>
      <c r="JBP15" s="131"/>
      <c r="JBQ15" s="131"/>
      <c r="JBR15" s="131"/>
      <c r="JBS15" s="131"/>
      <c r="JBT15" s="131"/>
      <c r="JBU15" s="131"/>
      <c r="JBV15" s="135"/>
      <c r="JBW15" s="135"/>
      <c r="JBX15" s="135"/>
      <c r="JBY15" s="135"/>
      <c r="JBZ15" s="131"/>
      <c r="JCA15" s="131"/>
      <c r="JCB15" s="131"/>
      <c r="JCC15" s="131"/>
      <c r="JCD15" s="131"/>
      <c r="JCE15" s="131"/>
      <c r="JCF15" s="131"/>
      <c r="JCG15" s="131"/>
      <c r="JCH15" s="131"/>
      <c r="JCI15" s="131"/>
      <c r="JCJ15" s="131"/>
      <c r="JCK15" s="131"/>
      <c r="JCL15" s="135"/>
      <c r="JCM15" s="135"/>
      <c r="JCN15" s="135"/>
      <c r="JCO15" s="135"/>
      <c r="JCP15" s="131"/>
      <c r="JCQ15" s="131"/>
      <c r="JCR15" s="131"/>
      <c r="JCS15" s="131"/>
      <c r="JCT15" s="131"/>
      <c r="JCU15" s="131"/>
      <c r="JCV15" s="131"/>
      <c r="JCW15" s="131"/>
      <c r="JCX15" s="131"/>
      <c r="JCY15" s="131"/>
      <c r="JCZ15" s="131"/>
      <c r="JDA15" s="131"/>
      <c r="JDB15" s="135"/>
      <c r="JDC15" s="135"/>
      <c r="JDD15" s="135"/>
      <c r="JDE15" s="135"/>
      <c r="JDF15" s="131"/>
      <c r="JDG15" s="131"/>
      <c r="JDH15" s="131"/>
      <c r="JDI15" s="131"/>
      <c r="JDJ15" s="131"/>
      <c r="JDK15" s="131"/>
      <c r="JDL15" s="131"/>
      <c r="JDM15" s="131"/>
      <c r="JDN15" s="131"/>
      <c r="JDO15" s="131"/>
      <c r="JDP15" s="131"/>
      <c r="JDQ15" s="131"/>
      <c r="JDR15" s="135"/>
      <c r="JDS15" s="135"/>
      <c r="JDT15" s="135"/>
      <c r="JDU15" s="135"/>
      <c r="JDV15" s="131"/>
      <c r="JDW15" s="131"/>
      <c r="JDX15" s="131"/>
      <c r="JDY15" s="131"/>
      <c r="JDZ15" s="131"/>
      <c r="JEA15" s="131"/>
      <c r="JEB15" s="131"/>
      <c r="JEC15" s="131"/>
      <c r="JED15" s="131"/>
      <c r="JEE15" s="131"/>
      <c r="JEF15" s="131"/>
      <c r="JEG15" s="131"/>
      <c r="JEH15" s="135"/>
      <c r="JEI15" s="135"/>
      <c r="JEJ15" s="135"/>
      <c r="JEK15" s="135"/>
      <c r="JEL15" s="131"/>
      <c r="JEM15" s="131"/>
      <c r="JEN15" s="131"/>
      <c r="JEO15" s="131"/>
      <c r="JEP15" s="131"/>
      <c r="JEQ15" s="131"/>
      <c r="JER15" s="131"/>
      <c r="JES15" s="131"/>
      <c r="JET15" s="131"/>
      <c r="JEU15" s="131"/>
      <c r="JEV15" s="131"/>
      <c r="JEW15" s="131"/>
      <c r="JEX15" s="135"/>
      <c r="JEY15" s="135"/>
      <c r="JEZ15" s="135"/>
      <c r="JFA15" s="135"/>
      <c r="JFB15" s="131"/>
      <c r="JFC15" s="131"/>
      <c r="JFD15" s="131"/>
      <c r="JFE15" s="131"/>
      <c r="JFF15" s="131"/>
      <c r="JFG15" s="131"/>
      <c r="JFH15" s="131"/>
      <c r="JFI15" s="131"/>
      <c r="JFJ15" s="131"/>
      <c r="JFK15" s="131"/>
      <c r="JFL15" s="131"/>
      <c r="JFM15" s="131"/>
      <c r="JFN15" s="135"/>
      <c r="JFO15" s="135"/>
      <c r="JFP15" s="135"/>
      <c r="JFQ15" s="135"/>
      <c r="JFR15" s="131"/>
      <c r="JFS15" s="131"/>
      <c r="JFT15" s="131"/>
      <c r="JFU15" s="131"/>
      <c r="JFV15" s="131"/>
      <c r="JFW15" s="131"/>
      <c r="JFX15" s="131"/>
      <c r="JFY15" s="131"/>
      <c r="JFZ15" s="131"/>
      <c r="JGA15" s="131"/>
      <c r="JGB15" s="131"/>
      <c r="JGC15" s="131"/>
      <c r="JGD15" s="135"/>
      <c r="JGE15" s="135"/>
      <c r="JGF15" s="135"/>
      <c r="JGG15" s="135"/>
      <c r="JGH15" s="131"/>
      <c r="JGI15" s="131"/>
      <c r="JGJ15" s="131"/>
      <c r="JGK15" s="131"/>
      <c r="JGL15" s="131"/>
      <c r="JGM15" s="131"/>
      <c r="JGN15" s="131"/>
      <c r="JGO15" s="131"/>
      <c r="JGP15" s="131"/>
      <c r="JGQ15" s="131"/>
      <c r="JGR15" s="131"/>
      <c r="JGS15" s="131"/>
      <c r="JGT15" s="135"/>
      <c r="JGU15" s="135"/>
      <c r="JGV15" s="135"/>
      <c r="JGW15" s="135"/>
      <c r="JGX15" s="131"/>
      <c r="JGY15" s="131"/>
      <c r="JGZ15" s="131"/>
      <c r="JHA15" s="131"/>
      <c r="JHB15" s="131"/>
      <c r="JHC15" s="131"/>
      <c r="JHD15" s="131"/>
      <c r="JHE15" s="131"/>
      <c r="JHF15" s="131"/>
      <c r="JHG15" s="131"/>
      <c r="JHH15" s="131"/>
      <c r="JHI15" s="131"/>
      <c r="JHJ15" s="135"/>
      <c r="JHK15" s="135"/>
      <c r="JHL15" s="135"/>
      <c r="JHM15" s="135"/>
      <c r="JHN15" s="131"/>
      <c r="JHO15" s="131"/>
      <c r="JHP15" s="131"/>
      <c r="JHQ15" s="131"/>
      <c r="JHR15" s="131"/>
      <c r="JHS15" s="131"/>
      <c r="JHT15" s="131"/>
      <c r="JHU15" s="131"/>
      <c r="JHV15" s="131"/>
      <c r="JHW15" s="131"/>
      <c r="JHX15" s="131"/>
      <c r="JHY15" s="131"/>
      <c r="JHZ15" s="135"/>
      <c r="JIA15" s="135"/>
      <c r="JIB15" s="135"/>
      <c r="JIC15" s="135"/>
      <c r="JID15" s="131"/>
      <c r="JIE15" s="131"/>
      <c r="JIF15" s="131"/>
      <c r="JIG15" s="131"/>
      <c r="JIH15" s="131"/>
      <c r="JII15" s="131"/>
      <c r="JIJ15" s="131"/>
      <c r="JIK15" s="131"/>
      <c r="JIL15" s="131"/>
      <c r="JIM15" s="131"/>
      <c r="JIN15" s="131"/>
      <c r="JIO15" s="131"/>
      <c r="JIP15" s="135"/>
      <c r="JIQ15" s="135"/>
      <c r="JIR15" s="135"/>
      <c r="JIS15" s="135"/>
      <c r="JIT15" s="131"/>
      <c r="JIU15" s="131"/>
      <c r="JIV15" s="131"/>
      <c r="JIW15" s="131"/>
      <c r="JIX15" s="131"/>
      <c r="JIY15" s="131"/>
      <c r="JIZ15" s="131"/>
      <c r="JJA15" s="131"/>
      <c r="JJB15" s="131"/>
      <c r="JJC15" s="131"/>
      <c r="JJD15" s="131"/>
      <c r="JJE15" s="131"/>
      <c r="JJF15" s="135"/>
      <c r="JJG15" s="135"/>
      <c r="JJH15" s="135"/>
      <c r="JJI15" s="135"/>
      <c r="JJJ15" s="131"/>
      <c r="JJK15" s="131"/>
      <c r="JJL15" s="131"/>
      <c r="JJM15" s="131"/>
      <c r="JJN15" s="131"/>
      <c r="JJO15" s="131"/>
      <c r="JJP15" s="131"/>
      <c r="JJQ15" s="131"/>
      <c r="JJR15" s="131"/>
      <c r="JJS15" s="131"/>
      <c r="JJT15" s="131"/>
      <c r="JJU15" s="131"/>
      <c r="JJV15" s="135"/>
      <c r="JJW15" s="135"/>
      <c r="JJX15" s="135"/>
      <c r="JJY15" s="135"/>
      <c r="JJZ15" s="131"/>
      <c r="JKA15" s="131"/>
      <c r="JKB15" s="131"/>
      <c r="JKC15" s="131"/>
      <c r="JKD15" s="131"/>
      <c r="JKE15" s="131"/>
      <c r="JKF15" s="131"/>
      <c r="JKG15" s="131"/>
      <c r="JKH15" s="131"/>
      <c r="JKI15" s="131"/>
      <c r="JKJ15" s="131"/>
      <c r="JKK15" s="131"/>
      <c r="JKL15" s="135"/>
      <c r="JKM15" s="135"/>
      <c r="JKN15" s="135"/>
      <c r="JKO15" s="135"/>
      <c r="JKP15" s="131"/>
      <c r="JKQ15" s="131"/>
      <c r="JKR15" s="131"/>
      <c r="JKS15" s="131"/>
      <c r="JKT15" s="131"/>
      <c r="JKU15" s="131"/>
      <c r="JKV15" s="131"/>
      <c r="JKW15" s="131"/>
      <c r="JKX15" s="131"/>
      <c r="JKY15" s="131"/>
      <c r="JKZ15" s="131"/>
      <c r="JLA15" s="131"/>
      <c r="JLB15" s="135"/>
      <c r="JLC15" s="135"/>
      <c r="JLD15" s="135"/>
      <c r="JLE15" s="135"/>
      <c r="JLF15" s="131"/>
      <c r="JLG15" s="131"/>
      <c r="JLH15" s="131"/>
      <c r="JLI15" s="131"/>
      <c r="JLJ15" s="131"/>
      <c r="JLK15" s="131"/>
      <c r="JLL15" s="131"/>
      <c r="JLM15" s="131"/>
      <c r="JLN15" s="131"/>
      <c r="JLO15" s="131"/>
      <c r="JLP15" s="131"/>
      <c r="JLQ15" s="131"/>
      <c r="JLR15" s="135"/>
      <c r="JLS15" s="135"/>
      <c r="JLT15" s="135"/>
      <c r="JLU15" s="135"/>
      <c r="JLV15" s="131"/>
      <c r="JLW15" s="131"/>
      <c r="JLX15" s="131"/>
      <c r="JLY15" s="131"/>
      <c r="JLZ15" s="131"/>
      <c r="JMA15" s="131"/>
      <c r="JMB15" s="131"/>
      <c r="JMC15" s="131"/>
      <c r="JMD15" s="131"/>
      <c r="JME15" s="131"/>
      <c r="JMF15" s="131"/>
      <c r="JMG15" s="131"/>
      <c r="JMH15" s="135"/>
      <c r="JMI15" s="135"/>
      <c r="JMJ15" s="135"/>
      <c r="JMK15" s="135"/>
      <c r="JML15" s="131"/>
      <c r="JMM15" s="131"/>
      <c r="JMN15" s="131"/>
      <c r="JMO15" s="131"/>
      <c r="JMP15" s="131"/>
      <c r="JMQ15" s="131"/>
      <c r="JMR15" s="131"/>
      <c r="JMS15" s="131"/>
      <c r="JMT15" s="131"/>
      <c r="JMU15" s="131"/>
      <c r="JMV15" s="131"/>
      <c r="JMW15" s="131"/>
      <c r="JMX15" s="135"/>
      <c r="JMY15" s="135"/>
      <c r="JMZ15" s="135"/>
      <c r="JNA15" s="135"/>
      <c r="JNB15" s="131"/>
      <c r="JNC15" s="131"/>
      <c r="JND15" s="131"/>
      <c r="JNE15" s="131"/>
      <c r="JNF15" s="131"/>
      <c r="JNG15" s="131"/>
      <c r="JNH15" s="131"/>
      <c r="JNI15" s="131"/>
      <c r="JNJ15" s="131"/>
      <c r="JNK15" s="131"/>
      <c r="JNL15" s="131"/>
      <c r="JNM15" s="131"/>
      <c r="JNN15" s="135"/>
      <c r="JNO15" s="135"/>
      <c r="JNP15" s="135"/>
      <c r="JNQ15" s="135"/>
      <c r="JNR15" s="131"/>
      <c r="JNS15" s="131"/>
      <c r="JNT15" s="131"/>
      <c r="JNU15" s="131"/>
      <c r="JNV15" s="131"/>
      <c r="JNW15" s="131"/>
      <c r="JNX15" s="131"/>
      <c r="JNY15" s="131"/>
      <c r="JNZ15" s="131"/>
      <c r="JOA15" s="131"/>
      <c r="JOB15" s="131"/>
      <c r="JOC15" s="131"/>
      <c r="JOD15" s="135"/>
      <c r="JOE15" s="135"/>
      <c r="JOF15" s="135"/>
      <c r="JOG15" s="135"/>
      <c r="JOT15" s="135"/>
      <c r="JOU15" s="135"/>
      <c r="JOV15" s="135"/>
      <c r="JOW15" s="135"/>
      <c r="JOX15" s="131"/>
      <c r="JOY15" s="131"/>
      <c r="JOZ15" s="131"/>
      <c r="JPA15" s="131"/>
      <c r="JPB15" s="131"/>
      <c r="JPC15" s="131"/>
      <c r="JPD15" s="131"/>
      <c r="JPE15" s="131"/>
      <c r="JPF15" s="131"/>
      <c r="JPG15" s="131"/>
      <c r="JPH15" s="131"/>
      <c r="JPI15" s="131"/>
      <c r="JPJ15" s="135"/>
      <c r="JPK15" s="135"/>
      <c r="JPL15" s="135"/>
      <c r="JPM15" s="135"/>
      <c r="JPN15" s="131"/>
      <c r="JPO15" s="131"/>
      <c r="JPP15" s="131"/>
      <c r="JPQ15" s="131"/>
      <c r="JPR15" s="131"/>
      <c r="JPS15" s="131"/>
      <c r="JPT15" s="131"/>
      <c r="JPU15" s="131"/>
      <c r="JPV15" s="131"/>
      <c r="JPW15" s="131"/>
      <c r="JPX15" s="131"/>
      <c r="JPY15" s="131"/>
      <c r="JPZ15" s="135"/>
      <c r="JQA15" s="135"/>
      <c r="JQB15" s="135"/>
      <c r="JQC15" s="135"/>
      <c r="JQD15" s="131"/>
      <c r="JQE15" s="131"/>
      <c r="JQF15" s="131"/>
      <c r="JQG15" s="131"/>
      <c r="JQH15" s="131"/>
      <c r="JQI15" s="131"/>
      <c r="JQJ15" s="131"/>
      <c r="JQK15" s="131"/>
      <c r="JQL15" s="131"/>
      <c r="JQM15" s="131"/>
      <c r="JQN15" s="131"/>
      <c r="JQO15" s="131"/>
      <c r="JQP15" s="135"/>
      <c r="JQQ15" s="135"/>
      <c r="JQR15" s="135"/>
      <c r="JQS15" s="135"/>
      <c r="JQT15" s="131"/>
      <c r="JQU15" s="131"/>
      <c r="JQV15" s="131"/>
      <c r="JQW15" s="131"/>
      <c r="JQX15" s="131"/>
      <c r="JQY15" s="131"/>
      <c r="JQZ15" s="131"/>
      <c r="JRA15" s="131"/>
      <c r="JRB15" s="131"/>
      <c r="JRC15" s="131"/>
      <c r="JRD15" s="131"/>
      <c r="JRE15" s="131"/>
      <c r="JRF15" s="135"/>
      <c r="JRG15" s="135"/>
      <c r="JRH15" s="135"/>
      <c r="JRI15" s="135"/>
      <c r="JRJ15" s="131"/>
      <c r="JRK15" s="131"/>
      <c r="JRL15" s="131"/>
      <c r="JRM15" s="131"/>
      <c r="JRN15" s="131"/>
      <c r="JRO15" s="131"/>
      <c r="JRP15" s="131"/>
      <c r="JRQ15" s="131"/>
      <c r="JRR15" s="131"/>
      <c r="JRS15" s="131"/>
      <c r="JRT15" s="131"/>
      <c r="JRU15" s="131"/>
      <c r="JRV15" s="135"/>
      <c r="JRW15" s="135"/>
      <c r="JRX15" s="135"/>
      <c r="JRY15" s="135"/>
      <c r="JRZ15" s="131"/>
      <c r="JSA15" s="131"/>
      <c r="JSB15" s="131"/>
      <c r="JSC15" s="131"/>
      <c r="JSD15" s="131"/>
      <c r="JSE15" s="131"/>
      <c r="JSF15" s="131"/>
      <c r="JSG15" s="131"/>
      <c r="JSH15" s="131"/>
      <c r="JSI15" s="131"/>
      <c r="JSJ15" s="131"/>
      <c r="JSK15" s="131"/>
      <c r="JSL15" s="135"/>
      <c r="JSM15" s="135"/>
      <c r="JSN15" s="135"/>
      <c r="JSO15" s="135"/>
      <c r="JSP15" s="131"/>
      <c r="JSQ15" s="131"/>
      <c r="JSR15" s="131"/>
      <c r="JSS15" s="131"/>
      <c r="JST15" s="131"/>
      <c r="JSU15" s="131"/>
      <c r="JSV15" s="131"/>
      <c r="JSW15" s="131"/>
      <c r="JSX15" s="131"/>
      <c r="JSY15" s="131"/>
      <c r="JSZ15" s="131"/>
      <c r="JTA15" s="131"/>
      <c r="JTB15" s="135"/>
      <c r="JTC15" s="135"/>
      <c r="JTD15" s="135"/>
      <c r="JTE15" s="135"/>
      <c r="JTF15" s="131"/>
      <c r="JTG15" s="131"/>
      <c r="JTH15" s="131"/>
      <c r="JTI15" s="131"/>
      <c r="JTJ15" s="131"/>
      <c r="JTK15" s="131"/>
      <c r="JTL15" s="131"/>
      <c r="JTM15" s="131"/>
      <c r="JTN15" s="131"/>
      <c r="JTO15" s="131"/>
      <c r="JTP15" s="131"/>
      <c r="JTQ15" s="131"/>
      <c r="JTR15" s="135"/>
      <c r="JTS15" s="135"/>
      <c r="JTT15" s="135"/>
      <c r="JTU15" s="135"/>
      <c r="JTV15" s="131"/>
      <c r="JTW15" s="131"/>
      <c r="JTX15" s="131"/>
      <c r="JTY15" s="131"/>
      <c r="JTZ15" s="131"/>
      <c r="JUA15" s="131"/>
      <c r="JUB15" s="131"/>
      <c r="JUC15" s="131"/>
      <c r="JUD15" s="131"/>
      <c r="JUE15" s="131"/>
      <c r="JUF15" s="131"/>
      <c r="JUG15" s="131"/>
      <c r="JUH15" s="135"/>
      <c r="JUI15" s="135"/>
      <c r="JUJ15" s="135"/>
      <c r="JUK15" s="135"/>
      <c r="JUL15" s="131"/>
      <c r="JUM15" s="131"/>
      <c r="JUN15" s="131"/>
      <c r="JUO15" s="131"/>
      <c r="JUP15" s="131"/>
      <c r="JUQ15" s="131"/>
      <c r="JUR15" s="131"/>
      <c r="JUS15" s="131"/>
      <c r="JUT15" s="131"/>
      <c r="JUU15" s="131"/>
      <c r="JUV15" s="131"/>
      <c r="JUW15" s="131"/>
      <c r="JUX15" s="135"/>
      <c r="JUY15" s="135"/>
      <c r="JUZ15" s="135"/>
      <c r="JVA15" s="135"/>
      <c r="JVB15" s="131"/>
      <c r="JVC15" s="131"/>
      <c r="JVD15" s="131"/>
      <c r="JVE15" s="131"/>
      <c r="JVF15" s="131"/>
      <c r="JVG15" s="131"/>
      <c r="JVH15" s="131"/>
      <c r="JVI15" s="131"/>
      <c r="JVJ15" s="131"/>
      <c r="JVK15" s="131"/>
      <c r="JVL15" s="131"/>
      <c r="JVM15" s="131"/>
      <c r="JVN15" s="135"/>
      <c r="JVO15" s="135"/>
      <c r="JVP15" s="135"/>
      <c r="JVQ15" s="135"/>
      <c r="JVR15" s="131"/>
      <c r="JVS15" s="131"/>
      <c r="JVT15" s="131"/>
      <c r="JVU15" s="131"/>
      <c r="JVV15" s="131"/>
      <c r="JVW15" s="131"/>
      <c r="JVX15" s="131"/>
      <c r="JVY15" s="131"/>
      <c r="JVZ15" s="131"/>
      <c r="JWA15" s="131"/>
      <c r="JWB15" s="131"/>
      <c r="JWC15" s="131"/>
      <c r="JWD15" s="135"/>
      <c r="JWE15" s="135"/>
      <c r="JWF15" s="135"/>
      <c r="JWG15" s="135"/>
      <c r="JWH15" s="131"/>
      <c r="JWI15" s="131"/>
      <c r="JWJ15" s="131"/>
      <c r="JWK15" s="131"/>
      <c r="JWL15" s="131"/>
      <c r="JWM15" s="131"/>
      <c r="JWN15" s="131"/>
      <c r="JWO15" s="131"/>
      <c r="JWP15" s="131"/>
      <c r="JWQ15" s="131"/>
      <c r="JWR15" s="131"/>
      <c r="JWS15" s="131"/>
      <c r="JWT15" s="135"/>
      <c r="JWU15" s="135"/>
      <c r="JWV15" s="135"/>
      <c r="JWW15" s="135"/>
      <c r="JWX15" s="131"/>
      <c r="JWY15" s="131"/>
      <c r="JWZ15" s="131"/>
      <c r="JXA15" s="131"/>
      <c r="JXB15" s="131"/>
      <c r="JXC15" s="131"/>
      <c r="JXD15" s="131"/>
      <c r="JXE15" s="131"/>
      <c r="JXF15" s="131"/>
      <c r="JXG15" s="131"/>
      <c r="JXH15" s="131"/>
      <c r="JXI15" s="131"/>
      <c r="JXJ15" s="135"/>
      <c r="JXK15" s="135"/>
      <c r="JXL15" s="135"/>
      <c r="JXM15" s="135"/>
      <c r="JXN15" s="131"/>
      <c r="JXO15" s="131"/>
      <c r="JXP15" s="131"/>
      <c r="JXQ15" s="131"/>
      <c r="JXR15" s="131"/>
      <c r="JXS15" s="131"/>
      <c r="JXT15" s="131"/>
      <c r="JXU15" s="131"/>
      <c r="JXV15" s="131"/>
      <c r="JXW15" s="131"/>
      <c r="JXX15" s="131"/>
      <c r="JXY15" s="131"/>
      <c r="JXZ15" s="135"/>
      <c r="JYA15" s="135"/>
      <c r="JYB15" s="135"/>
      <c r="JYC15" s="135"/>
      <c r="JYD15" s="131"/>
      <c r="JYE15" s="131"/>
      <c r="JYF15" s="131"/>
      <c r="JYG15" s="131"/>
      <c r="JYH15" s="131"/>
      <c r="JYI15" s="131"/>
      <c r="JYJ15" s="131"/>
      <c r="JYK15" s="131"/>
      <c r="JYL15" s="131"/>
      <c r="JYM15" s="131"/>
      <c r="JYN15" s="131"/>
      <c r="JYO15" s="131"/>
      <c r="JYP15" s="135"/>
      <c r="JYQ15" s="135"/>
      <c r="JYR15" s="135"/>
      <c r="JYS15" s="135"/>
      <c r="JYT15" s="131"/>
      <c r="JYU15" s="131"/>
      <c r="JYV15" s="131"/>
      <c r="JYW15" s="131"/>
      <c r="JYX15" s="131"/>
      <c r="JYY15" s="131"/>
      <c r="JYZ15" s="131"/>
      <c r="JZA15" s="131"/>
      <c r="JZB15" s="131"/>
      <c r="JZC15" s="131"/>
      <c r="JZD15" s="131"/>
      <c r="JZE15" s="131"/>
      <c r="JZF15" s="135"/>
      <c r="JZG15" s="135"/>
      <c r="JZH15" s="135"/>
      <c r="JZI15" s="135"/>
      <c r="JZJ15" s="131"/>
      <c r="JZK15" s="131"/>
      <c r="JZL15" s="131"/>
      <c r="JZM15" s="131"/>
      <c r="JZN15" s="131"/>
      <c r="JZO15" s="131"/>
      <c r="JZP15" s="131"/>
      <c r="JZQ15" s="131"/>
      <c r="JZR15" s="131"/>
      <c r="JZS15" s="131"/>
      <c r="JZT15" s="131"/>
      <c r="JZU15" s="131"/>
      <c r="JZV15" s="135"/>
      <c r="JZW15" s="135"/>
      <c r="JZX15" s="135"/>
      <c r="JZY15" s="135"/>
      <c r="JZZ15" s="131"/>
      <c r="KAA15" s="131"/>
      <c r="KAB15" s="131"/>
      <c r="KAC15" s="131"/>
      <c r="KAD15" s="131"/>
      <c r="KAE15" s="131"/>
      <c r="KAF15" s="131"/>
      <c r="KAG15" s="131"/>
      <c r="KAH15" s="131"/>
      <c r="KAI15" s="131"/>
      <c r="KAJ15" s="131"/>
      <c r="KAK15" s="131"/>
      <c r="KAL15" s="135"/>
      <c r="KAM15" s="135"/>
      <c r="KAN15" s="135"/>
      <c r="KAO15" s="135"/>
      <c r="KAP15" s="131"/>
      <c r="KAQ15" s="131"/>
      <c r="KAR15" s="131"/>
      <c r="KAS15" s="131"/>
      <c r="KAT15" s="131"/>
      <c r="KAU15" s="131"/>
      <c r="KAV15" s="131"/>
      <c r="KAW15" s="131"/>
      <c r="KAX15" s="131"/>
      <c r="KAY15" s="131"/>
      <c r="KAZ15" s="131"/>
      <c r="KBA15" s="131"/>
      <c r="KBB15" s="135"/>
      <c r="KBC15" s="135"/>
      <c r="KBD15" s="135"/>
      <c r="KBE15" s="135"/>
      <c r="KBF15" s="131"/>
      <c r="KBG15" s="131"/>
      <c r="KBH15" s="131"/>
      <c r="KBI15" s="131"/>
      <c r="KBJ15" s="131"/>
      <c r="KBK15" s="131"/>
      <c r="KBL15" s="131"/>
      <c r="KBM15" s="131"/>
      <c r="KBN15" s="131"/>
      <c r="KBO15" s="131"/>
      <c r="KBP15" s="131"/>
      <c r="KBQ15" s="131"/>
      <c r="KBR15" s="135"/>
      <c r="KBS15" s="135"/>
      <c r="KBT15" s="135"/>
      <c r="KBU15" s="135"/>
      <c r="KBV15" s="131"/>
      <c r="KBW15" s="131"/>
      <c r="KBX15" s="131"/>
      <c r="KBY15" s="131"/>
      <c r="KBZ15" s="131"/>
      <c r="KCA15" s="131"/>
      <c r="KCB15" s="131"/>
      <c r="KCC15" s="131"/>
      <c r="KCD15" s="131"/>
      <c r="KCE15" s="131"/>
      <c r="KCF15" s="131"/>
      <c r="KCG15" s="131"/>
      <c r="KCH15" s="135"/>
      <c r="KCI15" s="135"/>
      <c r="KCJ15" s="135"/>
      <c r="KCK15" s="135"/>
      <c r="KCL15" s="131"/>
      <c r="KCM15" s="131"/>
      <c r="KCN15" s="131"/>
      <c r="KCO15" s="131"/>
      <c r="KCP15" s="131"/>
      <c r="KCQ15" s="131"/>
      <c r="KCR15" s="131"/>
      <c r="KCS15" s="131"/>
      <c r="KCT15" s="131"/>
      <c r="KCU15" s="131"/>
      <c r="KCV15" s="131"/>
      <c r="KCW15" s="131"/>
      <c r="KCX15" s="135"/>
      <c r="KCY15" s="135"/>
      <c r="KCZ15" s="135"/>
      <c r="KDA15" s="135"/>
      <c r="KDB15" s="131"/>
      <c r="KDC15" s="131"/>
      <c r="KDD15" s="131"/>
      <c r="KDE15" s="131"/>
      <c r="KDF15" s="131"/>
      <c r="KDG15" s="131"/>
      <c r="KDH15" s="131"/>
      <c r="KDI15" s="131"/>
      <c r="KDJ15" s="131"/>
      <c r="KDK15" s="131"/>
      <c r="KDL15" s="131"/>
      <c r="KDM15" s="131"/>
      <c r="KDN15" s="135"/>
      <c r="KDO15" s="135"/>
      <c r="KDP15" s="135"/>
      <c r="KDQ15" s="135"/>
      <c r="KDR15" s="131"/>
      <c r="KDS15" s="131"/>
      <c r="KDT15" s="131"/>
      <c r="KDU15" s="131"/>
      <c r="KDV15" s="131"/>
      <c r="KDW15" s="131"/>
      <c r="KDX15" s="131"/>
      <c r="KDY15" s="131"/>
      <c r="KDZ15" s="131"/>
      <c r="KEA15" s="131"/>
      <c r="KEB15" s="131"/>
      <c r="KEC15" s="131"/>
      <c r="KED15" s="135"/>
      <c r="KEE15" s="135"/>
      <c r="KEF15" s="135"/>
      <c r="KEG15" s="135"/>
      <c r="KEH15" s="131"/>
      <c r="KEI15" s="131"/>
      <c r="KEJ15" s="131"/>
      <c r="KEK15" s="131"/>
      <c r="KEL15" s="131"/>
      <c r="KEM15" s="131"/>
      <c r="KEN15" s="131"/>
      <c r="KEO15" s="131"/>
      <c r="KEP15" s="131"/>
      <c r="KEQ15" s="131"/>
      <c r="KER15" s="131"/>
      <c r="KES15" s="131"/>
      <c r="KET15" s="135"/>
      <c r="KEU15" s="135"/>
      <c r="KEV15" s="135"/>
      <c r="KEW15" s="135"/>
      <c r="KEX15" s="131"/>
      <c r="KEY15" s="131"/>
      <c r="KEZ15" s="131"/>
      <c r="KFA15" s="131"/>
      <c r="KFB15" s="131"/>
      <c r="KFC15" s="131"/>
      <c r="KFD15" s="131"/>
      <c r="KFE15" s="131"/>
      <c r="KFF15" s="131"/>
      <c r="KFG15" s="131"/>
      <c r="KFH15" s="131"/>
      <c r="KFI15" s="131"/>
      <c r="KFJ15" s="135"/>
      <c r="KFK15" s="135"/>
      <c r="KFL15" s="135"/>
      <c r="KFM15" s="135"/>
      <c r="KFN15" s="131"/>
      <c r="KFO15" s="131"/>
      <c r="KFP15" s="131"/>
      <c r="KFQ15" s="131"/>
      <c r="KFR15" s="131"/>
      <c r="KFS15" s="131"/>
      <c r="KFT15" s="131"/>
      <c r="KFU15" s="131"/>
      <c r="KFV15" s="131"/>
      <c r="KFW15" s="131"/>
      <c r="KFX15" s="131"/>
      <c r="KFY15" s="131"/>
      <c r="KFZ15" s="135"/>
      <c r="KGA15" s="135"/>
      <c r="KGB15" s="135"/>
      <c r="KGC15" s="135"/>
      <c r="KGD15" s="131"/>
      <c r="KGE15" s="131"/>
      <c r="KGF15" s="131"/>
      <c r="KGG15" s="131"/>
      <c r="KGH15" s="131"/>
      <c r="KGI15" s="131"/>
      <c r="KGJ15" s="131"/>
      <c r="KGK15" s="131"/>
      <c r="KGL15" s="131"/>
      <c r="KGM15" s="131"/>
      <c r="KGN15" s="131"/>
      <c r="KGO15" s="131"/>
      <c r="KGP15" s="135"/>
      <c r="KGQ15" s="135"/>
      <c r="KGR15" s="135"/>
      <c r="KGS15" s="135"/>
      <c r="KGT15" s="131"/>
      <c r="KGU15" s="131"/>
      <c r="KGV15" s="131"/>
      <c r="KGW15" s="131"/>
      <c r="KGX15" s="131"/>
      <c r="KGY15" s="131"/>
      <c r="KGZ15" s="131"/>
      <c r="KHA15" s="131"/>
      <c r="KHB15" s="131"/>
      <c r="KHC15" s="131"/>
      <c r="KHD15" s="131"/>
      <c r="KHE15" s="131"/>
      <c r="KHF15" s="135"/>
      <c r="KHG15" s="135"/>
      <c r="KHH15" s="135"/>
      <c r="KHI15" s="135"/>
      <c r="KHJ15" s="131"/>
      <c r="KHK15" s="131"/>
      <c r="KHL15" s="131"/>
      <c r="KHM15" s="131"/>
      <c r="KHN15" s="131"/>
      <c r="KHO15" s="131"/>
      <c r="KHP15" s="131"/>
      <c r="KHQ15" s="131"/>
      <c r="KHR15" s="131"/>
      <c r="KHS15" s="131"/>
      <c r="KHT15" s="131"/>
      <c r="KHU15" s="131"/>
      <c r="KHV15" s="135"/>
      <c r="KHW15" s="135"/>
      <c r="KHX15" s="135"/>
      <c r="KHY15" s="135"/>
      <c r="KHZ15" s="131"/>
      <c r="KIA15" s="131"/>
      <c r="KIB15" s="131"/>
      <c r="KIC15" s="131"/>
      <c r="KID15" s="131"/>
      <c r="KIE15" s="131"/>
      <c r="KIF15" s="131"/>
      <c r="KIG15" s="131"/>
      <c r="KIH15" s="131"/>
      <c r="KII15" s="131"/>
      <c r="KIJ15" s="131"/>
      <c r="KIK15" s="131"/>
      <c r="KIL15" s="135"/>
      <c r="KIM15" s="135"/>
      <c r="KIN15" s="135"/>
      <c r="KIO15" s="135"/>
      <c r="KIP15" s="131"/>
      <c r="KIQ15" s="131"/>
      <c r="KIR15" s="131"/>
      <c r="KIS15" s="131"/>
      <c r="KIT15" s="131"/>
      <c r="KIU15" s="131"/>
      <c r="KIV15" s="131"/>
      <c r="KIW15" s="131"/>
      <c r="KIX15" s="131"/>
      <c r="KIY15" s="131"/>
      <c r="KIZ15" s="131"/>
      <c r="KJA15" s="131"/>
      <c r="KJB15" s="135"/>
      <c r="KJC15" s="135"/>
      <c r="KJD15" s="135"/>
      <c r="KJE15" s="135"/>
      <c r="KJF15" s="131"/>
      <c r="KJG15" s="131"/>
      <c r="KJH15" s="131"/>
      <c r="KJI15" s="131"/>
      <c r="KJJ15" s="131"/>
      <c r="KJK15" s="131"/>
      <c r="KJL15" s="131"/>
      <c r="KJM15" s="131"/>
      <c r="KJN15" s="131"/>
      <c r="KJO15" s="131"/>
      <c r="KJP15" s="131"/>
      <c r="KJQ15" s="131"/>
      <c r="KJR15" s="135"/>
      <c r="KJS15" s="135"/>
      <c r="KJT15" s="135"/>
      <c r="KJU15" s="135"/>
      <c r="KJV15" s="131"/>
      <c r="KJW15" s="131"/>
      <c r="KJX15" s="131"/>
      <c r="KJY15" s="131"/>
      <c r="KJZ15" s="131"/>
      <c r="KKA15" s="131"/>
      <c r="KKB15" s="131"/>
      <c r="KKC15" s="131"/>
      <c r="KKD15" s="131"/>
      <c r="KKE15" s="131"/>
      <c r="KKF15" s="131"/>
      <c r="KKG15" s="131"/>
      <c r="KKH15" s="135"/>
      <c r="KKI15" s="135"/>
      <c r="KKJ15" s="135"/>
      <c r="KKK15" s="135"/>
      <c r="KKL15" s="131"/>
      <c r="KKM15" s="131"/>
      <c r="KKN15" s="131"/>
      <c r="KKO15" s="131"/>
      <c r="KKP15" s="131"/>
      <c r="KKQ15" s="131"/>
      <c r="KKR15" s="131"/>
      <c r="KKS15" s="131"/>
      <c r="KKT15" s="131"/>
      <c r="KKU15" s="131"/>
      <c r="KKV15" s="131"/>
      <c r="KKW15" s="131"/>
      <c r="KKX15" s="135"/>
      <c r="KKY15" s="135"/>
      <c r="KKZ15" s="135"/>
      <c r="KLA15" s="135"/>
      <c r="KLB15" s="131"/>
      <c r="KLC15" s="131"/>
      <c r="KLD15" s="131"/>
      <c r="KLE15" s="131"/>
      <c r="KLF15" s="131"/>
      <c r="KLG15" s="131"/>
      <c r="KLH15" s="131"/>
      <c r="KLI15" s="131"/>
      <c r="KLJ15" s="131"/>
      <c r="KLK15" s="131"/>
      <c r="KLL15" s="131"/>
      <c r="KLM15" s="131"/>
      <c r="KLN15" s="135"/>
      <c r="KLO15" s="135"/>
      <c r="KLP15" s="135"/>
      <c r="KLQ15" s="135"/>
      <c r="KLR15" s="131"/>
      <c r="KLS15" s="131"/>
      <c r="KLT15" s="131"/>
      <c r="KLU15" s="131"/>
      <c r="KLV15" s="131"/>
      <c r="KLW15" s="131"/>
      <c r="KLX15" s="131"/>
      <c r="KLY15" s="131"/>
      <c r="KLZ15" s="131"/>
      <c r="KMA15" s="131"/>
      <c r="KMB15" s="131"/>
      <c r="KMC15" s="131"/>
      <c r="KMD15" s="135"/>
      <c r="KME15" s="135"/>
      <c r="KMF15" s="135"/>
      <c r="KMG15" s="135"/>
      <c r="KMH15" s="131"/>
      <c r="KMI15" s="131"/>
      <c r="KMJ15" s="131"/>
      <c r="KMK15" s="131"/>
      <c r="KML15" s="131"/>
      <c r="KMM15" s="131"/>
      <c r="KMN15" s="131"/>
      <c r="KMO15" s="131"/>
      <c r="KMP15" s="131"/>
      <c r="KMQ15" s="131"/>
      <c r="KMR15" s="131"/>
      <c r="KMS15" s="131"/>
      <c r="KMT15" s="135"/>
      <c r="KMU15" s="135"/>
      <c r="KMV15" s="135"/>
      <c r="KMW15" s="135"/>
      <c r="KMX15" s="131"/>
      <c r="KMY15" s="131"/>
      <c r="KMZ15" s="131"/>
      <c r="KNA15" s="131"/>
      <c r="KNB15" s="131"/>
      <c r="KNC15" s="131"/>
      <c r="KND15" s="131"/>
      <c r="KNE15" s="131"/>
      <c r="KNF15" s="131"/>
      <c r="KNG15" s="131"/>
      <c r="KNH15" s="131"/>
      <c r="KNI15" s="131"/>
      <c r="KNJ15" s="135"/>
      <c r="KNK15" s="135"/>
      <c r="KNL15" s="135"/>
      <c r="KNM15" s="135"/>
      <c r="KNN15" s="131"/>
      <c r="KNO15" s="131"/>
      <c r="KNP15" s="131"/>
      <c r="KNQ15" s="131"/>
      <c r="KNR15" s="131"/>
      <c r="KNS15" s="131"/>
      <c r="KNT15" s="131"/>
      <c r="KNU15" s="131"/>
      <c r="KNV15" s="131"/>
      <c r="KNW15" s="131"/>
      <c r="KNX15" s="131"/>
      <c r="KNY15" s="131"/>
      <c r="KNZ15" s="135"/>
      <c r="KOA15" s="135"/>
      <c r="KOB15" s="135"/>
      <c r="KOC15" s="135"/>
      <c r="KOD15" s="131"/>
      <c r="KOE15" s="131"/>
      <c r="KOF15" s="131"/>
      <c r="KOG15" s="131"/>
      <c r="KOH15" s="131"/>
      <c r="KOI15" s="131"/>
      <c r="KOJ15" s="131"/>
      <c r="KOK15" s="131"/>
      <c r="KOL15" s="131"/>
      <c r="KOM15" s="131"/>
      <c r="KON15" s="131"/>
      <c r="KOO15" s="131"/>
      <c r="KOP15" s="135"/>
      <c r="KOQ15" s="135"/>
      <c r="KOR15" s="135"/>
      <c r="KOS15" s="135"/>
      <c r="KOT15" s="131"/>
      <c r="KOU15" s="131"/>
      <c r="KOV15" s="131"/>
      <c r="KOW15" s="131"/>
      <c r="KOX15" s="131"/>
      <c r="KOY15" s="131"/>
      <c r="KOZ15" s="131"/>
      <c r="KPA15" s="131"/>
      <c r="KPB15" s="131"/>
      <c r="KPC15" s="131"/>
      <c r="KPD15" s="131"/>
      <c r="KPE15" s="131"/>
      <c r="KPF15" s="135"/>
      <c r="KPG15" s="135"/>
      <c r="KPH15" s="135"/>
      <c r="KPI15" s="135"/>
      <c r="KPJ15" s="131"/>
      <c r="KPK15" s="131"/>
      <c r="KPL15" s="131"/>
      <c r="KPM15" s="131"/>
      <c r="KPN15" s="131"/>
      <c r="KPO15" s="131"/>
      <c r="KPP15" s="131"/>
      <c r="KPQ15" s="131"/>
      <c r="KPR15" s="131"/>
      <c r="KPS15" s="131"/>
      <c r="KPT15" s="131"/>
      <c r="KPU15" s="131"/>
      <c r="KPV15" s="135"/>
      <c r="KPW15" s="135"/>
      <c r="KPX15" s="135"/>
      <c r="KPY15" s="135"/>
      <c r="KPZ15" s="131"/>
      <c r="KQA15" s="131"/>
      <c r="KQB15" s="131"/>
      <c r="KQC15" s="131"/>
      <c r="KQD15" s="131"/>
      <c r="KQE15" s="131"/>
      <c r="KQF15" s="131"/>
      <c r="KQG15" s="131"/>
      <c r="KQH15" s="131"/>
      <c r="KQI15" s="131"/>
      <c r="KQJ15" s="131"/>
      <c r="KQK15" s="131"/>
      <c r="KQL15" s="135"/>
      <c r="KQM15" s="135"/>
      <c r="KQN15" s="135"/>
      <c r="KQO15" s="135"/>
      <c r="KQP15" s="131"/>
      <c r="KQQ15" s="131"/>
      <c r="KQR15" s="131"/>
      <c r="KQS15" s="131"/>
      <c r="KQT15" s="131"/>
      <c r="KQU15" s="131"/>
      <c r="KQV15" s="131"/>
      <c r="KQW15" s="131"/>
      <c r="KQX15" s="131"/>
      <c r="KQY15" s="131"/>
      <c r="KQZ15" s="131"/>
      <c r="KRA15" s="131"/>
      <c r="KRB15" s="135"/>
      <c r="KRC15" s="135"/>
      <c r="KRD15" s="135"/>
      <c r="KRE15" s="135"/>
      <c r="KRF15" s="131"/>
      <c r="KRG15" s="131"/>
      <c r="KRH15" s="131"/>
      <c r="KRI15" s="131"/>
      <c r="KRJ15" s="131"/>
      <c r="KRK15" s="131"/>
      <c r="KRL15" s="131"/>
      <c r="KRM15" s="131"/>
      <c r="KRN15" s="131"/>
      <c r="KRO15" s="131"/>
      <c r="KRP15" s="131"/>
      <c r="KRQ15" s="131"/>
      <c r="KRR15" s="135"/>
      <c r="KRS15" s="135"/>
      <c r="KRT15" s="135"/>
      <c r="KRU15" s="135"/>
      <c r="KRV15" s="131"/>
      <c r="KRW15" s="131"/>
      <c r="KRX15" s="131"/>
      <c r="KRY15" s="131"/>
      <c r="KRZ15" s="131"/>
      <c r="KSA15" s="131"/>
      <c r="KSB15" s="131"/>
      <c r="KSC15" s="131"/>
      <c r="KSD15" s="131"/>
      <c r="KSE15" s="131"/>
      <c r="KSF15" s="131"/>
      <c r="KSG15" s="131"/>
      <c r="KSH15" s="135"/>
      <c r="KSI15" s="135"/>
      <c r="KSJ15" s="135"/>
      <c r="KSK15" s="135"/>
      <c r="KSL15" s="131"/>
      <c r="KSM15" s="131"/>
      <c r="KSN15" s="131"/>
      <c r="KSO15" s="131"/>
      <c r="KSP15" s="131"/>
      <c r="KSQ15" s="131"/>
      <c r="KSR15" s="131"/>
      <c r="KSS15" s="131"/>
      <c r="KST15" s="131"/>
      <c r="KSU15" s="131"/>
      <c r="KSV15" s="131"/>
      <c r="KSW15" s="131"/>
      <c r="KSX15" s="135"/>
      <c r="KSY15" s="135"/>
      <c r="KSZ15" s="135"/>
      <c r="KTA15" s="135"/>
      <c r="KTB15" s="131"/>
      <c r="KTC15" s="131"/>
      <c r="KTD15" s="131"/>
      <c r="KTE15" s="131"/>
      <c r="KTF15" s="131"/>
      <c r="KTG15" s="131"/>
      <c r="KTH15" s="131"/>
      <c r="KTI15" s="131"/>
      <c r="KTJ15" s="131"/>
      <c r="KTK15" s="131"/>
      <c r="KTL15" s="131"/>
      <c r="KTM15" s="131"/>
      <c r="KTN15" s="135"/>
      <c r="KTO15" s="135"/>
      <c r="KTP15" s="135"/>
      <c r="KTQ15" s="135"/>
      <c r="KTR15" s="131"/>
      <c r="KTS15" s="131"/>
      <c r="KTT15" s="131"/>
      <c r="KTU15" s="131"/>
      <c r="KTV15" s="131"/>
      <c r="KTW15" s="131"/>
      <c r="KTX15" s="131"/>
      <c r="KTY15" s="131"/>
      <c r="KTZ15" s="131"/>
      <c r="KUA15" s="131"/>
      <c r="KUB15" s="131"/>
      <c r="KUC15" s="131"/>
      <c r="KUD15" s="135"/>
      <c r="KUE15" s="135"/>
      <c r="KUF15" s="135"/>
      <c r="KUG15" s="135"/>
      <c r="KUH15" s="131"/>
      <c r="KUI15" s="131"/>
      <c r="KUJ15" s="131"/>
      <c r="KUK15" s="131"/>
      <c r="KUL15" s="131"/>
      <c r="KUM15" s="131"/>
      <c r="KUN15" s="131"/>
      <c r="KUO15" s="131"/>
      <c r="KUP15" s="131"/>
      <c r="KUQ15" s="131"/>
      <c r="KUR15" s="131"/>
      <c r="KUS15" s="131"/>
      <c r="KUT15" s="135"/>
      <c r="KUU15" s="135"/>
      <c r="KUV15" s="135"/>
      <c r="KUW15" s="135"/>
      <c r="KUX15" s="131"/>
      <c r="KUY15" s="131"/>
      <c r="KUZ15" s="131"/>
      <c r="KVA15" s="131"/>
      <c r="KVB15" s="131"/>
      <c r="KVC15" s="131"/>
      <c r="KVD15" s="131"/>
      <c r="KVE15" s="131"/>
      <c r="KVF15" s="131"/>
      <c r="KVG15" s="131"/>
      <c r="KVH15" s="131"/>
      <c r="KVI15" s="131"/>
      <c r="KVJ15" s="135"/>
      <c r="KVK15" s="135"/>
      <c r="KVL15" s="135"/>
      <c r="KVM15" s="135"/>
      <c r="KVN15" s="131"/>
      <c r="KVO15" s="131"/>
      <c r="KVP15" s="131"/>
      <c r="KVQ15" s="131"/>
      <c r="KVR15" s="131"/>
      <c r="KVS15" s="131"/>
      <c r="KVT15" s="131"/>
      <c r="KVU15" s="131"/>
      <c r="KVV15" s="131"/>
      <c r="KVW15" s="131"/>
      <c r="KVX15" s="131"/>
      <c r="KVY15" s="131"/>
      <c r="KVZ15" s="135"/>
      <c r="KWA15" s="135"/>
      <c r="KWB15" s="135"/>
      <c r="KWC15" s="135"/>
      <c r="KWD15" s="131"/>
      <c r="KWE15" s="131"/>
      <c r="KWF15" s="131"/>
      <c r="KWG15" s="131"/>
      <c r="KWH15" s="131"/>
      <c r="KWI15" s="131"/>
      <c r="KWJ15" s="131"/>
      <c r="KWK15" s="131"/>
      <c r="KWL15" s="131"/>
      <c r="KWM15" s="131"/>
      <c r="KWN15" s="131"/>
      <c r="KWO15" s="131"/>
      <c r="KWP15" s="135"/>
      <c r="KWQ15" s="135"/>
      <c r="KWR15" s="135"/>
      <c r="KWS15" s="135"/>
      <c r="KWT15" s="131"/>
      <c r="KWU15" s="131"/>
      <c r="KWV15" s="131"/>
      <c r="KWW15" s="131"/>
      <c r="KWX15" s="131"/>
      <c r="KWY15" s="131"/>
      <c r="KWZ15" s="131"/>
      <c r="KXA15" s="131"/>
      <c r="KXB15" s="131"/>
      <c r="KXC15" s="131"/>
      <c r="KXD15" s="131"/>
      <c r="KXE15" s="131"/>
      <c r="KXF15" s="135"/>
      <c r="KXG15" s="135"/>
      <c r="KXH15" s="135"/>
      <c r="KXI15" s="135"/>
      <c r="KXJ15" s="131"/>
      <c r="KXK15" s="131"/>
      <c r="KXL15" s="131"/>
      <c r="KXM15" s="131"/>
      <c r="KXN15" s="131"/>
      <c r="KXO15" s="131"/>
      <c r="KXP15" s="131"/>
      <c r="KXQ15" s="131"/>
      <c r="KXR15" s="131"/>
      <c r="KXS15" s="131"/>
      <c r="KXT15" s="131"/>
      <c r="KXU15" s="131"/>
      <c r="KXV15" s="135"/>
      <c r="KXW15" s="135"/>
      <c r="KXX15" s="135"/>
      <c r="KXY15" s="135"/>
      <c r="KXZ15" s="131"/>
      <c r="KYA15" s="131"/>
      <c r="KYB15" s="131"/>
      <c r="KYC15" s="131"/>
      <c r="KYD15" s="131"/>
      <c r="KYE15" s="131"/>
      <c r="KYF15" s="131"/>
      <c r="KYG15" s="131"/>
      <c r="KYH15" s="131"/>
      <c r="KYI15" s="131"/>
      <c r="KYJ15" s="131"/>
      <c r="KYK15" s="131"/>
      <c r="KYL15" s="135"/>
      <c r="KYM15" s="135"/>
      <c r="KYN15" s="135"/>
      <c r="KYO15" s="135"/>
      <c r="KYP15" s="131"/>
      <c r="KYQ15" s="131"/>
      <c r="KYR15" s="131"/>
      <c r="KYS15" s="131"/>
      <c r="KYT15" s="131"/>
      <c r="KYU15" s="131"/>
      <c r="KYV15" s="131"/>
      <c r="KYW15" s="131"/>
      <c r="KYX15" s="131"/>
      <c r="KYY15" s="131"/>
      <c r="KYZ15" s="131"/>
      <c r="KZA15" s="131"/>
      <c r="KZB15" s="135"/>
      <c r="KZC15" s="135"/>
      <c r="KZD15" s="135"/>
      <c r="KZE15" s="135"/>
      <c r="KZF15" s="131"/>
      <c r="KZG15" s="131"/>
      <c r="KZH15" s="131"/>
      <c r="KZI15" s="131"/>
      <c r="KZJ15" s="131"/>
      <c r="KZK15" s="131"/>
      <c r="KZL15" s="131"/>
      <c r="KZM15" s="131"/>
      <c r="KZN15" s="131"/>
      <c r="KZO15" s="131"/>
      <c r="KZP15" s="131"/>
      <c r="KZQ15" s="131"/>
      <c r="KZR15" s="135"/>
      <c r="KZS15" s="135"/>
      <c r="KZT15" s="135"/>
      <c r="KZU15" s="135"/>
      <c r="KZV15" s="131"/>
      <c r="KZW15" s="131"/>
      <c r="KZX15" s="131"/>
      <c r="KZY15" s="131"/>
      <c r="KZZ15" s="131"/>
      <c r="LAA15" s="131"/>
      <c r="LAB15" s="131"/>
      <c r="LAC15" s="131"/>
      <c r="LAD15" s="131"/>
      <c r="LAE15" s="131"/>
      <c r="LAF15" s="131"/>
      <c r="LAG15" s="131"/>
      <c r="LAH15" s="135"/>
      <c r="LAI15" s="135"/>
      <c r="LAJ15" s="135"/>
      <c r="LAK15" s="135"/>
      <c r="LAL15" s="131"/>
      <c r="LAM15" s="131"/>
      <c r="LAN15" s="131"/>
      <c r="LAO15" s="131"/>
      <c r="LAP15" s="131"/>
      <c r="LAQ15" s="131"/>
      <c r="LAR15" s="131"/>
      <c r="LAS15" s="131"/>
      <c r="LAT15" s="131"/>
      <c r="LAU15" s="131"/>
      <c r="LAV15" s="131"/>
      <c r="LAW15" s="131"/>
      <c r="LAX15" s="135"/>
      <c r="LAY15" s="135"/>
      <c r="LAZ15" s="135"/>
      <c r="LBA15" s="135"/>
      <c r="LBB15" s="131"/>
      <c r="LBC15" s="131"/>
      <c r="LBD15" s="131"/>
      <c r="LBE15" s="131"/>
      <c r="LBF15" s="131"/>
      <c r="LBG15" s="131"/>
      <c r="LBH15" s="131"/>
      <c r="LBI15" s="131"/>
      <c r="LBJ15" s="131"/>
      <c r="LBK15" s="131"/>
      <c r="LBL15" s="131"/>
      <c r="LBM15" s="131"/>
      <c r="LBN15" s="135"/>
      <c r="LBO15" s="135"/>
      <c r="LBP15" s="135"/>
      <c r="LBQ15" s="135"/>
      <c r="LCD15" s="135"/>
      <c r="LCE15" s="135"/>
      <c r="LCF15" s="135"/>
      <c r="LCG15" s="135"/>
      <c r="LCH15" s="131"/>
      <c r="LCI15" s="131"/>
      <c r="LCJ15" s="131"/>
      <c r="LCK15" s="131"/>
      <c r="LCL15" s="131"/>
      <c r="LCM15" s="131"/>
      <c r="LCN15" s="131"/>
      <c r="LCO15" s="131"/>
      <c r="LCP15" s="131"/>
      <c r="LCQ15" s="131"/>
      <c r="LCR15" s="131"/>
      <c r="LCS15" s="131"/>
      <c r="LCT15" s="135"/>
      <c r="LCU15" s="135"/>
      <c r="LCV15" s="135"/>
      <c r="LCW15" s="135"/>
      <c r="LCX15" s="131"/>
      <c r="LCY15" s="131"/>
      <c r="LCZ15" s="131"/>
      <c r="LDA15" s="131"/>
      <c r="LDB15" s="131"/>
      <c r="LDC15" s="131"/>
      <c r="LDD15" s="131"/>
      <c r="LDE15" s="131"/>
      <c r="LDF15" s="131"/>
      <c r="LDG15" s="131"/>
      <c r="LDH15" s="131"/>
      <c r="LDI15" s="131"/>
      <c r="LDJ15" s="135"/>
      <c r="LDK15" s="135"/>
      <c r="LDL15" s="135"/>
      <c r="LDM15" s="135"/>
      <c r="LDN15" s="131"/>
      <c r="LDO15" s="131"/>
      <c r="LDP15" s="131"/>
      <c r="LDQ15" s="131"/>
      <c r="LDR15" s="131"/>
      <c r="LDS15" s="131"/>
      <c r="LDT15" s="131"/>
      <c r="LDU15" s="131"/>
      <c r="LDV15" s="131"/>
      <c r="LDW15" s="131"/>
      <c r="LDX15" s="131"/>
      <c r="LDY15" s="131"/>
      <c r="LDZ15" s="135"/>
      <c r="LEA15" s="135"/>
      <c r="LEB15" s="135"/>
      <c r="LEC15" s="135"/>
      <c r="LED15" s="131"/>
      <c r="LEE15" s="131"/>
      <c r="LEF15" s="131"/>
      <c r="LEG15" s="131"/>
      <c r="LEH15" s="131"/>
      <c r="LEI15" s="131"/>
      <c r="LEJ15" s="131"/>
      <c r="LEK15" s="131"/>
      <c r="LEL15" s="131"/>
      <c r="LEM15" s="131"/>
      <c r="LEN15" s="131"/>
      <c r="LEO15" s="131"/>
      <c r="LEP15" s="135"/>
      <c r="LEQ15" s="135"/>
      <c r="LER15" s="135"/>
      <c r="LES15" s="135"/>
      <c r="LET15" s="131"/>
      <c r="LEU15" s="131"/>
      <c r="LEV15" s="131"/>
      <c r="LEW15" s="131"/>
      <c r="LEX15" s="131"/>
      <c r="LEY15" s="131"/>
      <c r="LEZ15" s="131"/>
      <c r="LFA15" s="131"/>
      <c r="LFB15" s="131"/>
      <c r="LFC15" s="131"/>
      <c r="LFD15" s="131"/>
      <c r="LFE15" s="131"/>
      <c r="LFF15" s="135"/>
      <c r="LFG15" s="135"/>
      <c r="LFH15" s="135"/>
      <c r="LFI15" s="135"/>
      <c r="LFJ15" s="131"/>
      <c r="LFK15" s="131"/>
      <c r="LFL15" s="131"/>
      <c r="LFM15" s="131"/>
      <c r="LFN15" s="131"/>
      <c r="LFO15" s="131"/>
      <c r="LFP15" s="131"/>
      <c r="LFQ15" s="131"/>
      <c r="LFR15" s="131"/>
      <c r="LFS15" s="131"/>
      <c r="LFT15" s="131"/>
      <c r="LFU15" s="131"/>
      <c r="LFV15" s="135"/>
      <c r="LFW15" s="135"/>
      <c r="LFX15" s="135"/>
      <c r="LFY15" s="135"/>
      <c r="LFZ15" s="131"/>
      <c r="LGA15" s="131"/>
      <c r="LGB15" s="131"/>
      <c r="LGC15" s="131"/>
      <c r="LGD15" s="131"/>
      <c r="LGE15" s="131"/>
      <c r="LGF15" s="131"/>
      <c r="LGG15" s="131"/>
      <c r="LGH15" s="131"/>
      <c r="LGI15" s="131"/>
      <c r="LGJ15" s="131"/>
      <c r="LGK15" s="131"/>
      <c r="LGL15" s="135"/>
      <c r="LGM15" s="135"/>
      <c r="LGN15" s="135"/>
      <c r="LGO15" s="135"/>
      <c r="LGP15" s="131"/>
      <c r="LGQ15" s="131"/>
      <c r="LGR15" s="131"/>
      <c r="LGS15" s="131"/>
      <c r="LGT15" s="131"/>
      <c r="LGU15" s="131"/>
      <c r="LGV15" s="131"/>
      <c r="LGW15" s="131"/>
      <c r="LGX15" s="131"/>
      <c r="LGY15" s="131"/>
      <c r="LGZ15" s="131"/>
      <c r="LHA15" s="131"/>
      <c r="LHB15" s="135"/>
      <c r="LHC15" s="135"/>
      <c r="LHD15" s="135"/>
      <c r="LHE15" s="135"/>
      <c r="LHF15" s="131"/>
      <c r="LHG15" s="131"/>
      <c r="LHH15" s="131"/>
      <c r="LHI15" s="131"/>
      <c r="LHJ15" s="131"/>
      <c r="LHK15" s="131"/>
      <c r="LHL15" s="131"/>
      <c r="LHM15" s="131"/>
      <c r="LHN15" s="131"/>
      <c r="LHO15" s="131"/>
      <c r="LHP15" s="131"/>
      <c r="LHQ15" s="131"/>
      <c r="LHR15" s="135"/>
      <c r="LHS15" s="135"/>
      <c r="LHT15" s="135"/>
      <c r="LHU15" s="135"/>
      <c r="LHV15" s="131"/>
      <c r="LHW15" s="131"/>
      <c r="LHX15" s="131"/>
      <c r="LHY15" s="131"/>
      <c r="LHZ15" s="131"/>
      <c r="LIA15" s="131"/>
      <c r="LIB15" s="131"/>
      <c r="LIC15" s="131"/>
      <c r="LID15" s="131"/>
      <c r="LIE15" s="131"/>
      <c r="LIF15" s="131"/>
      <c r="LIG15" s="131"/>
      <c r="LIH15" s="135"/>
      <c r="LII15" s="135"/>
      <c r="LIJ15" s="135"/>
      <c r="LIK15" s="135"/>
      <c r="LIL15" s="131"/>
      <c r="LIM15" s="131"/>
      <c r="LIN15" s="131"/>
      <c r="LIO15" s="131"/>
      <c r="LIP15" s="131"/>
      <c r="LIQ15" s="131"/>
      <c r="LIR15" s="131"/>
      <c r="LIS15" s="131"/>
      <c r="LIT15" s="131"/>
      <c r="LIU15" s="131"/>
      <c r="LIV15" s="131"/>
      <c r="LIW15" s="131"/>
      <c r="LIX15" s="135"/>
      <c r="LIY15" s="135"/>
      <c r="LIZ15" s="135"/>
      <c r="LJA15" s="135"/>
      <c r="LJB15" s="131"/>
      <c r="LJC15" s="131"/>
      <c r="LJD15" s="131"/>
      <c r="LJE15" s="131"/>
      <c r="LJF15" s="131"/>
      <c r="LJG15" s="131"/>
      <c r="LJH15" s="131"/>
      <c r="LJI15" s="131"/>
      <c r="LJJ15" s="131"/>
      <c r="LJK15" s="131"/>
      <c r="LJL15" s="131"/>
      <c r="LJM15" s="131"/>
      <c r="LJN15" s="135"/>
      <c r="LJO15" s="135"/>
      <c r="LJP15" s="135"/>
      <c r="LJQ15" s="135"/>
      <c r="LJR15" s="131"/>
      <c r="LJS15" s="131"/>
      <c r="LJT15" s="131"/>
      <c r="LJU15" s="131"/>
      <c r="LJV15" s="131"/>
      <c r="LJW15" s="131"/>
      <c r="LJX15" s="131"/>
      <c r="LJY15" s="131"/>
      <c r="LJZ15" s="131"/>
      <c r="LKA15" s="131"/>
      <c r="LKB15" s="131"/>
      <c r="LKC15" s="131"/>
      <c r="LKD15" s="135"/>
      <c r="LKE15" s="135"/>
      <c r="LKF15" s="135"/>
      <c r="LKG15" s="135"/>
      <c r="LKH15" s="131"/>
      <c r="LKI15" s="131"/>
      <c r="LKJ15" s="131"/>
      <c r="LKK15" s="131"/>
      <c r="LKL15" s="131"/>
      <c r="LKM15" s="131"/>
      <c r="LKN15" s="131"/>
      <c r="LKO15" s="131"/>
      <c r="LKP15" s="131"/>
      <c r="LKQ15" s="131"/>
      <c r="LKR15" s="131"/>
      <c r="LKS15" s="131"/>
      <c r="LKT15" s="135"/>
      <c r="LKU15" s="135"/>
      <c r="LKV15" s="135"/>
      <c r="LKW15" s="135"/>
      <c r="LKX15" s="131"/>
      <c r="LKY15" s="131"/>
      <c r="LKZ15" s="131"/>
      <c r="LLA15" s="131"/>
      <c r="LLB15" s="131"/>
      <c r="LLC15" s="131"/>
      <c r="LLD15" s="131"/>
      <c r="LLE15" s="131"/>
      <c r="LLF15" s="131"/>
      <c r="LLG15" s="131"/>
      <c r="LLH15" s="131"/>
      <c r="LLI15" s="131"/>
      <c r="LLJ15" s="135"/>
      <c r="LLK15" s="135"/>
      <c r="LLL15" s="135"/>
      <c r="LLM15" s="135"/>
      <c r="LLN15" s="131"/>
      <c r="LLO15" s="131"/>
      <c r="LLP15" s="131"/>
      <c r="LLQ15" s="131"/>
      <c r="LLR15" s="131"/>
      <c r="LLS15" s="131"/>
      <c r="LLT15" s="131"/>
      <c r="LLU15" s="131"/>
      <c r="LLV15" s="131"/>
      <c r="LLW15" s="131"/>
      <c r="LLX15" s="131"/>
      <c r="LLY15" s="131"/>
      <c r="LLZ15" s="135"/>
      <c r="LMA15" s="135"/>
      <c r="LMB15" s="135"/>
      <c r="LMC15" s="135"/>
      <c r="LMD15" s="131"/>
      <c r="LME15" s="131"/>
      <c r="LMF15" s="131"/>
      <c r="LMG15" s="131"/>
      <c r="LMH15" s="131"/>
      <c r="LMI15" s="131"/>
      <c r="LMJ15" s="131"/>
      <c r="LMK15" s="131"/>
      <c r="LML15" s="131"/>
      <c r="LMM15" s="131"/>
      <c r="LMN15" s="131"/>
      <c r="LMO15" s="131"/>
      <c r="LMP15" s="135"/>
      <c r="LMQ15" s="135"/>
      <c r="LMR15" s="135"/>
      <c r="LMS15" s="135"/>
      <c r="LMT15" s="131"/>
      <c r="LMU15" s="131"/>
      <c r="LMV15" s="131"/>
      <c r="LMW15" s="131"/>
      <c r="LMX15" s="131"/>
      <c r="LMY15" s="131"/>
      <c r="LMZ15" s="131"/>
      <c r="LNA15" s="131"/>
      <c r="LNB15" s="131"/>
      <c r="LNC15" s="131"/>
      <c r="LND15" s="131"/>
      <c r="LNE15" s="131"/>
      <c r="LNF15" s="135"/>
      <c r="LNG15" s="135"/>
      <c r="LNH15" s="135"/>
      <c r="LNI15" s="135"/>
      <c r="LNJ15" s="131"/>
      <c r="LNK15" s="131"/>
      <c r="LNL15" s="131"/>
      <c r="LNM15" s="131"/>
      <c r="LNN15" s="131"/>
      <c r="LNO15" s="131"/>
      <c r="LNP15" s="131"/>
      <c r="LNQ15" s="131"/>
      <c r="LNR15" s="131"/>
      <c r="LNS15" s="131"/>
      <c r="LNT15" s="131"/>
      <c r="LNU15" s="131"/>
      <c r="LNV15" s="135"/>
      <c r="LNW15" s="135"/>
      <c r="LNX15" s="135"/>
      <c r="LNY15" s="135"/>
      <c r="LNZ15" s="131"/>
      <c r="LOA15" s="131"/>
      <c r="LOB15" s="131"/>
      <c r="LOC15" s="131"/>
      <c r="LOD15" s="131"/>
      <c r="LOE15" s="131"/>
      <c r="LOF15" s="131"/>
      <c r="LOG15" s="131"/>
      <c r="LOH15" s="131"/>
      <c r="LOI15" s="131"/>
      <c r="LOJ15" s="131"/>
      <c r="LOK15" s="131"/>
      <c r="LOL15" s="135"/>
      <c r="LOM15" s="135"/>
      <c r="LON15" s="135"/>
      <c r="LOO15" s="135"/>
      <c r="LOP15" s="131"/>
      <c r="LOQ15" s="131"/>
      <c r="LOR15" s="131"/>
      <c r="LOS15" s="131"/>
      <c r="LOT15" s="131"/>
      <c r="LOU15" s="131"/>
      <c r="LOV15" s="131"/>
      <c r="LOW15" s="131"/>
      <c r="LOX15" s="131"/>
      <c r="LOY15" s="131"/>
      <c r="LOZ15" s="131"/>
      <c r="LPA15" s="131"/>
      <c r="LPB15" s="135"/>
      <c r="LPC15" s="135"/>
      <c r="LPD15" s="135"/>
      <c r="LPE15" s="135"/>
      <c r="LPF15" s="131"/>
      <c r="LPG15" s="131"/>
      <c r="LPH15" s="131"/>
      <c r="LPI15" s="131"/>
      <c r="LPJ15" s="131"/>
      <c r="LPK15" s="131"/>
      <c r="LPL15" s="131"/>
      <c r="LPM15" s="131"/>
      <c r="LPN15" s="131"/>
      <c r="LPO15" s="131"/>
      <c r="LPP15" s="131"/>
      <c r="LPQ15" s="131"/>
      <c r="LPR15" s="135"/>
      <c r="LPS15" s="135"/>
      <c r="LPT15" s="135"/>
      <c r="LPU15" s="135"/>
      <c r="LPV15" s="131"/>
      <c r="LPW15" s="131"/>
      <c r="LPX15" s="131"/>
      <c r="LPY15" s="131"/>
      <c r="LPZ15" s="131"/>
      <c r="LQA15" s="131"/>
      <c r="LQB15" s="131"/>
      <c r="LQC15" s="131"/>
      <c r="LQD15" s="131"/>
      <c r="LQE15" s="131"/>
      <c r="LQF15" s="131"/>
      <c r="LQG15" s="131"/>
      <c r="LQH15" s="135"/>
      <c r="LQI15" s="135"/>
      <c r="LQJ15" s="135"/>
      <c r="LQK15" s="135"/>
      <c r="LQL15" s="131"/>
      <c r="LQM15" s="131"/>
      <c r="LQN15" s="131"/>
      <c r="LQO15" s="131"/>
      <c r="LQP15" s="131"/>
      <c r="LQQ15" s="131"/>
      <c r="LQR15" s="131"/>
      <c r="LQS15" s="131"/>
      <c r="LQT15" s="131"/>
      <c r="LQU15" s="131"/>
      <c r="LQV15" s="131"/>
      <c r="LQW15" s="131"/>
      <c r="LQX15" s="135"/>
      <c r="LQY15" s="135"/>
      <c r="LQZ15" s="135"/>
      <c r="LRA15" s="135"/>
      <c r="LRB15" s="131"/>
      <c r="LRC15" s="131"/>
      <c r="LRD15" s="131"/>
      <c r="LRE15" s="131"/>
      <c r="LRF15" s="131"/>
      <c r="LRG15" s="131"/>
      <c r="LRH15" s="131"/>
      <c r="LRI15" s="131"/>
      <c r="LRJ15" s="131"/>
      <c r="LRK15" s="131"/>
      <c r="LRL15" s="131"/>
      <c r="LRM15" s="131"/>
      <c r="LRN15" s="135"/>
      <c r="LRO15" s="135"/>
      <c r="LRP15" s="135"/>
      <c r="LRQ15" s="135"/>
      <c r="LRR15" s="131"/>
      <c r="LRS15" s="131"/>
      <c r="LRT15" s="131"/>
      <c r="LRU15" s="131"/>
      <c r="LRV15" s="131"/>
      <c r="LRW15" s="131"/>
      <c r="LRX15" s="131"/>
      <c r="LRY15" s="131"/>
      <c r="LRZ15" s="131"/>
      <c r="LSA15" s="131"/>
      <c r="LSB15" s="131"/>
      <c r="LSC15" s="131"/>
      <c r="LSD15" s="135"/>
      <c r="LSE15" s="135"/>
      <c r="LSF15" s="135"/>
      <c r="LSG15" s="135"/>
      <c r="LSH15" s="131"/>
      <c r="LSI15" s="131"/>
      <c r="LSJ15" s="131"/>
      <c r="LSK15" s="131"/>
      <c r="LSL15" s="131"/>
      <c r="LSM15" s="131"/>
      <c r="LSN15" s="131"/>
      <c r="LSO15" s="131"/>
      <c r="LSP15" s="131"/>
      <c r="LSQ15" s="131"/>
      <c r="LSR15" s="131"/>
      <c r="LSS15" s="131"/>
      <c r="LST15" s="135"/>
      <c r="LSU15" s="135"/>
      <c r="LSV15" s="135"/>
      <c r="LSW15" s="135"/>
      <c r="LSX15" s="131"/>
      <c r="LSY15" s="131"/>
      <c r="LSZ15" s="131"/>
      <c r="LTA15" s="131"/>
      <c r="LTB15" s="131"/>
      <c r="LTC15" s="131"/>
      <c r="LTD15" s="131"/>
      <c r="LTE15" s="131"/>
      <c r="LTF15" s="131"/>
      <c r="LTG15" s="131"/>
      <c r="LTH15" s="131"/>
      <c r="LTI15" s="131"/>
      <c r="LTJ15" s="135"/>
      <c r="LTK15" s="135"/>
      <c r="LTL15" s="135"/>
      <c r="LTM15" s="135"/>
      <c r="LTN15" s="131"/>
      <c r="LTO15" s="131"/>
      <c r="LTP15" s="131"/>
      <c r="LTQ15" s="131"/>
      <c r="LTR15" s="131"/>
      <c r="LTS15" s="131"/>
      <c r="LTT15" s="131"/>
      <c r="LTU15" s="131"/>
      <c r="LTV15" s="131"/>
      <c r="LTW15" s="131"/>
      <c r="LTX15" s="131"/>
      <c r="LTY15" s="131"/>
      <c r="LTZ15" s="135"/>
      <c r="LUA15" s="135"/>
      <c r="LUB15" s="135"/>
      <c r="LUC15" s="135"/>
      <c r="LUD15" s="131"/>
      <c r="LUE15" s="131"/>
      <c r="LUF15" s="131"/>
      <c r="LUG15" s="131"/>
      <c r="LUH15" s="131"/>
      <c r="LUI15" s="131"/>
      <c r="LUJ15" s="131"/>
      <c r="LUK15" s="131"/>
      <c r="LUL15" s="131"/>
      <c r="LUM15" s="131"/>
      <c r="LUN15" s="131"/>
      <c r="LUO15" s="131"/>
      <c r="LUP15" s="135"/>
      <c r="LUQ15" s="135"/>
      <c r="LUR15" s="135"/>
      <c r="LUS15" s="135"/>
      <c r="LUT15" s="131"/>
      <c r="LUU15" s="131"/>
      <c r="LUV15" s="131"/>
      <c r="LUW15" s="131"/>
      <c r="LUX15" s="131"/>
      <c r="LUY15" s="131"/>
      <c r="LUZ15" s="131"/>
      <c r="LVA15" s="131"/>
      <c r="LVB15" s="131"/>
      <c r="LVC15" s="131"/>
      <c r="LVD15" s="131"/>
      <c r="LVE15" s="131"/>
      <c r="LVF15" s="135"/>
      <c r="LVG15" s="135"/>
      <c r="LVH15" s="135"/>
      <c r="LVI15" s="135"/>
      <c r="LVJ15" s="131"/>
      <c r="LVK15" s="131"/>
      <c r="LVL15" s="131"/>
      <c r="LVM15" s="131"/>
      <c r="LVN15" s="131"/>
      <c r="LVO15" s="131"/>
      <c r="LVP15" s="131"/>
      <c r="LVQ15" s="131"/>
      <c r="LVR15" s="131"/>
      <c r="LVS15" s="131"/>
      <c r="LVT15" s="131"/>
      <c r="LVU15" s="131"/>
      <c r="LVV15" s="135"/>
      <c r="LVW15" s="135"/>
      <c r="LVX15" s="135"/>
      <c r="LVY15" s="135"/>
      <c r="LVZ15" s="131"/>
      <c r="LWA15" s="131"/>
      <c r="LWB15" s="131"/>
      <c r="LWC15" s="131"/>
      <c r="LWD15" s="131"/>
      <c r="LWE15" s="131"/>
      <c r="LWF15" s="131"/>
      <c r="LWG15" s="131"/>
      <c r="LWH15" s="131"/>
      <c r="LWI15" s="131"/>
      <c r="LWJ15" s="131"/>
      <c r="LWK15" s="131"/>
      <c r="LWL15" s="135"/>
      <c r="LWM15" s="135"/>
      <c r="LWN15" s="135"/>
      <c r="LWO15" s="135"/>
      <c r="LWP15" s="131"/>
      <c r="LWQ15" s="131"/>
      <c r="LWR15" s="131"/>
      <c r="LWS15" s="131"/>
      <c r="LWT15" s="131"/>
      <c r="LWU15" s="131"/>
      <c r="LWV15" s="131"/>
      <c r="LWW15" s="131"/>
      <c r="LWX15" s="131"/>
      <c r="LWY15" s="131"/>
      <c r="LWZ15" s="131"/>
      <c r="LXA15" s="131"/>
      <c r="LXB15" s="135"/>
      <c r="LXC15" s="135"/>
      <c r="LXD15" s="135"/>
      <c r="LXE15" s="135"/>
      <c r="LXF15" s="131"/>
      <c r="LXG15" s="131"/>
      <c r="LXH15" s="131"/>
      <c r="LXI15" s="131"/>
      <c r="LXJ15" s="131"/>
      <c r="LXK15" s="131"/>
      <c r="LXL15" s="131"/>
      <c r="LXM15" s="131"/>
      <c r="LXN15" s="131"/>
      <c r="LXO15" s="131"/>
      <c r="LXP15" s="131"/>
      <c r="LXQ15" s="131"/>
      <c r="LXR15" s="135"/>
      <c r="LXS15" s="135"/>
      <c r="LXT15" s="135"/>
      <c r="LXU15" s="135"/>
      <c r="LXV15" s="131"/>
      <c r="LXW15" s="131"/>
      <c r="LXX15" s="131"/>
      <c r="LXY15" s="131"/>
      <c r="LXZ15" s="131"/>
      <c r="LYA15" s="131"/>
      <c r="LYB15" s="131"/>
      <c r="LYC15" s="131"/>
      <c r="LYD15" s="131"/>
      <c r="LYE15" s="131"/>
      <c r="LYF15" s="131"/>
      <c r="LYG15" s="131"/>
      <c r="LYH15" s="135"/>
      <c r="LYI15" s="135"/>
      <c r="LYJ15" s="135"/>
      <c r="LYK15" s="135"/>
      <c r="LYL15" s="131"/>
      <c r="LYM15" s="131"/>
      <c r="LYN15" s="131"/>
      <c r="LYO15" s="131"/>
      <c r="LYP15" s="131"/>
      <c r="LYQ15" s="131"/>
      <c r="LYR15" s="131"/>
      <c r="LYS15" s="131"/>
      <c r="LYT15" s="131"/>
      <c r="LYU15" s="131"/>
      <c r="LYV15" s="131"/>
      <c r="LYW15" s="131"/>
      <c r="LYX15" s="135"/>
      <c r="LYY15" s="135"/>
      <c r="LYZ15" s="135"/>
      <c r="LZA15" s="135"/>
      <c r="LZB15" s="131"/>
      <c r="LZC15" s="131"/>
      <c r="LZD15" s="131"/>
      <c r="LZE15" s="131"/>
      <c r="LZF15" s="131"/>
      <c r="LZG15" s="131"/>
      <c r="LZH15" s="131"/>
      <c r="LZI15" s="131"/>
      <c r="LZJ15" s="131"/>
      <c r="LZK15" s="131"/>
      <c r="LZL15" s="131"/>
      <c r="LZM15" s="131"/>
      <c r="LZN15" s="135"/>
      <c r="LZO15" s="135"/>
      <c r="LZP15" s="135"/>
      <c r="LZQ15" s="135"/>
      <c r="LZR15" s="131"/>
      <c r="LZS15" s="131"/>
      <c r="LZT15" s="131"/>
      <c r="LZU15" s="131"/>
      <c r="LZV15" s="131"/>
      <c r="LZW15" s="131"/>
      <c r="LZX15" s="131"/>
      <c r="LZY15" s="131"/>
      <c r="LZZ15" s="131"/>
      <c r="MAA15" s="131"/>
      <c r="MAB15" s="131"/>
      <c r="MAC15" s="131"/>
      <c r="MAD15" s="135"/>
      <c r="MAE15" s="135"/>
      <c r="MAF15" s="135"/>
      <c r="MAG15" s="135"/>
      <c r="MAH15" s="131"/>
      <c r="MAI15" s="131"/>
      <c r="MAJ15" s="131"/>
      <c r="MAK15" s="131"/>
      <c r="MAL15" s="131"/>
      <c r="MAM15" s="131"/>
      <c r="MAN15" s="131"/>
      <c r="MAO15" s="131"/>
      <c r="MAP15" s="131"/>
      <c r="MAQ15" s="131"/>
      <c r="MAR15" s="131"/>
      <c r="MAS15" s="131"/>
      <c r="MAT15" s="135"/>
      <c r="MAU15" s="135"/>
      <c r="MAV15" s="135"/>
      <c r="MAW15" s="135"/>
      <c r="MAX15" s="131"/>
      <c r="MAY15" s="131"/>
      <c r="MAZ15" s="131"/>
      <c r="MBA15" s="131"/>
      <c r="MBB15" s="131"/>
      <c r="MBC15" s="131"/>
      <c r="MBD15" s="131"/>
      <c r="MBE15" s="131"/>
      <c r="MBF15" s="131"/>
      <c r="MBG15" s="131"/>
      <c r="MBH15" s="131"/>
      <c r="MBI15" s="131"/>
      <c r="MBJ15" s="135"/>
      <c r="MBK15" s="135"/>
      <c r="MBL15" s="135"/>
      <c r="MBM15" s="135"/>
      <c r="MBN15" s="131"/>
      <c r="MBO15" s="131"/>
      <c r="MBP15" s="131"/>
      <c r="MBQ15" s="131"/>
      <c r="MBR15" s="131"/>
      <c r="MBS15" s="131"/>
      <c r="MBT15" s="131"/>
      <c r="MBU15" s="131"/>
      <c r="MBV15" s="131"/>
      <c r="MBW15" s="131"/>
      <c r="MBX15" s="131"/>
      <c r="MBY15" s="131"/>
      <c r="MBZ15" s="135"/>
      <c r="MCA15" s="135"/>
      <c r="MCB15" s="135"/>
      <c r="MCC15" s="135"/>
      <c r="MCD15" s="131"/>
      <c r="MCE15" s="131"/>
      <c r="MCF15" s="131"/>
      <c r="MCG15" s="131"/>
      <c r="MCH15" s="131"/>
      <c r="MCI15" s="131"/>
      <c r="MCJ15" s="131"/>
      <c r="MCK15" s="131"/>
      <c r="MCL15" s="131"/>
      <c r="MCM15" s="131"/>
      <c r="MCN15" s="131"/>
      <c r="MCO15" s="131"/>
      <c r="MCP15" s="135"/>
      <c r="MCQ15" s="135"/>
      <c r="MCR15" s="135"/>
      <c r="MCS15" s="135"/>
      <c r="MCT15" s="131"/>
      <c r="MCU15" s="131"/>
      <c r="MCV15" s="131"/>
      <c r="MCW15" s="131"/>
      <c r="MCX15" s="131"/>
      <c r="MCY15" s="131"/>
      <c r="MCZ15" s="131"/>
      <c r="MDA15" s="131"/>
      <c r="MDB15" s="131"/>
      <c r="MDC15" s="131"/>
      <c r="MDD15" s="131"/>
      <c r="MDE15" s="131"/>
      <c r="MDF15" s="135"/>
      <c r="MDG15" s="135"/>
      <c r="MDH15" s="135"/>
      <c r="MDI15" s="135"/>
      <c r="MDJ15" s="131"/>
      <c r="MDK15" s="131"/>
      <c r="MDL15" s="131"/>
      <c r="MDM15" s="131"/>
      <c r="MDN15" s="131"/>
      <c r="MDO15" s="131"/>
      <c r="MDP15" s="131"/>
      <c r="MDQ15" s="131"/>
      <c r="MDR15" s="131"/>
      <c r="MDS15" s="131"/>
      <c r="MDT15" s="131"/>
      <c r="MDU15" s="131"/>
      <c r="MDV15" s="135"/>
      <c r="MDW15" s="135"/>
      <c r="MDX15" s="135"/>
      <c r="MDY15" s="135"/>
      <c r="MDZ15" s="131"/>
      <c r="MEA15" s="131"/>
      <c r="MEB15" s="131"/>
      <c r="MEC15" s="131"/>
      <c r="MED15" s="131"/>
      <c r="MEE15" s="131"/>
      <c r="MEF15" s="131"/>
      <c r="MEG15" s="131"/>
      <c r="MEH15" s="131"/>
      <c r="MEI15" s="131"/>
      <c r="MEJ15" s="131"/>
      <c r="MEK15" s="131"/>
      <c r="MEL15" s="135"/>
      <c r="MEM15" s="135"/>
      <c r="MEN15" s="135"/>
      <c r="MEO15" s="135"/>
      <c r="MEP15" s="131"/>
      <c r="MEQ15" s="131"/>
      <c r="MER15" s="131"/>
      <c r="MES15" s="131"/>
      <c r="MET15" s="131"/>
      <c r="MEU15" s="131"/>
      <c r="MEV15" s="131"/>
      <c r="MEW15" s="131"/>
      <c r="MEX15" s="131"/>
      <c r="MEY15" s="131"/>
      <c r="MEZ15" s="131"/>
      <c r="MFA15" s="131"/>
      <c r="MFB15" s="135"/>
      <c r="MFC15" s="135"/>
      <c r="MFD15" s="135"/>
      <c r="MFE15" s="135"/>
      <c r="MFF15" s="131"/>
      <c r="MFG15" s="131"/>
      <c r="MFH15" s="131"/>
      <c r="MFI15" s="131"/>
      <c r="MFJ15" s="131"/>
      <c r="MFK15" s="131"/>
      <c r="MFL15" s="131"/>
      <c r="MFM15" s="131"/>
      <c r="MFN15" s="131"/>
      <c r="MFO15" s="131"/>
      <c r="MFP15" s="131"/>
      <c r="MFQ15" s="131"/>
      <c r="MFR15" s="135"/>
      <c r="MFS15" s="135"/>
      <c r="MFT15" s="135"/>
      <c r="MFU15" s="135"/>
      <c r="MFV15" s="131"/>
      <c r="MFW15" s="131"/>
      <c r="MFX15" s="131"/>
      <c r="MFY15" s="131"/>
      <c r="MFZ15" s="131"/>
      <c r="MGA15" s="131"/>
      <c r="MGB15" s="131"/>
      <c r="MGC15" s="131"/>
      <c r="MGD15" s="131"/>
      <c r="MGE15" s="131"/>
      <c r="MGF15" s="131"/>
      <c r="MGG15" s="131"/>
      <c r="MGH15" s="135"/>
      <c r="MGI15" s="135"/>
      <c r="MGJ15" s="135"/>
      <c r="MGK15" s="135"/>
      <c r="MGL15" s="131"/>
      <c r="MGM15" s="131"/>
      <c r="MGN15" s="131"/>
      <c r="MGO15" s="131"/>
      <c r="MGP15" s="131"/>
      <c r="MGQ15" s="131"/>
      <c r="MGR15" s="131"/>
      <c r="MGS15" s="131"/>
      <c r="MGT15" s="131"/>
      <c r="MGU15" s="131"/>
      <c r="MGV15" s="131"/>
      <c r="MGW15" s="131"/>
      <c r="MGX15" s="135"/>
      <c r="MGY15" s="135"/>
      <c r="MGZ15" s="135"/>
      <c r="MHA15" s="135"/>
      <c r="MHB15" s="131"/>
      <c r="MHC15" s="131"/>
      <c r="MHD15" s="131"/>
      <c r="MHE15" s="131"/>
      <c r="MHF15" s="131"/>
      <c r="MHG15" s="131"/>
      <c r="MHH15" s="131"/>
      <c r="MHI15" s="131"/>
      <c r="MHJ15" s="131"/>
      <c r="MHK15" s="131"/>
      <c r="MHL15" s="131"/>
      <c r="MHM15" s="131"/>
      <c r="MHN15" s="135"/>
      <c r="MHO15" s="135"/>
      <c r="MHP15" s="135"/>
      <c r="MHQ15" s="135"/>
      <c r="MHR15" s="131"/>
      <c r="MHS15" s="131"/>
      <c r="MHT15" s="131"/>
      <c r="MHU15" s="131"/>
      <c r="MHV15" s="131"/>
      <c r="MHW15" s="131"/>
      <c r="MHX15" s="131"/>
      <c r="MHY15" s="131"/>
      <c r="MHZ15" s="131"/>
      <c r="MIA15" s="131"/>
      <c r="MIB15" s="131"/>
      <c r="MIC15" s="131"/>
      <c r="MID15" s="135"/>
      <c r="MIE15" s="135"/>
      <c r="MIF15" s="135"/>
      <c r="MIG15" s="135"/>
      <c r="MIH15" s="131"/>
      <c r="MII15" s="131"/>
      <c r="MIJ15" s="131"/>
      <c r="MIK15" s="131"/>
      <c r="MIL15" s="131"/>
      <c r="MIM15" s="131"/>
      <c r="MIN15" s="131"/>
      <c r="MIO15" s="131"/>
      <c r="MIP15" s="131"/>
      <c r="MIQ15" s="131"/>
      <c r="MIR15" s="131"/>
      <c r="MIS15" s="131"/>
      <c r="MIT15" s="135"/>
      <c r="MIU15" s="135"/>
      <c r="MIV15" s="135"/>
      <c r="MIW15" s="135"/>
      <c r="MIX15" s="131"/>
      <c r="MIY15" s="131"/>
      <c r="MIZ15" s="131"/>
      <c r="MJA15" s="131"/>
      <c r="MJB15" s="131"/>
      <c r="MJC15" s="131"/>
      <c r="MJD15" s="131"/>
      <c r="MJE15" s="131"/>
      <c r="MJF15" s="131"/>
      <c r="MJG15" s="131"/>
      <c r="MJH15" s="131"/>
      <c r="MJI15" s="131"/>
      <c r="MJJ15" s="135"/>
      <c r="MJK15" s="135"/>
      <c r="MJL15" s="135"/>
      <c r="MJM15" s="135"/>
      <c r="MJN15" s="131"/>
      <c r="MJO15" s="131"/>
      <c r="MJP15" s="131"/>
      <c r="MJQ15" s="131"/>
      <c r="MJR15" s="131"/>
      <c r="MJS15" s="131"/>
      <c r="MJT15" s="131"/>
      <c r="MJU15" s="131"/>
      <c r="MJV15" s="131"/>
      <c r="MJW15" s="131"/>
      <c r="MJX15" s="131"/>
      <c r="MJY15" s="131"/>
      <c r="MJZ15" s="135"/>
      <c r="MKA15" s="135"/>
      <c r="MKB15" s="135"/>
      <c r="MKC15" s="135"/>
      <c r="MKD15" s="131"/>
      <c r="MKE15" s="131"/>
      <c r="MKF15" s="131"/>
      <c r="MKG15" s="131"/>
      <c r="MKH15" s="131"/>
      <c r="MKI15" s="131"/>
      <c r="MKJ15" s="131"/>
      <c r="MKK15" s="131"/>
      <c r="MKL15" s="131"/>
      <c r="MKM15" s="131"/>
      <c r="MKN15" s="131"/>
      <c r="MKO15" s="131"/>
      <c r="MKP15" s="135"/>
      <c r="MKQ15" s="135"/>
      <c r="MKR15" s="135"/>
      <c r="MKS15" s="135"/>
      <c r="MKT15" s="131"/>
      <c r="MKU15" s="131"/>
      <c r="MKV15" s="131"/>
      <c r="MKW15" s="131"/>
      <c r="MKX15" s="131"/>
      <c r="MKY15" s="131"/>
      <c r="MKZ15" s="131"/>
      <c r="MLA15" s="131"/>
      <c r="MLB15" s="131"/>
      <c r="MLC15" s="131"/>
      <c r="MLD15" s="131"/>
      <c r="MLE15" s="131"/>
      <c r="MLF15" s="135"/>
      <c r="MLG15" s="135"/>
      <c r="MLH15" s="135"/>
      <c r="MLI15" s="135"/>
      <c r="MLJ15" s="131"/>
      <c r="MLK15" s="131"/>
      <c r="MLL15" s="131"/>
      <c r="MLM15" s="131"/>
      <c r="MLN15" s="131"/>
      <c r="MLO15" s="131"/>
      <c r="MLP15" s="131"/>
      <c r="MLQ15" s="131"/>
      <c r="MLR15" s="131"/>
      <c r="MLS15" s="131"/>
      <c r="MLT15" s="131"/>
      <c r="MLU15" s="131"/>
      <c r="MLV15" s="135"/>
      <c r="MLW15" s="135"/>
      <c r="MLX15" s="135"/>
      <c r="MLY15" s="135"/>
      <c r="MLZ15" s="131"/>
      <c r="MMA15" s="131"/>
      <c r="MMB15" s="131"/>
      <c r="MMC15" s="131"/>
      <c r="MMD15" s="131"/>
      <c r="MME15" s="131"/>
      <c r="MMF15" s="131"/>
      <c r="MMG15" s="131"/>
      <c r="MMH15" s="131"/>
      <c r="MMI15" s="131"/>
      <c r="MMJ15" s="131"/>
      <c r="MMK15" s="131"/>
      <c r="MML15" s="135"/>
      <c r="MMM15" s="135"/>
      <c r="MMN15" s="135"/>
      <c r="MMO15" s="135"/>
      <c r="MMP15" s="131"/>
      <c r="MMQ15" s="131"/>
      <c r="MMR15" s="131"/>
      <c r="MMS15" s="131"/>
      <c r="MMT15" s="131"/>
      <c r="MMU15" s="131"/>
      <c r="MMV15" s="131"/>
      <c r="MMW15" s="131"/>
      <c r="MMX15" s="131"/>
      <c r="MMY15" s="131"/>
      <c r="MMZ15" s="131"/>
      <c r="MNA15" s="131"/>
      <c r="MNB15" s="135"/>
      <c r="MNC15" s="135"/>
      <c r="MND15" s="135"/>
      <c r="MNE15" s="135"/>
      <c r="MNF15" s="131"/>
      <c r="MNG15" s="131"/>
      <c r="MNH15" s="131"/>
      <c r="MNI15" s="131"/>
      <c r="MNJ15" s="131"/>
      <c r="MNK15" s="131"/>
      <c r="MNL15" s="131"/>
      <c r="MNM15" s="131"/>
      <c r="MNN15" s="131"/>
      <c r="MNO15" s="131"/>
      <c r="MNP15" s="131"/>
      <c r="MNQ15" s="131"/>
      <c r="MNR15" s="135"/>
      <c r="MNS15" s="135"/>
      <c r="MNT15" s="135"/>
      <c r="MNU15" s="135"/>
      <c r="MNV15" s="131"/>
      <c r="MNW15" s="131"/>
      <c r="MNX15" s="131"/>
      <c r="MNY15" s="131"/>
      <c r="MNZ15" s="131"/>
      <c r="MOA15" s="131"/>
      <c r="MOB15" s="131"/>
      <c r="MOC15" s="131"/>
      <c r="MOD15" s="131"/>
      <c r="MOE15" s="131"/>
      <c r="MOF15" s="131"/>
      <c r="MOG15" s="131"/>
      <c r="MOH15" s="135"/>
      <c r="MOI15" s="135"/>
      <c r="MOJ15" s="135"/>
      <c r="MOK15" s="135"/>
      <c r="MOL15" s="131"/>
      <c r="MOM15" s="131"/>
      <c r="MON15" s="131"/>
      <c r="MOO15" s="131"/>
      <c r="MOP15" s="131"/>
      <c r="MOQ15" s="131"/>
      <c r="MOR15" s="131"/>
      <c r="MOS15" s="131"/>
      <c r="MOT15" s="131"/>
      <c r="MOU15" s="131"/>
      <c r="MOV15" s="131"/>
      <c r="MOW15" s="131"/>
      <c r="MOX15" s="135"/>
      <c r="MOY15" s="135"/>
      <c r="MOZ15" s="135"/>
      <c r="MPA15" s="135"/>
      <c r="MPN15" s="135"/>
      <c r="MPO15" s="135"/>
      <c r="MPP15" s="135"/>
      <c r="MPQ15" s="135"/>
      <c r="MPR15" s="131"/>
      <c r="MPS15" s="131"/>
      <c r="MPT15" s="131"/>
      <c r="MPU15" s="131"/>
      <c r="MPV15" s="131"/>
      <c r="MPW15" s="131"/>
      <c r="MPX15" s="131"/>
      <c r="MPY15" s="131"/>
      <c r="MPZ15" s="131"/>
      <c r="MQA15" s="131"/>
      <c r="MQB15" s="131"/>
      <c r="MQC15" s="131"/>
      <c r="MQD15" s="135"/>
      <c r="MQE15" s="135"/>
      <c r="MQF15" s="135"/>
      <c r="MQG15" s="135"/>
      <c r="MQH15" s="131"/>
      <c r="MQI15" s="131"/>
      <c r="MQJ15" s="131"/>
      <c r="MQK15" s="131"/>
      <c r="MQL15" s="131"/>
      <c r="MQM15" s="131"/>
      <c r="MQN15" s="131"/>
      <c r="MQO15" s="131"/>
      <c r="MQP15" s="131"/>
      <c r="MQQ15" s="131"/>
      <c r="MQR15" s="131"/>
      <c r="MQS15" s="131"/>
      <c r="MQT15" s="135"/>
      <c r="MQU15" s="135"/>
      <c r="MQV15" s="135"/>
      <c r="MQW15" s="135"/>
      <c r="MQX15" s="131"/>
      <c r="MQY15" s="131"/>
      <c r="MQZ15" s="131"/>
      <c r="MRA15" s="131"/>
      <c r="MRB15" s="131"/>
      <c r="MRC15" s="131"/>
      <c r="MRD15" s="131"/>
      <c r="MRE15" s="131"/>
      <c r="MRF15" s="131"/>
      <c r="MRG15" s="131"/>
      <c r="MRH15" s="131"/>
      <c r="MRI15" s="131"/>
      <c r="MRJ15" s="135"/>
      <c r="MRK15" s="135"/>
      <c r="MRL15" s="135"/>
      <c r="MRM15" s="135"/>
      <c r="MRN15" s="131"/>
      <c r="MRO15" s="131"/>
      <c r="MRP15" s="131"/>
      <c r="MRQ15" s="131"/>
      <c r="MRR15" s="131"/>
      <c r="MRS15" s="131"/>
      <c r="MRT15" s="131"/>
      <c r="MRU15" s="131"/>
      <c r="MRV15" s="131"/>
      <c r="MRW15" s="131"/>
      <c r="MRX15" s="131"/>
      <c r="MRY15" s="131"/>
      <c r="MRZ15" s="135"/>
      <c r="MSA15" s="135"/>
      <c r="MSB15" s="135"/>
      <c r="MSC15" s="135"/>
      <c r="MSD15" s="131"/>
      <c r="MSE15" s="131"/>
      <c r="MSF15" s="131"/>
      <c r="MSG15" s="131"/>
      <c r="MSH15" s="131"/>
      <c r="MSI15" s="131"/>
      <c r="MSJ15" s="131"/>
      <c r="MSK15" s="131"/>
      <c r="MSL15" s="131"/>
      <c r="MSM15" s="131"/>
      <c r="MSN15" s="131"/>
      <c r="MSO15" s="131"/>
      <c r="MSP15" s="135"/>
      <c r="MSQ15" s="135"/>
      <c r="MSR15" s="135"/>
      <c r="MSS15" s="135"/>
      <c r="MST15" s="131"/>
      <c r="MSU15" s="131"/>
      <c r="MSV15" s="131"/>
      <c r="MSW15" s="131"/>
      <c r="MSX15" s="131"/>
      <c r="MSY15" s="131"/>
      <c r="MSZ15" s="131"/>
      <c r="MTA15" s="131"/>
      <c r="MTB15" s="131"/>
      <c r="MTC15" s="131"/>
      <c r="MTD15" s="131"/>
      <c r="MTE15" s="131"/>
      <c r="MTF15" s="135"/>
      <c r="MTG15" s="135"/>
      <c r="MTH15" s="135"/>
      <c r="MTI15" s="135"/>
      <c r="MTJ15" s="131"/>
      <c r="MTK15" s="131"/>
      <c r="MTL15" s="131"/>
      <c r="MTM15" s="131"/>
      <c r="MTN15" s="131"/>
      <c r="MTO15" s="131"/>
      <c r="MTP15" s="131"/>
      <c r="MTQ15" s="131"/>
      <c r="MTR15" s="131"/>
      <c r="MTS15" s="131"/>
      <c r="MTT15" s="131"/>
      <c r="MTU15" s="131"/>
      <c r="MTV15" s="135"/>
      <c r="MTW15" s="135"/>
      <c r="MTX15" s="135"/>
      <c r="MTY15" s="135"/>
      <c r="MTZ15" s="131"/>
      <c r="MUA15" s="131"/>
      <c r="MUB15" s="131"/>
      <c r="MUC15" s="131"/>
      <c r="MUD15" s="131"/>
      <c r="MUE15" s="131"/>
      <c r="MUF15" s="131"/>
      <c r="MUG15" s="131"/>
      <c r="MUH15" s="131"/>
      <c r="MUI15" s="131"/>
      <c r="MUJ15" s="131"/>
      <c r="MUK15" s="131"/>
      <c r="MUL15" s="135"/>
      <c r="MUM15" s="135"/>
      <c r="MUN15" s="135"/>
      <c r="MUO15" s="135"/>
      <c r="MUP15" s="131"/>
      <c r="MUQ15" s="131"/>
      <c r="MUR15" s="131"/>
      <c r="MUS15" s="131"/>
      <c r="MUT15" s="131"/>
      <c r="MUU15" s="131"/>
      <c r="MUV15" s="131"/>
      <c r="MUW15" s="131"/>
      <c r="MUX15" s="131"/>
      <c r="MUY15" s="131"/>
      <c r="MUZ15" s="131"/>
      <c r="MVA15" s="131"/>
      <c r="MVB15" s="135"/>
      <c r="MVC15" s="135"/>
      <c r="MVD15" s="135"/>
      <c r="MVE15" s="135"/>
      <c r="MVF15" s="131"/>
      <c r="MVG15" s="131"/>
      <c r="MVH15" s="131"/>
      <c r="MVI15" s="131"/>
      <c r="MVJ15" s="131"/>
      <c r="MVK15" s="131"/>
      <c r="MVL15" s="131"/>
      <c r="MVM15" s="131"/>
      <c r="MVN15" s="131"/>
      <c r="MVO15" s="131"/>
      <c r="MVP15" s="131"/>
      <c r="MVQ15" s="131"/>
      <c r="MVR15" s="135"/>
      <c r="MVS15" s="135"/>
      <c r="MVT15" s="135"/>
      <c r="MVU15" s="135"/>
      <c r="MVV15" s="131"/>
      <c r="MVW15" s="131"/>
      <c r="MVX15" s="131"/>
      <c r="MVY15" s="131"/>
      <c r="MVZ15" s="131"/>
      <c r="MWA15" s="131"/>
      <c r="MWB15" s="131"/>
      <c r="MWC15" s="131"/>
      <c r="MWD15" s="131"/>
      <c r="MWE15" s="131"/>
      <c r="MWF15" s="131"/>
      <c r="MWG15" s="131"/>
      <c r="MWH15" s="135"/>
      <c r="MWI15" s="135"/>
      <c r="MWJ15" s="135"/>
      <c r="MWK15" s="135"/>
      <c r="MWL15" s="131"/>
      <c r="MWM15" s="131"/>
      <c r="MWN15" s="131"/>
      <c r="MWO15" s="131"/>
      <c r="MWP15" s="131"/>
      <c r="MWQ15" s="131"/>
      <c r="MWR15" s="131"/>
      <c r="MWS15" s="131"/>
      <c r="MWT15" s="131"/>
      <c r="MWU15" s="131"/>
      <c r="MWV15" s="131"/>
      <c r="MWW15" s="131"/>
      <c r="MWX15" s="135"/>
      <c r="MWY15" s="135"/>
      <c r="MWZ15" s="135"/>
      <c r="MXA15" s="135"/>
      <c r="MXB15" s="131"/>
      <c r="MXC15" s="131"/>
      <c r="MXD15" s="131"/>
      <c r="MXE15" s="131"/>
      <c r="MXF15" s="131"/>
      <c r="MXG15" s="131"/>
      <c r="MXH15" s="131"/>
      <c r="MXI15" s="131"/>
      <c r="MXJ15" s="131"/>
      <c r="MXK15" s="131"/>
      <c r="MXL15" s="131"/>
      <c r="MXM15" s="131"/>
      <c r="MXN15" s="135"/>
      <c r="MXO15" s="135"/>
      <c r="MXP15" s="135"/>
      <c r="MXQ15" s="135"/>
      <c r="MXR15" s="131"/>
      <c r="MXS15" s="131"/>
      <c r="MXT15" s="131"/>
      <c r="MXU15" s="131"/>
      <c r="MXV15" s="131"/>
      <c r="MXW15" s="131"/>
      <c r="MXX15" s="131"/>
      <c r="MXY15" s="131"/>
      <c r="MXZ15" s="131"/>
      <c r="MYA15" s="131"/>
      <c r="MYB15" s="131"/>
      <c r="MYC15" s="131"/>
      <c r="MYD15" s="135"/>
      <c r="MYE15" s="135"/>
      <c r="MYF15" s="135"/>
      <c r="MYG15" s="135"/>
      <c r="MYH15" s="131"/>
      <c r="MYI15" s="131"/>
      <c r="MYJ15" s="131"/>
      <c r="MYK15" s="131"/>
      <c r="MYL15" s="131"/>
      <c r="MYM15" s="131"/>
      <c r="MYN15" s="131"/>
      <c r="MYO15" s="131"/>
      <c r="MYP15" s="131"/>
      <c r="MYQ15" s="131"/>
      <c r="MYR15" s="131"/>
      <c r="MYS15" s="131"/>
      <c r="MYT15" s="135"/>
      <c r="MYU15" s="135"/>
      <c r="MYV15" s="135"/>
      <c r="MYW15" s="135"/>
      <c r="MYX15" s="131"/>
      <c r="MYY15" s="131"/>
      <c r="MYZ15" s="131"/>
      <c r="MZA15" s="131"/>
      <c r="MZB15" s="131"/>
      <c r="MZC15" s="131"/>
      <c r="MZD15" s="131"/>
      <c r="MZE15" s="131"/>
      <c r="MZF15" s="131"/>
      <c r="MZG15" s="131"/>
      <c r="MZH15" s="131"/>
      <c r="MZI15" s="131"/>
      <c r="MZJ15" s="135"/>
      <c r="MZK15" s="135"/>
      <c r="MZL15" s="135"/>
      <c r="MZM15" s="135"/>
      <c r="MZN15" s="131"/>
      <c r="MZO15" s="131"/>
      <c r="MZP15" s="131"/>
      <c r="MZQ15" s="131"/>
      <c r="MZR15" s="131"/>
      <c r="MZS15" s="131"/>
      <c r="MZT15" s="131"/>
      <c r="MZU15" s="131"/>
      <c r="MZV15" s="131"/>
      <c r="MZW15" s="131"/>
      <c r="MZX15" s="131"/>
      <c r="MZY15" s="131"/>
      <c r="MZZ15" s="135"/>
      <c r="NAA15" s="135"/>
      <c r="NAB15" s="135"/>
      <c r="NAC15" s="135"/>
      <c r="NAD15" s="131"/>
      <c r="NAE15" s="131"/>
      <c r="NAF15" s="131"/>
      <c r="NAG15" s="131"/>
      <c r="NAH15" s="131"/>
      <c r="NAI15" s="131"/>
      <c r="NAJ15" s="131"/>
      <c r="NAK15" s="131"/>
      <c r="NAL15" s="131"/>
      <c r="NAM15" s="131"/>
      <c r="NAN15" s="131"/>
      <c r="NAO15" s="131"/>
      <c r="NAP15" s="135"/>
      <c r="NAQ15" s="135"/>
      <c r="NAR15" s="135"/>
      <c r="NAS15" s="135"/>
      <c r="NAT15" s="131"/>
      <c r="NAU15" s="131"/>
      <c r="NAV15" s="131"/>
      <c r="NAW15" s="131"/>
      <c r="NAX15" s="131"/>
      <c r="NAY15" s="131"/>
      <c r="NAZ15" s="131"/>
      <c r="NBA15" s="131"/>
      <c r="NBB15" s="131"/>
      <c r="NBC15" s="131"/>
      <c r="NBD15" s="131"/>
      <c r="NBE15" s="131"/>
      <c r="NBF15" s="135"/>
      <c r="NBG15" s="135"/>
      <c r="NBH15" s="135"/>
      <c r="NBI15" s="135"/>
      <c r="NBJ15" s="131"/>
      <c r="NBK15" s="131"/>
      <c r="NBL15" s="131"/>
      <c r="NBM15" s="131"/>
      <c r="NBN15" s="131"/>
      <c r="NBO15" s="131"/>
      <c r="NBP15" s="131"/>
      <c r="NBQ15" s="131"/>
      <c r="NBR15" s="131"/>
      <c r="NBS15" s="131"/>
      <c r="NBT15" s="131"/>
      <c r="NBU15" s="131"/>
      <c r="NBV15" s="135"/>
      <c r="NBW15" s="135"/>
      <c r="NBX15" s="135"/>
      <c r="NBY15" s="135"/>
      <c r="NBZ15" s="131"/>
      <c r="NCA15" s="131"/>
      <c r="NCB15" s="131"/>
      <c r="NCC15" s="131"/>
      <c r="NCD15" s="131"/>
      <c r="NCE15" s="131"/>
      <c r="NCF15" s="131"/>
      <c r="NCG15" s="131"/>
      <c r="NCH15" s="131"/>
      <c r="NCI15" s="131"/>
      <c r="NCJ15" s="131"/>
      <c r="NCK15" s="131"/>
      <c r="NCL15" s="135"/>
      <c r="NCM15" s="135"/>
      <c r="NCN15" s="135"/>
      <c r="NCO15" s="135"/>
      <c r="NCP15" s="131"/>
      <c r="NCQ15" s="131"/>
      <c r="NCR15" s="131"/>
      <c r="NCS15" s="131"/>
      <c r="NCT15" s="131"/>
      <c r="NCU15" s="131"/>
      <c r="NCV15" s="131"/>
      <c r="NCW15" s="131"/>
      <c r="NCX15" s="131"/>
      <c r="NCY15" s="131"/>
      <c r="NCZ15" s="131"/>
      <c r="NDA15" s="131"/>
      <c r="NDB15" s="135"/>
      <c r="NDC15" s="135"/>
      <c r="NDD15" s="135"/>
      <c r="NDE15" s="135"/>
      <c r="NDF15" s="131"/>
      <c r="NDG15" s="131"/>
      <c r="NDH15" s="131"/>
      <c r="NDI15" s="131"/>
      <c r="NDJ15" s="131"/>
      <c r="NDK15" s="131"/>
      <c r="NDL15" s="131"/>
      <c r="NDM15" s="131"/>
      <c r="NDN15" s="131"/>
      <c r="NDO15" s="131"/>
      <c r="NDP15" s="131"/>
      <c r="NDQ15" s="131"/>
      <c r="NDR15" s="135"/>
      <c r="NDS15" s="135"/>
      <c r="NDT15" s="135"/>
      <c r="NDU15" s="135"/>
      <c r="NDV15" s="131"/>
      <c r="NDW15" s="131"/>
      <c r="NDX15" s="131"/>
      <c r="NDY15" s="131"/>
      <c r="NDZ15" s="131"/>
      <c r="NEA15" s="131"/>
      <c r="NEB15" s="131"/>
      <c r="NEC15" s="131"/>
      <c r="NED15" s="131"/>
      <c r="NEE15" s="131"/>
      <c r="NEF15" s="131"/>
      <c r="NEG15" s="131"/>
      <c r="NEH15" s="135"/>
      <c r="NEI15" s="135"/>
      <c r="NEJ15" s="135"/>
      <c r="NEK15" s="135"/>
      <c r="NEL15" s="131"/>
      <c r="NEM15" s="131"/>
      <c r="NEN15" s="131"/>
      <c r="NEO15" s="131"/>
      <c r="NEP15" s="131"/>
      <c r="NEQ15" s="131"/>
      <c r="NER15" s="131"/>
      <c r="NES15" s="131"/>
      <c r="NET15" s="131"/>
      <c r="NEU15" s="131"/>
      <c r="NEV15" s="131"/>
      <c r="NEW15" s="131"/>
      <c r="NEX15" s="135"/>
      <c r="NEY15" s="135"/>
      <c r="NEZ15" s="135"/>
      <c r="NFA15" s="135"/>
      <c r="NFB15" s="131"/>
      <c r="NFC15" s="131"/>
      <c r="NFD15" s="131"/>
      <c r="NFE15" s="131"/>
      <c r="NFF15" s="131"/>
      <c r="NFG15" s="131"/>
      <c r="NFH15" s="131"/>
      <c r="NFI15" s="131"/>
      <c r="NFJ15" s="131"/>
      <c r="NFK15" s="131"/>
      <c r="NFL15" s="131"/>
      <c r="NFM15" s="131"/>
      <c r="NFN15" s="135"/>
      <c r="NFO15" s="135"/>
      <c r="NFP15" s="135"/>
      <c r="NFQ15" s="135"/>
      <c r="NFR15" s="131"/>
      <c r="NFS15" s="131"/>
      <c r="NFT15" s="131"/>
      <c r="NFU15" s="131"/>
      <c r="NFV15" s="131"/>
      <c r="NFW15" s="131"/>
      <c r="NFX15" s="131"/>
      <c r="NFY15" s="131"/>
      <c r="NFZ15" s="131"/>
      <c r="NGA15" s="131"/>
      <c r="NGB15" s="131"/>
      <c r="NGC15" s="131"/>
      <c r="NGD15" s="135"/>
      <c r="NGE15" s="135"/>
      <c r="NGF15" s="135"/>
      <c r="NGG15" s="135"/>
      <c r="NGH15" s="131"/>
      <c r="NGI15" s="131"/>
      <c r="NGJ15" s="131"/>
      <c r="NGK15" s="131"/>
      <c r="NGL15" s="131"/>
      <c r="NGM15" s="131"/>
      <c r="NGN15" s="131"/>
      <c r="NGO15" s="131"/>
      <c r="NGP15" s="131"/>
      <c r="NGQ15" s="131"/>
      <c r="NGR15" s="131"/>
      <c r="NGS15" s="131"/>
      <c r="NGT15" s="135"/>
      <c r="NGU15" s="135"/>
      <c r="NGV15" s="135"/>
      <c r="NGW15" s="135"/>
      <c r="NGX15" s="131"/>
      <c r="NGY15" s="131"/>
      <c r="NGZ15" s="131"/>
      <c r="NHA15" s="131"/>
      <c r="NHB15" s="131"/>
      <c r="NHC15" s="131"/>
      <c r="NHD15" s="131"/>
      <c r="NHE15" s="131"/>
      <c r="NHF15" s="131"/>
      <c r="NHG15" s="131"/>
      <c r="NHH15" s="131"/>
      <c r="NHI15" s="131"/>
      <c r="NHJ15" s="135"/>
      <c r="NHK15" s="135"/>
      <c r="NHL15" s="135"/>
      <c r="NHM15" s="135"/>
      <c r="NHN15" s="131"/>
      <c r="NHO15" s="131"/>
      <c r="NHP15" s="131"/>
      <c r="NHQ15" s="131"/>
      <c r="NHR15" s="131"/>
      <c r="NHS15" s="131"/>
      <c r="NHT15" s="131"/>
      <c r="NHU15" s="131"/>
      <c r="NHV15" s="131"/>
      <c r="NHW15" s="131"/>
      <c r="NHX15" s="131"/>
      <c r="NHY15" s="131"/>
      <c r="NHZ15" s="135"/>
      <c r="NIA15" s="135"/>
      <c r="NIB15" s="135"/>
      <c r="NIC15" s="135"/>
      <c r="NID15" s="131"/>
      <c r="NIE15" s="131"/>
      <c r="NIF15" s="131"/>
      <c r="NIG15" s="131"/>
      <c r="NIH15" s="131"/>
      <c r="NII15" s="131"/>
      <c r="NIJ15" s="131"/>
      <c r="NIK15" s="131"/>
      <c r="NIL15" s="131"/>
      <c r="NIM15" s="131"/>
      <c r="NIN15" s="131"/>
      <c r="NIO15" s="131"/>
      <c r="NIP15" s="135"/>
      <c r="NIQ15" s="135"/>
      <c r="NIR15" s="135"/>
      <c r="NIS15" s="135"/>
      <c r="NIT15" s="131"/>
      <c r="NIU15" s="131"/>
      <c r="NIV15" s="131"/>
      <c r="NIW15" s="131"/>
      <c r="NIX15" s="131"/>
      <c r="NIY15" s="131"/>
      <c r="NIZ15" s="131"/>
      <c r="NJA15" s="131"/>
      <c r="NJB15" s="131"/>
      <c r="NJC15" s="131"/>
      <c r="NJD15" s="131"/>
      <c r="NJE15" s="131"/>
      <c r="NJF15" s="135"/>
      <c r="NJG15" s="135"/>
      <c r="NJH15" s="135"/>
      <c r="NJI15" s="135"/>
      <c r="NJJ15" s="131"/>
      <c r="NJK15" s="131"/>
      <c r="NJL15" s="131"/>
      <c r="NJM15" s="131"/>
      <c r="NJN15" s="131"/>
      <c r="NJO15" s="131"/>
      <c r="NJP15" s="131"/>
      <c r="NJQ15" s="131"/>
      <c r="NJR15" s="131"/>
      <c r="NJS15" s="131"/>
      <c r="NJT15" s="131"/>
      <c r="NJU15" s="131"/>
      <c r="NJV15" s="135"/>
      <c r="NJW15" s="135"/>
      <c r="NJX15" s="135"/>
      <c r="NJY15" s="135"/>
      <c r="NJZ15" s="131"/>
      <c r="NKA15" s="131"/>
      <c r="NKB15" s="131"/>
      <c r="NKC15" s="131"/>
      <c r="NKD15" s="131"/>
      <c r="NKE15" s="131"/>
      <c r="NKF15" s="131"/>
      <c r="NKG15" s="131"/>
      <c r="NKH15" s="131"/>
      <c r="NKI15" s="131"/>
      <c r="NKJ15" s="131"/>
      <c r="NKK15" s="131"/>
      <c r="NKL15" s="135"/>
      <c r="NKM15" s="135"/>
      <c r="NKN15" s="135"/>
      <c r="NKO15" s="135"/>
      <c r="NKP15" s="131"/>
      <c r="NKQ15" s="131"/>
      <c r="NKR15" s="131"/>
      <c r="NKS15" s="131"/>
      <c r="NKT15" s="131"/>
      <c r="NKU15" s="131"/>
      <c r="NKV15" s="131"/>
      <c r="NKW15" s="131"/>
      <c r="NKX15" s="131"/>
      <c r="NKY15" s="131"/>
      <c r="NKZ15" s="131"/>
      <c r="NLA15" s="131"/>
      <c r="NLB15" s="135"/>
      <c r="NLC15" s="135"/>
      <c r="NLD15" s="135"/>
      <c r="NLE15" s="135"/>
      <c r="NLF15" s="131"/>
      <c r="NLG15" s="131"/>
      <c r="NLH15" s="131"/>
      <c r="NLI15" s="131"/>
      <c r="NLJ15" s="131"/>
      <c r="NLK15" s="131"/>
      <c r="NLL15" s="131"/>
      <c r="NLM15" s="131"/>
      <c r="NLN15" s="131"/>
      <c r="NLO15" s="131"/>
      <c r="NLP15" s="131"/>
      <c r="NLQ15" s="131"/>
      <c r="NLR15" s="135"/>
      <c r="NLS15" s="135"/>
      <c r="NLT15" s="135"/>
      <c r="NLU15" s="135"/>
      <c r="NLV15" s="131"/>
      <c r="NLW15" s="131"/>
      <c r="NLX15" s="131"/>
      <c r="NLY15" s="131"/>
      <c r="NLZ15" s="131"/>
      <c r="NMA15" s="131"/>
      <c r="NMB15" s="131"/>
      <c r="NMC15" s="131"/>
      <c r="NMD15" s="131"/>
      <c r="NME15" s="131"/>
      <c r="NMF15" s="131"/>
      <c r="NMG15" s="131"/>
      <c r="NMH15" s="135"/>
      <c r="NMI15" s="135"/>
      <c r="NMJ15" s="135"/>
      <c r="NMK15" s="135"/>
      <c r="NML15" s="131"/>
      <c r="NMM15" s="131"/>
      <c r="NMN15" s="131"/>
      <c r="NMO15" s="131"/>
      <c r="NMP15" s="131"/>
      <c r="NMQ15" s="131"/>
      <c r="NMR15" s="131"/>
      <c r="NMS15" s="131"/>
      <c r="NMT15" s="131"/>
      <c r="NMU15" s="131"/>
      <c r="NMV15" s="131"/>
      <c r="NMW15" s="131"/>
      <c r="NMX15" s="135"/>
      <c r="NMY15" s="135"/>
      <c r="NMZ15" s="135"/>
      <c r="NNA15" s="135"/>
      <c r="NNB15" s="131"/>
      <c r="NNC15" s="131"/>
      <c r="NND15" s="131"/>
      <c r="NNE15" s="131"/>
      <c r="NNF15" s="131"/>
      <c r="NNG15" s="131"/>
      <c r="NNH15" s="131"/>
      <c r="NNI15" s="131"/>
      <c r="NNJ15" s="131"/>
      <c r="NNK15" s="131"/>
      <c r="NNL15" s="131"/>
      <c r="NNM15" s="131"/>
      <c r="NNN15" s="135"/>
      <c r="NNO15" s="135"/>
      <c r="NNP15" s="135"/>
      <c r="NNQ15" s="135"/>
      <c r="NNR15" s="131"/>
      <c r="NNS15" s="131"/>
      <c r="NNT15" s="131"/>
      <c r="NNU15" s="131"/>
      <c r="NNV15" s="131"/>
      <c r="NNW15" s="131"/>
      <c r="NNX15" s="131"/>
      <c r="NNY15" s="131"/>
      <c r="NNZ15" s="131"/>
      <c r="NOA15" s="131"/>
      <c r="NOB15" s="131"/>
      <c r="NOC15" s="131"/>
      <c r="NOD15" s="135"/>
      <c r="NOE15" s="135"/>
      <c r="NOF15" s="135"/>
      <c r="NOG15" s="135"/>
      <c r="NOH15" s="131"/>
      <c r="NOI15" s="131"/>
      <c r="NOJ15" s="131"/>
      <c r="NOK15" s="131"/>
      <c r="NOL15" s="131"/>
      <c r="NOM15" s="131"/>
      <c r="NON15" s="131"/>
      <c r="NOO15" s="131"/>
      <c r="NOP15" s="131"/>
      <c r="NOQ15" s="131"/>
      <c r="NOR15" s="131"/>
      <c r="NOS15" s="131"/>
      <c r="NOT15" s="135"/>
      <c r="NOU15" s="135"/>
      <c r="NOV15" s="135"/>
      <c r="NOW15" s="135"/>
      <c r="NOX15" s="131"/>
      <c r="NOY15" s="131"/>
      <c r="NOZ15" s="131"/>
      <c r="NPA15" s="131"/>
      <c r="NPB15" s="131"/>
      <c r="NPC15" s="131"/>
      <c r="NPD15" s="131"/>
      <c r="NPE15" s="131"/>
      <c r="NPF15" s="131"/>
      <c r="NPG15" s="131"/>
      <c r="NPH15" s="131"/>
      <c r="NPI15" s="131"/>
      <c r="NPJ15" s="135"/>
      <c r="NPK15" s="135"/>
      <c r="NPL15" s="135"/>
      <c r="NPM15" s="135"/>
      <c r="NPN15" s="131"/>
      <c r="NPO15" s="131"/>
      <c r="NPP15" s="131"/>
      <c r="NPQ15" s="131"/>
      <c r="NPR15" s="131"/>
      <c r="NPS15" s="131"/>
      <c r="NPT15" s="131"/>
      <c r="NPU15" s="131"/>
      <c r="NPV15" s="131"/>
      <c r="NPW15" s="131"/>
      <c r="NPX15" s="131"/>
      <c r="NPY15" s="131"/>
      <c r="NPZ15" s="135"/>
      <c r="NQA15" s="135"/>
      <c r="NQB15" s="135"/>
      <c r="NQC15" s="135"/>
      <c r="NQD15" s="131"/>
      <c r="NQE15" s="131"/>
      <c r="NQF15" s="131"/>
      <c r="NQG15" s="131"/>
      <c r="NQH15" s="131"/>
      <c r="NQI15" s="131"/>
      <c r="NQJ15" s="131"/>
      <c r="NQK15" s="131"/>
      <c r="NQL15" s="131"/>
      <c r="NQM15" s="131"/>
      <c r="NQN15" s="131"/>
      <c r="NQO15" s="131"/>
      <c r="NQP15" s="135"/>
      <c r="NQQ15" s="135"/>
      <c r="NQR15" s="135"/>
      <c r="NQS15" s="135"/>
      <c r="NQT15" s="131"/>
      <c r="NQU15" s="131"/>
      <c r="NQV15" s="131"/>
      <c r="NQW15" s="131"/>
      <c r="NQX15" s="131"/>
      <c r="NQY15" s="131"/>
      <c r="NQZ15" s="131"/>
      <c r="NRA15" s="131"/>
      <c r="NRB15" s="131"/>
      <c r="NRC15" s="131"/>
      <c r="NRD15" s="131"/>
      <c r="NRE15" s="131"/>
      <c r="NRF15" s="135"/>
      <c r="NRG15" s="135"/>
      <c r="NRH15" s="135"/>
      <c r="NRI15" s="135"/>
      <c r="NRJ15" s="131"/>
      <c r="NRK15" s="131"/>
      <c r="NRL15" s="131"/>
      <c r="NRM15" s="131"/>
      <c r="NRN15" s="131"/>
      <c r="NRO15" s="131"/>
      <c r="NRP15" s="131"/>
      <c r="NRQ15" s="131"/>
      <c r="NRR15" s="131"/>
      <c r="NRS15" s="131"/>
      <c r="NRT15" s="131"/>
      <c r="NRU15" s="131"/>
      <c r="NRV15" s="135"/>
      <c r="NRW15" s="135"/>
      <c r="NRX15" s="135"/>
      <c r="NRY15" s="135"/>
      <c r="NRZ15" s="131"/>
      <c r="NSA15" s="131"/>
      <c r="NSB15" s="131"/>
      <c r="NSC15" s="131"/>
      <c r="NSD15" s="131"/>
      <c r="NSE15" s="131"/>
      <c r="NSF15" s="131"/>
      <c r="NSG15" s="131"/>
      <c r="NSH15" s="131"/>
      <c r="NSI15" s="131"/>
      <c r="NSJ15" s="131"/>
      <c r="NSK15" s="131"/>
      <c r="NSL15" s="135"/>
      <c r="NSM15" s="135"/>
      <c r="NSN15" s="135"/>
      <c r="NSO15" s="135"/>
      <c r="NSP15" s="131"/>
      <c r="NSQ15" s="131"/>
      <c r="NSR15" s="131"/>
      <c r="NSS15" s="131"/>
      <c r="NST15" s="131"/>
      <c r="NSU15" s="131"/>
      <c r="NSV15" s="131"/>
      <c r="NSW15" s="131"/>
      <c r="NSX15" s="131"/>
      <c r="NSY15" s="131"/>
      <c r="NSZ15" s="131"/>
      <c r="NTA15" s="131"/>
      <c r="NTB15" s="135"/>
      <c r="NTC15" s="135"/>
      <c r="NTD15" s="135"/>
      <c r="NTE15" s="135"/>
      <c r="NTF15" s="131"/>
      <c r="NTG15" s="131"/>
      <c r="NTH15" s="131"/>
      <c r="NTI15" s="131"/>
      <c r="NTJ15" s="131"/>
      <c r="NTK15" s="131"/>
      <c r="NTL15" s="131"/>
      <c r="NTM15" s="131"/>
      <c r="NTN15" s="131"/>
      <c r="NTO15" s="131"/>
      <c r="NTP15" s="131"/>
      <c r="NTQ15" s="131"/>
      <c r="NTR15" s="135"/>
      <c r="NTS15" s="135"/>
      <c r="NTT15" s="135"/>
      <c r="NTU15" s="135"/>
      <c r="NTV15" s="131"/>
      <c r="NTW15" s="131"/>
      <c r="NTX15" s="131"/>
      <c r="NTY15" s="131"/>
      <c r="NTZ15" s="131"/>
      <c r="NUA15" s="131"/>
      <c r="NUB15" s="131"/>
      <c r="NUC15" s="131"/>
      <c r="NUD15" s="131"/>
      <c r="NUE15" s="131"/>
      <c r="NUF15" s="131"/>
      <c r="NUG15" s="131"/>
      <c r="NUH15" s="135"/>
      <c r="NUI15" s="135"/>
      <c r="NUJ15" s="135"/>
      <c r="NUK15" s="135"/>
      <c r="NUL15" s="131"/>
      <c r="NUM15" s="131"/>
      <c r="NUN15" s="131"/>
      <c r="NUO15" s="131"/>
      <c r="NUP15" s="131"/>
      <c r="NUQ15" s="131"/>
      <c r="NUR15" s="131"/>
      <c r="NUS15" s="131"/>
      <c r="NUT15" s="131"/>
      <c r="NUU15" s="131"/>
      <c r="NUV15" s="131"/>
      <c r="NUW15" s="131"/>
      <c r="NUX15" s="135"/>
      <c r="NUY15" s="135"/>
      <c r="NUZ15" s="135"/>
      <c r="NVA15" s="135"/>
      <c r="NVB15" s="131"/>
      <c r="NVC15" s="131"/>
      <c r="NVD15" s="131"/>
      <c r="NVE15" s="131"/>
      <c r="NVF15" s="131"/>
      <c r="NVG15" s="131"/>
      <c r="NVH15" s="131"/>
      <c r="NVI15" s="131"/>
      <c r="NVJ15" s="131"/>
      <c r="NVK15" s="131"/>
      <c r="NVL15" s="131"/>
      <c r="NVM15" s="131"/>
      <c r="NVN15" s="135"/>
      <c r="NVO15" s="135"/>
      <c r="NVP15" s="135"/>
      <c r="NVQ15" s="135"/>
      <c r="NVR15" s="131"/>
      <c r="NVS15" s="131"/>
      <c r="NVT15" s="131"/>
      <c r="NVU15" s="131"/>
      <c r="NVV15" s="131"/>
      <c r="NVW15" s="131"/>
      <c r="NVX15" s="131"/>
      <c r="NVY15" s="131"/>
      <c r="NVZ15" s="131"/>
      <c r="NWA15" s="131"/>
      <c r="NWB15" s="131"/>
      <c r="NWC15" s="131"/>
      <c r="NWD15" s="135"/>
      <c r="NWE15" s="135"/>
      <c r="NWF15" s="135"/>
      <c r="NWG15" s="135"/>
      <c r="NWH15" s="131"/>
      <c r="NWI15" s="131"/>
      <c r="NWJ15" s="131"/>
      <c r="NWK15" s="131"/>
      <c r="NWL15" s="131"/>
      <c r="NWM15" s="131"/>
      <c r="NWN15" s="131"/>
      <c r="NWO15" s="131"/>
      <c r="NWP15" s="131"/>
      <c r="NWQ15" s="131"/>
      <c r="NWR15" s="131"/>
      <c r="NWS15" s="131"/>
      <c r="NWT15" s="135"/>
      <c r="NWU15" s="135"/>
      <c r="NWV15" s="135"/>
      <c r="NWW15" s="135"/>
      <c r="NWX15" s="131"/>
      <c r="NWY15" s="131"/>
      <c r="NWZ15" s="131"/>
      <c r="NXA15" s="131"/>
      <c r="NXB15" s="131"/>
      <c r="NXC15" s="131"/>
      <c r="NXD15" s="131"/>
      <c r="NXE15" s="131"/>
      <c r="NXF15" s="131"/>
      <c r="NXG15" s="131"/>
      <c r="NXH15" s="131"/>
      <c r="NXI15" s="131"/>
      <c r="NXJ15" s="135"/>
      <c r="NXK15" s="135"/>
      <c r="NXL15" s="135"/>
      <c r="NXM15" s="135"/>
      <c r="NXN15" s="131"/>
      <c r="NXO15" s="131"/>
      <c r="NXP15" s="131"/>
      <c r="NXQ15" s="131"/>
      <c r="NXR15" s="131"/>
      <c r="NXS15" s="131"/>
      <c r="NXT15" s="131"/>
      <c r="NXU15" s="131"/>
      <c r="NXV15" s="131"/>
      <c r="NXW15" s="131"/>
      <c r="NXX15" s="131"/>
      <c r="NXY15" s="131"/>
      <c r="NXZ15" s="135"/>
      <c r="NYA15" s="135"/>
      <c r="NYB15" s="135"/>
      <c r="NYC15" s="135"/>
      <c r="NYD15" s="131"/>
      <c r="NYE15" s="131"/>
      <c r="NYF15" s="131"/>
      <c r="NYG15" s="131"/>
      <c r="NYH15" s="131"/>
      <c r="NYI15" s="131"/>
      <c r="NYJ15" s="131"/>
      <c r="NYK15" s="131"/>
      <c r="NYL15" s="131"/>
      <c r="NYM15" s="131"/>
      <c r="NYN15" s="131"/>
      <c r="NYO15" s="131"/>
      <c r="NYP15" s="135"/>
      <c r="NYQ15" s="135"/>
      <c r="NYR15" s="135"/>
      <c r="NYS15" s="135"/>
      <c r="NYT15" s="131"/>
      <c r="NYU15" s="131"/>
      <c r="NYV15" s="131"/>
      <c r="NYW15" s="131"/>
      <c r="NYX15" s="131"/>
      <c r="NYY15" s="131"/>
      <c r="NYZ15" s="131"/>
      <c r="NZA15" s="131"/>
      <c r="NZB15" s="131"/>
      <c r="NZC15" s="131"/>
      <c r="NZD15" s="131"/>
      <c r="NZE15" s="131"/>
      <c r="NZF15" s="135"/>
      <c r="NZG15" s="135"/>
      <c r="NZH15" s="135"/>
      <c r="NZI15" s="135"/>
      <c r="NZJ15" s="131"/>
      <c r="NZK15" s="131"/>
      <c r="NZL15" s="131"/>
      <c r="NZM15" s="131"/>
      <c r="NZN15" s="131"/>
      <c r="NZO15" s="131"/>
      <c r="NZP15" s="131"/>
      <c r="NZQ15" s="131"/>
      <c r="NZR15" s="131"/>
      <c r="NZS15" s="131"/>
      <c r="NZT15" s="131"/>
      <c r="NZU15" s="131"/>
      <c r="NZV15" s="135"/>
      <c r="NZW15" s="135"/>
      <c r="NZX15" s="135"/>
      <c r="NZY15" s="135"/>
      <c r="NZZ15" s="131"/>
      <c r="OAA15" s="131"/>
      <c r="OAB15" s="131"/>
      <c r="OAC15" s="131"/>
      <c r="OAD15" s="131"/>
      <c r="OAE15" s="131"/>
      <c r="OAF15" s="131"/>
      <c r="OAG15" s="131"/>
      <c r="OAH15" s="131"/>
      <c r="OAI15" s="131"/>
      <c r="OAJ15" s="131"/>
      <c r="OAK15" s="131"/>
      <c r="OAL15" s="135"/>
      <c r="OAM15" s="135"/>
      <c r="OAN15" s="135"/>
      <c r="OAO15" s="135"/>
      <c r="OAP15" s="131"/>
      <c r="OAQ15" s="131"/>
      <c r="OAR15" s="131"/>
      <c r="OAS15" s="131"/>
      <c r="OAT15" s="131"/>
      <c r="OAU15" s="131"/>
      <c r="OAV15" s="131"/>
      <c r="OAW15" s="131"/>
      <c r="OAX15" s="131"/>
      <c r="OAY15" s="131"/>
      <c r="OAZ15" s="131"/>
      <c r="OBA15" s="131"/>
      <c r="OBB15" s="135"/>
      <c r="OBC15" s="135"/>
      <c r="OBD15" s="135"/>
      <c r="OBE15" s="135"/>
      <c r="OBF15" s="131"/>
      <c r="OBG15" s="131"/>
      <c r="OBH15" s="131"/>
      <c r="OBI15" s="131"/>
      <c r="OBJ15" s="131"/>
      <c r="OBK15" s="131"/>
      <c r="OBL15" s="131"/>
      <c r="OBM15" s="131"/>
      <c r="OBN15" s="131"/>
      <c r="OBO15" s="131"/>
      <c r="OBP15" s="131"/>
      <c r="OBQ15" s="131"/>
      <c r="OBR15" s="135"/>
      <c r="OBS15" s="135"/>
      <c r="OBT15" s="135"/>
      <c r="OBU15" s="135"/>
      <c r="OBV15" s="131"/>
      <c r="OBW15" s="131"/>
      <c r="OBX15" s="131"/>
      <c r="OBY15" s="131"/>
      <c r="OBZ15" s="131"/>
      <c r="OCA15" s="131"/>
      <c r="OCB15" s="131"/>
      <c r="OCC15" s="131"/>
      <c r="OCD15" s="131"/>
      <c r="OCE15" s="131"/>
      <c r="OCF15" s="131"/>
      <c r="OCG15" s="131"/>
      <c r="OCH15" s="135"/>
      <c r="OCI15" s="135"/>
      <c r="OCJ15" s="135"/>
      <c r="OCK15" s="135"/>
      <c r="OCX15" s="135"/>
      <c r="OCY15" s="135"/>
      <c r="OCZ15" s="135"/>
      <c r="ODA15" s="135"/>
      <c r="ODB15" s="131"/>
      <c r="ODC15" s="131"/>
      <c r="ODD15" s="131"/>
      <c r="ODE15" s="131"/>
      <c r="ODF15" s="131"/>
      <c r="ODG15" s="131"/>
      <c r="ODH15" s="131"/>
      <c r="ODI15" s="131"/>
      <c r="ODJ15" s="131"/>
      <c r="ODK15" s="131"/>
      <c r="ODL15" s="131"/>
      <c r="ODM15" s="131"/>
      <c r="ODN15" s="135"/>
      <c r="ODO15" s="135"/>
      <c r="ODP15" s="135"/>
      <c r="ODQ15" s="135"/>
      <c r="ODR15" s="131"/>
      <c r="ODS15" s="131"/>
      <c r="ODT15" s="131"/>
      <c r="ODU15" s="131"/>
      <c r="ODV15" s="131"/>
      <c r="ODW15" s="131"/>
      <c r="ODX15" s="131"/>
      <c r="ODY15" s="131"/>
      <c r="ODZ15" s="131"/>
      <c r="OEA15" s="131"/>
      <c r="OEB15" s="131"/>
      <c r="OEC15" s="131"/>
      <c r="OED15" s="135"/>
      <c r="OEE15" s="135"/>
      <c r="OEF15" s="135"/>
      <c r="OEG15" s="135"/>
      <c r="OEH15" s="131"/>
      <c r="OEI15" s="131"/>
      <c r="OEJ15" s="131"/>
      <c r="OEK15" s="131"/>
      <c r="OEL15" s="131"/>
      <c r="OEM15" s="131"/>
      <c r="OEN15" s="131"/>
      <c r="OEO15" s="131"/>
      <c r="OEP15" s="131"/>
      <c r="OEQ15" s="131"/>
      <c r="OER15" s="131"/>
      <c r="OES15" s="131"/>
      <c r="OET15" s="135"/>
      <c r="OEU15" s="135"/>
      <c r="OEV15" s="135"/>
      <c r="OEW15" s="135"/>
      <c r="OEX15" s="131"/>
      <c r="OEY15" s="131"/>
      <c r="OEZ15" s="131"/>
      <c r="OFA15" s="131"/>
      <c r="OFB15" s="131"/>
      <c r="OFC15" s="131"/>
      <c r="OFD15" s="131"/>
      <c r="OFE15" s="131"/>
      <c r="OFF15" s="131"/>
      <c r="OFG15" s="131"/>
      <c r="OFH15" s="131"/>
      <c r="OFI15" s="131"/>
      <c r="OFJ15" s="135"/>
      <c r="OFK15" s="135"/>
      <c r="OFL15" s="135"/>
      <c r="OFM15" s="135"/>
      <c r="OFN15" s="131"/>
      <c r="OFO15" s="131"/>
      <c r="OFP15" s="131"/>
      <c r="OFQ15" s="131"/>
      <c r="OFR15" s="131"/>
      <c r="OFS15" s="131"/>
      <c r="OFT15" s="131"/>
      <c r="OFU15" s="131"/>
      <c r="OFV15" s="131"/>
      <c r="OFW15" s="131"/>
      <c r="OFX15" s="131"/>
      <c r="OFY15" s="131"/>
      <c r="OFZ15" s="135"/>
      <c r="OGA15" s="135"/>
      <c r="OGB15" s="135"/>
      <c r="OGC15" s="135"/>
      <c r="OGD15" s="131"/>
      <c r="OGE15" s="131"/>
      <c r="OGF15" s="131"/>
      <c r="OGG15" s="131"/>
      <c r="OGH15" s="131"/>
      <c r="OGI15" s="131"/>
      <c r="OGJ15" s="131"/>
      <c r="OGK15" s="131"/>
      <c r="OGL15" s="131"/>
      <c r="OGM15" s="131"/>
      <c r="OGN15" s="131"/>
      <c r="OGO15" s="131"/>
      <c r="OGP15" s="135"/>
      <c r="OGQ15" s="135"/>
      <c r="OGR15" s="135"/>
      <c r="OGS15" s="135"/>
      <c r="OGT15" s="131"/>
      <c r="OGU15" s="131"/>
      <c r="OGV15" s="131"/>
      <c r="OGW15" s="131"/>
      <c r="OGX15" s="131"/>
      <c r="OGY15" s="131"/>
      <c r="OGZ15" s="131"/>
      <c r="OHA15" s="131"/>
      <c r="OHB15" s="131"/>
      <c r="OHC15" s="131"/>
      <c r="OHD15" s="131"/>
      <c r="OHE15" s="131"/>
      <c r="OHF15" s="135"/>
      <c r="OHG15" s="135"/>
      <c r="OHH15" s="135"/>
      <c r="OHI15" s="135"/>
      <c r="OHJ15" s="131"/>
      <c r="OHK15" s="131"/>
      <c r="OHL15" s="131"/>
      <c r="OHM15" s="131"/>
      <c r="OHN15" s="131"/>
      <c r="OHO15" s="131"/>
      <c r="OHP15" s="131"/>
      <c r="OHQ15" s="131"/>
      <c r="OHR15" s="131"/>
      <c r="OHS15" s="131"/>
      <c r="OHT15" s="131"/>
      <c r="OHU15" s="131"/>
      <c r="OHV15" s="135"/>
      <c r="OHW15" s="135"/>
      <c r="OHX15" s="135"/>
      <c r="OHY15" s="135"/>
      <c r="OHZ15" s="131"/>
      <c r="OIA15" s="131"/>
      <c r="OIB15" s="131"/>
      <c r="OIC15" s="131"/>
      <c r="OID15" s="131"/>
      <c r="OIE15" s="131"/>
      <c r="OIF15" s="131"/>
      <c r="OIG15" s="131"/>
      <c r="OIH15" s="131"/>
      <c r="OII15" s="131"/>
      <c r="OIJ15" s="131"/>
      <c r="OIK15" s="131"/>
      <c r="OIL15" s="135"/>
      <c r="OIM15" s="135"/>
      <c r="OIN15" s="135"/>
      <c r="OIO15" s="135"/>
      <c r="OIP15" s="131"/>
      <c r="OIQ15" s="131"/>
      <c r="OIR15" s="131"/>
      <c r="OIS15" s="131"/>
      <c r="OIT15" s="131"/>
      <c r="OIU15" s="131"/>
      <c r="OIV15" s="131"/>
      <c r="OIW15" s="131"/>
      <c r="OIX15" s="131"/>
      <c r="OIY15" s="131"/>
      <c r="OIZ15" s="131"/>
      <c r="OJA15" s="131"/>
      <c r="OJB15" s="135"/>
      <c r="OJC15" s="135"/>
      <c r="OJD15" s="135"/>
      <c r="OJE15" s="135"/>
      <c r="OJF15" s="131"/>
      <c r="OJG15" s="131"/>
      <c r="OJH15" s="131"/>
      <c r="OJI15" s="131"/>
      <c r="OJJ15" s="131"/>
      <c r="OJK15" s="131"/>
      <c r="OJL15" s="131"/>
      <c r="OJM15" s="131"/>
      <c r="OJN15" s="131"/>
      <c r="OJO15" s="131"/>
      <c r="OJP15" s="131"/>
      <c r="OJQ15" s="131"/>
      <c r="OJR15" s="135"/>
      <c r="OJS15" s="135"/>
      <c r="OJT15" s="135"/>
      <c r="OJU15" s="135"/>
      <c r="OJV15" s="131"/>
      <c r="OJW15" s="131"/>
      <c r="OJX15" s="131"/>
      <c r="OJY15" s="131"/>
      <c r="OJZ15" s="131"/>
      <c r="OKA15" s="131"/>
      <c r="OKB15" s="131"/>
      <c r="OKC15" s="131"/>
      <c r="OKD15" s="131"/>
      <c r="OKE15" s="131"/>
      <c r="OKF15" s="131"/>
      <c r="OKG15" s="131"/>
      <c r="OKH15" s="135"/>
      <c r="OKI15" s="135"/>
      <c r="OKJ15" s="135"/>
      <c r="OKK15" s="135"/>
      <c r="OKL15" s="131"/>
      <c r="OKM15" s="131"/>
      <c r="OKN15" s="131"/>
      <c r="OKO15" s="131"/>
      <c r="OKP15" s="131"/>
      <c r="OKQ15" s="131"/>
      <c r="OKR15" s="131"/>
      <c r="OKS15" s="131"/>
      <c r="OKT15" s="131"/>
      <c r="OKU15" s="131"/>
      <c r="OKV15" s="131"/>
      <c r="OKW15" s="131"/>
      <c r="OKX15" s="135"/>
      <c r="OKY15" s="135"/>
      <c r="OKZ15" s="135"/>
      <c r="OLA15" s="135"/>
      <c r="OLB15" s="131"/>
      <c r="OLC15" s="131"/>
      <c r="OLD15" s="131"/>
      <c r="OLE15" s="131"/>
      <c r="OLF15" s="131"/>
      <c r="OLG15" s="131"/>
      <c r="OLH15" s="131"/>
      <c r="OLI15" s="131"/>
      <c r="OLJ15" s="131"/>
      <c r="OLK15" s="131"/>
      <c r="OLL15" s="131"/>
      <c r="OLM15" s="131"/>
      <c r="OLN15" s="135"/>
      <c r="OLO15" s="135"/>
      <c r="OLP15" s="135"/>
      <c r="OLQ15" s="135"/>
      <c r="OLR15" s="131"/>
      <c r="OLS15" s="131"/>
      <c r="OLT15" s="131"/>
      <c r="OLU15" s="131"/>
      <c r="OLV15" s="131"/>
      <c r="OLW15" s="131"/>
      <c r="OLX15" s="131"/>
      <c r="OLY15" s="131"/>
      <c r="OLZ15" s="131"/>
      <c r="OMA15" s="131"/>
      <c r="OMB15" s="131"/>
      <c r="OMC15" s="131"/>
      <c r="OMD15" s="135"/>
      <c r="OME15" s="135"/>
      <c r="OMF15" s="135"/>
      <c r="OMG15" s="135"/>
      <c r="OMH15" s="131"/>
      <c r="OMI15" s="131"/>
      <c r="OMJ15" s="131"/>
      <c r="OMK15" s="131"/>
      <c r="OML15" s="131"/>
      <c r="OMM15" s="131"/>
      <c r="OMN15" s="131"/>
      <c r="OMO15" s="131"/>
      <c r="OMP15" s="131"/>
      <c r="OMQ15" s="131"/>
      <c r="OMR15" s="131"/>
      <c r="OMS15" s="131"/>
      <c r="OMT15" s="135"/>
      <c r="OMU15" s="135"/>
      <c r="OMV15" s="135"/>
      <c r="OMW15" s="135"/>
      <c r="OMX15" s="131"/>
      <c r="OMY15" s="131"/>
      <c r="OMZ15" s="131"/>
      <c r="ONA15" s="131"/>
      <c r="ONB15" s="131"/>
      <c r="ONC15" s="131"/>
      <c r="OND15" s="131"/>
      <c r="ONE15" s="131"/>
      <c r="ONF15" s="131"/>
      <c r="ONG15" s="131"/>
      <c r="ONH15" s="131"/>
      <c r="ONI15" s="131"/>
      <c r="ONJ15" s="135"/>
      <c r="ONK15" s="135"/>
      <c r="ONL15" s="135"/>
      <c r="ONM15" s="135"/>
      <c r="ONN15" s="131"/>
      <c r="ONO15" s="131"/>
      <c r="ONP15" s="131"/>
      <c r="ONQ15" s="131"/>
      <c r="ONR15" s="131"/>
      <c r="ONS15" s="131"/>
      <c r="ONT15" s="131"/>
      <c r="ONU15" s="131"/>
      <c r="ONV15" s="131"/>
      <c r="ONW15" s="131"/>
      <c r="ONX15" s="131"/>
      <c r="ONY15" s="131"/>
      <c r="ONZ15" s="135"/>
      <c r="OOA15" s="135"/>
      <c r="OOB15" s="135"/>
      <c r="OOC15" s="135"/>
      <c r="OOD15" s="131"/>
      <c r="OOE15" s="131"/>
      <c r="OOF15" s="131"/>
      <c r="OOG15" s="131"/>
      <c r="OOH15" s="131"/>
      <c r="OOI15" s="131"/>
      <c r="OOJ15" s="131"/>
      <c r="OOK15" s="131"/>
      <c r="OOL15" s="131"/>
      <c r="OOM15" s="131"/>
      <c r="OON15" s="131"/>
      <c r="OOO15" s="131"/>
      <c r="OOP15" s="135"/>
      <c r="OOQ15" s="135"/>
      <c r="OOR15" s="135"/>
      <c r="OOS15" s="135"/>
      <c r="OOT15" s="131"/>
      <c r="OOU15" s="131"/>
      <c r="OOV15" s="131"/>
      <c r="OOW15" s="131"/>
      <c r="OOX15" s="131"/>
      <c r="OOY15" s="131"/>
      <c r="OOZ15" s="131"/>
      <c r="OPA15" s="131"/>
      <c r="OPB15" s="131"/>
      <c r="OPC15" s="131"/>
      <c r="OPD15" s="131"/>
      <c r="OPE15" s="131"/>
      <c r="OPF15" s="135"/>
      <c r="OPG15" s="135"/>
      <c r="OPH15" s="135"/>
      <c r="OPI15" s="135"/>
      <c r="OPJ15" s="131"/>
      <c r="OPK15" s="131"/>
      <c r="OPL15" s="131"/>
      <c r="OPM15" s="131"/>
      <c r="OPN15" s="131"/>
      <c r="OPO15" s="131"/>
      <c r="OPP15" s="131"/>
      <c r="OPQ15" s="131"/>
      <c r="OPR15" s="131"/>
      <c r="OPS15" s="131"/>
      <c r="OPT15" s="131"/>
      <c r="OPU15" s="131"/>
      <c r="OPV15" s="135"/>
      <c r="OPW15" s="135"/>
      <c r="OPX15" s="135"/>
      <c r="OPY15" s="135"/>
      <c r="OPZ15" s="131"/>
      <c r="OQA15" s="131"/>
      <c r="OQB15" s="131"/>
      <c r="OQC15" s="131"/>
      <c r="OQD15" s="131"/>
      <c r="OQE15" s="131"/>
      <c r="OQF15" s="131"/>
      <c r="OQG15" s="131"/>
      <c r="OQH15" s="131"/>
      <c r="OQI15" s="131"/>
      <c r="OQJ15" s="131"/>
      <c r="OQK15" s="131"/>
      <c r="OQL15" s="135"/>
      <c r="OQM15" s="135"/>
      <c r="OQN15" s="135"/>
      <c r="OQO15" s="135"/>
      <c r="OQP15" s="131"/>
      <c r="OQQ15" s="131"/>
      <c r="OQR15" s="131"/>
      <c r="OQS15" s="131"/>
      <c r="OQT15" s="131"/>
      <c r="OQU15" s="131"/>
      <c r="OQV15" s="131"/>
      <c r="OQW15" s="131"/>
      <c r="OQX15" s="131"/>
      <c r="OQY15" s="131"/>
      <c r="OQZ15" s="131"/>
      <c r="ORA15" s="131"/>
      <c r="ORB15" s="135"/>
      <c r="ORC15" s="135"/>
      <c r="ORD15" s="135"/>
      <c r="ORE15" s="135"/>
      <c r="ORF15" s="131"/>
      <c r="ORG15" s="131"/>
      <c r="ORH15" s="131"/>
      <c r="ORI15" s="131"/>
      <c r="ORJ15" s="131"/>
      <c r="ORK15" s="131"/>
      <c r="ORL15" s="131"/>
      <c r="ORM15" s="131"/>
      <c r="ORN15" s="131"/>
      <c r="ORO15" s="131"/>
      <c r="ORP15" s="131"/>
      <c r="ORQ15" s="131"/>
      <c r="ORR15" s="135"/>
      <c r="ORS15" s="135"/>
      <c r="ORT15" s="135"/>
      <c r="ORU15" s="135"/>
      <c r="ORV15" s="131"/>
      <c r="ORW15" s="131"/>
      <c r="ORX15" s="131"/>
      <c r="ORY15" s="131"/>
      <c r="ORZ15" s="131"/>
      <c r="OSA15" s="131"/>
      <c r="OSB15" s="131"/>
      <c r="OSC15" s="131"/>
      <c r="OSD15" s="131"/>
      <c r="OSE15" s="131"/>
      <c r="OSF15" s="131"/>
      <c r="OSG15" s="131"/>
      <c r="OSH15" s="135"/>
      <c r="OSI15" s="135"/>
      <c r="OSJ15" s="135"/>
      <c r="OSK15" s="135"/>
      <c r="OSL15" s="131"/>
      <c r="OSM15" s="131"/>
      <c r="OSN15" s="131"/>
      <c r="OSO15" s="131"/>
      <c r="OSP15" s="131"/>
      <c r="OSQ15" s="131"/>
      <c r="OSR15" s="131"/>
      <c r="OSS15" s="131"/>
      <c r="OST15" s="131"/>
      <c r="OSU15" s="131"/>
      <c r="OSV15" s="131"/>
      <c r="OSW15" s="131"/>
      <c r="OSX15" s="135"/>
      <c r="OSY15" s="135"/>
      <c r="OSZ15" s="135"/>
      <c r="OTA15" s="135"/>
      <c r="OTB15" s="131"/>
      <c r="OTC15" s="131"/>
      <c r="OTD15" s="131"/>
      <c r="OTE15" s="131"/>
      <c r="OTF15" s="131"/>
      <c r="OTG15" s="131"/>
      <c r="OTH15" s="131"/>
      <c r="OTI15" s="131"/>
      <c r="OTJ15" s="131"/>
      <c r="OTK15" s="131"/>
      <c r="OTL15" s="131"/>
      <c r="OTM15" s="131"/>
      <c r="OTN15" s="135"/>
      <c r="OTO15" s="135"/>
      <c r="OTP15" s="135"/>
      <c r="OTQ15" s="135"/>
      <c r="OTR15" s="131"/>
      <c r="OTS15" s="131"/>
      <c r="OTT15" s="131"/>
      <c r="OTU15" s="131"/>
      <c r="OTV15" s="131"/>
      <c r="OTW15" s="131"/>
      <c r="OTX15" s="131"/>
      <c r="OTY15" s="131"/>
      <c r="OTZ15" s="131"/>
      <c r="OUA15" s="131"/>
      <c r="OUB15" s="131"/>
      <c r="OUC15" s="131"/>
      <c r="OUD15" s="135"/>
      <c r="OUE15" s="135"/>
      <c r="OUF15" s="135"/>
      <c r="OUG15" s="135"/>
      <c r="OUH15" s="131"/>
      <c r="OUI15" s="131"/>
      <c r="OUJ15" s="131"/>
      <c r="OUK15" s="131"/>
      <c r="OUL15" s="131"/>
      <c r="OUM15" s="131"/>
      <c r="OUN15" s="131"/>
      <c r="OUO15" s="131"/>
      <c r="OUP15" s="131"/>
      <c r="OUQ15" s="131"/>
      <c r="OUR15" s="131"/>
      <c r="OUS15" s="131"/>
      <c r="OUT15" s="135"/>
      <c r="OUU15" s="135"/>
      <c r="OUV15" s="135"/>
      <c r="OUW15" s="135"/>
      <c r="OUX15" s="131"/>
      <c r="OUY15" s="131"/>
      <c r="OUZ15" s="131"/>
      <c r="OVA15" s="131"/>
      <c r="OVB15" s="131"/>
      <c r="OVC15" s="131"/>
      <c r="OVD15" s="131"/>
      <c r="OVE15" s="131"/>
      <c r="OVF15" s="131"/>
      <c r="OVG15" s="131"/>
      <c r="OVH15" s="131"/>
      <c r="OVI15" s="131"/>
      <c r="OVJ15" s="135"/>
      <c r="OVK15" s="135"/>
      <c r="OVL15" s="135"/>
      <c r="OVM15" s="135"/>
      <c r="OVN15" s="131"/>
      <c r="OVO15" s="131"/>
      <c r="OVP15" s="131"/>
      <c r="OVQ15" s="131"/>
      <c r="OVR15" s="131"/>
      <c r="OVS15" s="131"/>
      <c r="OVT15" s="131"/>
      <c r="OVU15" s="131"/>
      <c r="OVV15" s="131"/>
      <c r="OVW15" s="131"/>
      <c r="OVX15" s="131"/>
      <c r="OVY15" s="131"/>
      <c r="OVZ15" s="135"/>
      <c r="OWA15" s="135"/>
      <c r="OWB15" s="135"/>
      <c r="OWC15" s="135"/>
      <c r="OWD15" s="131"/>
      <c r="OWE15" s="131"/>
      <c r="OWF15" s="131"/>
      <c r="OWG15" s="131"/>
      <c r="OWH15" s="131"/>
      <c r="OWI15" s="131"/>
      <c r="OWJ15" s="131"/>
      <c r="OWK15" s="131"/>
      <c r="OWL15" s="131"/>
      <c r="OWM15" s="131"/>
      <c r="OWN15" s="131"/>
      <c r="OWO15" s="131"/>
      <c r="OWP15" s="135"/>
      <c r="OWQ15" s="135"/>
      <c r="OWR15" s="135"/>
      <c r="OWS15" s="135"/>
      <c r="OWT15" s="131"/>
      <c r="OWU15" s="131"/>
      <c r="OWV15" s="131"/>
      <c r="OWW15" s="131"/>
      <c r="OWX15" s="131"/>
      <c r="OWY15" s="131"/>
      <c r="OWZ15" s="131"/>
      <c r="OXA15" s="131"/>
      <c r="OXB15" s="131"/>
      <c r="OXC15" s="131"/>
      <c r="OXD15" s="131"/>
      <c r="OXE15" s="131"/>
      <c r="OXF15" s="135"/>
      <c r="OXG15" s="135"/>
      <c r="OXH15" s="135"/>
      <c r="OXI15" s="135"/>
      <c r="OXJ15" s="131"/>
      <c r="OXK15" s="131"/>
      <c r="OXL15" s="131"/>
      <c r="OXM15" s="131"/>
      <c r="OXN15" s="131"/>
      <c r="OXO15" s="131"/>
      <c r="OXP15" s="131"/>
      <c r="OXQ15" s="131"/>
      <c r="OXR15" s="131"/>
      <c r="OXS15" s="131"/>
      <c r="OXT15" s="131"/>
      <c r="OXU15" s="131"/>
      <c r="OXV15" s="135"/>
      <c r="OXW15" s="135"/>
      <c r="OXX15" s="135"/>
      <c r="OXY15" s="135"/>
      <c r="OXZ15" s="131"/>
      <c r="OYA15" s="131"/>
      <c r="OYB15" s="131"/>
      <c r="OYC15" s="131"/>
      <c r="OYD15" s="131"/>
      <c r="OYE15" s="131"/>
      <c r="OYF15" s="131"/>
      <c r="OYG15" s="131"/>
      <c r="OYH15" s="131"/>
      <c r="OYI15" s="131"/>
      <c r="OYJ15" s="131"/>
      <c r="OYK15" s="131"/>
      <c r="OYL15" s="135"/>
      <c r="OYM15" s="135"/>
      <c r="OYN15" s="135"/>
      <c r="OYO15" s="135"/>
      <c r="OYP15" s="131"/>
      <c r="OYQ15" s="131"/>
      <c r="OYR15" s="131"/>
      <c r="OYS15" s="131"/>
      <c r="OYT15" s="131"/>
      <c r="OYU15" s="131"/>
      <c r="OYV15" s="131"/>
      <c r="OYW15" s="131"/>
      <c r="OYX15" s="131"/>
      <c r="OYY15" s="131"/>
      <c r="OYZ15" s="131"/>
      <c r="OZA15" s="131"/>
      <c r="OZB15" s="135"/>
      <c r="OZC15" s="135"/>
      <c r="OZD15" s="135"/>
      <c r="OZE15" s="135"/>
      <c r="OZF15" s="131"/>
      <c r="OZG15" s="131"/>
      <c r="OZH15" s="131"/>
      <c r="OZI15" s="131"/>
      <c r="OZJ15" s="131"/>
      <c r="OZK15" s="131"/>
      <c r="OZL15" s="131"/>
      <c r="OZM15" s="131"/>
      <c r="OZN15" s="131"/>
      <c r="OZO15" s="131"/>
      <c r="OZP15" s="131"/>
      <c r="OZQ15" s="131"/>
      <c r="OZR15" s="135"/>
      <c r="OZS15" s="135"/>
      <c r="OZT15" s="135"/>
      <c r="OZU15" s="135"/>
      <c r="OZV15" s="131"/>
      <c r="OZW15" s="131"/>
      <c r="OZX15" s="131"/>
      <c r="OZY15" s="131"/>
      <c r="OZZ15" s="131"/>
      <c r="PAA15" s="131"/>
      <c r="PAB15" s="131"/>
      <c r="PAC15" s="131"/>
      <c r="PAD15" s="131"/>
      <c r="PAE15" s="131"/>
      <c r="PAF15" s="131"/>
      <c r="PAG15" s="131"/>
      <c r="PAH15" s="135"/>
      <c r="PAI15" s="135"/>
      <c r="PAJ15" s="135"/>
      <c r="PAK15" s="135"/>
      <c r="PAL15" s="131"/>
      <c r="PAM15" s="131"/>
      <c r="PAN15" s="131"/>
      <c r="PAO15" s="131"/>
      <c r="PAP15" s="131"/>
      <c r="PAQ15" s="131"/>
      <c r="PAR15" s="131"/>
      <c r="PAS15" s="131"/>
      <c r="PAT15" s="131"/>
      <c r="PAU15" s="131"/>
      <c r="PAV15" s="131"/>
      <c r="PAW15" s="131"/>
      <c r="PAX15" s="135"/>
      <c r="PAY15" s="135"/>
      <c r="PAZ15" s="135"/>
      <c r="PBA15" s="135"/>
      <c r="PBB15" s="131"/>
      <c r="PBC15" s="131"/>
      <c r="PBD15" s="131"/>
      <c r="PBE15" s="131"/>
      <c r="PBF15" s="131"/>
      <c r="PBG15" s="131"/>
      <c r="PBH15" s="131"/>
      <c r="PBI15" s="131"/>
      <c r="PBJ15" s="131"/>
      <c r="PBK15" s="131"/>
      <c r="PBL15" s="131"/>
      <c r="PBM15" s="131"/>
      <c r="PBN15" s="135"/>
      <c r="PBO15" s="135"/>
      <c r="PBP15" s="135"/>
      <c r="PBQ15" s="135"/>
      <c r="PBR15" s="131"/>
      <c r="PBS15" s="131"/>
      <c r="PBT15" s="131"/>
      <c r="PBU15" s="131"/>
      <c r="PBV15" s="131"/>
      <c r="PBW15" s="131"/>
      <c r="PBX15" s="131"/>
      <c r="PBY15" s="131"/>
      <c r="PBZ15" s="131"/>
      <c r="PCA15" s="131"/>
      <c r="PCB15" s="131"/>
      <c r="PCC15" s="131"/>
      <c r="PCD15" s="135"/>
      <c r="PCE15" s="135"/>
      <c r="PCF15" s="135"/>
      <c r="PCG15" s="135"/>
      <c r="PCH15" s="131"/>
      <c r="PCI15" s="131"/>
      <c r="PCJ15" s="131"/>
      <c r="PCK15" s="131"/>
      <c r="PCL15" s="131"/>
      <c r="PCM15" s="131"/>
      <c r="PCN15" s="131"/>
      <c r="PCO15" s="131"/>
      <c r="PCP15" s="131"/>
      <c r="PCQ15" s="131"/>
      <c r="PCR15" s="131"/>
      <c r="PCS15" s="131"/>
      <c r="PCT15" s="135"/>
      <c r="PCU15" s="135"/>
      <c r="PCV15" s="135"/>
      <c r="PCW15" s="135"/>
      <c r="PCX15" s="131"/>
      <c r="PCY15" s="131"/>
      <c r="PCZ15" s="131"/>
      <c r="PDA15" s="131"/>
      <c r="PDB15" s="131"/>
      <c r="PDC15" s="131"/>
      <c r="PDD15" s="131"/>
      <c r="PDE15" s="131"/>
      <c r="PDF15" s="131"/>
      <c r="PDG15" s="131"/>
      <c r="PDH15" s="131"/>
      <c r="PDI15" s="131"/>
      <c r="PDJ15" s="135"/>
      <c r="PDK15" s="135"/>
      <c r="PDL15" s="135"/>
      <c r="PDM15" s="135"/>
      <c r="PDN15" s="131"/>
      <c r="PDO15" s="131"/>
      <c r="PDP15" s="131"/>
      <c r="PDQ15" s="131"/>
      <c r="PDR15" s="131"/>
      <c r="PDS15" s="131"/>
      <c r="PDT15" s="131"/>
      <c r="PDU15" s="131"/>
      <c r="PDV15" s="131"/>
      <c r="PDW15" s="131"/>
      <c r="PDX15" s="131"/>
      <c r="PDY15" s="131"/>
      <c r="PDZ15" s="135"/>
      <c r="PEA15" s="135"/>
      <c r="PEB15" s="135"/>
      <c r="PEC15" s="135"/>
      <c r="PED15" s="131"/>
      <c r="PEE15" s="131"/>
      <c r="PEF15" s="131"/>
      <c r="PEG15" s="131"/>
      <c r="PEH15" s="131"/>
      <c r="PEI15" s="131"/>
      <c r="PEJ15" s="131"/>
      <c r="PEK15" s="131"/>
      <c r="PEL15" s="131"/>
      <c r="PEM15" s="131"/>
      <c r="PEN15" s="131"/>
      <c r="PEO15" s="131"/>
      <c r="PEP15" s="135"/>
      <c r="PEQ15" s="135"/>
      <c r="PER15" s="135"/>
      <c r="PES15" s="135"/>
      <c r="PET15" s="131"/>
      <c r="PEU15" s="131"/>
      <c r="PEV15" s="131"/>
      <c r="PEW15" s="131"/>
      <c r="PEX15" s="131"/>
      <c r="PEY15" s="131"/>
      <c r="PEZ15" s="131"/>
      <c r="PFA15" s="131"/>
      <c r="PFB15" s="131"/>
      <c r="PFC15" s="131"/>
      <c r="PFD15" s="131"/>
      <c r="PFE15" s="131"/>
      <c r="PFF15" s="135"/>
      <c r="PFG15" s="135"/>
      <c r="PFH15" s="135"/>
      <c r="PFI15" s="135"/>
      <c r="PFJ15" s="131"/>
      <c r="PFK15" s="131"/>
      <c r="PFL15" s="131"/>
      <c r="PFM15" s="131"/>
      <c r="PFN15" s="131"/>
      <c r="PFO15" s="131"/>
      <c r="PFP15" s="131"/>
      <c r="PFQ15" s="131"/>
      <c r="PFR15" s="131"/>
      <c r="PFS15" s="131"/>
      <c r="PFT15" s="131"/>
      <c r="PFU15" s="131"/>
      <c r="PFV15" s="135"/>
      <c r="PFW15" s="135"/>
      <c r="PFX15" s="135"/>
      <c r="PFY15" s="135"/>
      <c r="PFZ15" s="131"/>
      <c r="PGA15" s="131"/>
      <c r="PGB15" s="131"/>
      <c r="PGC15" s="131"/>
      <c r="PGD15" s="131"/>
      <c r="PGE15" s="131"/>
      <c r="PGF15" s="131"/>
      <c r="PGG15" s="131"/>
      <c r="PGH15" s="131"/>
      <c r="PGI15" s="131"/>
      <c r="PGJ15" s="131"/>
      <c r="PGK15" s="131"/>
      <c r="PGL15" s="135"/>
      <c r="PGM15" s="135"/>
      <c r="PGN15" s="135"/>
      <c r="PGO15" s="135"/>
      <c r="PGP15" s="131"/>
      <c r="PGQ15" s="131"/>
      <c r="PGR15" s="131"/>
      <c r="PGS15" s="131"/>
      <c r="PGT15" s="131"/>
      <c r="PGU15" s="131"/>
      <c r="PGV15" s="131"/>
      <c r="PGW15" s="131"/>
      <c r="PGX15" s="131"/>
      <c r="PGY15" s="131"/>
      <c r="PGZ15" s="131"/>
      <c r="PHA15" s="131"/>
      <c r="PHB15" s="135"/>
      <c r="PHC15" s="135"/>
      <c r="PHD15" s="135"/>
      <c r="PHE15" s="135"/>
      <c r="PHF15" s="131"/>
      <c r="PHG15" s="131"/>
      <c r="PHH15" s="131"/>
      <c r="PHI15" s="131"/>
      <c r="PHJ15" s="131"/>
      <c r="PHK15" s="131"/>
      <c r="PHL15" s="131"/>
      <c r="PHM15" s="131"/>
      <c r="PHN15" s="131"/>
      <c r="PHO15" s="131"/>
      <c r="PHP15" s="131"/>
      <c r="PHQ15" s="131"/>
      <c r="PHR15" s="135"/>
      <c r="PHS15" s="135"/>
      <c r="PHT15" s="135"/>
      <c r="PHU15" s="135"/>
      <c r="PHV15" s="131"/>
      <c r="PHW15" s="131"/>
      <c r="PHX15" s="131"/>
      <c r="PHY15" s="131"/>
      <c r="PHZ15" s="131"/>
      <c r="PIA15" s="131"/>
      <c r="PIB15" s="131"/>
      <c r="PIC15" s="131"/>
      <c r="PID15" s="131"/>
      <c r="PIE15" s="131"/>
      <c r="PIF15" s="131"/>
      <c r="PIG15" s="131"/>
      <c r="PIH15" s="135"/>
      <c r="PII15" s="135"/>
      <c r="PIJ15" s="135"/>
      <c r="PIK15" s="135"/>
      <c r="PIL15" s="131"/>
      <c r="PIM15" s="131"/>
      <c r="PIN15" s="131"/>
      <c r="PIO15" s="131"/>
      <c r="PIP15" s="131"/>
      <c r="PIQ15" s="131"/>
      <c r="PIR15" s="131"/>
      <c r="PIS15" s="131"/>
      <c r="PIT15" s="131"/>
      <c r="PIU15" s="131"/>
      <c r="PIV15" s="131"/>
      <c r="PIW15" s="131"/>
      <c r="PIX15" s="135"/>
      <c r="PIY15" s="135"/>
      <c r="PIZ15" s="135"/>
      <c r="PJA15" s="135"/>
      <c r="PJB15" s="131"/>
      <c r="PJC15" s="131"/>
      <c r="PJD15" s="131"/>
      <c r="PJE15" s="131"/>
      <c r="PJF15" s="131"/>
      <c r="PJG15" s="131"/>
      <c r="PJH15" s="131"/>
      <c r="PJI15" s="131"/>
      <c r="PJJ15" s="131"/>
      <c r="PJK15" s="131"/>
      <c r="PJL15" s="131"/>
      <c r="PJM15" s="131"/>
      <c r="PJN15" s="135"/>
      <c r="PJO15" s="135"/>
      <c r="PJP15" s="135"/>
      <c r="PJQ15" s="135"/>
      <c r="PJR15" s="131"/>
      <c r="PJS15" s="131"/>
      <c r="PJT15" s="131"/>
      <c r="PJU15" s="131"/>
      <c r="PJV15" s="131"/>
      <c r="PJW15" s="131"/>
      <c r="PJX15" s="131"/>
      <c r="PJY15" s="131"/>
      <c r="PJZ15" s="131"/>
      <c r="PKA15" s="131"/>
      <c r="PKB15" s="131"/>
      <c r="PKC15" s="131"/>
      <c r="PKD15" s="135"/>
      <c r="PKE15" s="135"/>
      <c r="PKF15" s="135"/>
      <c r="PKG15" s="135"/>
      <c r="PKH15" s="131"/>
      <c r="PKI15" s="131"/>
      <c r="PKJ15" s="131"/>
      <c r="PKK15" s="131"/>
      <c r="PKL15" s="131"/>
      <c r="PKM15" s="131"/>
      <c r="PKN15" s="131"/>
      <c r="PKO15" s="131"/>
      <c r="PKP15" s="131"/>
      <c r="PKQ15" s="131"/>
      <c r="PKR15" s="131"/>
      <c r="PKS15" s="131"/>
      <c r="PKT15" s="135"/>
      <c r="PKU15" s="135"/>
      <c r="PKV15" s="135"/>
      <c r="PKW15" s="135"/>
      <c r="PKX15" s="131"/>
      <c r="PKY15" s="131"/>
      <c r="PKZ15" s="131"/>
      <c r="PLA15" s="131"/>
      <c r="PLB15" s="131"/>
      <c r="PLC15" s="131"/>
      <c r="PLD15" s="131"/>
      <c r="PLE15" s="131"/>
      <c r="PLF15" s="131"/>
      <c r="PLG15" s="131"/>
      <c r="PLH15" s="131"/>
      <c r="PLI15" s="131"/>
      <c r="PLJ15" s="135"/>
      <c r="PLK15" s="135"/>
      <c r="PLL15" s="135"/>
      <c r="PLM15" s="135"/>
      <c r="PLN15" s="131"/>
      <c r="PLO15" s="131"/>
      <c r="PLP15" s="131"/>
      <c r="PLQ15" s="131"/>
      <c r="PLR15" s="131"/>
      <c r="PLS15" s="131"/>
      <c r="PLT15" s="131"/>
      <c r="PLU15" s="131"/>
      <c r="PLV15" s="131"/>
      <c r="PLW15" s="131"/>
      <c r="PLX15" s="131"/>
      <c r="PLY15" s="131"/>
      <c r="PLZ15" s="135"/>
      <c r="PMA15" s="135"/>
      <c r="PMB15" s="135"/>
      <c r="PMC15" s="135"/>
      <c r="PMD15" s="131"/>
      <c r="PME15" s="131"/>
      <c r="PMF15" s="131"/>
      <c r="PMG15" s="131"/>
      <c r="PMH15" s="131"/>
      <c r="PMI15" s="131"/>
      <c r="PMJ15" s="131"/>
      <c r="PMK15" s="131"/>
      <c r="PML15" s="131"/>
      <c r="PMM15" s="131"/>
      <c r="PMN15" s="131"/>
      <c r="PMO15" s="131"/>
      <c r="PMP15" s="135"/>
      <c r="PMQ15" s="135"/>
      <c r="PMR15" s="135"/>
      <c r="PMS15" s="135"/>
      <c r="PMT15" s="131"/>
      <c r="PMU15" s="131"/>
      <c r="PMV15" s="131"/>
      <c r="PMW15" s="131"/>
      <c r="PMX15" s="131"/>
      <c r="PMY15" s="131"/>
      <c r="PMZ15" s="131"/>
      <c r="PNA15" s="131"/>
      <c r="PNB15" s="131"/>
      <c r="PNC15" s="131"/>
      <c r="PND15" s="131"/>
      <c r="PNE15" s="131"/>
      <c r="PNF15" s="135"/>
      <c r="PNG15" s="135"/>
      <c r="PNH15" s="135"/>
      <c r="PNI15" s="135"/>
      <c r="PNJ15" s="131"/>
      <c r="PNK15" s="131"/>
      <c r="PNL15" s="131"/>
      <c r="PNM15" s="131"/>
      <c r="PNN15" s="131"/>
      <c r="PNO15" s="131"/>
      <c r="PNP15" s="131"/>
      <c r="PNQ15" s="131"/>
      <c r="PNR15" s="131"/>
      <c r="PNS15" s="131"/>
      <c r="PNT15" s="131"/>
      <c r="PNU15" s="131"/>
      <c r="PNV15" s="135"/>
      <c r="PNW15" s="135"/>
      <c r="PNX15" s="135"/>
      <c r="PNY15" s="135"/>
      <c r="PNZ15" s="131"/>
      <c r="POA15" s="131"/>
      <c r="POB15" s="131"/>
      <c r="POC15" s="131"/>
      <c r="POD15" s="131"/>
      <c r="POE15" s="131"/>
      <c r="POF15" s="131"/>
      <c r="POG15" s="131"/>
      <c r="POH15" s="131"/>
      <c r="POI15" s="131"/>
      <c r="POJ15" s="131"/>
      <c r="POK15" s="131"/>
      <c r="POL15" s="135"/>
      <c r="POM15" s="135"/>
      <c r="PON15" s="135"/>
      <c r="POO15" s="135"/>
    </row>
    <row r="16" spans="1:1013 1026:2037 2050:3061 3074:4085 4098:5109 5122:6133 6146:7157 7170:8181 8194:9205 9218:10229 10242:11221" s="134" customFormat="1" ht="14.95" customHeight="1" thickBot="1" x14ac:dyDescent="0.3">
      <c r="A16" s="479" t="s">
        <v>434</v>
      </c>
      <c r="B16" s="461" t="s">
        <v>199</v>
      </c>
      <c r="C16" s="462" t="s">
        <v>11</v>
      </c>
      <c r="D16" s="463" t="s">
        <v>36</v>
      </c>
      <c r="E16" s="463" t="s">
        <v>32</v>
      </c>
      <c r="F16" s="463">
        <v>38</v>
      </c>
      <c r="G16" s="463">
        <v>10</v>
      </c>
      <c r="H16" s="463">
        <v>1</v>
      </c>
      <c r="I16" s="463">
        <v>0</v>
      </c>
      <c r="J16" s="463">
        <v>6</v>
      </c>
      <c r="K16" s="463">
        <v>2</v>
      </c>
      <c r="L16" s="463">
        <v>0</v>
      </c>
      <c r="M16" s="463">
        <v>0</v>
      </c>
      <c r="N16" s="463">
        <v>1</v>
      </c>
      <c r="O16" s="463">
        <v>0</v>
      </c>
      <c r="P16" s="463">
        <v>0</v>
      </c>
      <c r="Q16" s="463">
        <v>0</v>
      </c>
      <c r="R16" s="463">
        <v>1</v>
      </c>
      <c r="S16" s="464">
        <v>9259</v>
      </c>
      <c r="T16" s="481" t="s">
        <v>702</v>
      </c>
      <c r="U16" s="466" t="s">
        <v>701</v>
      </c>
      <c r="V16" s="464" t="s">
        <v>329</v>
      </c>
      <c r="W16" s="464" t="s">
        <v>343</v>
      </c>
      <c r="X16" s="467" t="s">
        <v>346</v>
      </c>
      <c r="Y16" s="464">
        <v>1</v>
      </c>
      <c r="Z16" s="464">
        <v>1</v>
      </c>
      <c r="AA16" s="464">
        <v>0</v>
      </c>
      <c r="AB16" s="464">
        <v>0</v>
      </c>
      <c r="AC16" s="464">
        <v>0</v>
      </c>
      <c r="AD16" s="464">
        <v>0</v>
      </c>
      <c r="AE16" s="464">
        <v>0</v>
      </c>
      <c r="AF16" s="464">
        <v>0</v>
      </c>
      <c r="AG16" s="464">
        <v>1</v>
      </c>
      <c r="AH16" s="464">
        <v>1</v>
      </c>
      <c r="AI16" s="464">
        <v>0</v>
      </c>
      <c r="AJ16" s="466">
        <v>0</v>
      </c>
      <c r="AK16" s="464">
        <v>0</v>
      </c>
      <c r="AL16" s="464">
        <v>0</v>
      </c>
      <c r="AM16" s="464">
        <v>0</v>
      </c>
      <c r="AN16" s="466">
        <v>0</v>
      </c>
      <c r="AO16" s="133"/>
      <c r="AP16" s="133"/>
      <c r="AQ16" s="133"/>
      <c r="AR16" s="133"/>
      <c r="AS16" s="133"/>
      <c r="AT16" s="133"/>
      <c r="AU16" s="133"/>
      <c r="AV16" s="133"/>
      <c r="AW16" s="133"/>
      <c r="AX16" s="136"/>
      <c r="AY16" s="137"/>
      <c r="AZ16" s="136"/>
      <c r="BA16" s="137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6"/>
      <c r="BO16" s="137"/>
      <c r="BP16" s="136"/>
      <c r="BQ16" s="137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6"/>
      <c r="CE16" s="137"/>
      <c r="CF16" s="136"/>
      <c r="CG16" s="137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6"/>
      <c r="CU16" s="137"/>
      <c r="CV16" s="136"/>
      <c r="CW16" s="137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6"/>
      <c r="DK16" s="137"/>
      <c r="DL16" s="136"/>
      <c r="DM16" s="137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6"/>
      <c r="EA16" s="137"/>
      <c r="EB16" s="136"/>
      <c r="EC16" s="137"/>
      <c r="ED16" s="133"/>
      <c r="EE16" s="133"/>
      <c r="EF16" s="133"/>
      <c r="EG16" s="133"/>
      <c r="EH16" s="133"/>
      <c r="EI16" s="133"/>
      <c r="EJ16" s="133"/>
      <c r="EK16" s="133"/>
      <c r="EL16" s="133"/>
      <c r="EM16" s="133"/>
      <c r="EN16" s="133"/>
      <c r="EO16" s="133"/>
      <c r="EP16" s="136"/>
      <c r="EQ16" s="137"/>
      <c r="ER16" s="136"/>
      <c r="ES16" s="137"/>
      <c r="ET16" s="133"/>
      <c r="EU16" s="133"/>
      <c r="EV16" s="133"/>
      <c r="EW16" s="133"/>
      <c r="EX16" s="133"/>
      <c r="EY16" s="133"/>
      <c r="EZ16" s="133"/>
      <c r="FA16" s="133"/>
      <c r="FB16" s="133"/>
      <c r="FC16" s="133"/>
      <c r="FD16" s="133"/>
      <c r="FE16" s="133"/>
      <c r="FF16" s="136"/>
      <c r="FG16" s="137"/>
      <c r="FH16" s="136"/>
      <c r="FI16" s="137"/>
      <c r="FJ16" s="133"/>
      <c r="FK16" s="133"/>
      <c r="FL16" s="133"/>
      <c r="FM16" s="133"/>
      <c r="FN16" s="133"/>
      <c r="FO16" s="133"/>
      <c r="FP16" s="133"/>
      <c r="FQ16" s="133"/>
      <c r="FR16" s="133"/>
      <c r="FS16" s="133"/>
      <c r="FT16" s="133"/>
      <c r="FU16" s="133"/>
      <c r="FV16" s="136"/>
      <c r="FW16" s="137"/>
      <c r="FX16" s="136"/>
      <c r="FY16" s="137"/>
      <c r="FZ16" s="133"/>
      <c r="GA16" s="133"/>
      <c r="GB16" s="133"/>
      <c r="GC16" s="133"/>
      <c r="GD16" s="133"/>
      <c r="GE16" s="133"/>
      <c r="GF16" s="133"/>
      <c r="GG16" s="133"/>
      <c r="GH16" s="133"/>
      <c r="GI16" s="133"/>
      <c r="GJ16" s="133"/>
      <c r="GK16" s="133"/>
      <c r="GL16" s="136"/>
      <c r="GM16" s="137"/>
      <c r="GN16" s="136"/>
      <c r="GO16" s="137"/>
      <c r="GP16" s="133"/>
      <c r="GQ16" s="133"/>
      <c r="GR16" s="133"/>
      <c r="GS16" s="133"/>
      <c r="GT16" s="133"/>
      <c r="GU16" s="133"/>
      <c r="GV16" s="133"/>
      <c r="GW16" s="133"/>
      <c r="GX16" s="133"/>
      <c r="GY16" s="133"/>
      <c r="GZ16" s="133"/>
      <c r="HA16" s="133"/>
      <c r="HB16" s="136"/>
      <c r="HC16" s="137"/>
      <c r="HD16" s="136"/>
      <c r="HE16" s="137"/>
      <c r="HF16" s="133"/>
      <c r="HG16" s="133"/>
      <c r="HH16" s="133"/>
      <c r="HI16" s="133"/>
      <c r="HJ16" s="133"/>
      <c r="HK16" s="133"/>
      <c r="HL16" s="133"/>
      <c r="HM16" s="133"/>
      <c r="HN16" s="133"/>
      <c r="HO16" s="133"/>
      <c r="HP16" s="133"/>
      <c r="HQ16" s="133"/>
      <c r="HR16" s="136"/>
      <c r="HS16" s="137"/>
      <c r="HT16" s="136"/>
      <c r="HU16" s="137"/>
      <c r="HV16" s="133"/>
      <c r="HW16" s="133"/>
      <c r="HX16" s="133"/>
      <c r="HY16" s="133"/>
      <c r="HZ16" s="133"/>
      <c r="IA16" s="133"/>
      <c r="IB16" s="133"/>
      <c r="IC16" s="133"/>
      <c r="ID16" s="133"/>
      <c r="IE16" s="133"/>
      <c r="IF16" s="133"/>
      <c r="IG16" s="133"/>
      <c r="IH16" s="136"/>
      <c r="II16" s="137"/>
      <c r="IJ16" s="136"/>
      <c r="IK16" s="137"/>
      <c r="IL16" s="133"/>
      <c r="IM16" s="133"/>
      <c r="IN16" s="133"/>
      <c r="IO16" s="133"/>
      <c r="IP16" s="133"/>
      <c r="IQ16" s="133"/>
      <c r="IR16" s="133"/>
      <c r="IS16" s="133"/>
      <c r="IT16" s="133"/>
      <c r="IU16" s="133"/>
      <c r="IV16" s="133"/>
      <c r="IW16" s="133"/>
      <c r="IX16" s="136"/>
      <c r="IY16" s="137"/>
      <c r="IZ16" s="136"/>
      <c r="JA16" s="137"/>
      <c r="JB16" s="133"/>
      <c r="JC16" s="133"/>
      <c r="JD16" s="133"/>
      <c r="JE16" s="133"/>
      <c r="JF16" s="133"/>
      <c r="JG16" s="133"/>
      <c r="JH16" s="133"/>
      <c r="JI16" s="133"/>
      <c r="JJ16" s="133"/>
      <c r="JK16" s="133"/>
      <c r="JL16" s="133"/>
      <c r="JM16" s="133"/>
      <c r="JN16" s="136"/>
      <c r="JO16" s="137"/>
      <c r="JP16" s="136"/>
      <c r="JQ16" s="137"/>
      <c r="JR16" s="133"/>
      <c r="JS16" s="133"/>
      <c r="JT16" s="133"/>
      <c r="JU16" s="133"/>
      <c r="JV16" s="133"/>
      <c r="JW16" s="133"/>
      <c r="JX16" s="133"/>
      <c r="JY16" s="133"/>
      <c r="JZ16" s="133"/>
      <c r="KA16" s="133"/>
      <c r="KB16" s="133"/>
      <c r="KC16" s="133"/>
      <c r="KD16" s="136"/>
      <c r="KE16" s="137"/>
      <c r="KF16" s="136"/>
      <c r="KG16" s="137"/>
      <c r="KH16" s="133"/>
      <c r="KI16" s="133"/>
      <c r="KJ16" s="133"/>
      <c r="KK16" s="133"/>
      <c r="KL16" s="133"/>
      <c r="KM16" s="133"/>
      <c r="KN16" s="133"/>
      <c r="KO16" s="133"/>
      <c r="KP16" s="133"/>
      <c r="KQ16" s="133"/>
      <c r="KR16" s="133"/>
      <c r="KS16" s="133"/>
      <c r="KT16" s="136"/>
      <c r="KU16" s="137"/>
      <c r="KV16" s="136"/>
      <c r="KW16" s="137"/>
      <c r="KX16" s="133"/>
      <c r="KY16" s="133"/>
      <c r="KZ16" s="133"/>
      <c r="LA16" s="133"/>
      <c r="LB16" s="133"/>
      <c r="LC16" s="133"/>
      <c r="LD16" s="133"/>
      <c r="LE16" s="133"/>
      <c r="LF16" s="133"/>
      <c r="LG16" s="133"/>
      <c r="LH16" s="133"/>
      <c r="LI16" s="133"/>
      <c r="LJ16" s="136"/>
      <c r="LK16" s="137"/>
      <c r="LL16" s="136"/>
      <c r="LM16" s="137"/>
      <c r="LN16" s="133"/>
      <c r="LO16" s="133"/>
      <c r="LP16" s="133"/>
      <c r="LQ16" s="133"/>
      <c r="LR16" s="133"/>
      <c r="LS16" s="133"/>
      <c r="LT16" s="133"/>
      <c r="LU16" s="133"/>
      <c r="LV16" s="133"/>
      <c r="LW16" s="133"/>
      <c r="LX16" s="133"/>
      <c r="LY16" s="133"/>
      <c r="LZ16" s="136"/>
      <c r="MA16" s="137"/>
      <c r="MB16" s="136"/>
      <c r="MC16" s="137"/>
      <c r="MD16" s="133"/>
      <c r="ME16" s="133"/>
      <c r="MF16" s="133"/>
      <c r="MG16" s="133"/>
      <c r="MH16" s="133"/>
      <c r="MI16" s="133"/>
      <c r="MJ16" s="133"/>
      <c r="MK16" s="133"/>
      <c r="ML16" s="133"/>
      <c r="MM16" s="133"/>
      <c r="MN16" s="133"/>
      <c r="MO16" s="133"/>
      <c r="MP16" s="136"/>
      <c r="MQ16" s="137"/>
      <c r="MR16" s="136"/>
      <c r="MS16" s="137"/>
      <c r="MT16" s="133"/>
      <c r="MU16" s="133"/>
      <c r="MV16" s="133"/>
      <c r="MW16" s="133"/>
      <c r="MX16" s="133"/>
      <c r="MY16" s="133"/>
      <c r="MZ16" s="133"/>
      <c r="NA16" s="133"/>
      <c r="NB16" s="133"/>
      <c r="NC16" s="133"/>
      <c r="ND16" s="133"/>
      <c r="NE16" s="133"/>
      <c r="NF16" s="136"/>
      <c r="NG16" s="137"/>
      <c r="NH16" s="136"/>
      <c r="NI16" s="137"/>
      <c r="NJ16" s="133"/>
      <c r="NK16" s="133"/>
      <c r="NL16" s="133"/>
      <c r="NM16" s="133"/>
      <c r="NN16" s="133"/>
      <c r="NO16" s="133"/>
      <c r="NP16" s="133"/>
      <c r="NQ16" s="133"/>
      <c r="NR16" s="133"/>
      <c r="NS16" s="133"/>
      <c r="NT16" s="133"/>
      <c r="NU16" s="133"/>
      <c r="NV16" s="136"/>
      <c r="NW16" s="137"/>
      <c r="NX16" s="136"/>
      <c r="NY16" s="137"/>
      <c r="NZ16" s="133"/>
      <c r="OA16" s="133"/>
      <c r="OB16" s="133"/>
      <c r="OC16" s="133"/>
      <c r="OD16" s="133"/>
      <c r="OE16" s="133"/>
      <c r="OF16" s="133"/>
      <c r="OG16" s="133"/>
      <c r="OH16" s="133"/>
      <c r="OI16" s="133"/>
      <c r="OJ16" s="133"/>
      <c r="OK16" s="133"/>
      <c r="OL16" s="136"/>
      <c r="OM16" s="137"/>
      <c r="ON16" s="136"/>
      <c r="OO16" s="137"/>
      <c r="OP16" s="133"/>
      <c r="OQ16" s="133"/>
      <c r="OR16" s="133"/>
      <c r="OS16" s="133"/>
      <c r="OT16" s="133"/>
      <c r="OU16" s="133"/>
      <c r="OV16" s="133"/>
      <c r="OW16" s="133"/>
      <c r="OX16" s="133"/>
      <c r="OY16" s="133"/>
      <c r="OZ16" s="133"/>
      <c r="PA16" s="133"/>
      <c r="PB16" s="136"/>
      <c r="PC16" s="137"/>
      <c r="PD16" s="136"/>
      <c r="PE16" s="137"/>
      <c r="PF16" s="133"/>
      <c r="PG16" s="133"/>
      <c r="PH16" s="133"/>
      <c r="PI16" s="133"/>
      <c r="PJ16" s="133"/>
      <c r="PK16" s="133"/>
      <c r="PL16" s="133"/>
      <c r="PM16" s="133"/>
      <c r="PN16" s="133"/>
      <c r="PO16" s="133"/>
      <c r="PP16" s="133"/>
      <c r="PQ16" s="133"/>
      <c r="PR16" s="136"/>
      <c r="PS16" s="137"/>
      <c r="PT16" s="136"/>
      <c r="PU16" s="137"/>
      <c r="PV16" s="133"/>
      <c r="PW16" s="133"/>
      <c r="PX16" s="133"/>
      <c r="PY16" s="133"/>
      <c r="PZ16" s="133"/>
      <c r="QA16" s="133"/>
      <c r="QB16" s="133"/>
      <c r="QC16" s="133"/>
      <c r="QD16" s="133"/>
      <c r="QE16" s="133"/>
      <c r="QF16" s="133"/>
      <c r="QG16" s="133"/>
      <c r="QH16" s="136"/>
      <c r="QI16" s="137"/>
      <c r="QJ16" s="136"/>
      <c r="QK16" s="137"/>
      <c r="QL16" s="133"/>
      <c r="QM16" s="133"/>
      <c r="QN16" s="133"/>
      <c r="QO16" s="133"/>
      <c r="QP16" s="133"/>
      <c r="QQ16" s="133"/>
      <c r="QR16" s="133"/>
      <c r="QS16" s="133"/>
      <c r="QT16" s="133"/>
      <c r="QU16" s="133"/>
      <c r="QV16" s="133"/>
      <c r="QW16" s="133"/>
      <c r="QX16" s="136"/>
      <c r="QY16" s="137"/>
      <c r="QZ16" s="136"/>
      <c r="RA16" s="137"/>
      <c r="RB16" s="133"/>
      <c r="RC16" s="133"/>
      <c r="RD16" s="133"/>
      <c r="RE16" s="133"/>
      <c r="RF16" s="133"/>
      <c r="RG16" s="133"/>
      <c r="RH16" s="133"/>
      <c r="RI16" s="133"/>
      <c r="RJ16" s="133"/>
      <c r="RK16" s="133"/>
      <c r="RL16" s="133"/>
      <c r="RM16" s="133"/>
      <c r="RN16" s="136"/>
      <c r="RO16" s="137"/>
      <c r="RP16" s="136"/>
      <c r="RQ16" s="137"/>
      <c r="RR16" s="133"/>
      <c r="RS16" s="133"/>
      <c r="RT16" s="133"/>
      <c r="RU16" s="133"/>
      <c r="RV16" s="133"/>
      <c r="RW16" s="133"/>
      <c r="RX16" s="133"/>
      <c r="RY16" s="133"/>
      <c r="RZ16" s="133"/>
      <c r="SA16" s="133"/>
      <c r="SB16" s="133"/>
      <c r="SC16" s="133"/>
      <c r="SD16" s="136"/>
      <c r="SE16" s="137"/>
      <c r="SF16" s="136"/>
      <c r="SG16" s="137"/>
      <c r="SH16" s="133"/>
      <c r="SI16" s="133"/>
      <c r="SJ16" s="133"/>
      <c r="SK16" s="133"/>
      <c r="SL16" s="133"/>
      <c r="SM16" s="133"/>
      <c r="SN16" s="133"/>
      <c r="SO16" s="133"/>
      <c r="SP16" s="133"/>
      <c r="SQ16" s="133"/>
      <c r="SR16" s="133"/>
      <c r="SS16" s="133"/>
      <c r="ST16" s="136"/>
      <c r="SU16" s="137"/>
      <c r="SV16" s="136"/>
      <c r="SW16" s="137"/>
      <c r="SX16" s="133"/>
      <c r="SY16" s="133"/>
      <c r="SZ16" s="133"/>
      <c r="TA16" s="133"/>
      <c r="TB16" s="133"/>
      <c r="TC16" s="133"/>
      <c r="TD16" s="133"/>
      <c r="TE16" s="133"/>
      <c r="TF16" s="133"/>
      <c r="TG16" s="133"/>
      <c r="TH16" s="133"/>
      <c r="TI16" s="133"/>
      <c r="TJ16" s="136"/>
      <c r="TK16" s="137"/>
      <c r="TL16" s="136"/>
      <c r="TM16" s="137"/>
      <c r="TN16" s="133"/>
      <c r="TO16" s="133"/>
      <c r="TP16" s="133"/>
      <c r="TQ16" s="133"/>
      <c r="TR16" s="133"/>
      <c r="TS16" s="133"/>
      <c r="TT16" s="133"/>
      <c r="TU16" s="133"/>
      <c r="TV16" s="133"/>
      <c r="TW16" s="133"/>
      <c r="TX16" s="133"/>
      <c r="TY16" s="133"/>
      <c r="TZ16" s="136"/>
      <c r="UA16" s="137"/>
      <c r="UB16" s="136"/>
      <c r="UC16" s="137"/>
      <c r="UD16" s="133"/>
      <c r="UE16" s="133"/>
      <c r="UF16" s="133"/>
      <c r="UG16" s="133"/>
      <c r="UH16" s="133"/>
      <c r="UI16" s="133"/>
      <c r="UJ16" s="133"/>
      <c r="UK16" s="133"/>
      <c r="UL16" s="133"/>
      <c r="UM16" s="133"/>
      <c r="UN16" s="133"/>
      <c r="UO16" s="133"/>
      <c r="UP16" s="136"/>
      <c r="UQ16" s="137"/>
      <c r="UR16" s="136"/>
      <c r="US16" s="137"/>
      <c r="UT16" s="133"/>
      <c r="UU16" s="133"/>
      <c r="UV16" s="133"/>
      <c r="UW16" s="133"/>
      <c r="UX16" s="133"/>
      <c r="UY16" s="133"/>
      <c r="UZ16" s="133"/>
      <c r="VA16" s="133"/>
      <c r="VB16" s="133"/>
      <c r="VC16" s="133"/>
      <c r="VD16" s="133"/>
      <c r="VE16" s="133"/>
      <c r="VF16" s="136"/>
      <c r="VG16" s="137"/>
      <c r="VH16" s="136"/>
      <c r="VI16" s="137"/>
      <c r="VJ16" s="133"/>
      <c r="VK16" s="133"/>
      <c r="VL16" s="133"/>
      <c r="VM16" s="133"/>
      <c r="VN16" s="133"/>
      <c r="VO16" s="133"/>
      <c r="VP16" s="133"/>
      <c r="VQ16" s="133"/>
      <c r="VR16" s="133"/>
      <c r="VS16" s="133"/>
      <c r="VT16" s="133"/>
      <c r="VU16" s="133"/>
      <c r="VV16" s="136"/>
      <c r="VW16" s="137"/>
      <c r="VX16" s="136"/>
      <c r="VY16" s="137"/>
      <c r="VZ16" s="133"/>
      <c r="WA16" s="133"/>
      <c r="WB16" s="133"/>
      <c r="WC16" s="133"/>
      <c r="WD16" s="133"/>
      <c r="WE16" s="133"/>
      <c r="WF16" s="133"/>
      <c r="WG16" s="133"/>
      <c r="WH16" s="133"/>
      <c r="WI16" s="133"/>
      <c r="WJ16" s="133"/>
      <c r="WK16" s="133"/>
      <c r="WL16" s="136"/>
      <c r="WM16" s="137"/>
      <c r="WN16" s="136"/>
      <c r="WO16" s="137"/>
      <c r="WP16" s="133"/>
      <c r="WQ16" s="133"/>
      <c r="WR16" s="133"/>
      <c r="WS16" s="133"/>
      <c r="WT16" s="133"/>
      <c r="WU16" s="133"/>
      <c r="WV16" s="133"/>
      <c r="WW16" s="133"/>
      <c r="WX16" s="133"/>
      <c r="WY16" s="133"/>
      <c r="WZ16" s="133"/>
      <c r="XA16" s="133"/>
      <c r="XB16" s="136"/>
      <c r="XC16" s="137"/>
      <c r="XD16" s="136"/>
      <c r="XE16" s="137"/>
      <c r="XF16" s="133"/>
      <c r="XG16" s="133"/>
      <c r="XH16" s="133"/>
      <c r="XI16" s="133"/>
      <c r="XJ16" s="133"/>
      <c r="XK16" s="133"/>
      <c r="XL16" s="133"/>
      <c r="XM16" s="133"/>
      <c r="XN16" s="133"/>
      <c r="XO16" s="133"/>
      <c r="XP16" s="133"/>
      <c r="XQ16" s="133"/>
      <c r="XR16" s="136"/>
      <c r="XS16" s="137"/>
      <c r="XT16" s="136"/>
      <c r="XU16" s="137"/>
      <c r="XV16" s="133"/>
      <c r="XW16" s="133"/>
      <c r="XX16" s="133"/>
      <c r="XY16" s="133"/>
      <c r="XZ16" s="133"/>
      <c r="YA16" s="133"/>
      <c r="YB16" s="133"/>
      <c r="YC16" s="133"/>
      <c r="YD16" s="133"/>
      <c r="YE16" s="133"/>
      <c r="YF16" s="133"/>
      <c r="YG16" s="133"/>
      <c r="YH16" s="136"/>
      <c r="YI16" s="137"/>
      <c r="YJ16" s="136"/>
      <c r="YK16" s="137"/>
      <c r="YL16" s="133"/>
      <c r="YM16" s="133"/>
      <c r="YN16" s="133"/>
      <c r="YO16" s="133"/>
      <c r="YP16" s="133"/>
      <c r="YQ16" s="133"/>
      <c r="YR16" s="133"/>
      <c r="YS16" s="133"/>
      <c r="YT16" s="133"/>
      <c r="YU16" s="133"/>
      <c r="YV16" s="133"/>
      <c r="YW16" s="133"/>
      <c r="YX16" s="136"/>
      <c r="YY16" s="137"/>
      <c r="YZ16" s="136"/>
      <c r="ZA16" s="137"/>
      <c r="ZB16" s="133"/>
      <c r="ZC16" s="133"/>
      <c r="ZD16" s="133"/>
      <c r="ZE16" s="133"/>
      <c r="ZF16" s="133"/>
      <c r="ZG16" s="133"/>
      <c r="ZH16" s="133"/>
      <c r="ZI16" s="133"/>
      <c r="ZJ16" s="133"/>
      <c r="ZK16" s="133"/>
      <c r="ZL16" s="133"/>
      <c r="ZM16" s="133"/>
      <c r="ZN16" s="136"/>
      <c r="ZO16" s="137"/>
      <c r="ZP16" s="136"/>
      <c r="ZQ16" s="137"/>
      <c r="ZR16" s="133"/>
      <c r="ZS16" s="133"/>
      <c r="ZT16" s="133"/>
      <c r="ZU16" s="133"/>
      <c r="ZV16" s="133"/>
      <c r="ZW16" s="133"/>
      <c r="ZX16" s="133"/>
      <c r="ZY16" s="133"/>
      <c r="ZZ16" s="133"/>
      <c r="AAA16" s="133"/>
      <c r="AAB16" s="133"/>
      <c r="AAC16" s="133"/>
      <c r="AAD16" s="136"/>
      <c r="AAE16" s="137"/>
      <c r="AAF16" s="136"/>
      <c r="AAG16" s="137"/>
      <c r="AAH16" s="133"/>
      <c r="AAI16" s="133"/>
      <c r="AAJ16" s="133"/>
      <c r="AAK16" s="133"/>
      <c r="AAL16" s="133"/>
      <c r="AAM16" s="133"/>
      <c r="AAN16" s="133"/>
      <c r="AAO16" s="133"/>
      <c r="AAP16" s="133"/>
      <c r="AAQ16" s="133"/>
      <c r="AAR16" s="133"/>
      <c r="AAS16" s="133"/>
      <c r="AAT16" s="136"/>
      <c r="AAU16" s="137"/>
      <c r="AAV16" s="136"/>
      <c r="AAW16" s="137"/>
      <c r="AAX16" s="133"/>
      <c r="AAY16" s="133"/>
      <c r="AAZ16" s="133"/>
      <c r="ABA16" s="133"/>
      <c r="ABB16" s="133"/>
      <c r="ABC16" s="133"/>
      <c r="ABD16" s="133"/>
      <c r="ABE16" s="133"/>
      <c r="ABF16" s="133"/>
      <c r="ABG16" s="133"/>
      <c r="ABH16" s="133"/>
      <c r="ABI16" s="133"/>
      <c r="ABJ16" s="136"/>
      <c r="ABK16" s="137"/>
      <c r="ABL16" s="136"/>
      <c r="ABM16" s="137"/>
      <c r="ABN16" s="133"/>
      <c r="ABO16" s="133"/>
      <c r="ABP16" s="133"/>
      <c r="ABQ16" s="133"/>
      <c r="ABR16" s="133"/>
      <c r="ABS16" s="133"/>
      <c r="ABT16" s="133"/>
      <c r="ABU16" s="133"/>
      <c r="ABV16" s="133"/>
      <c r="ABW16" s="133"/>
      <c r="ABX16" s="133"/>
      <c r="ABY16" s="133"/>
      <c r="ABZ16" s="136"/>
      <c r="ACA16" s="137"/>
      <c r="ACB16" s="136"/>
      <c r="ACC16" s="137"/>
      <c r="ACD16" s="133"/>
      <c r="ACE16" s="133"/>
      <c r="ACF16" s="133"/>
      <c r="ACG16" s="133"/>
      <c r="ACH16" s="133"/>
      <c r="ACI16" s="133"/>
      <c r="ACJ16" s="133"/>
      <c r="ACK16" s="133"/>
      <c r="ACL16" s="133"/>
      <c r="ACM16" s="133"/>
      <c r="ACN16" s="133"/>
      <c r="ACO16" s="133"/>
      <c r="ACP16" s="136"/>
      <c r="ACQ16" s="137"/>
      <c r="ACR16" s="136"/>
      <c r="ACS16" s="137"/>
      <c r="ACT16" s="133"/>
      <c r="ACU16" s="133"/>
      <c r="ACV16" s="133"/>
      <c r="ACW16" s="133"/>
      <c r="ACX16" s="133"/>
      <c r="ACY16" s="133"/>
      <c r="ACZ16" s="133"/>
      <c r="ADA16" s="133"/>
      <c r="ADB16" s="133"/>
      <c r="ADC16" s="133"/>
      <c r="ADD16" s="133"/>
      <c r="ADE16" s="133"/>
      <c r="ADF16" s="136"/>
      <c r="ADG16" s="137"/>
      <c r="ADH16" s="136"/>
      <c r="ADI16" s="137"/>
      <c r="ADJ16" s="133"/>
      <c r="ADK16" s="133"/>
      <c r="ADL16" s="133"/>
      <c r="ADM16" s="133"/>
      <c r="ADN16" s="133"/>
      <c r="ADO16" s="133"/>
      <c r="ADP16" s="133"/>
      <c r="ADQ16" s="133"/>
      <c r="ADR16" s="133"/>
      <c r="ADS16" s="133"/>
      <c r="ADT16" s="133"/>
      <c r="ADU16" s="133"/>
      <c r="ADV16" s="136"/>
      <c r="ADW16" s="137"/>
      <c r="ADX16" s="136"/>
      <c r="ADY16" s="137"/>
      <c r="ADZ16" s="133"/>
      <c r="AEA16" s="133"/>
      <c r="AEB16" s="133"/>
      <c r="AEC16" s="133"/>
      <c r="AED16" s="133"/>
      <c r="AEE16" s="133"/>
      <c r="AEF16" s="133"/>
      <c r="AEG16" s="133"/>
      <c r="AEH16" s="133"/>
      <c r="AEI16" s="133"/>
      <c r="AEJ16" s="133"/>
      <c r="AEK16" s="133"/>
      <c r="AEL16" s="136"/>
      <c r="AEM16" s="137"/>
      <c r="AEN16" s="136"/>
      <c r="AEO16" s="137"/>
      <c r="AEP16" s="133"/>
      <c r="AEQ16" s="133"/>
      <c r="AER16" s="133"/>
      <c r="AES16" s="133"/>
      <c r="AET16" s="133"/>
      <c r="AEU16" s="133"/>
      <c r="AEV16" s="133"/>
      <c r="AEW16" s="133"/>
      <c r="AEX16" s="133"/>
      <c r="AEY16" s="133"/>
      <c r="AEZ16" s="133"/>
      <c r="AFA16" s="133"/>
      <c r="AFB16" s="136"/>
      <c r="AFC16" s="137"/>
      <c r="AFD16" s="136"/>
      <c r="AFE16" s="137"/>
      <c r="AFF16" s="133"/>
      <c r="AFG16" s="133"/>
      <c r="AFH16" s="133"/>
      <c r="AFI16" s="133"/>
      <c r="AFJ16" s="133"/>
      <c r="AFK16" s="133"/>
      <c r="AFL16" s="133"/>
      <c r="AFM16" s="133"/>
      <c r="AFN16" s="133"/>
      <c r="AFO16" s="133"/>
      <c r="AFP16" s="133"/>
      <c r="AFQ16" s="133"/>
      <c r="AFR16" s="136"/>
      <c r="AFS16" s="137"/>
      <c r="AFT16" s="136"/>
      <c r="AFU16" s="137"/>
      <c r="AFV16" s="133"/>
      <c r="AFW16" s="133"/>
      <c r="AFX16" s="133"/>
      <c r="AFY16" s="133"/>
      <c r="AFZ16" s="133"/>
      <c r="AGA16" s="133"/>
      <c r="AGB16" s="133"/>
      <c r="AGC16" s="133"/>
      <c r="AGD16" s="133"/>
      <c r="AGE16" s="133"/>
      <c r="AGF16" s="133"/>
      <c r="AGG16" s="133"/>
      <c r="AGH16" s="136"/>
      <c r="AGI16" s="137"/>
      <c r="AGJ16" s="136"/>
      <c r="AGK16" s="137"/>
      <c r="AGL16" s="133"/>
      <c r="AGM16" s="133"/>
      <c r="AGN16" s="133"/>
      <c r="AGO16" s="133"/>
      <c r="AGP16" s="133"/>
      <c r="AGQ16" s="133"/>
      <c r="AGR16" s="133"/>
      <c r="AGS16" s="133"/>
      <c r="AGT16" s="133"/>
      <c r="AGU16" s="133"/>
      <c r="AGV16" s="133"/>
      <c r="AGW16" s="133"/>
      <c r="AGX16" s="136"/>
      <c r="AGY16" s="137"/>
      <c r="AGZ16" s="136"/>
      <c r="AHA16" s="137"/>
      <c r="AHB16" s="133"/>
      <c r="AHC16" s="133"/>
      <c r="AHD16" s="133"/>
      <c r="AHE16" s="133"/>
      <c r="AHF16" s="133"/>
      <c r="AHG16" s="133"/>
      <c r="AHH16" s="133"/>
      <c r="AHI16" s="133"/>
      <c r="AHJ16" s="133"/>
      <c r="AHK16" s="133"/>
      <c r="AHL16" s="133"/>
      <c r="AHM16" s="133"/>
      <c r="AHN16" s="136"/>
      <c r="AHO16" s="137"/>
      <c r="AHP16" s="136"/>
      <c r="AHQ16" s="137"/>
      <c r="AHR16" s="133"/>
      <c r="AHS16" s="133"/>
      <c r="AHT16" s="133"/>
      <c r="AHU16" s="133"/>
      <c r="AHV16" s="133"/>
      <c r="AHW16" s="133"/>
      <c r="AHX16" s="133"/>
      <c r="AHY16" s="133"/>
      <c r="AHZ16" s="133"/>
      <c r="AIA16" s="133"/>
      <c r="AIB16" s="133"/>
      <c r="AIC16" s="133"/>
      <c r="AID16" s="136"/>
      <c r="AIE16" s="137"/>
      <c r="AIF16" s="136"/>
      <c r="AIG16" s="137"/>
      <c r="AIH16" s="133"/>
      <c r="AII16" s="133"/>
      <c r="AIJ16" s="133"/>
      <c r="AIK16" s="133"/>
      <c r="AIL16" s="133"/>
      <c r="AIM16" s="133"/>
      <c r="AIN16" s="133"/>
      <c r="AIO16" s="133"/>
      <c r="AIP16" s="133"/>
      <c r="AIQ16" s="133"/>
      <c r="AIR16" s="133"/>
      <c r="AIS16" s="133"/>
      <c r="AIT16" s="136"/>
      <c r="AIU16" s="137"/>
      <c r="AIV16" s="136"/>
      <c r="AIW16" s="137"/>
      <c r="AIX16" s="133"/>
      <c r="AIY16" s="133"/>
      <c r="AIZ16" s="133"/>
      <c r="AJA16" s="133"/>
      <c r="AJB16" s="133"/>
      <c r="AJC16" s="133"/>
      <c r="AJD16" s="133"/>
      <c r="AJE16" s="133"/>
      <c r="AJF16" s="133"/>
      <c r="AJG16" s="133"/>
      <c r="AJH16" s="133"/>
      <c r="AJI16" s="133"/>
      <c r="AJJ16" s="136"/>
      <c r="AJK16" s="137"/>
      <c r="AJL16" s="136"/>
      <c r="AJM16" s="137"/>
      <c r="AJN16" s="133"/>
      <c r="AJO16" s="133"/>
      <c r="AJP16" s="133"/>
      <c r="AJQ16" s="133"/>
      <c r="AJR16" s="133"/>
      <c r="AJS16" s="133"/>
      <c r="AJT16" s="133"/>
      <c r="AJU16" s="133"/>
      <c r="AJV16" s="133"/>
      <c r="AJW16" s="133"/>
      <c r="AJX16" s="133"/>
      <c r="AJY16" s="133"/>
      <c r="AJZ16" s="136"/>
      <c r="AKA16" s="137"/>
      <c r="AKB16" s="136"/>
      <c r="AKC16" s="137"/>
      <c r="AKD16" s="133"/>
      <c r="AKE16" s="133"/>
      <c r="AKF16" s="133"/>
      <c r="AKG16" s="133"/>
      <c r="AKH16" s="133"/>
      <c r="AKI16" s="133"/>
      <c r="AKJ16" s="133"/>
      <c r="AKK16" s="133"/>
      <c r="AKL16" s="133"/>
      <c r="AKM16" s="133"/>
      <c r="AKN16" s="133"/>
      <c r="AKO16" s="133"/>
      <c r="AKP16" s="136"/>
      <c r="AKQ16" s="137"/>
      <c r="AKR16" s="136"/>
      <c r="AKS16" s="137"/>
      <c r="AKT16" s="133"/>
      <c r="AKU16" s="133"/>
      <c r="AKV16" s="133"/>
      <c r="AKW16" s="133"/>
      <c r="AKX16" s="133"/>
      <c r="AKY16" s="133"/>
      <c r="AKZ16" s="133"/>
      <c r="ALA16" s="133"/>
      <c r="ALB16" s="133"/>
      <c r="ALC16" s="133"/>
      <c r="ALD16" s="133"/>
      <c r="ALE16" s="133"/>
      <c r="ALF16" s="136"/>
      <c r="ALG16" s="137"/>
      <c r="ALH16" s="136"/>
      <c r="ALI16" s="137"/>
      <c r="ALJ16" s="133"/>
      <c r="ALK16" s="133"/>
      <c r="ALL16" s="133"/>
      <c r="ALM16" s="133"/>
      <c r="ALN16" s="133"/>
      <c r="ALO16" s="133"/>
      <c r="ALP16" s="133"/>
      <c r="ALQ16" s="133"/>
      <c r="ALR16" s="133"/>
      <c r="ALS16" s="133"/>
      <c r="ALT16" s="133"/>
      <c r="ALU16" s="133"/>
      <c r="ALV16" s="136"/>
      <c r="ALW16" s="137"/>
      <c r="ALX16" s="136"/>
      <c r="ALY16" s="137"/>
      <c r="AML16" s="136"/>
      <c r="AMM16" s="137"/>
      <c r="AMN16" s="136"/>
      <c r="AMO16" s="137"/>
      <c r="AMP16" s="133"/>
      <c r="AMQ16" s="133"/>
      <c r="AMR16" s="133"/>
      <c r="AMS16" s="133"/>
      <c r="AMT16" s="133"/>
      <c r="AMU16" s="133"/>
      <c r="AMV16" s="133"/>
      <c r="AMW16" s="133"/>
      <c r="AMX16" s="133"/>
      <c r="AMY16" s="133"/>
      <c r="AMZ16" s="133"/>
      <c r="ANA16" s="133"/>
      <c r="ANB16" s="136"/>
      <c r="ANC16" s="137"/>
      <c r="AND16" s="136"/>
      <c r="ANE16" s="137"/>
      <c r="ANF16" s="133"/>
      <c r="ANG16" s="133"/>
      <c r="ANH16" s="133"/>
      <c r="ANI16" s="133"/>
      <c r="ANJ16" s="133"/>
      <c r="ANK16" s="133"/>
      <c r="ANL16" s="133"/>
      <c r="ANM16" s="133"/>
      <c r="ANN16" s="133"/>
      <c r="ANO16" s="133"/>
      <c r="ANP16" s="133"/>
      <c r="ANQ16" s="133"/>
      <c r="ANR16" s="136"/>
      <c r="ANS16" s="137"/>
      <c r="ANT16" s="136"/>
      <c r="ANU16" s="137"/>
      <c r="ANV16" s="133"/>
      <c r="ANW16" s="133"/>
      <c r="ANX16" s="133"/>
      <c r="ANY16" s="133"/>
      <c r="ANZ16" s="133"/>
      <c r="AOA16" s="133"/>
      <c r="AOB16" s="133"/>
      <c r="AOC16" s="133"/>
      <c r="AOD16" s="133"/>
      <c r="AOE16" s="133"/>
      <c r="AOF16" s="133"/>
      <c r="AOG16" s="133"/>
      <c r="AOH16" s="136"/>
      <c r="AOI16" s="137"/>
      <c r="AOJ16" s="136"/>
      <c r="AOK16" s="137"/>
      <c r="AOL16" s="133"/>
      <c r="AOM16" s="133"/>
      <c r="AON16" s="133"/>
      <c r="AOO16" s="133"/>
      <c r="AOP16" s="133"/>
      <c r="AOQ16" s="133"/>
      <c r="AOR16" s="133"/>
      <c r="AOS16" s="133"/>
      <c r="AOT16" s="133"/>
      <c r="AOU16" s="133"/>
      <c r="AOV16" s="133"/>
      <c r="AOW16" s="133"/>
      <c r="AOX16" s="136"/>
      <c r="AOY16" s="137"/>
      <c r="AOZ16" s="136"/>
      <c r="APA16" s="137"/>
      <c r="APB16" s="133"/>
      <c r="APC16" s="133"/>
      <c r="APD16" s="133"/>
      <c r="APE16" s="133"/>
      <c r="APF16" s="133"/>
      <c r="APG16" s="133"/>
      <c r="APH16" s="133"/>
      <c r="API16" s="133"/>
      <c r="APJ16" s="133"/>
      <c r="APK16" s="133"/>
      <c r="APL16" s="133"/>
      <c r="APM16" s="133"/>
      <c r="APN16" s="136"/>
      <c r="APO16" s="137"/>
      <c r="APP16" s="136"/>
      <c r="APQ16" s="137"/>
      <c r="APR16" s="133"/>
      <c r="APS16" s="133"/>
      <c r="APT16" s="133"/>
      <c r="APU16" s="133"/>
      <c r="APV16" s="133"/>
      <c r="APW16" s="133"/>
      <c r="APX16" s="133"/>
      <c r="APY16" s="133"/>
      <c r="APZ16" s="133"/>
      <c r="AQA16" s="133"/>
      <c r="AQB16" s="133"/>
      <c r="AQC16" s="133"/>
      <c r="AQD16" s="136"/>
      <c r="AQE16" s="137"/>
      <c r="AQF16" s="136"/>
      <c r="AQG16" s="137"/>
      <c r="AQH16" s="133"/>
      <c r="AQI16" s="133"/>
      <c r="AQJ16" s="133"/>
      <c r="AQK16" s="133"/>
      <c r="AQL16" s="133"/>
      <c r="AQM16" s="133"/>
      <c r="AQN16" s="133"/>
      <c r="AQO16" s="133"/>
      <c r="AQP16" s="133"/>
      <c r="AQQ16" s="133"/>
      <c r="AQR16" s="133"/>
      <c r="AQS16" s="133"/>
      <c r="AQT16" s="136"/>
      <c r="AQU16" s="137"/>
      <c r="AQV16" s="136"/>
      <c r="AQW16" s="137"/>
      <c r="AQX16" s="133"/>
      <c r="AQY16" s="133"/>
      <c r="AQZ16" s="133"/>
      <c r="ARA16" s="133"/>
      <c r="ARB16" s="133"/>
      <c r="ARC16" s="133"/>
      <c r="ARD16" s="133"/>
      <c r="ARE16" s="133"/>
      <c r="ARF16" s="133"/>
      <c r="ARG16" s="133"/>
      <c r="ARH16" s="133"/>
      <c r="ARI16" s="133"/>
      <c r="ARJ16" s="136"/>
      <c r="ARK16" s="137"/>
      <c r="ARL16" s="136"/>
      <c r="ARM16" s="137"/>
      <c r="ARN16" s="133"/>
      <c r="ARO16" s="133"/>
      <c r="ARP16" s="133"/>
      <c r="ARQ16" s="133"/>
      <c r="ARR16" s="133"/>
      <c r="ARS16" s="133"/>
      <c r="ART16" s="133"/>
      <c r="ARU16" s="133"/>
      <c r="ARV16" s="133"/>
      <c r="ARW16" s="133"/>
      <c r="ARX16" s="133"/>
      <c r="ARY16" s="133"/>
      <c r="ARZ16" s="136"/>
      <c r="ASA16" s="137"/>
      <c r="ASB16" s="136"/>
      <c r="ASC16" s="137"/>
      <c r="ASD16" s="133"/>
      <c r="ASE16" s="133"/>
      <c r="ASF16" s="133"/>
      <c r="ASG16" s="133"/>
      <c r="ASH16" s="133"/>
      <c r="ASI16" s="133"/>
      <c r="ASJ16" s="133"/>
      <c r="ASK16" s="133"/>
      <c r="ASL16" s="133"/>
      <c r="ASM16" s="133"/>
      <c r="ASN16" s="133"/>
      <c r="ASO16" s="133"/>
      <c r="ASP16" s="136"/>
      <c r="ASQ16" s="137"/>
      <c r="ASR16" s="136"/>
      <c r="ASS16" s="137"/>
      <c r="AST16" s="133"/>
      <c r="ASU16" s="133"/>
      <c r="ASV16" s="133"/>
      <c r="ASW16" s="133"/>
      <c r="ASX16" s="133"/>
      <c r="ASY16" s="133"/>
      <c r="ASZ16" s="133"/>
      <c r="ATA16" s="133"/>
      <c r="ATB16" s="133"/>
      <c r="ATC16" s="133"/>
      <c r="ATD16" s="133"/>
      <c r="ATE16" s="133"/>
      <c r="ATF16" s="136"/>
      <c r="ATG16" s="137"/>
      <c r="ATH16" s="136"/>
      <c r="ATI16" s="137"/>
      <c r="ATJ16" s="133"/>
      <c r="ATK16" s="133"/>
      <c r="ATL16" s="133"/>
      <c r="ATM16" s="133"/>
      <c r="ATN16" s="133"/>
      <c r="ATO16" s="133"/>
      <c r="ATP16" s="133"/>
      <c r="ATQ16" s="133"/>
      <c r="ATR16" s="133"/>
      <c r="ATS16" s="133"/>
      <c r="ATT16" s="133"/>
      <c r="ATU16" s="133"/>
      <c r="ATV16" s="136"/>
      <c r="ATW16" s="137"/>
      <c r="ATX16" s="136"/>
      <c r="ATY16" s="137"/>
      <c r="ATZ16" s="133"/>
      <c r="AUA16" s="133"/>
      <c r="AUB16" s="133"/>
      <c r="AUC16" s="133"/>
      <c r="AUD16" s="133"/>
      <c r="AUE16" s="133"/>
      <c r="AUF16" s="133"/>
      <c r="AUG16" s="133"/>
      <c r="AUH16" s="133"/>
      <c r="AUI16" s="133"/>
      <c r="AUJ16" s="133"/>
      <c r="AUK16" s="133"/>
      <c r="AUL16" s="136"/>
      <c r="AUM16" s="137"/>
      <c r="AUN16" s="136"/>
      <c r="AUO16" s="137"/>
      <c r="AUP16" s="133"/>
      <c r="AUQ16" s="133"/>
      <c r="AUR16" s="133"/>
      <c r="AUS16" s="133"/>
      <c r="AUT16" s="133"/>
      <c r="AUU16" s="133"/>
      <c r="AUV16" s="133"/>
      <c r="AUW16" s="133"/>
      <c r="AUX16" s="133"/>
      <c r="AUY16" s="133"/>
      <c r="AUZ16" s="133"/>
      <c r="AVA16" s="133"/>
      <c r="AVB16" s="136"/>
      <c r="AVC16" s="137"/>
      <c r="AVD16" s="136"/>
      <c r="AVE16" s="137"/>
      <c r="AVF16" s="133"/>
      <c r="AVG16" s="133"/>
      <c r="AVH16" s="133"/>
      <c r="AVI16" s="133"/>
      <c r="AVJ16" s="133"/>
      <c r="AVK16" s="133"/>
      <c r="AVL16" s="133"/>
      <c r="AVM16" s="133"/>
      <c r="AVN16" s="133"/>
      <c r="AVO16" s="133"/>
      <c r="AVP16" s="133"/>
      <c r="AVQ16" s="133"/>
      <c r="AVR16" s="136"/>
      <c r="AVS16" s="137"/>
      <c r="AVT16" s="136"/>
      <c r="AVU16" s="137"/>
      <c r="AVV16" s="133"/>
      <c r="AVW16" s="133"/>
      <c r="AVX16" s="133"/>
      <c r="AVY16" s="133"/>
      <c r="AVZ16" s="133"/>
      <c r="AWA16" s="133"/>
      <c r="AWB16" s="133"/>
      <c r="AWC16" s="133"/>
      <c r="AWD16" s="133"/>
      <c r="AWE16" s="133"/>
      <c r="AWF16" s="133"/>
      <c r="AWG16" s="133"/>
      <c r="AWH16" s="136"/>
      <c r="AWI16" s="137"/>
      <c r="AWJ16" s="136"/>
      <c r="AWK16" s="137"/>
      <c r="AWL16" s="133"/>
      <c r="AWM16" s="133"/>
      <c r="AWN16" s="133"/>
      <c r="AWO16" s="133"/>
      <c r="AWP16" s="133"/>
      <c r="AWQ16" s="133"/>
      <c r="AWR16" s="133"/>
      <c r="AWS16" s="133"/>
      <c r="AWT16" s="133"/>
      <c r="AWU16" s="133"/>
      <c r="AWV16" s="133"/>
      <c r="AWW16" s="133"/>
      <c r="AWX16" s="136"/>
      <c r="AWY16" s="137"/>
      <c r="AWZ16" s="136"/>
      <c r="AXA16" s="137"/>
      <c r="AXB16" s="133"/>
      <c r="AXC16" s="133"/>
      <c r="AXD16" s="133"/>
      <c r="AXE16" s="133"/>
      <c r="AXF16" s="133"/>
      <c r="AXG16" s="133"/>
      <c r="AXH16" s="133"/>
      <c r="AXI16" s="133"/>
      <c r="AXJ16" s="133"/>
      <c r="AXK16" s="133"/>
      <c r="AXL16" s="133"/>
      <c r="AXM16" s="133"/>
      <c r="AXN16" s="136"/>
      <c r="AXO16" s="137"/>
      <c r="AXP16" s="136"/>
      <c r="AXQ16" s="137"/>
      <c r="AXR16" s="133"/>
      <c r="AXS16" s="133"/>
      <c r="AXT16" s="133"/>
      <c r="AXU16" s="133"/>
      <c r="AXV16" s="133"/>
      <c r="AXW16" s="133"/>
      <c r="AXX16" s="133"/>
      <c r="AXY16" s="133"/>
      <c r="AXZ16" s="133"/>
      <c r="AYA16" s="133"/>
      <c r="AYB16" s="133"/>
      <c r="AYC16" s="133"/>
      <c r="AYD16" s="136"/>
      <c r="AYE16" s="137"/>
      <c r="AYF16" s="136"/>
      <c r="AYG16" s="137"/>
      <c r="AYH16" s="133"/>
      <c r="AYI16" s="133"/>
      <c r="AYJ16" s="133"/>
      <c r="AYK16" s="133"/>
      <c r="AYL16" s="133"/>
      <c r="AYM16" s="133"/>
      <c r="AYN16" s="133"/>
      <c r="AYO16" s="133"/>
      <c r="AYP16" s="133"/>
      <c r="AYQ16" s="133"/>
      <c r="AYR16" s="133"/>
      <c r="AYS16" s="133"/>
      <c r="AYT16" s="136"/>
      <c r="AYU16" s="137"/>
      <c r="AYV16" s="136"/>
      <c r="AYW16" s="137"/>
      <c r="AYX16" s="133"/>
      <c r="AYY16" s="133"/>
      <c r="AYZ16" s="133"/>
      <c r="AZA16" s="133"/>
      <c r="AZB16" s="133"/>
      <c r="AZC16" s="133"/>
      <c r="AZD16" s="133"/>
      <c r="AZE16" s="133"/>
      <c r="AZF16" s="133"/>
      <c r="AZG16" s="133"/>
      <c r="AZH16" s="133"/>
      <c r="AZI16" s="133"/>
      <c r="AZJ16" s="136"/>
      <c r="AZK16" s="137"/>
      <c r="AZL16" s="136"/>
      <c r="AZM16" s="137"/>
      <c r="AZN16" s="133"/>
      <c r="AZO16" s="133"/>
      <c r="AZP16" s="133"/>
      <c r="AZQ16" s="133"/>
      <c r="AZR16" s="133"/>
      <c r="AZS16" s="133"/>
      <c r="AZT16" s="133"/>
      <c r="AZU16" s="133"/>
      <c r="AZV16" s="133"/>
      <c r="AZW16" s="133"/>
      <c r="AZX16" s="133"/>
      <c r="AZY16" s="133"/>
      <c r="AZZ16" s="136"/>
      <c r="BAA16" s="137"/>
      <c r="BAB16" s="136"/>
      <c r="BAC16" s="137"/>
      <c r="BAD16" s="133"/>
      <c r="BAE16" s="133"/>
      <c r="BAF16" s="133"/>
      <c r="BAG16" s="133"/>
      <c r="BAH16" s="133"/>
      <c r="BAI16" s="133"/>
      <c r="BAJ16" s="133"/>
      <c r="BAK16" s="133"/>
      <c r="BAL16" s="133"/>
      <c r="BAM16" s="133"/>
      <c r="BAN16" s="133"/>
      <c r="BAO16" s="133"/>
      <c r="BAP16" s="136"/>
      <c r="BAQ16" s="137"/>
      <c r="BAR16" s="136"/>
      <c r="BAS16" s="137"/>
      <c r="BAT16" s="133"/>
      <c r="BAU16" s="133"/>
      <c r="BAV16" s="133"/>
      <c r="BAW16" s="133"/>
      <c r="BAX16" s="133"/>
      <c r="BAY16" s="133"/>
      <c r="BAZ16" s="133"/>
      <c r="BBA16" s="133"/>
      <c r="BBB16" s="133"/>
      <c r="BBC16" s="133"/>
      <c r="BBD16" s="133"/>
      <c r="BBE16" s="133"/>
      <c r="BBF16" s="136"/>
      <c r="BBG16" s="137"/>
      <c r="BBH16" s="136"/>
      <c r="BBI16" s="137"/>
      <c r="BBJ16" s="133"/>
      <c r="BBK16" s="133"/>
      <c r="BBL16" s="133"/>
      <c r="BBM16" s="133"/>
      <c r="BBN16" s="133"/>
      <c r="BBO16" s="133"/>
      <c r="BBP16" s="133"/>
      <c r="BBQ16" s="133"/>
      <c r="BBR16" s="133"/>
      <c r="BBS16" s="133"/>
      <c r="BBT16" s="133"/>
      <c r="BBU16" s="133"/>
      <c r="BBV16" s="136"/>
      <c r="BBW16" s="137"/>
      <c r="BBX16" s="136"/>
      <c r="BBY16" s="137"/>
      <c r="BBZ16" s="133"/>
      <c r="BCA16" s="133"/>
      <c r="BCB16" s="133"/>
      <c r="BCC16" s="133"/>
      <c r="BCD16" s="133"/>
      <c r="BCE16" s="133"/>
      <c r="BCF16" s="133"/>
      <c r="BCG16" s="133"/>
      <c r="BCH16" s="133"/>
      <c r="BCI16" s="133"/>
      <c r="BCJ16" s="133"/>
      <c r="BCK16" s="133"/>
      <c r="BCL16" s="136"/>
      <c r="BCM16" s="137"/>
      <c r="BCN16" s="136"/>
      <c r="BCO16" s="137"/>
      <c r="BCP16" s="133"/>
      <c r="BCQ16" s="133"/>
      <c r="BCR16" s="133"/>
      <c r="BCS16" s="133"/>
      <c r="BCT16" s="133"/>
      <c r="BCU16" s="133"/>
      <c r="BCV16" s="133"/>
      <c r="BCW16" s="133"/>
      <c r="BCX16" s="133"/>
      <c r="BCY16" s="133"/>
      <c r="BCZ16" s="133"/>
      <c r="BDA16" s="133"/>
      <c r="BDB16" s="136"/>
      <c r="BDC16" s="137"/>
      <c r="BDD16" s="136"/>
      <c r="BDE16" s="137"/>
      <c r="BDF16" s="133"/>
      <c r="BDG16" s="133"/>
      <c r="BDH16" s="133"/>
      <c r="BDI16" s="133"/>
      <c r="BDJ16" s="133"/>
      <c r="BDK16" s="133"/>
      <c r="BDL16" s="133"/>
      <c r="BDM16" s="133"/>
      <c r="BDN16" s="133"/>
      <c r="BDO16" s="133"/>
      <c r="BDP16" s="133"/>
      <c r="BDQ16" s="133"/>
      <c r="BDR16" s="136"/>
      <c r="BDS16" s="137"/>
      <c r="BDT16" s="136"/>
      <c r="BDU16" s="137"/>
      <c r="BDV16" s="133"/>
      <c r="BDW16" s="133"/>
      <c r="BDX16" s="133"/>
      <c r="BDY16" s="133"/>
      <c r="BDZ16" s="133"/>
      <c r="BEA16" s="133"/>
      <c r="BEB16" s="133"/>
      <c r="BEC16" s="133"/>
      <c r="BED16" s="133"/>
      <c r="BEE16" s="133"/>
      <c r="BEF16" s="133"/>
      <c r="BEG16" s="133"/>
      <c r="BEH16" s="136"/>
      <c r="BEI16" s="137"/>
      <c r="BEJ16" s="136"/>
      <c r="BEK16" s="137"/>
      <c r="BEL16" s="133"/>
      <c r="BEM16" s="133"/>
      <c r="BEN16" s="133"/>
      <c r="BEO16" s="133"/>
      <c r="BEP16" s="133"/>
      <c r="BEQ16" s="133"/>
      <c r="BER16" s="133"/>
      <c r="BES16" s="133"/>
      <c r="BET16" s="133"/>
      <c r="BEU16" s="133"/>
      <c r="BEV16" s="133"/>
      <c r="BEW16" s="133"/>
      <c r="BEX16" s="136"/>
      <c r="BEY16" s="137"/>
      <c r="BEZ16" s="136"/>
      <c r="BFA16" s="137"/>
      <c r="BFB16" s="133"/>
      <c r="BFC16" s="133"/>
      <c r="BFD16" s="133"/>
      <c r="BFE16" s="133"/>
      <c r="BFF16" s="133"/>
      <c r="BFG16" s="133"/>
      <c r="BFH16" s="133"/>
      <c r="BFI16" s="133"/>
      <c r="BFJ16" s="133"/>
      <c r="BFK16" s="133"/>
      <c r="BFL16" s="133"/>
      <c r="BFM16" s="133"/>
      <c r="BFN16" s="136"/>
      <c r="BFO16" s="137"/>
      <c r="BFP16" s="136"/>
      <c r="BFQ16" s="137"/>
      <c r="BFR16" s="133"/>
      <c r="BFS16" s="133"/>
      <c r="BFT16" s="133"/>
      <c r="BFU16" s="133"/>
      <c r="BFV16" s="133"/>
      <c r="BFW16" s="133"/>
      <c r="BFX16" s="133"/>
      <c r="BFY16" s="133"/>
      <c r="BFZ16" s="133"/>
      <c r="BGA16" s="133"/>
      <c r="BGB16" s="133"/>
      <c r="BGC16" s="133"/>
      <c r="BGD16" s="136"/>
      <c r="BGE16" s="137"/>
      <c r="BGF16" s="136"/>
      <c r="BGG16" s="137"/>
      <c r="BGH16" s="133"/>
      <c r="BGI16" s="133"/>
      <c r="BGJ16" s="133"/>
      <c r="BGK16" s="133"/>
      <c r="BGL16" s="133"/>
      <c r="BGM16" s="133"/>
      <c r="BGN16" s="133"/>
      <c r="BGO16" s="133"/>
      <c r="BGP16" s="133"/>
      <c r="BGQ16" s="133"/>
      <c r="BGR16" s="133"/>
      <c r="BGS16" s="133"/>
      <c r="BGT16" s="136"/>
      <c r="BGU16" s="137"/>
      <c r="BGV16" s="136"/>
      <c r="BGW16" s="137"/>
      <c r="BGX16" s="133"/>
      <c r="BGY16" s="133"/>
      <c r="BGZ16" s="133"/>
      <c r="BHA16" s="133"/>
      <c r="BHB16" s="133"/>
      <c r="BHC16" s="133"/>
      <c r="BHD16" s="133"/>
      <c r="BHE16" s="133"/>
      <c r="BHF16" s="133"/>
      <c r="BHG16" s="133"/>
      <c r="BHH16" s="133"/>
      <c r="BHI16" s="133"/>
      <c r="BHJ16" s="136"/>
      <c r="BHK16" s="137"/>
      <c r="BHL16" s="136"/>
      <c r="BHM16" s="137"/>
      <c r="BHN16" s="133"/>
      <c r="BHO16" s="133"/>
      <c r="BHP16" s="133"/>
      <c r="BHQ16" s="133"/>
      <c r="BHR16" s="133"/>
      <c r="BHS16" s="133"/>
      <c r="BHT16" s="133"/>
      <c r="BHU16" s="133"/>
      <c r="BHV16" s="133"/>
      <c r="BHW16" s="133"/>
      <c r="BHX16" s="133"/>
      <c r="BHY16" s="133"/>
      <c r="BHZ16" s="136"/>
      <c r="BIA16" s="137"/>
      <c r="BIB16" s="136"/>
      <c r="BIC16" s="137"/>
      <c r="BID16" s="133"/>
      <c r="BIE16" s="133"/>
      <c r="BIF16" s="133"/>
      <c r="BIG16" s="133"/>
      <c r="BIH16" s="133"/>
      <c r="BII16" s="133"/>
      <c r="BIJ16" s="133"/>
      <c r="BIK16" s="133"/>
      <c r="BIL16" s="133"/>
      <c r="BIM16" s="133"/>
      <c r="BIN16" s="133"/>
      <c r="BIO16" s="133"/>
      <c r="BIP16" s="136"/>
      <c r="BIQ16" s="137"/>
      <c r="BIR16" s="136"/>
      <c r="BIS16" s="137"/>
      <c r="BIT16" s="133"/>
      <c r="BIU16" s="133"/>
      <c r="BIV16" s="133"/>
      <c r="BIW16" s="133"/>
      <c r="BIX16" s="133"/>
      <c r="BIY16" s="133"/>
      <c r="BIZ16" s="133"/>
      <c r="BJA16" s="133"/>
      <c r="BJB16" s="133"/>
      <c r="BJC16" s="133"/>
      <c r="BJD16" s="133"/>
      <c r="BJE16" s="133"/>
      <c r="BJF16" s="136"/>
      <c r="BJG16" s="137"/>
      <c r="BJH16" s="136"/>
      <c r="BJI16" s="137"/>
      <c r="BJJ16" s="133"/>
      <c r="BJK16" s="133"/>
      <c r="BJL16" s="133"/>
      <c r="BJM16" s="133"/>
      <c r="BJN16" s="133"/>
      <c r="BJO16" s="133"/>
      <c r="BJP16" s="133"/>
      <c r="BJQ16" s="133"/>
      <c r="BJR16" s="133"/>
      <c r="BJS16" s="133"/>
      <c r="BJT16" s="133"/>
      <c r="BJU16" s="133"/>
      <c r="BJV16" s="136"/>
      <c r="BJW16" s="137"/>
      <c r="BJX16" s="136"/>
      <c r="BJY16" s="137"/>
      <c r="BJZ16" s="133"/>
      <c r="BKA16" s="133"/>
      <c r="BKB16" s="133"/>
      <c r="BKC16" s="133"/>
      <c r="BKD16" s="133"/>
      <c r="BKE16" s="133"/>
      <c r="BKF16" s="133"/>
      <c r="BKG16" s="133"/>
      <c r="BKH16" s="133"/>
      <c r="BKI16" s="133"/>
      <c r="BKJ16" s="133"/>
      <c r="BKK16" s="133"/>
      <c r="BKL16" s="136"/>
      <c r="BKM16" s="137"/>
      <c r="BKN16" s="136"/>
      <c r="BKO16" s="137"/>
      <c r="BKP16" s="133"/>
      <c r="BKQ16" s="133"/>
      <c r="BKR16" s="133"/>
      <c r="BKS16" s="133"/>
      <c r="BKT16" s="133"/>
      <c r="BKU16" s="133"/>
      <c r="BKV16" s="133"/>
      <c r="BKW16" s="133"/>
      <c r="BKX16" s="133"/>
      <c r="BKY16" s="133"/>
      <c r="BKZ16" s="133"/>
      <c r="BLA16" s="133"/>
      <c r="BLB16" s="136"/>
      <c r="BLC16" s="137"/>
      <c r="BLD16" s="136"/>
      <c r="BLE16" s="137"/>
      <c r="BLF16" s="133"/>
      <c r="BLG16" s="133"/>
      <c r="BLH16" s="133"/>
      <c r="BLI16" s="133"/>
      <c r="BLJ16" s="133"/>
      <c r="BLK16" s="133"/>
      <c r="BLL16" s="133"/>
      <c r="BLM16" s="133"/>
      <c r="BLN16" s="133"/>
      <c r="BLO16" s="133"/>
      <c r="BLP16" s="133"/>
      <c r="BLQ16" s="133"/>
      <c r="BLR16" s="136"/>
      <c r="BLS16" s="137"/>
      <c r="BLT16" s="136"/>
      <c r="BLU16" s="137"/>
      <c r="BLV16" s="133"/>
      <c r="BLW16" s="133"/>
      <c r="BLX16" s="133"/>
      <c r="BLY16" s="133"/>
      <c r="BLZ16" s="133"/>
      <c r="BMA16" s="133"/>
      <c r="BMB16" s="133"/>
      <c r="BMC16" s="133"/>
      <c r="BMD16" s="133"/>
      <c r="BME16" s="133"/>
      <c r="BMF16" s="133"/>
      <c r="BMG16" s="133"/>
      <c r="BMH16" s="136"/>
      <c r="BMI16" s="137"/>
      <c r="BMJ16" s="136"/>
      <c r="BMK16" s="137"/>
      <c r="BML16" s="133"/>
      <c r="BMM16" s="133"/>
      <c r="BMN16" s="133"/>
      <c r="BMO16" s="133"/>
      <c r="BMP16" s="133"/>
      <c r="BMQ16" s="133"/>
      <c r="BMR16" s="133"/>
      <c r="BMS16" s="133"/>
      <c r="BMT16" s="133"/>
      <c r="BMU16" s="133"/>
      <c r="BMV16" s="133"/>
      <c r="BMW16" s="133"/>
      <c r="BMX16" s="136"/>
      <c r="BMY16" s="137"/>
      <c r="BMZ16" s="136"/>
      <c r="BNA16" s="137"/>
      <c r="BNB16" s="133"/>
      <c r="BNC16" s="133"/>
      <c r="BND16" s="133"/>
      <c r="BNE16" s="133"/>
      <c r="BNF16" s="133"/>
      <c r="BNG16" s="133"/>
      <c r="BNH16" s="133"/>
      <c r="BNI16" s="133"/>
      <c r="BNJ16" s="133"/>
      <c r="BNK16" s="133"/>
      <c r="BNL16" s="133"/>
      <c r="BNM16" s="133"/>
      <c r="BNN16" s="136"/>
      <c r="BNO16" s="137"/>
      <c r="BNP16" s="136"/>
      <c r="BNQ16" s="137"/>
      <c r="BNR16" s="133"/>
      <c r="BNS16" s="133"/>
      <c r="BNT16" s="133"/>
      <c r="BNU16" s="133"/>
      <c r="BNV16" s="133"/>
      <c r="BNW16" s="133"/>
      <c r="BNX16" s="133"/>
      <c r="BNY16" s="133"/>
      <c r="BNZ16" s="133"/>
      <c r="BOA16" s="133"/>
      <c r="BOB16" s="133"/>
      <c r="BOC16" s="133"/>
      <c r="BOD16" s="136"/>
      <c r="BOE16" s="137"/>
      <c r="BOF16" s="136"/>
      <c r="BOG16" s="137"/>
      <c r="BOH16" s="133"/>
      <c r="BOI16" s="133"/>
      <c r="BOJ16" s="133"/>
      <c r="BOK16" s="133"/>
      <c r="BOL16" s="133"/>
      <c r="BOM16" s="133"/>
      <c r="BON16" s="133"/>
      <c r="BOO16" s="133"/>
      <c r="BOP16" s="133"/>
      <c r="BOQ16" s="133"/>
      <c r="BOR16" s="133"/>
      <c r="BOS16" s="133"/>
      <c r="BOT16" s="136"/>
      <c r="BOU16" s="137"/>
      <c r="BOV16" s="136"/>
      <c r="BOW16" s="137"/>
      <c r="BOX16" s="133"/>
      <c r="BOY16" s="133"/>
      <c r="BOZ16" s="133"/>
      <c r="BPA16" s="133"/>
      <c r="BPB16" s="133"/>
      <c r="BPC16" s="133"/>
      <c r="BPD16" s="133"/>
      <c r="BPE16" s="133"/>
      <c r="BPF16" s="133"/>
      <c r="BPG16" s="133"/>
      <c r="BPH16" s="133"/>
      <c r="BPI16" s="133"/>
      <c r="BPJ16" s="136"/>
      <c r="BPK16" s="137"/>
      <c r="BPL16" s="136"/>
      <c r="BPM16" s="137"/>
      <c r="BPN16" s="133"/>
      <c r="BPO16" s="133"/>
      <c r="BPP16" s="133"/>
      <c r="BPQ16" s="133"/>
      <c r="BPR16" s="133"/>
      <c r="BPS16" s="133"/>
      <c r="BPT16" s="133"/>
      <c r="BPU16" s="133"/>
      <c r="BPV16" s="133"/>
      <c r="BPW16" s="133"/>
      <c r="BPX16" s="133"/>
      <c r="BPY16" s="133"/>
      <c r="BPZ16" s="136"/>
      <c r="BQA16" s="137"/>
      <c r="BQB16" s="136"/>
      <c r="BQC16" s="137"/>
      <c r="BQD16" s="133"/>
      <c r="BQE16" s="133"/>
      <c r="BQF16" s="133"/>
      <c r="BQG16" s="133"/>
      <c r="BQH16" s="133"/>
      <c r="BQI16" s="133"/>
      <c r="BQJ16" s="133"/>
      <c r="BQK16" s="133"/>
      <c r="BQL16" s="133"/>
      <c r="BQM16" s="133"/>
      <c r="BQN16" s="133"/>
      <c r="BQO16" s="133"/>
      <c r="BQP16" s="136"/>
      <c r="BQQ16" s="137"/>
      <c r="BQR16" s="136"/>
      <c r="BQS16" s="137"/>
      <c r="BQT16" s="133"/>
      <c r="BQU16" s="133"/>
      <c r="BQV16" s="133"/>
      <c r="BQW16" s="133"/>
      <c r="BQX16" s="133"/>
      <c r="BQY16" s="133"/>
      <c r="BQZ16" s="133"/>
      <c r="BRA16" s="133"/>
      <c r="BRB16" s="133"/>
      <c r="BRC16" s="133"/>
      <c r="BRD16" s="133"/>
      <c r="BRE16" s="133"/>
      <c r="BRF16" s="136"/>
      <c r="BRG16" s="137"/>
      <c r="BRH16" s="136"/>
      <c r="BRI16" s="137"/>
      <c r="BRJ16" s="133"/>
      <c r="BRK16" s="133"/>
      <c r="BRL16" s="133"/>
      <c r="BRM16" s="133"/>
      <c r="BRN16" s="133"/>
      <c r="BRO16" s="133"/>
      <c r="BRP16" s="133"/>
      <c r="BRQ16" s="133"/>
      <c r="BRR16" s="133"/>
      <c r="BRS16" s="133"/>
      <c r="BRT16" s="133"/>
      <c r="BRU16" s="133"/>
      <c r="BRV16" s="136"/>
      <c r="BRW16" s="137"/>
      <c r="BRX16" s="136"/>
      <c r="BRY16" s="137"/>
      <c r="BRZ16" s="133"/>
      <c r="BSA16" s="133"/>
      <c r="BSB16" s="133"/>
      <c r="BSC16" s="133"/>
      <c r="BSD16" s="133"/>
      <c r="BSE16" s="133"/>
      <c r="BSF16" s="133"/>
      <c r="BSG16" s="133"/>
      <c r="BSH16" s="133"/>
      <c r="BSI16" s="133"/>
      <c r="BSJ16" s="133"/>
      <c r="BSK16" s="133"/>
      <c r="BSL16" s="136"/>
      <c r="BSM16" s="137"/>
      <c r="BSN16" s="136"/>
      <c r="BSO16" s="137"/>
      <c r="BSP16" s="133"/>
      <c r="BSQ16" s="133"/>
      <c r="BSR16" s="133"/>
      <c r="BSS16" s="133"/>
      <c r="BST16" s="133"/>
      <c r="BSU16" s="133"/>
      <c r="BSV16" s="133"/>
      <c r="BSW16" s="133"/>
      <c r="BSX16" s="133"/>
      <c r="BSY16" s="133"/>
      <c r="BSZ16" s="133"/>
      <c r="BTA16" s="133"/>
      <c r="BTB16" s="136"/>
      <c r="BTC16" s="137"/>
      <c r="BTD16" s="136"/>
      <c r="BTE16" s="137"/>
      <c r="BTF16" s="133"/>
      <c r="BTG16" s="133"/>
      <c r="BTH16" s="133"/>
      <c r="BTI16" s="133"/>
      <c r="BTJ16" s="133"/>
      <c r="BTK16" s="133"/>
      <c r="BTL16" s="133"/>
      <c r="BTM16" s="133"/>
      <c r="BTN16" s="133"/>
      <c r="BTO16" s="133"/>
      <c r="BTP16" s="133"/>
      <c r="BTQ16" s="133"/>
      <c r="BTR16" s="136"/>
      <c r="BTS16" s="137"/>
      <c r="BTT16" s="136"/>
      <c r="BTU16" s="137"/>
      <c r="BTV16" s="133"/>
      <c r="BTW16" s="133"/>
      <c r="BTX16" s="133"/>
      <c r="BTY16" s="133"/>
      <c r="BTZ16" s="133"/>
      <c r="BUA16" s="133"/>
      <c r="BUB16" s="133"/>
      <c r="BUC16" s="133"/>
      <c r="BUD16" s="133"/>
      <c r="BUE16" s="133"/>
      <c r="BUF16" s="133"/>
      <c r="BUG16" s="133"/>
      <c r="BUH16" s="136"/>
      <c r="BUI16" s="137"/>
      <c r="BUJ16" s="136"/>
      <c r="BUK16" s="137"/>
      <c r="BUL16" s="133"/>
      <c r="BUM16" s="133"/>
      <c r="BUN16" s="133"/>
      <c r="BUO16" s="133"/>
      <c r="BUP16" s="133"/>
      <c r="BUQ16" s="133"/>
      <c r="BUR16" s="133"/>
      <c r="BUS16" s="133"/>
      <c r="BUT16" s="133"/>
      <c r="BUU16" s="133"/>
      <c r="BUV16" s="133"/>
      <c r="BUW16" s="133"/>
      <c r="BUX16" s="136"/>
      <c r="BUY16" s="137"/>
      <c r="BUZ16" s="136"/>
      <c r="BVA16" s="137"/>
      <c r="BVB16" s="133"/>
      <c r="BVC16" s="133"/>
      <c r="BVD16" s="133"/>
      <c r="BVE16" s="133"/>
      <c r="BVF16" s="133"/>
      <c r="BVG16" s="133"/>
      <c r="BVH16" s="133"/>
      <c r="BVI16" s="133"/>
      <c r="BVJ16" s="133"/>
      <c r="BVK16" s="133"/>
      <c r="BVL16" s="133"/>
      <c r="BVM16" s="133"/>
      <c r="BVN16" s="136"/>
      <c r="BVO16" s="137"/>
      <c r="BVP16" s="136"/>
      <c r="BVQ16" s="137"/>
      <c r="BVR16" s="133"/>
      <c r="BVS16" s="133"/>
      <c r="BVT16" s="133"/>
      <c r="BVU16" s="133"/>
      <c r="BVV16" s="133"/>
      <c r="BVW16" s="133"/>
      <c r="BVX16" s="133"/>
      <c r="BVY16" s="133"/>
      <c r="BVZ16" s="133"/>
      <c r="BWA16" s="133"/>
      <c r="BWB16" s="133"/>
      <c r="BWC16" s="133"/>
      <c r="BWD16" s="136"/>
      <c r="BWE16" s="137"/>
      <c r="BWF16" s="136"/>
      <c r="BWG16" s="137"/>
      <c r="BWH16" s="133"/>
      <c r="BWI16" s="133"/>
      <c r="BWJ16" s="133"/>
      <c r="BWK16" s="133"/>
      <c r="BWL16" s="133"/>
      <c r="BWM16" s="133"/>
      <c r="BWN16" s="133"/>
      <c r="BWO16" s="133"/>
      <c r="BWP16" s="133"/>
      <c r="BWQ16" s="133"/>
      <c r="BWR16" s="133"/>
      <c r="BWS16" s="133"/>
      <c r="BWT16" s="136"/>
      <c r="BWU16" s="137"/>
      <c r="BWV16" s="136"/>
      <c r="BWW16" s="137"/>
      <c r="BWX16" s="133"/>
      <c r="BWY16" s="133"/>
      <c r="BWZ16" s="133"/>
      <c r="BXA16" s="133"/>
      <c r="BXB16" s="133"/>
      <c r="BXC16" s="133"/>
      <c r="BXD16" s="133"/>
      <c r="BXE16" s="133"/>
      <c r="BXF16" s="133"/>
      <c r="BXG16" s="133"/>
      <c r="BXH16" s="133"/>
      <c r="BXI16" s="133"/>
      <c r="BXJ16" s="136"/>
      <c r="BXK16" s="137"/>
      <c r="BXL16" s="136"/>
      <c r="BXM16" s="137"/>
      <c r="BXN16" s="133"/>
      <c r="BXO16" s="133"/>
      <c r="BXP16" s="133"/>
      <c r="BXQ16" s="133"/>
      <c r="BXR16" s="133"/>
      <c r="BXS16" s="133"/>
      <c r="BXT16" s="133"/>
      <c r="BXU16" s="133"/>
      <c r="BXV16" s="133"/>
      <c r="BXW16" s="133"/>
      <c r="BXX16" s="133"/>
      <c r="BXY16" s="133"/>
      <c r="BXZ16" s="136"/>
      <c r="BYA16" s="137"/>
      <c r="BYB16" s="136"/>
      <c r="BYC16" s="137"/>
      <c r="BYD16" s="133"/>
      <c r="BYE16" s="133"/>
      <c r="BYF16" s="133"/>
      <c r="BYG16" s="133"/>
      <c r="BYH16" s="133"/>
      <c r="BYI16" s="133"/>
      <c r="BYJ16" s="133"/>
      <c r="BYK16" s="133"/>
      <c r="BYL16" s="133"/>
      <c r="BYM16" s="133"/>
      <c r="BYN16" s="133"/>
      <c r="BYO16" s="133"/>
      <c r="BYP16" s="136"/>
      <c r="BYQ16" s="137"/>
      <c r="BYR16" s="136"/>
      <c r="BYS16" s="137"/>
      <c r="BYT16" s="133"/>
      <c r="BYU16" s="133"/>
      <c r="BYV16" s="133"/>
      <c r="BYW16" s="133"/>
      <c r="BYX16" s="133"/>
      <c r="BYY16" s="133"/>
      <c r="BYZ16" s="133"/>
      <c r="BZA16" s="133"/>
      <c r="BZB16" s="133"/>
      <c r="BZC16" s="133"/>
      <c r="BZD16" s="133"/>
      <c r="BZE16" s="133"/>
      <c r="BZF16" s="136"/>
      <c r="BZG16" s="137"/>
      <c r="BZH16" s="136"/>
      <c r="BZI16" s="137"/>
      <c r="BZV16" s="136"/>
      <c r="BZW16" s="137"/>
      <c r="BZX16" s="136"/>
      <c r="BZY16" s="137"/>
      <c r="BZZ16" s="133"/>
      <c r="CAA16" s="133"/>
      <c r="CAB16" s="133"/>
      <c r="CAC16" s="133"/>
      <c r="CAD16" s="133"/>
      <c r="CAE16" s="133"/>
      <c r="CAF16" s="133"/>
      <c r="CAG16" s="133"/>
      <c r="CAH16" s="133"/>
      <c r="CAI16" s="133"/>
      <c r="CAJ16" s="133"/>
      <c r="CAK16" s="133"/>
      <c r="CAL16" s="136"/>
      <c r="CAM16" s="137"/>
      <c r="CAN16" s="136"/>
      <c r="CAO16" s="137"/>
      <c r="CAP16" s="133"/>
      <c r="CAQ16" s="133"/>
      <c r="CAR16" s="133"/>
      <c r="CAS16" s="133"/>
      <c r="CAT16" s="133"/>
      <c r="CAU16" s="133"/>
      <c r="CAV16" s="133"/>
      <c r="CAW16" s="133"/>
      <c r="CAX16" s="133"/>
      <c r="CAY16" s="133"/>
      <c r="CAZ16" s="133"/>
      <c r="CBA16" s="133"/>
      <c r="CBB16" s="136"/>
      <c r="CBC16" s="137"/>
      <c r="CBD16" s="136"/>
      <c r="CBE16" s="137"/>
      <c r="CBF16" s="133"/>
      <c r="CBG16" s="133"/>
      <c r="CBH16" s="133"/>
      <c r="CBI16" s="133"/>
      <c r="CBJ16" s="133"/>
      <c r="CBK16" s="133"/>
      <c r="CBL16" s="133"/>
      <c r="CBM16" s="133"/>
      <c r="CBN16" s="133"/>
      <c r="CBO16" s="133"/>
      <c r="CBP16" s="133"/>
      <c r="CBQ16" s="133"/>
      <c r="CBR16" s="136"/>
      <c r="CBS16" s="137"/>
      <c r="CBT16" s="136"/>
      <c r="CBU16" s="137"/>
      <c r="CBV16" s="133"/>
      <c r="CBW16" s="133"/>
      <c r="CBX16" s="133"/>
      <c r="CBY16" s="133"/>
      <c r="CBZ16" s="133"/>
      <c r="CCA16" s="133"/>
      <c r="CCB16" s="133"/>
      <c r="CCC16" s="133"/>
      <c r="CCD16" s="133"/>
      <c r="CCE16" s="133"/>
      <c r="CCF16" s="133"/>
      <c r="CCG16" s="133"/>
      <c r="CCH16" s="136"/>
      <c r="CCI16" s="137"/>
      <c r="CCJ16" s="136"/>
      <c r="CCK16" s="137"/>
      <c r="CCL16" s="133"/>
      <c r="CCM16" s="133"/>
      <c r="CCN16" s="133"/>
      <c r="CCO16" s="133"/>
      <c r="CCP16" s="133"/>
      <c r="CCQ16" s="133"/>
      <c r="CCR16" s="133"/>
      <c r="CCS16" s="133"/>
      <c r="CCT16" s="133"/>
      <c r="CCU16" s="133"/>
      <c r="CCV16" s="133"/>
      <c r="CCW16" s="133"/>
      <c r="CCX16" s="136"/>
      <c r="CCY16" s="137"/>
      <c r="CCZ16" s="136"/>
      <c r="CDA16" s="137"/>
      <c r="CDB16" s="133"/>
      <c r="CDC16" s="133"/>
      <c r="CDD16" s="133"/>
      <c r="CDE16" s="133"/>
      <c r="CDF16" s="133"/>
      <c r="CDG16" s="133"/>
      <c r="CDH16" s="133"/>
      <c r="CDI16" s="133"/>
      <c r="CDJ16" s="133"/>
      <c r="CDK16" s="133"/>
      <c r="CDL16" s="133"/>
      <c r="CDM16" s="133"/>
      <c r="CDN16" s="136"/>
      <c r="CDO16" s="137"/>
      <c r="CDP16" s="136"/>
      <c r="CDQ16" s="137"/>
      <c r="CDR16" s="133"/>
      <c r="CDS16" s="133"/>
      <c r="CDT16" s="133"/>
      <c r="CDU16" s="133"/>
      <c r="CDV16" s="133"/>
      <c r="CDW16" s="133"/>
      <c r="CDX16" s="133"/>
      <c r="CDY16" s="133"/>
      <c r="CDZ16" s="133"/>
      <c r="CEA16" s="133"/>
      <c r="CEB16" s="133"/>
      <c r="CEC16" s="133"/>
      <c r="CED16" s="136"/>
      <c r="CEE16" s="137"/>
      <c r="CEF16" s="136"/>
      <c r="CEG16" s="137"/>
      <c r="CEH16" s="133"/>
      <c r="CEI16" s="133"/>
      <c r="CEJ16" s="133"/>
      <c r="CEK16" s="133"/>
      <c r="CEL16" s="133"/>
      <c r="CEM16" s="133"/>
      <c r="CEN16" s="133"/>
      <c r="CEO16" s="133"/>
      <c r="CEP16" s="133"/>
      <c r="CEQ16" s="133"/>
      <c r="CER16" s="133"/>
      <c r="CES16" s="133"/>
      <c r="CET16" s="136"/>
      <c r="CEU16" s="137"/>
      <c r="CEV16" s="136"/>
      <c r="CEW16" s="137"/>
      <c r="CEX16" s="133"/>
      <c r="CEY16" s="133"/>
      <c r="CEZ16" s="133"/>
      <c r="CFA16" s="133"/>
      <c r="CFB16" s="133"/>
      <c r="CFC16" s="133"/>
      <c r="CFD16" s="133"/>
      <c r="CFE16" s="133"/>
      <c r="CFF16" s="133"/>
      <c r="CFG16" s="133"/>
      <c r="CFH16" s="133"/>
      <c r="CFI16" s="133"/>
      <c r="CFJ16" s="136"/>
      <c r="CFK16" s="137"/>
      <c r="CFL16" s="136"/>
      <c r="CFM16" s="137"/>
      <c r="CFN16" s="133"/>
      <c r="CFO16" s="133"/>
      <c r="CFP16" s="133"/>
      <c r="CFQ16" s="133"/>
      <c r="CFR16" s="133"/>
      <c r="CFS16" s="133"/>
      <c r="CFT16" s="133"/>
      <c r="CFU16" s="133"/>
      <c r="CFV16" s="133"/>
      <c r="CFW16" s="133"/>
      <c r="CFX16" s="133"/>
      <c r="CFY16" s="133"/>
      <c r="CFZ16" s="136"/>
      <c r="CGA16" s="137"/>
      <c r="CGB16" s="136"/>
      <c r="CGC16" s="137"/>
      <c r="CGD16" s="133"/>
      <c r="CGE16" s="133"/>
      <c r="CGF16" s="133"/>
      <c r="CGG16" s="133"/>
      <c r="CGH16" s="133"/>
      <c r="CGI16" s="133"/>
      <c r="CGJ16" s="133"/>
      <c r="CGK16" s="133"/>
      <c r="CGL16" s="133"/>
      <c r="CGM16" s="133"/>
      <c r="CGN16" s="133"/>
      <c r="CGO16" s="133"/>
      <c r="CGP16" s="136"/>
      <c r="CGQ16" s="137"/>
      <c r="CGR16" s="136"/>
      <c r="CGS16" s="137"/>
      <c r="CGT16" s="133"/>
      <c r="CGU16" s="133"/>
      <c r="CGV16" s="133"/>
      <c r="CGW16" s="133"/>
      <c r="CGX16" s="133"/>
      <c r="CGY16" s="133"/>
      <c r="CGZ16" s="133"/>
      <c r="CHA16" s="133"/>
      <c r="CHB16" s="133"/>
      <c r="CHC16" s="133"/>
      <c r="CHD16" s="133"/>
      <c r="CHE16" s="133"/>
      <c r="CHF16" s="136"/>
      <c r="CHG16" s="137"/>
      <c r="CHH16" s="136"/>
      <c r="CHI16" s="137"/>
      <c r="CHJ16" s="133"/>
      <c r="CHK16" s="133"/>
      <c r="CHL16" s="133"/>
      <c r="CHM16" s="133"/>
      <c r="CHN16" s="133"/>
      <c r="CHO16" s="133"/>
      <c r="CHP16" s="133"/>
      <c r="CHQ16" s="133"/>
      <c r="CHR16" s="133"/>
      <c r="CHS16" s="133"/>
      <c r="CHT16" s="133"/>
      <c r="CHU16" s="133"/>
      <c r="CHV16" s="136"/>
      <c r="CHW16" s="137"/>
      <c r="CHX16" s="136"/>
      <c r="CHY16" s="137"/>
      <c r="CHZ16" s="133"/>
      <c r="CIA16" s="133"/>
      <c r="CIB16" s="133"/>
      <c r="CIC16" s="133"/>
      <c r="CID16" s="133"/>
      <c r="CIE16" s="133"/>
      <c r="CIF16" s="133"/>
      <c r="CIG16" s="133"/>
      <c r="CIH16" s="133"/>
      <c r="CII16" s="133"/>
      <c r="CIJ16" s="133"/>
      <c r="CIK16" s="133"/>
      <c r="CIL16" s="136"/>
      <c r="CIM16" s="137"/>
      <c r="CIN16" s="136"/>
      <c r="CIO16" s="137"/>
      <c r="CIP16" s="133"/>
      <c r="CIQ16" s="133"/>
      <c r="CIR16" s="133"/>
      <c r="CIS16" s="133"/>
      <c r="CIT16" s="133"/>
      <c r="CIU16" s="133"/>
      <c r="CIV16" s="133"/>
      <c r="CIW16" s="133"/>
      <c r="CIX16" s="133"/>
      <c r="CIY16" s="133"/>
      <c r="CIZ16" s="133"/>
      <c r="CJA16" s="133"/>
      <c r="CJB16" s="136"/>
      <c r="CJC16" s="137"/>
      <c r="CJD16" s="136"/>
      <c r="CJE16" s="137"/>
      <c r="CJF16" s="133"/>
      <c r="CJG16" s="133"/>
      <c r="CJH16" s="133"/>
      <c r="CJI16" s="133"/>
      <c r="CJJ16" s="133"/>
      <c r="CJK16" s="133"/>
      <c r="CJL16" s="133"/>
      <c r="CJM16" s="133"/>
      <c r="CJN16" s="133"/>
      <c r="CJO16" s="133"/>
      <c r="CJP16" s="133"/>
      <c r="CJQ16" s="133"/>
      <c r="CJR16" s="136"/>
      <c r="CJS16" s="137"/>
      <c r="CJT16" s="136"/>
      <c r="CJU16" s="137"/>
      <c r="CJV16" s="133"/>
      <c r="CJW16" s="133"/>
      <c r="CJX16" s="133"/>
      <c r="CJY16" s="133"/>
      <c r="CJZ16" s="133"/>
      <c r="CKA16" s="133"/>
      <c r="CKB16" s="133"/>
      <c r="CKC16" s="133"/>
      <c r="CKD16" s="133"/>
      <c r="CKE16" s="133"/>
      <c r="CKF16" s="133"/>
      <c r="CKG16" s="133"/>
      <c r="CKH16" s="136"/>
      <c r="CKI16" s="137"/>
      <c r="CKJ16" s="136"/>
      <c r="CKK16" s="137"/>
      <c r="CKL16" s="133"/>
      <c r="CKM16" s="133"/>
      <c r="CKN16" s="133"/>
      <c r="CKO16" s="133"/>
      <c r="CKP16" s="133"/>
      <c r="CKQ16" s="133"/>
      <c r="CKR16" s="133"/>
      <c r="CKS16" s="133"/>
      <c r="CKT16" s="133"/>
      <c r="CKU16" s="133"/>
      <c r="CKV16" s="133"/>
      <c r="CKW16" s="133"/>
      <c r="CKX16" s="136"/>
      <c r="CKY16" s="137"/>
      <c r="CKZ16" s="136"/>
      <c r="CLA16" s="137"/>
      <c r="CLB16" s="133"/>
      <c r="CLC16" s="133"/>
      <c r="CLD16" s="133"/>
      <c r="CLE16" s="133"/>
      <c r="CLF16" s="133"/>
      <c r="CLG16" s="133"/>
      <c r="CLH16" s="133"/>
      <c r="CLI16" s="133"/>
      <c r="CLJ16" s="133"/>
      <c r="CLK16" s="133"/>
      <c r="CLL16" s="133"/>
      <c r="CLM16" s="133"/>
      <c r="CLN16" s="136"/>
      <c r="CLO16" s="137"/>
      <c r="CLP16" s="136"/>
      <c r="CLQ16" s="137"/>
      <c r="CLR16" s="133"/>
      <c r="CLS16" s="133"/>
      <c r="CLT16" s="133"/>
      <c r="CLU16" s="133"/>
      <c r="CLV16" s="133"/>
      <c r="CLW16" s="133"/>
      <c r="CLX16" s="133"/>
      <c r="CLY16" s="133"/>
      <c r="CLZ16" s="133"/>
      <c r="CMA16" s="133"/>
      <c r="CMB16" s="133"/>
      <c r="CMC16" s="133"/>
      <c r="CMD16" s="136"/>
      <c r="CME16" s="137"/>
      <c r="CMF16" s="136"/>
      <c r="CMG16" s="137"/>
      <c r="CMH16" s="133"/>
      <c r="CMI16" s="133"/>
      <c r="CMJ16" s="133"/>
      <c r="CMK16" s="133"/>
      <c r="CML16" s="133"/>
      <c r="CMM16" s="133"/>
      <c r="CMN16" s="133"/>
      <c r="CMO16" s="133"/>
      <c r="CMP16" s="133"/>
      <c r="CMQ16" s="133"/>
      <c r="CMR16" s="133"/>
      <c r="CMS16" s="133"/>
      <c r="CMT16" s="136"/>
      <c r="CMU16" s="137"/>
      <c r="CMV16" s="136"/>
      <c r="CMW16" s="137"/>
      <c r="CMX16" s="133"/>
      <c r="CMY16" s="133"/>
      <c r="CMZ16" s="133"/>
      <c r="CNA16" s="133"/>
      <c r="CNB16" s="133"/>
      <c r="CNC16" s="133"/>
      <c r="CND16" s="133"/>
      <c r="CNE16" s="133"/>
      <c r="CNF16" s="133"/>
      <c r="CNG16" s="133"/>
      <c r="CNH16" s="133"/>
      <c r="CNI16" s="133"/>
      <c r="CNJ16" s="136"/>
      <c r="CNK16" s="137"/>
      <c r="CNL16" s="136"/>
      <c r="CNM16" s="137"/>
      <c r="CNN16" s="133"/>
      <c r="CNO16" s="133"/>
      <c r="CNP16" s="133"/>
      <c r="CNQ16" s="133"/>
      <c r="CNR16" s="133"/>
      <c r="CNS16" s="133"/>
      <c r="CNT16" s="133"/>
      <c r="CNU16" s="133"/>
      <c r="CNV16" s="133"/>
      <c r="CNW16" s="133"/>
      <c r="CNX16" s="133"/>
      <c r="CNY16" s="133"/>
      <c r="CNZ16" s="136"/>
      <c r="COA16" s="137"/>
      <c r="COB16" s="136"/>
      <c r="COC16" s="137"/>
      <c r="COD16" s="133"/>
      <c r="COE16" s="133"/>
      <c r="COF16" s="133"/>
      <c r="COG16" s="133"/>
      <c r="COH16" s="133"/>
      <c r="COI16" s="133"/>
      <c r="COJ16" s="133"/>
      <c r="COK16" s="133"/>
      <c r="COL16" s="133"/>
      <c r="COM16" s="133"/>
      <c r="CON16" s="133"/>
      <c r="COO16" s="133"/>
      <c r="COP16" s="136"/>
      <c r="COQ16" s="137"/>
      <c r="COR16" s="136"/>
      <c r="COS16" s="137"/>
      <c r="COT16" s="133"/>
      <c r="COU16" s="133"/>
      <c r="COV16" s="133"/>
      <c r="COW16" s="133"/>
      <c r="COX16" s="133"/>
      <c r="COY16" s="133"/>
      <c r="COZ16" s="133"/>
      <c r="CPA16" s="133"/>
      <c r="CPB16" s="133"/>
      <c r="CPC16" s="133"/>
      <c r="CPD16" s="133"/>
      <c r="CPE16" s="133"/>
      <c r="CPF16" s="136"/>
      <c r="CPG16" s="137"/>
      <c r="CPH16" s="136"/>
      <c r="CPI16" s="137"/>
      <c r="CPJ16" s="133"/>
      <c r="CPK16" s="133"/>
      <c r="CPL16" s="133"/>
      <c r="CPM16" s="133"/>
      <c r="CPN16" s="133"/>
      <c r="CPO16" s="133"/>
      <c r="CPP16" s="133"/>
      <c r="CPQ16" s="133"/>
      <c r="CPR16" s="133"/>
      <c r="CPS16" s="133"/>
      <c r="CPT16" s="133"/>
      <c r="CPU16" s="133"/>
      <c r="CPV16" s="136"/>
      <c r="CPW16" s="137"/>
      <c r="CPX16" s="136"/>
      <c r="CPY16" s="137"/>
      <c r="CPZ16" s="133"/>
      <c r="CQA16" s="133"/>
      <c r="CQB16" s="133"/>
      <c r="CQC16" s="133"/>
      <c r="CQD16" s="133"/>
      <c r="CQE16" s="133"/>
      <c r="CQF16" s="133"/>
      <c r="CQG16" s="133"/>
      <c r="CQH16" s="133"/>
      <c r="CQI16" s="133"/>
      <c r="CQJ16" s="133"/>
      <c r="CQK16" s="133"/>
      <c r="CQL16" s="136"/>
      <c r="CQM16" s="137"/>
      <c r="CQN16" s="136"/>
      <c r="CQO16" s="137"/>
      <c r="CQP16" s="133"/>
      <c r="CQQ16" s="133"/>
      <c r="CQR16" s="133"/>
      <c r="CQS16" s="133"/>
      <c r="CQT16" s="133"/>
      <c r="CQU16" s="133"/>
      <c r="CQV16" s="133"/>
      <c r="CQW16" s="133"/>
      <c r="CQX16" s="133"/>
      <c r="CQY16" s="133"/>
      <c r="CQZ16" s="133"/>
      <c r="CRA16" s="133"/>
      <c r="CRB16" s="136"/>
      <c r="CRC16" s="137"/>
      <c r="CRD16" s="136"/>
      <c r="CRE16" s="137"/>
      <c r="CRF16" s="133"/>
      <c r="CRG16" s="133"/>
      <c r="CRH16" s="133"/>
      <c r="CRI16" s="133"/>
      <c r="CRJ16" s="133"/>
      <c r="CRK16" s="133"/>
      <c r="CRL16" s="133"/>
      <c r="CRM16" s="133"/>
      <c r="CRN16" s="133"/>
      <c r="CRO16" s="133"/>
      <c r="CRP16" s="133"/>
      <c r="CRQ16" s="133"/>
      <c r="CRR16" s="136"/>
      <c r="CRS16" s="137"/>
      <c r="CRT16" s="136"/>
      <c r="CRU16" s="137"/>
      <c r="CRV16" s="133"/>
      <c r="CRW16" s="133"/>
      <c r="CRX16" s="133"/>
      <c r="CRY16" s="133"/>
      <c r="CRZ16" s="133"/>
      <c r="CSA16" s="133"/>
      <c r="CSB16" s="133"/>
      <c r="CSC16" s="133"/>
      <c r="CSD16" s="133"/>
      <c r="CSE16" s="133"/>
      <c r="CSF16" s="133"/>
      <c r="CSG16" s="133"/>
      <c r="CSH16" s="136"/>
      <c r="CSI16" s="137"/>
      <c r="CSJ16" s="136"/>
      <c r="CSK16" s="137"/>
      <c r="CSL16" s="133"/>
      <c r="CSM16" s="133"/>
      <c r="CSN16" s="133"/>
      <c r="CSO16" s="133"/>
      <c r="CSP16" s="133"/>
      <c r="CSQ16" s="133"/>
      <c r="CSR16" s="133"/>
      <c r="CSS16" s="133"/>
      <c r="CST16" s="133"/>
      <c r="CSU16" s="133"/>
      <c r="CSV16" s="133"/>
      <c r="CSW16" s="133"/>
      <c r="CSX16" s="136"/>
      <c r="CSY16" s="137"/>
      <c r="CSZ16" s="136"/>
      <c r="CTA16" s="137"/>
      <c r="CTB16" s="133"/>
      <c r="CTC16" s="133"/>
      <c r="CTD16" s="133"/>
      <c r="CTE16" s="133"/>
      <c r="CTF16" s="133"/>
      <c r="CTG16" s="133"/>
      <c r="CTH16" s="133"/>
      <c r="CTI16" s="133"/>
      <c r="CTJ16" s="133"/>
      <c r="CTK16" s="133"/>
      <c r="CTL16" s="133"/>
      <c r="CTM16" s="133"/>
      <c r="CTN16" s="136"/>
      <c r="CTO16" s="137"/>
      <c r="CTP16" s="136"/>
      <c r="CTQ16" s="137"/>
      <c r="CTR16" s="133"/>
      <c r="CTS16" s="133"/>
      <c r="CTT16" s="133"/>
      <c r="CTU16" s="133"/>
      <c r="CTV16" s="133"/>
      <c r="CTW16" s="133"/>
      <c r="CTX16" s="133"/>
      <c r="CTY16" s="133"/>
      <c r="CTZ16" s="133"/>
      <c r="CUA16" s="133"/>
      <c r="CUB16" s="133"/>
      <c r="CUC16" s="133"/>
      <c r="CUD16" s="136"/>
      <c r="CUE16" s="137"/>
      <c r="CUF16" s="136"/>
      <c r="CUG16" s="137"/>
      <c r="CUH16" s="133"/>
      <c r="CUI16" s="133"/>
      <c r="CUJ16" s="133"/>
      <c r="CUK16" s="133"/>
      <c r="CUL16" s="133"/>
      <c r="CUM16" s="133"/>
      <c r="CUN16" s="133"/>
      <c r="CUO16" s="133"/>
      <c r="CUP16" s="133"/>
      <c r="CUQ16" s="133"/>
      <c r="CUR16" s="133"/>
      <c r="CUS16" s="133"/>
      <c r="CUT16" s="136"/>
      <c r="CUU16" s="137"/>
      <c r="CUV16" s="136"/>
      <c r="CUW16" s="137"/>
      <c r="CUX16" s="133"/>
      <c r="CUY16" s="133"/>
      <c r="CUZ16" s="133"/>
      <c r="CVA16" s="133"/>
      <c r="CVB16" s="133"/>
      <c r="CVC16" s="133"/>
      <c r="CVD16" s="133"/>
      <c r="CVE16" s="133"/>
      <c r="CVF16" s="133"/>
      <c r="CVG16" s="133"/>
      <c r="CVH16" s="133"/>
      <c r="CVI16" s="133"/>
      <c r="CVJ16" s="136"/>
      <c r="CVK16" s="137"/>
      <c r="CVL16" s="136"/>
      <c r="CVM16" s="137"/>
      <c r="CVN16" s="133"/>
      <c r="CVO16" s="133"/>
      <c r="CVP16" s="133"/>
      <c r="CVQ16" s="133"/>
      <c r="CVR16" s="133"/>
      <c r="CVS16" s="133"/>
      <c r="CVT16" s="133"/>
      <c r="CVU16" s="133"/>
      <c r="CVV16" s="133"/>
      <c r="CVW16" s="133"/>
      <c r="CVX16" s="133"/>
      <c r="CVY16" s="133"/>
      <c r="CVZ16" s="136"/>
      <c r="CWA16" s="137"/>
      <c r="CWB16" s="136"/>
      <c r="CWC16" s="137"/>
      <c r="CWD16" s="133"/>
      <c r="CWE16" s="133"/>
      <c r="CWF16" s="133"/>
      <c r="CWG16" s="133"/>
      <c r="CWH16" s="133"/>
      <c r="CWI16" s="133"/>
      <c r="CWJ16" s="133"/>
      <c r="CWK16" s="133"/>
      <c r="CWL16" s="133"/>
      <c r="CWM16" s="133"/>
      <c r="CWN16" s="133"/>
      <c r="CWO16" s="133"/>
      <c r="CWP16" s="136"/>
      <c r="CWQ16" s="137"/>
      <c r="CWR16" s="136"/>
      <c r="CWS16" s="137"/>
      <c r="CWT16" s="133"/>
      <c r="CWU16" s="133"/>
      <c r="CWV16" s="133"/>
      <c r="CWW16" s="133"/>
      <c r="CWX16" s="133"/>
      <c r="CWY16" s="133"/>
      <c r="CWZ16" s="133"/>
      <c r="CXA16" s="133"/>
      <c r="CXB16" s="133"/>
      <c r="CXC16" s="133"/>
      <c r="CXD16" s="133"/>
      <c r="CXE16" s="133"/>
      <c r="CXF16" s="136"/>
      <c r="CXG16" s="137"/>
      <c r="CXH16" s="136"/>
      <c r="CXI16" s="137"/>
      <c r="CXJ16" s="133"/>
      <c r="CXK16" s="133"/>
      <c r="CXL16" s="133"/>
      <c r="CXM16" s="133"/>
      <c r="CXN16" s="133"/>
      <c r="CXO16" s="133"/>
      <c r="CXP16" s="133"/>
      <c r="CXQ16" s="133"/>
      <c r="CXR16" s="133"/>
      <c r="CXS16" s="133"/>
      <c r="CXT16" s="133"/>
      <c r="CXU16" s="133"/>
      <c r="CXV16" s="136"/>
      <c r="CXW16" s="137"/>
      <c r="CXX16" s="136"/>
      <c r="CXY16" s="137"/>
      <c r="CXZ16" s="133"/>
      <c r="CYA16" s="133"/>
      <c r="CYB16" s="133"/>
      <c r="CYC16" s="133"/>
      <c r="CYD16" s="133"/>
      <c r="CYE16" s="133"/>
      <c r="CYF16" s="133"/>
      <c r="CYG16" s="133"/>
      <c r="CYH16" s="133"/>
      <c r="CYI16" s="133"/>
      <c r="CYJ16" s="133"/>
      <c r="CYK16" s="133"/>
      <c r="CYL16" s="136"/>
      <c r="CYM16" s="137"/>
      <c r="CYN16" s="136"/>
      <c r="CYO16" s="137"/>
      <c r="CYP16" s="133"/>
      <c r="CYQ16" s="133"/>
      <c r="CYR16" s="133"/>
      <c r="CYS16" s="133"/>
      <c r="CYT16" s="133"/>
      <c r="CYU16" s="133"/>
      <c r="CYV16" s="133"/>
      <c r="CYW16" s="133"/>
      <c r="CYX16" s="133"/>
      <c r="CYY16" s="133"/>
      <c r="CYZ16" s="133"/>
      <c r="CZA16" s="133"/>
      <c r="CZB16" s="136"/>
      <c r="CZC16" s="137"/>
      <c r="CZD16" s="136"/>
      <c r="CZE16" s="137"/>
      <c r="CZF16" s="133"/>
      <c r="CZG16" s="133"/>
      <c r="CZH16" s="133"/>
      <c r="CZI16" s="133"/>
      <c r="CZJ16" s="133"/>
      <c r="CZK16" s="133"/>
      <c r="CZL16" s="133"/>
      <c r="CZM16" s="133"/>
      <c r="CZN16" s="133"/>
      <c r="CZO16" s="133"/>
      <c r="CZP16" s="133"/>
      <c r="CZQ16" s="133"/>
      <c r="CZR16" s="136"/>
      <c r="CZS16" s="137"/>
      <c r="CZT16" s="136"/>
      <c r="CZU16" s="137"/>
      <c r="CZV16" s="133"/>
      <c r="CZW16" s="133"/>
      <c r="CZX16" s="133"/>
      <c r="CZY16" s="133"/>
      <c r="CZZ16" s="133"/>
      <c r="DAA16" s="133"/>
      <c r="DAB16" s="133"/>
      <c r="DAC16" s="133"/>
      <c r="DAD16" s="133"/>
      <c r="DAE16" s="133"/>
      <c r="DAF16" s="133"/>
      <c r="DAG16" s="133"/>
      <c r="DAH16" s="136"/>
      <c r="DAI16" s="137"/>
      <c r="DAJ16" s="136"/>
      <c r="DAK16" s="137"/>
      <c r="DAL16" s="133"/>
      <c r="DAM16" s="133"/>
      <c r="DAN16" s="133"/>
      <c r="DAO16" s="133"/>
      <c r="DAP16" s="133"/>
      <c r="DAQ16" s="133"/>
      <c r="DAR16" s="133"/>
      <c r="DAS16" s="133"/>
      <c r="DAT16" s="133"/>
      <c r="DAU16" s="133"/>
      <c r="DAV16" s="133"/>
      <c r="DAW16" s="133"/>
      <c r="DAX16" s="136"/>
      <c r="DAY16" s="137"/>
      <c r="DAZ16" s="136"/>
      <c r="DBA16" s="137"/>
      <c r="DBB16" s="133"/>
      <c r="DBC16" s="133"/>
      <c r="DBD16" s="133"/>
      <c r="DBE16" s="133"/>
      <c r="DBF16" s="133"/>
      <c r="DBG16" s="133"/>
      <c r="DBH16" s="133"/>
      <c r="DBI16" s="133"/>
      <c r="DBJ16" s="133"/>
      <c r="DBK16" s="133"/>
      <c r="DBL16" s="133"/>
      <c r="DBM16" s="133"/>
      <c r="DBN16" s="136"/>
      <c r="DBO16" s="137"/>
      <c r="DBP16" s="136"/>
      <c r="DBQ16" s="137"/>
      <c r="DBR16" s="133"/>
      <c r="DBS16" s="133"/>
      <c r="DBT16" s="133"/>
      <c r="DBU16" s="133"/>
      <c r="DBV16" s="133"/>
      <c r="DBW16" s="133"/>
      <c r="DBX16" s="133"/>
      <c r="DBY16" s="133"/>
      <c r="DBZ16" s="133"/>
      <c r="DCA16" s="133"/>
      <c r="DCB16" s="133"/>
      <c r="DCC16" s="133"/>
      <c r="DCD16" s="136"/>
      <c r="DCE16" s="137"/>
      <c r="DCF16" s="136"/>
      <c r="DCG16" s="137"/>
      <c r="DCH16" s="133"/>
      <c r="DCI16" s="133"/>
      <c r="DCJ16" s="133"/>
      <c r="DCK16" s="133"/>
      <c r="DCL16" s="133"/>
      <c r="DCM16" s="133"/>
      <c r="DCN16" s="133"/>
      <c r="DCO16" s="133"/>
      <c r="DCP16" s="133"/>
      <c r="DCQ16" s="133"/>
      <c r="DCR16" s="133"/>
      <c r="DCS16" s="133"/>
      <c r="DCT16" s="136"/>
      <c r="DCU16" s="137"/>
      <c r="DCV16" s="136"/>
      <c r="DCW16" s="137"/>
      <c r="DCX16" s="133"/>
      <c r="DCY16" s="133"/>
      <c r="DCZ16" s="133"/>
      <c r="DDA16" s="133"/>
      <c r="DDB16" s="133"/>
      <c r="DDC16" s="133"/>
      <c r="DDD16" s="133"/>
      <c r="DDE16" s="133"/>
      <c r="DDF16" s="133"/>
      <c r="DDG16" s="133"/>
      <c r="DDH16" s="133"/>
      <c r="DDI16" s="133"/>
      <c r="DDJ16" s="136"/>
      <c r="DDK16" s="137"/>
      <c r="DDL16" s="136"/>
      <c r="DDM16" s="137"/>
      <c r="DDN16" s="133"/>
      <c r="DDO16" s="133"/>
      <c r="DDP16" s="133"/>
      <c r="DDQ16" s="133"/>
      <c r="DDR16" s="133"/>
      <c r="DDS16" s="133"/>
      <c r="DDT16" s="133"/>
      <c r="DDU16" s="133"/>
      <c r="DDV16" s="133"/>
      <c r="DDW16" s="133"/>
      <c r="DDX16" s="133"/>
      <c r="DDY16" s="133"/>
      <c r="DDZ16" s="136"/>
      <c r="DEA16" s="137"/>
      <c r="DEB16" s="136"/>
      <c r="DEC16" s="137"/>
      <c r="DED16" s="133"/>
      <c r="DEE16" s="133"/>
      <c r="DEF16" s="133"/>
      <c r="DEG16" s="133"/>
      <c r="DEH16" s="133"/>
      <c r="DEI16" s="133"/>
      <c r="DEJ16" s="133"/>
      <c r="DEK16" s="133"/>
      <c r="DEL16" s="133"/>
      <c r="DEM16" s="133"/>
      <c r="DEN16" s="133"/>
      <c r="DEO16" s="133"/>
      <c r="DEP16" s="136"/>
      <c r="DEQ16" s="137"/>
      <c r="DER16" s="136"/>
      <c r="DES16" s="137"/>
      <c r="DET16" s="133"/>
      <c r="DEU16" s="133"/>
      <c r="DEV16" s="133"/>
      <c r="DEW16" s="133"/>
      <c r="DEX16" s="133"/>
      <c r="DEY16" s="133"/>
      <c r="DEZ16" s="133"/>
      <c r="DFA16" s="133"/>
      <c r="DFB16" s="133"/>
      <c r="DFC16" s="133"/>
      <c r="DFD16" s="133"/>
      <c r="DFE16" s="133"/>
      <c r="DFF16" s="136"/>
      <c r="DFG16" s="137"/>
      <c r="DFH16" s="136"/>
      <c r="DFI16" s="137"/>
      <c r="DFJ16" s="133"/>
      <c r="DFK16" s="133"/>
      <c r="DFL16" s="133"/>
      <c r="DFM16" s="133"/>
      <c r="DFN16" s="133"/>
      <c r="DFO16" s="133"/>
      <c r="DFP16" s="133"/>
      <c r="DFQ16" s="133"/>
      <c r="DFR16" s="133"/>
      <c r="DFS16" s="133"/>
      <c r="DFT16" s="133"/>
      <c r="DFU16" s="133"/>
      <c r="DFV16" s="136"/>
      <c r="DFW16" s="137"/>
      <c r="DFX16" s="136"/>
      <c r="DFY16" s="137"/>
      <c r="DFZ16" s="133"/>
      <c r="DGA16" s="133"/>
      <c r="DGB16" s="133"/>
      <c r="DGC16" s="133"/>
      <c r="DGD16" s="133"/>
      <c r="DGE16" s="133"/>
      <c r="DGF16" s="133"/>
      <c r="DGG16" s="133"/>
      <c r="DGH16" s="133"/>
      <c r="DGI16" s="133"/>
      <c r="DGJ16" s="133"/>
      <c r="DGK16" s="133"/>
      <c r="DGL16" s="136"/>
      <c r="DGM16" s="137"/>
      <c r="DGN16" s="136"/>
      <c r="DGO16" s="137"/>
      <c r="DGP16" s="133"/>
      <c r="DGQ16" s="133"/>
      <c r="DGR16" s="133"/>
      <c r="DGS16" s="133"/>
      <c r="DGT16" s="133"/>
      <c r="DGU16" s="133"/>
      <c r="DGV16" s="133"/>
      <c r="DGW16" s="133"/>
      <c r="DGX16" s="133"/>
      <c r="DGY16" s="133"/>
      <c r="DGZ16" s="133"/>
      <c r="DHA16" s="133"/>
      <c r="DHB16" s="136"/>
      <c r="DHC16" s="137"/>
      <c r="DHD16" s="136"/>
      <c r="DHE16" s="137"/>
      <c r="DHF16" s="133"/>
      <c r="DHG16" s="133"/>
      <c r="DHH16" s="133"/>
      <c r="DHI16" s="133"/>
      <c r="DHJ16" s="133"/>
      <c r="DHK16" s="133"/>
      <c r="DHL16" s="133"/>
      <c r="DHM16" s="133"/>
      <c r="DHN16" s="133"/>
      <c r="DHO16" s="133"/>
      <c r="DHP16" s="133"/>
      <c r="DHQ16" s="133"/>
      <c r="DHR16" s="136"/>
      <c r="DHS16" s="137"/>
      <c r="DHT16" s="136"/>
      <c r="DHU16" s="137"/>
      <c r="DHV16" s="133"/>
      <c r="DHW16" s="133"/>
      <c r="DHX16" s="133"/>
      <c r="DHY16" s="133"/>
      <c r="DHZ16" s="133"/>
      <c r="DIA16" s="133"/>
      <c r="DIB16" s="133"/>
      <c r="DIC16" s="133"/>
      <c r="DID16" s="133"/>
      <c r="DIE16" s="133"/>
      <c r="DIF16" s="133"/>
      <c r="DIG16" s="133"/>
      <c r="DIH16" s="136"/>
      <c r="DII16" s="137"/>
      <c r="DIJ16" s="136"/>
      <c r="DIK16" s="137"/>
      <c r="DIL16" s="133"/>
      <c r="DIM16" s="133"/>
      <c r="DIN16" s="133"/>
      <c r="DIO16" s="133"/>
      <c r="DIP16" s="133"/>
      <c r="DIQ16" s="133"/>
      <c r="DIR16" s="133"/>
      <c r="DIS16" s="133"/>
      <c r="DIT16" s="133"/>
      <c r="DIU16" s="133"/>
      <c r="DIV16" s="133"/>
      <c r="DIW16" s="133"/>
      <c r="DIX16" s="136"/>
      <c r="DIY16" s="137"/>
      <c r="DIZ16" s="136"/>
      <c r="DJA16" s="137"/>
      <c r="DJB16" s="133"/>
      <c r="DJC16" s="133"/>
      <c r="DJD16" s="133"/>
      <c r="DJE16" s="133"/>
      <c r="DJF16" s="133"/>
      <c r="DJG16" s="133"/>
      <c r="DJH16" s="133"/>
      <c r="DJI16" s="133"/>
      <c r="DJJ16" s="133"/>
      <c r="DJK16" s="133"/>
      <c r="DJL16" s="133"/>
      <c r="DJM16" s="133"/>
      <c r="DJN16" s="136"/>
      <c r="DJO16" s="137"/>
      <c r="DJP16" s="136"/>
      <c r="DJQ16" s="137"/>
      <c r="DJR16" s="133"/>
      <c r="DJS16" s="133"/>
      <c r="DJT16" s="133"/>
      <c r="DJU16" s="133"/>
      <c r="DJV16" s="133"/>
      <c r="DJW16" s="133"/>
      <c r="DJX16" s="133"/>
      <c r="DJY16" s="133"/>
      <c r="DJZ16" s="133"/>
      <c r="DKA16" s="133"/>
      <c r="DKB16" s="133"/>
      <c r="DKC16" s="133"/>
      <c r="DKD16" s="136"/>
      <c r="DKE16" s="137"/>
      <c r="DKF16" s="136"/>
      <c r="DKG16" s="137"/>
      <c r="DKH16" s="133"/>
      <c r="DKI16" s="133"/>
      <c r="DKJ16" s="133"/>
      <c r="DKK16" s="133"/>
      <c r="DKL16" s="133"/>
      <c r="DKM16" s="133"/>
      <c r="DKN16" s="133"/>
      <c r="DKO16" s="133"/>
      <c r="DKP16" s="133"/>
      <c r="DKQ16" s="133"/>
      <c r="DKR16" s="133"/>
      <c r="DKS16" s="133"/>
      <c r="DKT16" s="136"/>
      <c r="DKU16" s="137"/>
      <c r="DKV16" s="136"/>
      <c r="DKW16" s="137"/>
      <c r="DKX16" s="133"/>
      <c r="DKY16" s="133"/>
      <c r="DKZ16" s="133"/>
      <c r="DLA16" s="133"/>
      <c r="DLB16" s="133"/>
      <c r="DLC16" s="133"/>
      <c r="DLD16" s="133"/>
      <c r="DLE16" s="133"/>
      <c r="DLF16" s="133"/>
      <c r="DLG16" s="133"/>
      <c r="DLH16" s="133"/>
      <c r="DLI16" s="133"/>
      <c r="DLJ16" s="136"/>
      <c r="DLK16" s="137"/>
      <c r="DLL16" s="136"/>
      <c r="DLM16" s="137"/>
      <c r="DLN16" s="133"/>
      <c r="DLO16" s="133"/>
      <c r="DLP16" s="133"/>
      <c r="DLQ16" s="133"/>
      <c r="DLR16" s="133"/>
      <c r="DLS16" s="133"/>
      <c r="DLT16" s="133"/>
      <c r="DLU16" s="133"/>
      <c r="DLV16" s="133"/>
      <c r="DLW16" s="133"/>
      <c r="DLX16" s="133"/>
      <c r="DLY16" s="133"/>
      <c r="DLZ16" s="136"/>
      <c r="DMA16" s="137"/>
      <c r="DMB16" s="136"/>
      <c r="DMC16" s="137"/>
      <c r="DMD16" s="133"/>
      <c r="DME16" s="133"/>
      <c r="DMF16" s="133"/>
      <c r="DMG16" s="133"/>
      <c r="DMH16" s="133"/>
      <c r="DMI16" s="133"/>
      <c r="DMJ16" s="133"/>
      <c r="DMK16" s="133"/>
      <c r="DML16" s="133"/>
      <c r="DMM16" s="133"/>
      <c r="DMN16" s="133"/>
      <c r="DMO16" s="133"/>
      <c r="DMP16" s="136"/>
      <c r="DMQ16" s="137"/>
      <c r="DMR16" s="136"/>
      <c r="DMS16" s="137"/>
      <c r="DNF16" s="136"/>
      <c r="DNG16" s="137"/>
      <c r="DNH16" s="136"/>
      <c r="DNI16" s="137"/>
      <c r="DNJ16" s="133"/>
      <c r="DNK16" s="133"/>
      <c r="DNL16" s="133"/>
      <c r="DNM16" s="133"/>
      <c r="DNN16" s="133"/>
      <c r="DNO16" s="133"/>
      <c r="DNP16" s="133"/>
      <c r="DNQ16" s="133"/>
      <c r="DNR16" s="133"/>
      <c r="DNS16" s="133"/>
      <c r="DNT16" s="133"/>
      <c r="DNU16" s="133"/>
      <c r="DNV16" s="136"/>
      <c r="DNW16" s="137"/>
      <c r="DNX16" s="136"/>
      <c r="DNY16" s="137"/>
      <c r="DNZ16" s="133"/>
      <c r="DOA16" s="133"/>
      <c r="DOB16" s="133"/>
      <c r="DOC16" s="133"/>
      <c r="DOD16" s="133"/>
      <c r="DOE16" s="133"/>
      <c r="DOF16" s="133"/>
      <c r="DOG16" s="133"/>
      <c r="DOH16" s="133"/>
      <c r="DOI16" s="133"/>
      <c r="DOJ16" s="133"/>
      <c r="DOK16" s="133"/>
      <c r="DOL16" s="136"/>
      <c r="DOM16" s="137"/>
      <c r="DON16" s="136"/>
      <c r="DOO16" s="137"/>
      <c r="DOP16" s="133"/>
      <c r="DOQ16" s="133"/>
      <c r="DOR16" s="133"/>
      <c r="DOS16" s="133"/>
      <c r="DOT16" s="133"/>
      <c r="DOU16" s="133"/>
      <c r="DOV16" s="133"/>
      <c r="DOW16" s="133"/>
      <c r="DOX16" s="133"/>
      <c r="DOY16" s="133"/>
      <c r="DOZ16" s="133"/>
      <c r="DPA16" s="133"/>
      <c r="DPB16" s="136"/>
      <c r="DPC16" s="137"/>
      <c r="DPD16" s="136"/>
      <c r="DPE16" s="137"/>
      <c r="DPF16" s="133"/>
      <c r="DPG16" s="133"/>
      <c r="DPH16" s="133"/>
      <c r="DPI16" s="133"/>
      <c r="DPJ16" s="133"/>
      <c r="DPK16" s="133"/>
      <c r="DPL16" s="133"/>
      <c r="DPM16" s="133"/>
      <c r="DPN16" s="133"/>
      <c r="DPO16" s="133"/>
      <c r="DPP16" s="133"/>
      <c r="DPQ16" s="133"/>
      <c r="DPR16" s="136"/>
      <c r="DPS16" s="137"/>
      <c r="DPT16" s="136"/>
      <c r="DPU16" s="137"/>
      <c r="DPV16" s="133"/>
      <c r="DPW16" s="133"/>
      <c r="DPX16" s="133"/>
      <c r="DPY16" s="133"/>
      <c r="DPZ16" s="133"/>
      <c r="DQA16" s="133"/>
      <c r="DQB16" s="133"/>
      <c r="DQC16" s="133"/>
      <c r="DQD16" s="133"/>
      <c r="DQE16" s="133"/>
      <c r="DQF16" s="133"/>
      <c r="DQG16" s="133"/>
      <c r="DQH16" s="136"/>
      <c r="DQI16" s="137"/>
      <c r="DQJ16" s="136"/>
      <c r="DQK16" s="137"/>
      <c r="DQL16" s="133"/>
      <c r="DQM16" s="133"/>
      <c r="DQN16" s="133"/>
      <c r="DQO16" s="133"/>
      <c r="DQP16" s="133"/>
      <c r="DQQ16" s="133"/>
      <c r="DQR16" s="133"/>
      <c r="DQS16" s="133"/>
      <c r="DQT16" s="133"/>
      <c r="DQU16" s="133"/>
      <c r="DQV16" s="133"/>
      <c r="DQW16" s="133"/>
      <c r="DQX16" s="136"/>
      <c r="DQY16" s="137"/>
      <c r="DQZ16" s="136"/>
      <c r="DRA16" s="137"/>
      <c r="DRB16" s="133"/>
      <c r="DRC16" s="133"/>
      <c r="DRD16" s="133"/>
      <c r="DRE16" s="133"/>
      <c r="DRF16" s="133"/>
      <c r="DRG16" s="133"/>
      <c r="DRH16" s="133"/>
      <c r="DRI16" s="133"/>
      <c r="DRJ16" s="133"/>
      <c r="DRK16" s="133"/>
      <c r="DRL16" s="133"/>
      <c r="DRM16" s="133"/>
      <c r="DRN16" s="136"/>
      <c r="DRO16" s="137"/>
      <c r="DRP16" s="136"/>
      <c r="DRQ16" s="137"/>
      <c r="DRR16" s="133"/>
      <c r="DRS16" s="133"/>
      <c r="DRT16" s="133"/>
      <c r="DRU16" s="133"/>
      <c r="DRV16" s="133"/>
      <c r="DRW16" s="133"/>
      <c r="DRX16" s="133"/>
      <c r="DRY16" s="133"/>
      <c r="DRZ16" s="133"/>
      <c r="DSA16" s="133"/>
      <c r="DSB16" s="133"/>
      <c r="DSC16" s="133"/>
      <c r="DSD16" s="136"/>
      <c r="DSE16" s="137"/>
      <c r="DSF16" s="136"/>
      <c r="DSG16" s="137"/>
      <c r="DSH16" s="133"/>
      <c r="DSI16" s="133"/>
      <c r="DSJ16" s="133"/>
      <c r="DSK16" s="133"/>
      <c r="DSL16" s="133"/>
      <c r="DSM16" s="133"/>
      <c r="DSN16" s="133"/>
      <c r="DSO16" s="133"/>
      <c r="DSP16" s="133"/>
      <c r="DSQ16" s="133"/>
      <c r="DSR16" s="133"/>
      <c r="DSS16" s="133"/>
      <c r="DST16" s="136"/>
      <c r="DSU16" s="137"/>
      <c r="DSV16" s="136"/>
      <c r="DSW16" s="137"/>
      <c r="DSX16" s="133"/>
      <c r="DSY16" s="133"/>
      <c r="DSZ16" s="133"/>
      <c r="DTA16" s="133"/>
      <c r="DTB16" s="133"/>
      <c r="DTC16" s="133"/>
      <c r="DTD16" s="133"/>
      <c r="DTE16" s="133"/>
      <c r="DTF16" s="133"/>
      <c r="DTG16" s="133"/>
      <c r="DTH16" s="133"/>
      <c r="DTI16" s="133"/>
      <c r="DTJ16" s="136"/>
      <c r="DTK16" s="137"/>
      <c r="DTL16" s="136"/>
      <c r="DTM16" s="137"/>
      <c r="DTN16" s="133"/>
      <c r="DTO16" s="133"/>
      <c r="DTP16" s="133"/>
      <c r="DTQ16" s="133"/>
      <c r="DTR16" s="133"/>
      <c r="DTS16" s="133"/>
      <c r="DTT16" s="133"/>
      <c r="DTU16" s="133"/>
      <c r="DTV16" s="133"/>
      <c r="DTW16" s="133"/>
      <c r="DTX16" s="133"/>
      <c r="DTY16" s="133"/>
      <c r="DTZ16" s="136"/>
      <c r="DUA16" s="137"/>
      <c r="DUB16" s="136"/>
      <c r="DUC16" s="137"/>
      <c r="DUD16" s="133"/>
      <c r="DUE16" s="133"/>
      <c r="DUF16" s="133"/>
      <c r="DUG16" s="133"/>
      <c r="DUH16" s="133"/>
      <c r="DUI16" s="133"/>
      <c r="DUJ16" s="133"/>
      <c r="DUK16" s="133"/>
      <c r="DUL16" s="133"/>
      <c r="DUM16" s="133"/>
      <c r="DUN16" s="133"/>
      <c r="DUO16" s="133"/>
      <c r="DUP16" s="136"/>
      <c r="DUQ16" s="137"/>
      <c r="DUR16" s="136"/>
      <c r="DUS16" s="137"/>
      <c r="DUT16" s="133"/>
      <c r="DUU16" s="133"/>
      <c r="DUV16" s="133"/>
      <c r="DUW16" s="133"/>
      <c r="DUX16" s="133"/>
      <c r="DUY16" s="133"/>
      <c r="DUZ16" s="133"/>
      <c r="DVA16" s="133"/>
      <c r="DVB16" s="133"/>
      <c r="DVC16" s="133"/>
      <c r="DVD16" s="133"/>
      <c r="DVE16" s="133"/>
      <c r="DVF16" s="136"/>
      <c r="DVG16" s="137"/>
      <c r="DVH16" s="136"/>
      <c r="DVI16" s="137"/>
      <c r="DVJ16" s="133"/>
      <c r="DVK16" s="133"/>
      <c r="DVL16" s="133"/>
      <c r="DVM16" s="133"/>
      <c r="DVN16" s="133"/>
      <c r="DVO16" s="133"/>
      <c r="DVP16" s="133"/>
      <c r="DVQ16" s="133"/>
      <c r="DVR16" s="133"/>
      <c r="DVS16" s="133"/>
      <c r="DVT16" s="133"/>
      <c r="DVU16" s="133"/>
      <c r="DVV16" s="136"/>
      <c r="DVW16" s="137"/>
      <c r="DVX16" s="136"/>
      <c r="DVY16" s="137"/>
      <c r="DVZ16" s="133"/>
      <c r="DWA16" s="133"/>
      <c r="DWB16" s="133"/>
      <c r="DWC16" s="133"/>
      <c r="DWD16" s="133"/>
      <c r="DWE16" s="133"/>
      <c r="DWF16" s="133"/>
      <c r="DWG16" s="133"/>
      <c r="DWH16" s="133"/>
      <c r="DWI16" s="133"/>
      <c r="DWJ16" s="133"/>
      <c r="DWK16" s="133"/>
      <c r="DWL16" s="136"/>
      <c r="DWM16" s="137"/>
      <c r="DWN16" s="136"/>
      <c r="DWO16" s="137"/>
      <c r="DWP16" s="133"/>
      <c r="DWQ16" s="133"/>
      <c r="DWR16" s="133"/>
      <c r="DWS16" s="133"/>
      <c r="DWT16" s="133"/>
      <c r="DWU16" s="133"/>
      <c r="DWV16" s="133"/>
      <c r="DWW16" s="133"/>
      <c r="DWX16" s="133"/>
      <c r="DWY16" s="133"/>
      <c r="DWZ16" s="133"/>
      <c r="DXA16" s="133"/>
      <c r="DXB16" s="136"/>
      <c r="DXC16" s="137"/>
      <c r="DXD16" s="136"/>
      <c r="DXE16" s="137"/>
      <c r="DXF16" s="133"/>
      <c r="DXG16" s="133"/>
      <c r="DXH16" s="133"/>
      <c r="DXI16" s="133"/>
      <c r="DXJ16" s="133"/>
      <c r="DXK16" s="133"/>
      <c r="DXL16" s="133"/>
      <c r="DXM16" s="133"/>
      <c r="DXN16" s="133"/>
      <c r="DXO16" s="133"/>
      <c r="DXP16" s="133"/>
      <c r="DXQ16" s="133"/>
      <c r="DXR16" s="136"/>
      <c r="DXS16" s="137"/>
      <c r="DXT16" s="136"/>
      <c r="DXU16" s="137"/>
      <c r="DXV16" s="133"/>
      <c r="DXW16" s="133"/>
      <c r="DXX16" s="133"/>
      <c r="DXY16" s="133"/>
      <c r="DXZ16" s="133"/>
      <c r="DYA16" s="133"/>
      <c r="DYB16" s="133"/>
      <c r="DYC16" s="133"/>
      <c r="DYD16" s="133"/>
      <c r="DYE16" s="133"/>
      <c r="DYF16" s="133"/>
      <c r="DYG16" s="133"/>
      <c r="DYH16" s="136"/>
      <c r="DYI16" s="137"/>
      <c r="DYJ16" s="136"/>
      <c r="DYK16" s="137"/>
      <c r="DYL16" s="133"/>
      <c r="DYM16" s="133"/>
      <c r="DYN16" s="133"/>
      <c r="DYO16" s="133"/>
      <c r="DYP16" s="133"/>
      <c r="DYQ16" s="133"/>
      <c r="DYR16" s="133"/>
      <c r="DYS16" s="133"/>
      <c r="DYT16" s="133"/>
      <c r="DYU16" s="133"/>
      <c r="DYV16" s="133"/>
      <c r="DYW16" s="133"/>
      <c r="DYX16" s="136"/>
      <c r="DYY16" s="137"/>
      <c r="DYZ16" s="136"/>
      <c r="DZA16" s="137"/>
      <c r="DZB16" s="133"/>
      <c r="DZC16" s="133"/>
      <c r="DZD16" s="133"/>
      <c r="DZE16" s="133"/>
      <c r="DZF16" s="133"/>
      <c r="DZG16" s="133"/>
      <c r="DZH16" s="133"/>
      <c r="DZI16" s="133"/>
      <c r="DZJ16" s="133"/>
      <c r="DZK16" s="133"/>
      <c r="DZL16" s="133"/>
      <c r="DZM16" s="133"/>
      <c r="DZN16" s="136"/>
      <c r="DZO16" s="137"/>
      <c r="DZP16" s="136"/>
      <c r="DZQ16" s="137"/>
      <c r="DZR16" s="133"/>
      <c r="DZS16" s="133"/>
      <c r="DZT16" s="133"/>
      <c r="DZU16" s="133"/>
      <c r="DZV16" s="133"/>
      <c r="DZW16" s="133"/>
      <c r="DZX16" s="133"/>
      <c r="DZY16" s="133"/>
      <c r="DZZ16" s="133"/>
      <c r="EAA16" s="133"/>
      <c r="EAB16" s="133"/>
      <c r="EAC16" s="133"/>
      <c r="EAD16" s="136"/>
      <c r="EAE16" s="137"/>
      <c r="EAF16" s="136"/>
      <c r="EAG16" s="137"/>
      <c r="EAH16" s="133"/>
      <c r="EAI16" s="133"/>
      <c r="EAJ16" s="133"/>
      <c r="EAK16" s="133"/>
      <c r="EAL16" s="133"/>
      <c r="EAM16" s="133"/>
      <c r="EAN16" s="133"/>
      <c r="EAO16" s="133"/>
      <c r="EAP16" s="133"/>
      <c r="EAQ16" s="133"/>
      <c r="EAR16" s="133"/>
      <c r="EAS16" s="133"/>
      <c r="EAT16" s="136"/>
      <c r="EAU16" s="137"/>
      <c r="EAV16" s="136"/>
      <c r="EAW16" s="137"/>
      <c r="EAX16" s="133"/>
      <c r="EAY16" s="133"/>
      <c r="EAZ16" s="133"/>
      <c r="EBA16" s="133"/>
      <c r="EBB16" s="133"/>
      <c r="EBC16" s="133"/>
      <c r="EBD16" s="133"/>
      <c r="EBE16" s="133"/>
      <c r="EBF16" s="133"/>
      <c r="EBG16" s="133"/>
      <c r="EBH16" s="133"/>
      <c r="EBI16" s="133"/>
      <c r="EBJ16" s="136"/>
      <c r="EBK16" s="137"/>
      <c r="EBL16" s="136"/>
      <c r="EBM16" s="137"/>
      <c r="EBN16" s="133"/>
      <c r="EBO16" s="133"/>
      <c r="EBP16" s="133"/>
      <c r="EBQ16" s="133"/>
      <c r="EBR16" s="133"/>
      <c r="EBS16" s="133"/>
      <c r="EBT16" s="133"/>
      <c r="EBU16" s="133"/>
      <c r="EBV16" s="133"/>
      <c r="EBW16" s="133"/>
      <c r="EBX16" s="133"/>
      <c r="EBY16" s="133"/>
      <c r="EBZ16" s="136"/>
      <c r="ECA16" s="137"/>
      <c r="ECB16" s="136"/>
      <c r="ECC16" s="137"/>
      <c r="ECD16" s="133"/>
      <c r="ECE16" s="133"/>
      <c r="ECF16" s="133"/>
      <c r="ECG16" s="133"/>
      <c r="ECH16" s="133"/>
      <c r="ECI16" s="133"/>
      <c r="ECJ16" s="133"/>
      <c r="ECK16" s="133"/>
      <c r="ECL16" s="133"/>
      <c r="ECM16" s="133"/>
      <c r="ECN16" s="133"/>
      <c r="ECO16" s="133"/>
      <c r="ECP16" s="136"/>
      <c r="ECQ16" s="137"/>
      <c r="ECR16" s="136"/>
      <c r="ECS16" s="137"/>
      <c r="ECT16" s="133"/>
      <c r="ECU16" s="133"/>
      <c r="ECV16" s="133"/>
      <c r="ECW16" s="133"/>
      <c r="ECX16" s="133"/>
      <c r="ECY16" s="133"/>
      <c r="ECZ16" s="133"/>
      <c r="EDA16" s="133"/>
      <c r="EDB16" s="133"/>
      <c r="EDC16" s="133"/>
      <c r="EDD16" s="133"/>
      <c r="EDE16" s="133"/>
      <c r="EDF16" s="136"/>
      <c r="EDG16" s="137"/>
      <c r="EDH16" s="136"/>
      <c r="EDI16" s="137"/>
      <c r="EDJ16" s="133"/>
      <c r="EDK16" s="133"/>
      <c r="EDL16" s="133"/>
      <c r="EDM16" s="133"/>
      <c r="EDN16" s="133"/>
      <c r="EDO16" s="133"/>
      <c r="EDP16" s="133"/>
      <c r="EDQ16" s="133"/>
      <c r="EDR16" s="133"/>
      <c r="EDS16" s="133"/>
      <c r="EDT16" s="133"/>
      <c r="EDU16" s="133"/>
      <c r="EDV16" s="136"/>
      <c r="EDW16" s="137"/>
      <c r="EDX16" s="136"/>
      <c r="EDY16" s="137"/>
      <c r="EDZ16" s="133"/>
      <c r="EEA16" s="133"/>
      <c r="EEB16" s="133"/>
      <c r="EEC16" s="133"/>
      <c r="EED16" s="133"/>
      <c r="EEE16" s="133"/>
      <c r="EEF16" s="133"/>
      <c r="EEG16" s="133"/>
      <c r="EEH16" s="133"/>
      <c r="EEI16" s="133"/>
      <c r="EEJ16" s="133"/>
      <c r="EEK16" s="133"/>
      <c r="EEL16" s="136"/>
      <c r="EEM16" s="137"/>
      <c r="EEN16" s="136"/>
      <c r="EEO16" s="137"/>
      <c r="EEP16" s="133"/>
      <c r="EEQ16" s="133"/>
      <c r="EER16" s="133"/>
      <c r="EES16" s="133"/>
      <c r="EET16" s="133"/>
      <c r="EEU16" s="133"/>
      <c r="EEV16" s="133"/>
      <c r="EEW16" s="133"/>
      <c r="EEX16" s="133"/>
      <c r="EEY16" s="133"/>
      <c r="EEZ16" s="133"/>
      <c r="EFA16" s="133"/>
      <c r="EFB16" s="136"/>
      <c r="EFC16" s="137"/>
      <c r="EFD16" s="136"/>
      <c r="EFE16" s="137"/>
      <c r="EFF16" s="133"/>
      <c r="EFG16" s="133"/>
      <c r="EFH16" s="133"/>
      <c r="EFI16" s="133"/>
      <c r="EFJ16" s="133"/>
      <c r="EFK16" s="133"/>
      <c r="EFL16" s="133"/>
      <c r="EFM16" s="133"/>
      <c r="EFN16" s="133"/>
      <c r="EFO16" s="133"/>
      <c r="EFP16" s="133"/>
      <c r="EFQ16" s="133"/>
      <c r="EFR16" s="136"/>
      <c r="EFS16" s="137"/>
      <c r="EFT16" s="136"/>
      <c r="EFU16" s="137"/>
      <c r="EFV16" s="133"/>
      <c r="EFW16" s="133"/>
      <c r="EFX16" s="133"/>
      <c r="EFY16" s="133"/>
      <c r="EFZ16" s="133"/>
      <c r="EGA16" s="133"/>
      <c r="EGB16" s="133"/>
      <c r="EGC16" s="133"/>
      <c r="EGD16" s="133"/>
      <c r="EGE16" s="133"/>
      <c r="EGF16" s="133"/>
      <c r="EGG16" s="133"/>
      <c r="EGH16" s="136"/>
      <c r="EGI16" s="137"/>
      <c r="EGJ16" s="136"/>
      <c r="EGK16" s="137"/>
      <c r="EGL16" s="133"/>
      <c r="EGM16" s="133"/>
      <c r="EGN16" s="133"/>
      <c r="EGO16" s="133"/>
      <c r="EGP16" s="133"/>
      <c r="EGQ16" s="133"/>
      <c r="EGR16" s="133"/>
      <c r="EGS16" s="133"/>
      <c r="EGT16" s="133"/>
      <c r="EGU16" s="133"/>
      <c r="EGV16" s="133"/>
      <c r="EGW16" s="133"/>
      <c r="EGX16" s="136"/>
      <c r="EGY16" s="137"/>
      <c r="EGZ16" s="136"/>
      <c r="EHA16" s="137"/>
      <c r="EHB16" s="133"/>
      <c r="EHC16" s="133"/>
      <c r="EHD16" s="133"/>
      <c r="EHE16" s="133"/>
      <c r="EHF16" s="133"/>
      <c r="EHG16" s="133"/>
      <c r="EHH16" s="133"/>
      <c r="EHI16" s="133"/>
      <c r="EHJ16" s="133"/>
      <c r="EHK16" s="133"/>
      <c r="EHL16" s="133"/>
      <c r="EHM16" s="133"/>
      <c r="EHN16" s="136"/>
      <c r="EHO16" s="137"/>
      <c r="EHP16" s="136"/>
      <c r="EHQ16" s="137"/>
      <c r="EHR16" s="133"/>
      <c r="EHS16" s="133"/>
      <c r="EHT16" s="133"/>
      <c r="EHU16" s="133"/>
      <c r="EHV16" s="133"/>
      <c r="EHW16" s="133"/>
      <c r="EHX16" s="133"/>
      <c r="EHY16" s="133"/>
      <c r="EHZ16" s="133"/>
      <c r="EIA16" s="133"/>
      <c r="EIB16" s="133"/>
      <c r="EIC16" s="133"/>
      <c r="EID16" s="136"/>
      <c r="EIE16" s="137"/>
      <c r="EIF16" s="136"/>
      <c r="EIG16" s="137"/>
      <c r="EIH16" s="133"/>
      <c r="EII16" s="133"/>
      <c r="EIJ16" s="133"/>
      <c r="EIK16" s="133"/>
      <c r="EIL16" s="133"/>
      <c r="EIM16" s="133"/>
      <c r="EIN16" s="133"/>
      <c r="EIO16" s="133"/>
      <c r="EIP16" s="133"/>
      <c r="EIQ16" s="133"/>
      <c r="EIR16" s="133"/>
      <c r="EIS16" s="133"/>
      <c r="EIT16" s="136"/>
      <c r="EIU16" s="137"/>
      <c r="EIV16" s="136"/>
      <c r="EIW16" s="137"/>
      <c r="EIX16" s="133"/>
      <c r="EIY16" s="133"/>
      <c r="EIZ16" s="133"/>
      <c r="EJA16" s="133"/>
      <c r="EJB16" s="133"/>
      <c r="EJC16" s="133"/>
      <c r="EJD16" s="133"/>
      <c r="EJE16" s="133"/>
      <c r="EJF16" s="133"/>
      <c r="EJG16" s="133"/>
      <c r="EJH16" s="133"/>
      <c r="EJI16" s="133"/>
      <c r="EJJ16" s="136"/>
      <c r="EJK16" s="137"/>
      <c r="EJL16" s="136"/>
      <c r="EJM16" s="137"/>
      <c r="EJN16" s="133"/>
      <c r="EJO16" s="133"/>
      <c r="EJP16" s="133"/>
      <c r="EJQ16" s="133"/>
      <c r="EJR16" s="133"/>
      <c r="EJS16" s="133"/>
      <c r="EJT16" s="133"/>
      <c r="EJU16" s="133"/>
      <c r="EJV16" s="133"/>
      <c r="EJW16" s="133"/>
      <c r="EJX16" s="133"/>
      <c r="EJY16" s="133"/>
      <c r="EJZ16" s="136"/>
      <c r="EKA16" s="137"/>
      <c r="EKB16" s="136"/>
      <c r="EKC16" s="137"/>
      <c r="EKD16" s="133"/>
      <c r="EKE16" s="133"/>
      <c r="EKF16" s="133"/>
      <c r="EKG16" s="133"/>
      <c r="EKH16" s="133"/>
      <c r="EKI16" s="133"/>
      <c r="EKJ16" s="133"/>
      <c r="EKK16" s="133"/>
      <c r="EKL16" s="133"/>
      <c r="EKM16" s="133"/>
      <c r="EKN16" s="133"/>
      <c r="EKO16" s="133"/>
      <c r="EKP16" s="136"/>
      <c r="EKQ16" s="137"/>
      <c r="EKR16" s="136"/>
      <c r="EKS16" s="137"/>
      <c r="EKT16" s="133"/>
      <c r="EKU16" s="133"/>
      <c r="EKV16" s="133"/>
      <c r="EKW16" s="133"/>
      <c r="EKX16" s="133"/>
      <c r="EKY16" s="133"/>
      <c r="EKZ16" s="133"/>
      <c r="ELA16" s="133"/>
      <c r="ELB16" s="133"/>
      <c r="ELC16" s="133"/>
      <c r="ELD16" s="133"/>
      <c r="ELE16" s="133"/>
      <c r="ELF16" s="136"/>
      <c r="ELG16" s="137"/>
      <c r="ELH16" s="136"/>
      <c r="ELI16" s="137"/>
      <c r="ELJ16" s="133"/>
      <c r="ELK16" s="133"/>
      <c r="ELL16" s="133"/>
      <c r="ELM16" s="133"/>
      <c r="ELN16" s="133"/>
      <c r="ELO16" s="133"/>
      <c r="ELP16" s="133"/>
      <c r="ELQ16" s="133"/>
      <c r="ELR16" s="133"/>
      <c r="ELS16" s="133"/>
      <c r="ELT16" s="133"/>
      <c r="ELU16" s="133"/>
      <c r="ELV16" s="136"/>
      <c r="ELW16" s="137"/>
      <c r="ELX16" s="136"/>
      <c r="ELY16" s="137"/>
      <c r="ELZ16" s="133"/>
      <c r="EMA16" s="133"/>
      <c r="EMB16" s="133"/>
      <c r="EMC16" s="133"/>
      <c r="EMD16" s="133"/>
      <c r="EME16" s="133"/>
      <c r="EMF16" s="133"/>
      <c r="EMG16" s="133"/>
      <c r="EMH16" s="133"/>
      <c r="EMI16" s="133"/>
      <c r="EMJ16" s="133"/>
      <c r="EMK16" s="133"/>
      <c r="EML16" s="136"/>
      <c r="EMM16" s="137"/>
      <c r="EMN16" s="136"/>
      <c r="EMO16" s="137"/>
      <c r="EMP16" s="133"/>
      <c r="EMQ16" s="133"/>
      <c r="EMR16" s="133"/>
      <c r="EMS16" s="133"/>
      <c r="EMT16" s="133"/>
      <c r="EMU16" s="133"/>
      <c r="EMV16" s="133"/>
      <c r="EMW16" s="133"/>
      <c r="EMX16" s="133"/>
      <c r="EMY16" s="133"/>
      <c r="EMZ16" s="133"/>
      <c r="ENA16" s="133"/>
      <c r="ENB16" s="136"/>
      <c r="ENC16" s="137"/>
      <c r="END16" s="136"/>
      <c r="ENE16" s="137"/>
      <c r="ENF16" s="133"/>
      <c r="ENG16" s="133"/>
      <c r="ENH16" s="133"/>
      <c r="ENI16" s="133"/>
      <c r="ENJ16" s="133"/>
      <c r="ENK16" s="133"/>
      <c r="ENL16" s="133"/>
      <c r="ENM16" s="133"/>
      <c r="ENN16" s="133"/>
      <c r="ENO16" s="133"/>
      <c r="ENP16" s="133"/>
      <c r="ENQ16" s="133"/>
      <c r="ENR16" s="136"/>
      <c r="ENS16" s="137"/>
      <c r="ENT16" s="136"/>
      <c r="ENU16" s="137"/>
      <c r="ENV16" s="133"/>
      <c r="ENW16" s="133"/>
      <c r="ENX16" s="133"/>
      <c r="ENY16" s="133"/>
      <c r="ENZ16" s="133"/>
      <c r="EOA16" s="133"/>
      <c r="EOB16" s="133"/>
      <c r="EOC16" s="133"/>
      <c r="EOD16" s="133"/>
      <c r="EOE16" s="133"/>
      <c r="EOF16" s="133"/>
      <c r="EOG16" s="133"/>
      <c r="EOH16" s="136"/>
      <c r="EOI16" s="137"/>
      <c r="EOJ16" s="136"/>
      <c r="EOK16" s="137"/>
      <c r="EOL16" s="133"/>
      <c r="EOM16" s="133"/>
      <c r="EON16" s="133"/>
      <c r="EOO16" s="133"/>
      <c r="EOP16" s="133"/>
      <c r="EOQ16" s="133"/>
      <c r="EOR16" s="133"/>
      <c r="EOS16" s="133"/>
      <c r="EOT16" s="133"/>
      <c r="EOU16" s="133"/>
      <c r="EOV16" s="133"/>
      <c r="EOW16" s="133"/>
      <c r="EOX16" s="136"/>
      <c r="EOY16" s="137"/>
      <c r="EOZ16" s="136"/>
      <c r="EPA16" s="137"/>
      <c r="EPB16" s="133"/>
      <c r="EPC16" s="133"/>
      <c r="EPD16" s="133"/>
      <c r="EPE16" s="133"/>
      <c r="EPF16" s="133"/>
      <c r="EPG16" s="133"/>
      <c r="EPH16" s="133"/>
      <c r="EPI16" s="133"/>
      <c r="EPJ16" s="133"/>
      <c r="EPK16" s="133"/>
      <c r="EPL16" s="133"/>
      <c r="EPM16" s="133"/>
      <c r="EPN16" s="136"/>
      <c r="EPO16" s="137"/>
      <c r="EPP16" s="136"/>
      <c r="EPQ16" s="137"/>
      <c r="EPR16" s="133"/>
      <c r="EPS16" s="133"/>
      <c r="EPT16" s="133"/>
      <c r="EPU16" s="133"/>
      <c r="EPV16" s="133"/>
      <c r="EPW16" s="133"/>
      <c r="EPX16" s="133"/>
      <c r="EPY16" s="133"/>
      <c r="EPZ16" s="133"/>
      <c r="EQA16" s="133"/>
      <c r="EQB16" s="133"/>
      <c r="EQC16" s="133"/>
      <c r="EQD16" s="136"/>
      <c r="EQE16" s="137"/>
      <c r="EQF16" s="136"/>
      <c r="EQG16" s="137"/>
      <c r="EQH16" s="133"/>
      <c r="EQI16" s="133"/>
      <c r="EQJ16" s="133"/>
      <c r="EQK16" s="133"/>
      <c r="EQL16" s="133"/>
      <c r="EQM16" s="133"/>
      <c r="EQN16" s="133"/>
      <c r="EQO16" s="133"/>
      <c r="EQP16" s="133"/>
      <c r="EQQ16" s="133"/>
      <c r="EQR16" s="133"/>
      <c r="EQS16" s="133"/>
      <c r="EQT16" s="136"/>
      <c r="EQU16" s="137"/>
      <c r="EQV16" s="136"/>
      <c r="EQW16" s="137"/>
      <c r="EQX16" s="133"/>
      <c r="EQY16" s="133"/>
      <c r="EQZ16" s="133"/>
      <c r="ERA16" s="133"/>
      <c r="ERB16" s="133"/>
      <c r="ERC16" s="133"/>
      <c r="ERD16" s="133"/>
      <c r="ERE16" s="133"/>
      <c r="ERF16" s="133"/>
      <c r="ERG16" s="133"/>
      <c r="ERH16" s="133"/>
      <c r="ERI16" s="133"/>
      <c r="ERJ16" s="136"/>
      <c r="ERK16" s="137"/>
      <c r="ERL16" s="136"/>
      <c r="ERM16" s="137"/>
      <c r="ERN16" s="133"/>
      <c r="ERO16" s="133"/>
      <c r="ERP16" s="133"/>
      <c r="ERQ16" s="133"/>
      <c r="ERR16" s="133"/>
      <c r="ERS16" s="133"/>
      <c r="ERT16" s="133"/>
      <c r="ERU16" s="133"/>
      <c r="ERV16" s="133"/>
      <c r="ERW16" s="133"/>
      <c r="ERX16" s="133"/>
      <c r="ERY16" s="133"/>
      <c r="ERZ16" s="136"/>
      <c r="ESA16" s="137"/>
      <c r="ESB16" s="136"/>
      <c r="ESC16" s="137"/>
      <c r="ESD16" s="133"/>
      <c r="ESE16" s="133"/>
      <c r="ESF16" s="133"/>
      <c r="ESG16" s="133"/>
      <c r="ESH16" s="133"/>
      <c r="ESI16" s="133"/>
      <c r="ESJ16" s="133"/>
      <c r="ESK16" s="133"/>
      <c r="ESL16" s="133"/>
      <c r="ESM16" s="133"/>
      <c r="ESN16" s="133"/>
      <c r="ESO16" s="133"/>
      <c r="ESP16" s="136"/>
      <c r="ESQ16" s="137"/>
      <c r="ESR16" s="136"/>
      <c r="ESS16" s="137"/>
      <c r="EST16" s="133"/>
      <c r="ESU16" s="133"/>
      <c r="ESV16" s="133"/>
      <c r="ESW16" s="133"/>
      <c r="ESX16" s="133"/>
      <c r="ESY16" s="133"/>
      <c r="ESZ16" s="133"/>
      <c r="ETA16" s="133"/>
      <c r="ETB16" s="133"/>
      <c r="ETC16" s="133"/>
      <c r="ETD16" s="133"/>
      <c r="ETE16" s="133"/>
      <c r="ETF16" s="136"/>
      <c r="ETG16" s="137"/>
      <c r="ETH16" s="136"/>
      <c r="ETI16" s="137"/>
      <c r="ETJ16" s="133"/>
      <c r="ETK16" s="133"/>
      <c r="ETL16" s="133"/>
      <c r="ETM16" s="133"/>
      <c r="ETN16" s="133"/>
      <c r="ETO16" s="133"/>
      <c r="ETP16" s="133"/>
      <c r="ETQ16" s="133"/>
      <c r="ETR16" s="133"/>
      <c r="ETS16" s="133"/>
      <c r="ETT16" s="133"/>
      <c r="ETU16" s="133"/>
      <c r="ETV16" s="136"/>
      <c r="ETW16" s="137"/>
      <c r="ETX16" s="136"/>
      <c r="ETY16" s="137"/>
      <c r="ETZ16" s="133"/>
      <c r="EUA16" s="133"/>
      <c r="EUB16" s="133"/>
      <c r="EUC16" s="133"/>
      <c r="EUD16" s="133"/>
      <c r="EUE16" s="133"/>
      <c r="EUF16" s="133"/>
      <c r="EUG16" s="133"/>
      <c r="EUH16" s="133"/>
      <c r="EUI16" s="133"/>
      <c r="EUJ16" s="133"/>
      <c r="EUK16" s="133"/>
      <c r="EUL16" s="136"/>
      <c r="EUM16" s="137"/>
      <c r="EUN16" s="136"/>
      <c r="EUO16" s="137"/>
      <c r="EUP16" s="133"/>
      <c r="EUQ16" s="133"/>
      <c r="EUR16" s="133"/>
      <c r="EUS16" s="133"/>
      <c r="EUT16" s="133"/>
      <c r="EUU16" s="133"/>
      <c r="EUV16" s="133"/>
      <c r="EUW16" s="133"/>
      <c r="EUX16" s="133"/>
      <c r="EUY16" s="133"/>
      <c r="EUZ16" s="133"/>
      <c r="EVA16" s="133"/>
      <c r="EVB16" s="136"/>
      <c r="EVC16" s="137"/>
      <c r="EVD16" s="136"/>
      <c r="EVE16" s="137"/>
      <c r="EVF16" s="133"/>
      <c r="EVG16" s="133"/>
      <c r="EVH16" s="133"/>
      <c r="EVI16" s="133"/>
      <c r="EVJ16" s="133"/>
      <c r="EVK16" s="133"/>
      <c r="EVL16" s="133"/>
      <c r="EVM16" s="133"/>
      <c r="EVN16" s="133"/>
      <c r="EVO16" s="133"/>
      <c r="EVP16" s="133"/>
      <c r="EVQ16" s="133"/>
      <c r="EVR16" s="136"/>
      <c r="EVS16" s="137"/>
      <c r="EVT16" s="136"/>
      <c r="EVU16" s="137"/>
      <c r="EVV16" s="133"/>
      <c r="EVW16" s="133"/>
      <c r="EVX16" s="133"/>
      <c r="EVY16" s="133"/>
      <c r="EVZ16" s="133"/>
      <c r="EWA16" s="133"/>
      <c r="EWB16" s="133"/>
      <c r="EWC16" s="133"/>
      <c r="EWD16" s="133"/>
      <c r="EWE16" s="133"/>
      <c r="EWF16" s="133"/>
      <c r="EWG16" s="133"/>
      <c r="EWH16" s="136"/>
      <c r="EWI16" s="137"/>
      <c r="EWJ16" s="136"/>
      <c r="EWK16" s="137"/>
      <c r="EWL16" s="133"/>
      <c r="EWM16" s="133"/>
      <c r="EWN16" s="133"/>
      <c r="EWO16" s="133"/>
      <c r="EWP16" s="133"/>
      <c r="EWQ16" s="133"/>
      <c r="EWR16" s="133"/>
      <c r="EWS16" s="133"/>
      <c r="EWT16" s="133"/>
      <c r="EWU16" s="133"/>
      <c r="EWV16" s="133"/>
      <c r="EWW16" s="133"/>
      <c r="EWX16" s="136"/>
      <c r="EWY16" s="137"/>
      <c r="EWZ16" s="136"/>
      <c r="EXA16" s="137"/>
      <c r="EXB16" s="133"/>
      <c r="EXC16" s="133"/>
      <c r="EXD16" s="133"/>
      <c r="EXE16" s="133"/>
      <c r="EXF16" s="133"/>
      <c r="EXG16" s="133"/>
      <c r="EXH16" s="133"/>
      <c r="EXI16" s="133"/>
      <c r="EXJ16" s="133"/>
      <c r="EXK16" s="133"/>
      <c r="EXL16" s="133"/>
      <c r="EXM16" s="133"/>
      <c r="EXN16" s="136"/>
      <c r="EXO16" s="137"/>
      <c r="EXP16" s="136"/>
      <c r="EXQ16" s="137"/>
      <c r="EXR16" s="133"/>
      <c r="EXS16" s="133"/>
      <c r="EXT16" s="133"/>
      <c r="EXU16" s="133"/>
      <c r="EXV16" s="133"/>
      <c r="EXW16" s="133"/>
      <c r="EXX16" s="133"/>
      <c r="EXY16" s="133"/>
      <c r="EXZ16" s="133"/>
      <c r="EYA16" s="133"/>
      <c r="EYB16" s="133"/>
      <c r="EYC16" s="133"/>
      <c r="EYD16" s="136"/>
      <c r="EYE16" s="137"/>
      <c r="EYF16" s="136"/>
      <c r="EYG16" s="137"/>
      <c r="EYH16" s="133"/>
      <c r="EYI16" s="133"/>
      <c r="EYJ16" s="133"/>
      <c r="EYK16" s="133"/>
      <c r="EYL16" s="133"/>
      <c r="EYM16" s="133"/>
      <c r="EYN16" s="133"/>
      <c r="EYO16" s="133"/>
      <c r="EYP16" s="133"/>
      <c r="EYQ16" s="133"/>
      <c r="EYR16" s="133"/>
      <c r="EYS16" s="133"/>
      <c r="EYT16" s="136"/>
      <c r="EYU16" s="137"/>
      <c r="EYV16" s="136"/>
      <c r="EYW16" s="137"/>
      <c r="EYX16" s="133"/>
      <c r="EYY16" s="133"/>
      <c r="EYZ16" s="133"/>
      <c r="EZA16" s="133"/>
      <c r="EZB16" s="133"/>
      <c r="EZC16" s="133"/>
      <c r="EZD16" s="133"/>
      <c r="EZE16" s="133"/>
      <c r="EZF16" s="133"/>
      <c r="EZG16" s="133"/>
      <c r="EZH16" s="133"/>
      <c r="EZI16" s="133"/>
      <c r="EZJ16" s="136"/>
      <c r="EZK16" s="137"/>
      <c r="EZL16" s="136"/>
      <c r="EZM16" s="137"/>
      <c r="EZN16" s="133"/>
      <c r="EZO16" s="133"/>
      <c r="EZP16" s="133"/>
      <c r="EZQ16" s="133"/>
      <c r="EZR16" s="133"/>
      <c r="EZS16" s="133"/>
      <c r="EZT16" s="133"/>
      <c r="EZU16" s="133"/>
      <c r="EZV16" s="133"/>
      <c r="EZW16" s="133"/>
      <c r="EZX16" s="133"/>
      <c r="EZY16" s="133"/>
      <c r="EZZ16" s="136"/>
      <c r="FAA16" s="137"/>
      <c r="FAB16" s="136"/>
      <c r="FAC16" s="137"/>
      <c r="FAP16" s="136"/>
      <c r="FAQ16" s="137"/>
      <c r="FAR16" s="136"/>
      <c r="FAS16" s="137"/>
      <c r="FAT16" s="133"/>
      <c r="FAU16" s="133"/>
      <c r="FAV16" s="133"/>
      <c r="FAW16" s="133"/>
      <c r="FAX16" s="133"/>
      <c r="FAY16" s="133"/>
      <c r="FAZ16" s="133"/>
      <c r="FBA16" s="133"/>
      <c r="FBB16" s="133"/>
      <c r="FBC16" s="133"/>
      <c r="FBD16" s="133"/>
      <c r="FBE16" s="133"/>
      <c r="FBF16" s="136"/>
      <c r="FBG16" s="137"/>
      <c r="FBH16" s="136"/>
      <c r="FBI16" s="137"/>
      <c r="FBJ16" s="133"/>
      <c r="FBK16" s="133"/>
      <c r="FBL16" s="133"/>
      <c r="FBM16" s="133"/>
      <c r="FBN16" s="133"/>
      <c r="FBO16" s="133"/>
      <c r="FBP16" s="133"/>
      <c r="FBQ16" s="133"/>
      <c r="FBR16" s="133"/>
      <c r="FBS16" s="133"/>
      <c r="FBT16" s="133"/>
      <c r="FBU16" s="133"/>
      <c r="FBV16" s="136"/>
      <c r="FBW16" s="137"/>
      <c r="FBX16" s="136"/>
      <c r="FBY16" s="137"/>
      <c r="FBZ16" s="133"/>
      <c r="FCA16" s="133"/>
      <c r="FCB16" s="133"/>
      <c r="FCC16" s="133"/>
      <c r="FCD16" s="133"/>
      <c r="FCE16" s="133"/>
      <c r="FCF16" s="133"/>
      <c r="FCG16" s="133"/>
      <c r="FCH16" s="133"/>
      <c r="FCI16" s="133"/>
      <c r="FCJ16" s="133"/>
      <c r="FCK16" s="133"/>
      <c r="FCL16" s="136"/>
      <c r="FCM16" s="137"/>
      <c r="FCN16" s="136"/>
      <c r="FCO16" s="137"/>
      <c r="FCP16" s="133"/>
      <c r="FCQ16" s="133"/>
      <c r="FCR16" s="133"/>
      <c r="FCS16" s="133"/>
      <c r="FCT16" s="133"/>
      <c r="FCU16" s="133"/>
      <c r="FCV16" s="133"/>
      <c r="FCW16" s="133"/>
      <c r="FCX16" s="133"/>
      <c r="FCY16" s="133"/>
      <c r="FCZ16" s="133"/>
      <c r="FDA16" s="133"/>
      <c r="FDB16" s="136"/>
      <c r="FDC16" s="137"/>
      <c r="FDD16" s="136"/>
      <c r="FDE16" s="137"/>
      <c r="FDF16" s="133"/>
      <c r="FDG16" s="133"/>
      <c r="FDH16" s="133"/>
      <c r="FDI16" s="133"/>
      <c r="FDJ16" s="133"/>
      <c r="FDK16" s="133"/>
      <c r="FDL16" s="133"/>
      <c r="FDM16" s="133"/>
      <c r="FDN16" s="133"/>
      <c r="FDO16" s="133"/>
      <c r="FDP16" s="133"/>
      <c r="FDQ16" s="133"/>
      <c r="FDR16" s="136"/>
      <c r="FDS16" s="137"/>
      <c r="FDT16" s="136"/>
      <c r="FDU16" s="137"/>
      <c r="FDV16" s="133"/>
      <c r="FDW16" s="133"/>
      <c r="FDX16" s="133"/>
      <c r="FDY16" s="133"/>
      <c r="FDZ16" s="133"/>
      <c r="FEA16" s="133"/>
      <c r="FEB16" s="133"/>
      <c r="FEC16" s="133"/>
      <c r="FED16" s="133"/>
      <c r="FEE16" s="133"/>
      <c r="FEF16" s="133"/>
      <c r="FEG16" s="133"/>
      <c r="FEH16" s="136"/>
      <c r="FEI16" s="137"/>
      <c r="FEJ16" s="136"/>
      <c r="FEK16" s="137"/>
      <c r="FEL16" s="133"/>
      <c r="FEM16" s="133"/>
      <c r="FEN16" s="133"/>
      <c r="FEO16" s="133"/>
      <c r="FEP16" s="133"/>
      <c r="FEQ16" s="133"/>
      <c r="FER16" s="133"/>
      <c r="FES16" s="133"/>
      <c r="FET16" s="133"/>
      <c r="FEU16" s="133"/>
      <c r="FEV16" s="133"/>
      <c r="FEW16" s="133"/>
      <c r="FEX16" s="136"/>
      <c r="FEY16" s="137"/>
      <c r="FEZ16" s="136"/>
      <c r="FFA16" s="137"/>
      <c r="FFB16" s="133"/>
      <c r="FFC16" s="133"/>
      <c r="FFD16" s="133"/>
      <c r="FFE16" s="133"/>
      <c r="FFF16" s="133"/>
      <c r="FFG16" s="133"/>
      <c r="FFH16" s="133"/>
      <c r="FFI16" s="133"/>
      <c r="FFJ16" s="133"/>
      <c r="FFK16" s="133"/>
      <c r="FFL16" s="133"/>
      <c r="FFM16" s="133"/>
      <c r="FFN16" s="136"/>
      <c r="FFO16" s="137"/>
      <c r="FFP16" s="136"/>
      <c r="FFQ16" s="137"/>
      <c r="FFR16" s="133"/>
      <c r="FFS16" s="133"/>
      <c r="FFT16" s="133"/>
      <c r="FFU16" s="133"/>
      <c r="FFV16" s="133"/>
      <c r="FFW16" s="133"/>
      <c r="FFX16" s="133"/>
      <c r="FFY16" s="133"/>
      <c r="FFZ16" s="133"/>
      <c r="FGA16" s="133"/>
      <c r="FGB16" s="133"/>
      <c r="FGC16" s="133"/>
      <c r="FGD16" s="136"/>
      <c r="FGE16" s="137"/>
      <c r="FGF16" s="136"/>
      <c r="FGG16" s="137"/>
      <c r="FGH16" s="133"/>
      <c r="FGI16" s="133"/>
      <c r="FGJ16" s="133"/>
      <c r="FGK16" s="133"/>
      <c r="FGL16" s="133"/>
      <c r="FGM16" s="133"/>
      <c r="FGN16" s="133"/>
      <c r="FGO16" s="133"/>
      <c r="FGP16" s="133"/>
      <c r="FGQ16" s="133"/>
      <c r="FGR16" s="133"/>
      <c r="FGS16" s="133"/>
      <c r="FGT16" s="136"/>
      <c r="FGU16" s="137"/>
      <c r="FGV16" s="136"/>
      <c r="FGW16" s="137"/>
      <c r="FGX16" s="133"/>
      <c r="FGY16" s="133"/>
      <c r="FGZ16" s="133"/>
      <c r="FHA16" s="133"/>
      <c r="FHB16" s="133"/>
      <c r="FHC16" s="133"/>
      <c r="FHD16" s="133"/>
      <c r="FHE16" s="133"/>
      <c r="FHF16" s="133"/>
      <c r="FHG16" s="133"/>
      <c r="FHH16" s="133"/>
      <c r="FHI16" s="133"/>
      <c r="FHJ16" s="136"/>
      <c r="FHK16" s="137"/>
      <c r="FHL16" s="136"/>
      <c r="FHM16" s="137"/>
      <c r="FHN16" s="133"/>
      <c r="FHO16" s="133"/>
      <c r="FHP16" s="133"/>
      <c r="FHQ16" s="133"/>
      <c r="FHR16" s="133"/>
      <c r="FHS16" s="133"/>
      <c r="FHT16" s="133"/>
      <c r="FHU16" s="133"/>
      <c r="FHV16" s="133"/>
      <c r="FHW16" s="133"/>
      <c r="FHX16" s="133"/>
      <c r="FHY16" s="133"/>
      <c r="FHZ16" s="136"/>
      <c r="FIA16" s="137"/>
      <c r="FIB16" s="136"/>
      <c r="FIC16" s="137"/>
      <c r="FID16" s="133"/>
      <c r="FIE16" s="133"/>
      <c r="FIF16" s="133"/>
      <c r="FIG16" s="133"/>
      <c r="FIH16" s="133"/>
      <c r="FII16" s="133"/>
      <c r="FIJ16" s="133"/>
      <c r="FIK16" s="133"/>
      <c r="FIL16" s="133"/>
      <c r="FIM16" s="133"/>
      <c r="FIN16" s="133"/>
      <c r="FIO16" s="133"/>
      <c r="FIP16" s="136"/>
      <c r="FIQ16" s="137"/>
      <c r="FIR16" s="136"/>
      <c r="FIS16" s="137"/>
      <c r="FIT16" s="133"/>
      <c r="FIU16" s="133"/>
      <c r="FIV16" s="133"/>
      <c r="FIW16" s="133"/>
      <c r="FIX16" s="133"/>
      <c r="FIY16" s="133"/>
      <c r="FIZ16" s="133"/>
      <c r="FJA16" s="133"/>
      <c r="FJB16" s="133"/>
      <c r="FJC16" s="133"/>
      <c r="FJD16" s="133"/>
      <c r="FJE16" s="133"/>
      <c r="FJF16" s="136"/>
      <c r="FJG16" s="137"/>
      <c r="FJH16" s="136"/>
      <c r="FJI16" s="137"/>
      <c r="FJJ16" s="133"/>
      <c r="FJK16" s="133"/>
      <c r="FJL16" s="133"/>
      <c r="FJM16" s="133"/>
      <c r="FJN16" s="133"/>
      <c r="FJO16" s="133"/>
      <c r="FJP16" s="133"/>
      <c r="FJQ16" s="133"/>
      <c r="FJR16" s="133"/>
      <c r="FJS16" s="133"/>
      <c r="FJT16" s="133"/>
      <c r="FJU16" s="133"/>
      <c r="FJV16" s="136"/>
      <c r="FJW16" s="137"/>
      <c r="FJX16" s="136"/>
      <c r="FJY16" s="137"/>
      <c r="FJZ16" s="133"/>
      <c r="FKA16" s="133"/>
      <c r="FKB16" s="133"/>
      <c r="FKC16" s="133"/>
      <c r="FKD16" s="133"/>
      <c r="FKE16" s="133"/>
      <c r="FKF16" s="133"/>
      <c r="FKG16" s="133"/>
      <c r="FKH16" s="133"/>
      <c r="FKI16" s="133"/>
      <c r="FKJ16" s="133"/>
      <c r="FKK16" s="133"/>
      <c r="FKL16" s="136"/>
      <c r="FKM16" s="137"/>
      <c r="FKN16" s="136"/>
      <c r="FKO16" s="137"/>
      <c r="FKP16" s="133"/>
      <c r="FKQ16" s="133"/>
      <c r="FKR16" s="133"/>
      <c r="FKS16" s="133"/>
      <c r="FKT16" s="133"/>
      <c r="FKU16" s="133"/>
      <c r="FKV16" s="133"/>
      <c r="FKW16" s="133"/>
      <c r="FKX16" s="133"/>
      <c r="FKY16" s="133"/>
      <c r="FKZ16" s="133"/>
      <c r="FLA16" s="133"/>
      <c r="FLB16" s="136"/>
      <c r="FLC16" s="137"/>
      <c r="FLD16" s="136"/>
      <c r="FLE16" s="137"/>
      <c r="FLF16" s="133"/>
      <c r="FLG16" s="133"/>
      <c r="FLH16" s="133"/>
      <c r="FLI16" s="133"/>
      <c r="FLJ16" s="133"/>
      <c r="FLK16" s="133"/>
      <c r="FLL16" s="133"/>
      <c r="FLM16" s="133"/>
      <c r="FLN16" s="133"/>
      <c r="FLO16" s="133"/>
      <c r="FLP16" s="133"/>
      <c r="FLQ16" s="133"/>
      <c r="FLR16" s="136"/>
      <c r="FLS16" s="137"/>
      <c r="FLT16" s="136"/>
      <c r="FLU16" s="137"/>
      <c r="FLV16" s="133"/>
      <c r="FLW16" s="133"/>
      <c r="FLX16" s="133"/>
      <c r="FLY16" s="133"/>
      <c r="FLZ16" s="133"/>
      <c r="FMA16" s="133"/>
      <c r="FMB16" s="133"/>
      <c r="FMC16" s="133"/>
      <c r="FMD16" s="133"/>
      <c r="FME16" s="133"/>
      <c r="FMF16" s="133"/>
      <c r="FMG16" s="133"/>
      <c r="FMH16" s="136"/>
      <c r="FMI16" s="137"/>
      <c r="FMJ16" s="136"/>
      <c r="FMK16" s="137"/>
      <c r="FML16" s="133"/>
      <c r="FMM16" s="133"/>
      <c r="FMN16" s="133"/>
      <c r="FMO16" s="133"/>
      <c r="FMP16" s="133"/>
      <c r="FMQ16" s="133"/>
      <c r="FMR16" s="133"/>
      <c r="FMS16" s="133"/>
      <c r="FMT16" s="133"/>
      <c r="FMU16" s="133"/>
      <c r="FMV16" s="133"/>
      <c r="FMW16" s="133"/>
      <c r="FMX16" s="136"/>
      <c r="FMY16" s="137"/>
      <c r="FMZ16" s="136"/>
      <c r="FNA16" s="137"/>
      <c r="FNB16" s="133"/>
      <c r="FNC16" s="133"/>
      <c r="FND16" s="133"/>
      <c r="FNE16" s="133"/>
      <c r="FNF16" s="133"/>
      <c r="FNG16" s="133"/>
      <c r="FNH16" s="133"/>
      <c r="FNI16" s="133"/>
      <c r="FNJ16" s="133"/>
      <c r="FNK16" s="133"/>
      <c r="FNL16" s="133"/>
      <c r="FNM16" s="133"/>
      <c r="FNN16" s="136"/>
      <c r="FNO16" s="137"/>
      <c r="FNP16" s="136"/>
      <c r="FNQ16" s="137"/>
      <c r="FNR16" s="133"/>
      <c r="FNS16" s="133"/>
      <c r="FNT16" s="133"/>
      <c r="FNU16" s="133"/>
      <c r="FNV16" s="133"/>
      <c r="FNW16" s="133"/>
      <c r="FNX16" s="133"/>
      <c r="FNY16" s="133"/>
      <c r="FNZ16" s="133"/>
      <c r="FOA16" s="133"/>
      <c r="FOB16" s="133"/>
      <c r="FOC16" s="133"/>
      <c r="FOD16" s="136"/>
      <c r="FOE16" s="137"/>
      <c r="FOF16" s="136"/>
      <c r="FOG16" s="137"/>
      <c r="FOH16" s="133"/>
      <c r="FOI16" s="133"/>
      <c r="FOJ16" s="133"/>
      <c r="FOK16" s="133"/>
      <c r="FOL16" s="133"/>
      <c r="FOM16" s="133"/>
      <c r="FON16" s="133"/>
      <c r="FOO16" s="133"/>
      <c r="FOP16" s="133"/>
      <c r="FOQ16" s="133"/>
      <c r="FOR16" s="133"/>
      <c r="FOS16" s="133"/>
      <c r="FOT16" s="136"/>
      <c r="FOU16" s="137"/>
      <c r="FOV16" s="136"/>
      <c r="FOW16" s="137"/>
      <c r="FOX16" s="133"/>
      <c r="FOY16" s="133"/>
      <c r="FOZ16" s="133"/>
      <c r="FPA16" s="133"/>
      <c r="FPB16" s="133"/>
      <c r="FPC16" s="133"/>
      <c r="FPD16" s="133"/>
      <c r="FPE16" s="133"/>
      <c r="FPF16" s="133"/>
      <c r="FPG16" s="133"/>
      <c r="FPH16" s="133"/>
      <c r="FPI16" s="133"/>
      <c r="FPJ16" s="136"/>
      <c r="FPK16" s="137"/>
      <c r="FPL16" s="136"/>
      <c r="FPM16" s="137"/>
      <c r="FPN16" s="133"/>
      <c r="FPO16" s="133"/>
      <c r="FPP16" s="133"/>
      <c r="FPQ16" s="133"/>
      <c r="FPR16" s="133"/>
      <c r="FPS16" s="133"/>
      <c r="FPT16" s="133"/>
      <c r="FPU16" s="133"/>
      <c r="FPV16" s="133"/>
      <c r="FPW16" s="133"/>
      <c r="FPX16" s="133"/>
      <c r="FPY16" s="133"/>
      <c r="FPZ16" s="136"/>
      <c r="FQA16" s="137"/>
      <c r="FQB16" s="136"/>
      <c r="FQC16" s="137"/>
      <c r="FQD16" s="133"/>
      <c r="FQE16" s="133"/>
      <c r="FQF16" s="133"/>
      <c r="FQG16" s="133"/>
      <c r="FQH16" s="133"/>
      <c r="FQI16" s="133"/>
      <c r="FQJ16" s="133"/>
      <c r="FQK16" s="133"/>
      <c r="FQL16" s="133"/>
      <c r="FQM16" s="133"/>
      <c r="FQN16" s="133"/>
      <c r="FQO16" s="133"/>
      <c r="FQP16" s="136"/>
      <c r="FQQ16" s="137"/>
      <c r="FQR16" s="136"/>
      <c r="FQS16" s="137"/>
      <c r="FQT16" s="133"/>
      <c r="FQU16" s="133"/>
      <c r="FQV16" s="133"/>
      <c r="FQW16" s="133"/>
      <c r="FQX16" s="133"/>
      <c r="FQY16" s="133"/>
      <c r="FQZ16" s="133"/>
      <c r="FRA16" s="133"/>
      <c r="FRB16" s="133"/>
      <c r="FRC16" s="133"/>
      <c r="FRD16" s="133"/>
      <c r="FRE16" s="133"/>
      <c r="FRF16" s="136"/>
      <c r="FRG16" s="137"/>
      <c r="FRH16" s="136"/>
      <c r="FRI16" s="137"/>
      <c r="FRJ16" s="133"/>
      <c r="FRK16" s="133"/>
      <c r="FRL16" s="133"/>
      <c r="FRM16" s="133"/>
      <c r="FRN16" s="133"/>
      <c r="FRO16" s="133"/>
      <c r="FRP16" s="133"/>
      <c r="FRQ16" s="133"/>
      <c r="FRR16" s="133"/>
      <c r="FRS16" s="133"/>
      <c r="FRT16" s="133"/>
      <c r="FRU16" s="133"/>
      <c r="FRV16" s="136"/>
      <c r="FRW16" s="137"/>
      <c r="FRX16" s="136"/>
      <c r="FRY16" s="137"/>
      <c r="FRZ16" s="133"/>
      <c r="FSA16" s="133"/>
      <c r="FSB16" s="133"/>
      <c r="FSC16" s="133"/>
      <c r="FSD16" s="133"/>
      <c r="FSE16" s="133"/>
      <c r="FSF16" s="133"/>
      <c r="FSG16" s="133"/>
      <c r="FSH16" s="133"/>
      <c r="FSI16" s="133"/>
      <c r="FSJ16" s="133"/>
      <c r="FSK16" s="133"/>
      <c r="FSL16" s="136"/>
      <c r="FSM16" s="137"/>
      <c r="FSN16" s="136"/>
      <c r="FSO16" s="137"/>
      <c r="FSP16" s="133"/>
      <c r="FSQ16" s="133"/>
      <c r="FSR16" s="133"/>
      <c r="FSS16" s="133"/>
      <c r="FST16" s="133"/>
      <c r="FSU16" s="133"/>
      <c r="FSV16" s="133"/>
      <c r="FSW16" s="133"/>
      <c r="FSX16" s="133"/>
      <c r="FSY16" s="133"/>
      <c r="FSZ16" s="133"/>
      <c r="FTA16" s="133"/>
      <c r="FTB16" s="136"/>
      <c r="FTC16" s="137"/>
      <c r="FTD16" s="136"/>
      <c r="FTE16" s="137"/>
      <c r="FTF16" s="133"/>
      <c r="FTG16" s="133"/>
      <c r="FTH16" s="133"/>
      <c r="FTI16" s="133"/>
      <c r="FTJ16" s="133"/>
      <c r="FTK16" s="133"/>
      <c r="FTL16" s="133"/>
      <c r="FTM16" s="133"/>
      <c r="FTN16" s="133"/>
      <c r="FTO16" s="133"/>
      <c r="FTP16" s="133"/>
      <c r="FTQ16" s="133"/>
      <c r="FTR16" s="136"/>
      <c r="FTS16" s="137"/>
      <c r="FTT16" s="136"/>
      <c r="FTU16" s="137"/>
      <c r="FTV16" s="133"/>
      <c r="FTW16" s="133"/>
      <c r="FTX16" s="133"/>
      <c r="FTY16" s="133"/>
      <c r="FTZ16" s="133"/>
      <c r="FUA16" s="133"/>
      <c r="FUB16" s="133"/>
      <c r="FUC16" s="133"/>
      <c r="FUD16" s="133"/>
      <c r="FUE16" s="133"/>
      <c r="FUF16" s="133"/>
      <c r="FUG16" s="133"/>
      <c r="FUH16" s="136"/>
      <c r="FUI16" s="137"/>
      <c r="FUJ16" s="136"/>
      <c r="FUK16" s="137"/>
      <c r="FUL16" s="133"/>
      <c r="FUM16" s="133"/>
      <c r="FUN16" s="133"/>
      <c r="FUO16" s="133"/>
      <c r="FUP16" s="133"/>
      <c r="FUQ16" s="133"/>
      <c r="FUR16" s="133"/>
      <c r="FUS16" s="133"/>
      <c r="FUT16" s="133"/>
      <c r="FUU16" s="133"/>
      <c r="FUV16" s="133"/>
      <c r="FUW16" s="133"/>
      <c r="FUX16" s="136"/>
      <c r="FUY16" s="137"/>
      <c r="FUZ16" s="136"/>
      <c r="FVA16" s="137"/>
      <c r="FVB16" s="133"/>
      <c r="FVC16" s="133"/>
      <c r="FVD16" s="133"/>
      <c r="FVE16" s="133"/>
      <c r="FVF16" s="133"/>
      <c r="FVG16" s="133"/>
      <c r="FVH16" s="133"/>
      <c r="FVI16" s="133"/>
      <c r="FVJ16" s="133"/>
      <c r="FVK16" s="133"/>
      <c r="FVL16" s="133"/>
      <c r="FVM16" s="133"/>
      <c r="FVN16" s="136"/>
      <c r="FVO16" s="137"/>
      <c r="FVP16" s="136"/>
      <c r="FVQ16" s="137"/>
      <c r="FVR16" s="133"/>
      <c r="FVS16" s="133"/>
      <c r="FVT16" s="133"/>
      <c r="FVU16" s="133"/>
      <c r="FVV16" s="133"/>
      <c r="FVW16" s="133"/>
      <c r="FVX16" s="133"/>
      <c r="FVY16" s="133"/>
      <c r="FVZ16" s="133"/>
      <c r="FWA16" s="133"/>
      <c r="FWB16" s="133"/>
      <c r="FWC16" s="133"/>
      <c r="FWD16" s="136"/>
      <c r="FWE16" s="137"/>
      <c r="FWF16" s="136"/>
      <c r="FWG16" s="137"/>
      <c r="FWH16" s="133"/>
      <c r="FWI16" s="133"/>
      <c r="FWJ16" s="133"/>
      <c r="FWK16" s="133"/>
      <c r="FWL16" s="133"/>
      <c r="FWM16" s="133"/>
      <c r="FWN16" s="133"/>
      <c r="FWO16" s="133"/>
      <c r="FWP16" s="133"/>
      <c r="FWQ16" s="133"/>
      <c r="FWR16" s="133"/>
      <c r="FWS16" s="133"/>
      <c r="FWT16" s="136"/>
      <c r="FWU16" s="137"/>
      <c r="FWV16" s="136"/>
      <c r="FWW16" s="137"/>
      <c r="FWX16" s="133"/>
      <c r="FWY16" s="133"/>
      <c r="FWZ16" s="133"/>
      <c r="FXA16" s="133"/>
      <c r="FXB16" s="133"/>
      <c r="FXC16" s="133"/>
      <c r="FXD16" s="133"/>
      <c r="FXE16" s="133"/>
      <c r="FXF16" s="133"/>
      <c r="FXG16" s="133"/>
      <c r="FXH16" s="133"/>
      <c r="FXI16" s="133"/>
      <c r="FXJ16" s="136"/>
      <c r="FXK16" s="137"/>
      <c r="FXL16" s="136"/>
      <c r="FXM16" s="137"/>
      <c r="FXN16" s="133"/>
      <c r="FXO16" s="133"/>
      <c r="FXP16" s="133"/>
      <c r="FXQ16" s="133"/>
      <c r="FXR16" s="133"/>
      <c r="FXS16" s="133"/>
      <c r="FXT16" s="133"/>
      <c r="FXU16" s="133"/>
      <c r="FXV16" s="133"/>
      <c r="FXW16" s="133"/>
      <c r="FXX16" s="133"/>
      <c r="FXY16" s="133"/>
      <c r="FXZ16" s="136"/>
      <c r="FYA16" s="137"/>
      <c r="FYB16" s="136"/>
      <c r="FYC16" s="137"/>
      <c r="FYD16" s="133"/>
      <c r="FYE16" s="133"/>
      <c r="FYF16" s="133"/>
      <c r="FYG16" s="133"/>
      <c r="FYH16" s="133"/>
      <c r="FYI16" s="133"/>
      <c r="FYJ16" s="133"/>
      <c r="FYK16" s="133"/>
      <c r="FYL16" s="133"/>
      <c r="FYM16" s="133"/>
      <c r="FYN16" s="133"/>
      <c r="FYO16" s="133"/>
      <c r="FYP16" s="136"/>
      <c r="FYQ16" s="137"/>
      <c r="FYR16" s="136"/>
      <c r="FYS16" s="137"/>
      <c r="FYT16" s="133"/>
      <c r="FYU16" s="133"/>
      <c r="FYV16" s="133"/>
      <c r="FYW16" s="133"/>
      <c r="FYX16" s="133"/>
      <c r="FYY16" s="133"/>
      <c r="FYZ16" s="133"/>
      <c r="FZA16" s="133"/>
      <c r="FZB16" s="133"/>
      <c r="FZC16" s="133"/>
      <c r="FZD16" s="133"/>
      <c r="FZE16" s="133"/>
      <c r="FZF16" s="136"/>
      <c r="FZG16" s="137"/>
      <c r="FZH16" s="136"/>
      <c r="FZI16" s="137"/>
      <c r="FZJ16" s="133"/>
      <c r="FZK16" s="133"/>
      <c r="FZL16" s="133"/>
      <c r="FZM16" s="133"/>
      <c r="FZN16" s="133"/>
      <c r="FZO16" s="133"/>
      <c r="FZP16" s="133"/>
      <c r="FZQ16" s="133"/>
      <c r="FZR16" s="133"/>
      <c r="FZS16" s="133"/>
      <c r="FZT16" s="133"/>
      <c r="FZU16" s="133"/>
      <c r="FZV16" s="136"/>
      <c r="FZW16" s="137"/>
      <c r="FZX16" s="136"/>
      <c r="FZY16" s="137"/>
      <c r="FZZ16" s="133"/>
      <c r="GAA16" s="133"/>
      <c r="GAB16" s="133"/>
      <c r="GAC16" s="133"/>
      <c r="GAD16" s="133"/>
      <c r="GAE16" s="133"/>
      <c r="GAF16" s="133"/>
      <c r="GAG16" s="133"/>
      <c r="GAH16" s="133"/>
      <c r="GAI16" s="133"/>
      <c r="GAJ16" s="133"/>
      <c r="GAK16" s="133"/>
      <c r="GAL16" s="136"/>
      <c r="GAM16" s="137"/>
      <c r="GAN16" s="136"/>
      <c r="GAO16" s="137"/>
      <c r="GAP16" s="133"/>
      <c r="GAQ16" s="133"/>
      <c r="GAR16" s="133"/>
      <c r="GAS16" s="133"/>
      <c r="GAT16" s="133"/>
      <c r="GAU16" s="133"/>
      <c r="GAV16" s="133"/>
      <c r="GAW16" s="133"/>
      <c r="GAX16" s="133"/>
      <c r="GAY16" s="133"/>
      <c r="GAZ16" s="133"/>
      <c r="GBA16" s="133"/>
      <c r="GBB16" s="136"/>
      <c r="GBC16" s="137"/>
      <c r="GBD16" s="136"/>
      <c r="GBE16" s="137"/>
      <c r="GBF16" s="133"/>
      <c r="GBG16" s="133"/>
      <c r="GBH16" s="133"/>
      <c r="GBI16" s="133"/>
      <c r="GBJ16" s="133"/>
      <c r="GBK16" s="133"/>
      <c r="GBL16" s="133"/>
      <c r="GBM16" s="133"/>
      <c r="GBN16" s="133"/>
      <c r="GBO16" s="133"/>
      <c r="GBP16" s="133"/>
      <c r="GBQ16" s="133"/>
      <c r="GBR16" s="136"/>
      <c r="GBS16" s="137"/>
      <c r="GBT16" s="136"/>
      <c r="GBU16" s="137"/>
      <c r="GBV16" s="133"/>
      <c r="GBW16" s="133"/>
      <c r="GBX16" s="133"/>
      <c r="GBY16" s="133"/>
      <c r="GBZ16" s="133"/>
      <c r="GCA16" s="133"/>
      <c r="GCB16" s="133"/>
      <c r="GCC16" s="133"/>
      <c r="GCD16" s="133"/>
      <c r="GCE16" s="133"/>
      <c r="GCF16" s="133"/>
      <c r="GCG16" s="133"/>
      <c r="GCH16" s="136"/>
      <c r="GCI16" s="137"/>
      <c r="GCJ16" s="136"/>
      <c r="GCK16" s="137"/>
      <c r="GCL16" s="133"/>
      <c r="GCM16" s="133"/>
      <c r="GCN16" s="133"/>
      <c r="GCO16" s="133"/>
      <c r="GCP16" s="133"/>
      <c r="GCQ16" s="133"/>
      <c r="GCR16" s="133"/>
      <c r="GCS16" s="133"/>
      <c r="GCT16" s="133"/>
      <c r="GCU16" s="133"/>
      <c r="GCV16" s="133"/>
      <c r="GCW16" s="133"/>
      <c r="GCX16" s="136"/>
      <c r="GCY16" s="137"/>
      <c r="GCZ16" s="136"/>
      <c r="GDA16" s="137"/>
      <c r="GDB16" s="133"/>
      <c r="GDC16" s="133"/>
      <c r="GDD16" s="133"/>
      <c r="GDE16" s="133"/>
      <c r="GDF16" s="133"/>
      <c r="GDG16" s="133"/>
      <c r="GDH16" s="133"/>
      <c r="GDI16" s="133"/>
      <c r="GDJ16" s="133"/>
      <c r="GDK16" s="133"/>
      <c r="GDL16" s="133"/>
      <c r="GDM16" s="133"/>
      <c r="GDN16" s="136"/>
      <c r="GDO16" s="137"/>
      <c r="GDP16" s="136"/>
      <c r="GDQ16" s="137"/>
      <c r="GDR16" s="133"/>
      <c r="GDS16" s="133"/>
      <c r="GDT16" s="133"/>
      <c r="GDU16" s="133"/>
      <c r="GDV16" s="133"/>
      <c r="GDW16" s="133"/>
      <c r="GDX16" s="133"/>
      <c r="GDY16" s="133"/>
      <c r="GDZ16" s="133"/>
      <c r="GEA16" s="133"/>
      <c r="GEB16" s="133"/>
      <c r="GEC16" s="133"/>
      <c r="GED16" s="136"/>
      <c r="GEE16" s="137"/>
      <c r="GEF16" s="136"/>
      <c r="GEG16" s="137"/>
      <c r="GEH16" s="133"/>
      <c r="GEI16" s="133"/>
      <c r="GEJ16" s="133"/>
      <c r="GEK16" s="133"/>
      <c r="GEL16" s="133"/>
      <c r="GEM16" s="133"/>
      <c r="GEN16" s="133"/>
      <c r="GEO16" s="133"/>
      <c r="GEP16" s="133"/>
      <c r="GEQ16" s="133"/>
      <c r="GER16" s="133"/>
      <c r="GES16" s="133"/>
      <c r="GET16" s="136"/>
      <c r="GEU16" s="137"/>
      <c r="GEV16" s="136"/>
      <c r="GEW16" s="137"/>
      <c r="GEX16" s="133"/>
      <c r="GEY16" s="133"/>
      <c r="GEZ16" s="133"/>
      <c r="GFA16" s="133"/>
      <c r="GFB16" s="133"/>
      <c r="GFC16" s="133"/>
      <c r="GFD16" s="133"/>
      <c r="GFE16" s="133"/>
      <c r="GFF16" s="133"/>
      <c r="GFG16" s="133"/>
      <c r="GFH16" s="133"/>
      <c r="GFI16" s="133"/>
      <c r="GFJ16" s="136"/>
      <c r="GFK16" s="137"/>
      <c r="GFL16" s="136"/>
      <c r="GFM16" s="137"/>
      <c r="GFN16" s="133"/>
      <c r="GFO16" s="133"/>
      <c r="GFP16" s="133"/>
      <c r="GFQ16" s="133"/>
      <c r="GFR16" s="133"/>
      <c r="GFS16" s="133"/>
      <c r="GFT16" s="133"/>
      <c r="GFU16" s="133"/>
      <c r="GFV16" s="133"/>
      <c r="GFW16" s="133"/>
      <c r="GFX16" s="133"/>
      <c r="GFY16" s="133"/>
      <c r="GFZ16" s="136"/>
      <c r="GGA16" s="137"/>
      <c r="GGB16" s="136"/>
      <c r="GGC16" s="137"/>
      <c r="GGD16" s="133"/>
      <c r="GGE16" s="133"/>
      <c r="GGF16" s="133"/>
      <c r="GGG16" s="133"/>
      <c r="GGH16" s="133"/>
      <c r="GGI16" s="133"/>
      <c r="GGJ16" s="133"/>
      <c r="GGK16" s="133"/>
      <c r="GGL16" s="133"/>
      <c r="GGM16" s="133"/>
      <c r="GGN16" s="133"/>
      <c r="GGO16" s="133"/>
      <c r="GGP16" s="136"/>
      <c r="GGQ16" s="137"/>
      <c r="GGR16" s="136"/>
      <c r="GGS16" s="137"/>
      <c r="GGT16" s="133"/>
      <c r="GGU16" s="133"/>
      <c r="GGV16" s="133"/>
      <c r="GGW16" s="133"/>
      <c r="GGX16" s="133"/>
      <c r="GGY16" s="133"/>
      <c r="GGZ16" s="133"/>
      <c r="GHA16" s="133"/>
      <c r="GHB16" s="133"/>
      <c r="GHC16" s="133"/>
      <c r="GHD16" s="133"/>
      <c r="GHE16" s="133"/>
      <c r="GHF16" s="136"/>
      <c r="GHG16" s="137"/>
      <c r="GHH16" s="136"/>
      <c r="GHI16" s="137"/>
      <c r="GHJ16" s="133"/>
      <c r="GHK16" s="133"/>
      <c r="GHL16" s="133"/>
      <c r="GHM16" s="133"/>
      <c r="GHN16" s="133"/>
      <c r="GHO16" s="133"/>
      <c r="GHP16" s="133"/>
      <c r="GHQ16" s="133"/>
      <c r="GHR16" s="133"/>
      <c r="GHS16" s="133"/>
      <c r="GHT16" s="133"/>
      <c r="GHU16" s="133"/>
      <c r="GHV16" s="136"/>
      <c r="GHW16" s="137"/>
      <c r="GHX16" s="136"/>
      <c r="GHY16" s="137"/>
      <c r="GHZ16" s="133"/>
      <c r="GIA16" s="133"/>
      <c r="GIB16" s="133"/>
      <c r="GIC16" s="133"/>
      <c r="GID16" s="133"/>
      <c r="GIE16" s="133"/>
      <c r="GIF16" s="133"/>
      <c r="GIG16" s="133"/>
      <c r="GIH16" s="133"/>
      <c r="GII16" s="133"/>
      <c r="GIJ16" s="133"/>
      <c r="GIK16" s="133"/>
      <c r="GIL16" s="136"/>
      <c r="GIM16" s="137"/>
      <c r="GIN16" s="136"/>
      <c r="GIO16" s="137"/>
      <c r="GIP16" s="133"/>
      <c r="GIQ16" s="133"/>
      <c r="GIR16" s="133"/>
      <c r="GIS16" s="133"/>
      <c r="GIT16" s="133"/>
      <c r="GIU16" s="133"/>
      <c r="GIV16" s="133"/>
      <c r="GIW16" s="133"/>
      <c r="GIX16" s="133"/>
      <c r="GIY16" s="133"/>
      <c r="GIZ16" s="133"/>
      <c r="GJA16" s="133"/>
      <c r="GJB16" s="136"/>
      <c r="GJC16" s="137"/>
      <c r="GJD16" s="136"/>
      <c r="GJE16" s="137"/>
      <c r="GJF16" s="133"/>
      <c r="GJG16" s="133"/>
      <c r="GJH16" s="133"/>
      <c r="GJI16" s="133"/>
      <c r="GJJ16" s="133"/>
      <c r="GJK16" s="133"/>
      <c r="GJL16" s="133"/>
      <c r="GJM16" s="133"/>
      <c r="GJN16" s="133"/>
      <c r="GJO16" s="133"/>
      <c r="GJP16" s="133"/>
      <c r="GJQ16" s="133"/>
      <c r="GJR16" s="136"/>
      <c r="GJS16" s="137"/>
      <c r="GJT16" s="136"/>
      <c r="GJU16" s="137"/>
      <c r="GJV16" s="133"/>
      <c r="GJW16" s="133"/>
      <c r="GJX16" s="133"/>
      <c r="GJY16" s="133"/>
      <c r="GJZ16" s="133"/>
      <c r="GKA16" s="133"/>
      <c r="GKB16" s="133"/>
      <c r="GKC16" s="133"/>
      <c r="GKD16" s="133"/>
      <c r="GKE16" s="133"/>
      <c r="GKF16" s="133"/>
      <c r="GKG16" s="133"/>
      <c r="GKH16" s="136"/>
      <c r="GKI16" s="137"/>
      <c r="GKJ16" s="136"/>
      <c r="GKK16" s="137"/>
      <c r="GKL16" s="133"/>
      <c r="GKM16" s="133"/>
      <c r="GKN16" s="133"/>
      <c r="GKO16" s="133"/>
      <c r="GKP16" s="133"/>
      <c r="GKQ16" s="133"/>
      <c r="GKR16" s="133"/>
      <c r="GKS16" s="133"/>
      <c r="GKT16" s="133"/>
      <c r="GKU16" s="133"/>
      <c r="GKV16" s="133"/>
      <c r="GKW16" s="133"/>
      <c r="GKX16" s="136"/>
      <c r="GKY16" s="137"/>
      <c r="GKZ16" s="136"/>
      <c r="GLA16" s="137"/>
      <c r="GLB16" s="133"/>
      <c r="GLC16" s="133"/>
      <c r="GLD16" s="133"/>
      <c r="GLE16" s="133"/>
      <c r="GLF16" s="133"/>
      <c r="GLG16" s="133"/>
      <c r="GLH16" s="133"/>
      <c r="GLI16" s="133"/>
      <c r="GLJ16" s="133"/>
      <c r="GLK16" s="133"/>
      <c r="GLL16" s="133"/>
      <c r="GLM16" s="133"/>
      <c r="GLN16" s="136"/>
      <c r="GLO16" s="137"/>
      <c r="GLP16" s="136"/>
      <c r="GLQ16" s="137"/>
      <c r="GLR16" s="133"/>
      <c r="GLS16" s="133"/>
      <c r="GLT16" s="133"/>
      <c r="GLU16" s="133"/>
      <c r="GLV16" s="133"/>
      <c r="GLW16" s="133"/>
      <c r="GLX16" s="133"/>
      <c r="GLY16" s="133"/>
      <c r="GLZ16" s="133"/>
      <c r="GMA16" s="133"/>
      <c r="GMB16" s="133"/>
      <c r="GMC16" s="133"/>
      <c r="GMD16" s="136"/>
      <c r="GME16" s="137"/>
      <c r="GMF16" s="136"/>
      <c r="GMG16" s="137"/>
      <c r="GMH16" s="133"/>
      <c r="GMI16" s="133"/>
      <c r="GMJ16" s="133"/>
      <c r="GMK16" s="133"/>
      <c r="GML16" s="133"/>
      <c r="GMM16" s="133"/>
      <c r="GMN16" s="133"/>
      <c r="GMO16" s="133"/>
      <c r="GMP16" s="133"/>
      <c r="GMQ16" s="133"/>
      <c r="GMR16" s="133"/>
      <c r="GMS16" s="133"/>
      <c r="GMT16" s="136"/>
      <c r="GMU16" s="137"/>
      <c r="GMV16" s="136"/>
      <c r="GMW16" s="137"/>
      <c r="GMX16" s="133"/>
      <c r="GMY16" s="133"/>
      <c r="GMZ16" s="133"/>
      <c r="GNA16" s="133"/>
      <c r="GNB16" s="133"/>
      <c r="GNC16" s="133"/>
      <c r="GND16" s="133"/>
      <c r="GNE16" s="133"/>
      <c r="GNF16" s="133"/>
      <c r="GNG16" s="133"/>
      <c r="GNH16" s="133"/>
      <c r="GNI16" s="133"/>
      <c r="GNJ16" s="136"/>
      <c r="GNK16" s="137"/>
      <c r="GNL16" s="136"/>
      <c r="GNM16" s="137"/>
      <c r="GNZ16" s="136"/>
      <c r="GOA16" s="137"/>
      <c r="GOB16" s="136"/>
      <c r="GOC16" s="137"/>
      <c r="GOD16" s="133"/>
      <c r="GOE16" s="133"/>
      <c r="GOF16" s="133"/>
      <c r="GOG16" s="133"/>
      <c r="GOH16" s="133"/>
      <c r="GOI16" s="133"/>
      <c r="GOJ16" s="133"/>
      <c r="GOK16" s="133"/>
      <c r="GOL16" s="133"/>
      <c r="GOM16" s="133"/>
      <c r="GON16" s="133"/>
      <c r="GOO16" s="133"/>
      <c r="GOP16" s="136"/>
      <c r="GOQ16" s="137"/>
      <c r="GOR16" s="136"/>
      <c r="GOS16" s="137"/>
      <c r="GOT16" s="133"/>
      <c r="GOU16" s="133"/>
      <c r="GOV16" s="133"/>
      <c r="GOW16" s="133"/>
      <c r="GOX16" s="133"/>
      <c r="GOY16" s="133"/>
      <c r="GOZ16" s="133"/>
      <c r="GPA16" s="133"/>
      <c r="GPB16" s="133"/>
      <c r="GPC16" s="133"/>
      <c r="GPD16" s="133"/>
      <c r="GPE16" s="133"/>
      <c r="GPF16" s="136"/>
      <c r="GPG16" s="137"/>
      <c r="GPH16" s="136"/>
      <c r="GPI16" s="137"/>
      <c r="GPJ16" s="133"/>
      <c r="GPK16" s="133"/>
      <c r="GPL16" s="133"/>
      <c r="GPM16" s="133"/>
      <c r="GPN16" s="133"/>
      <c r="GPO16" s="133"/>
      <c r="GPP16" s="133"/>
      <c r="GPQ16" s="133"/>
      <c r="GPR16" s="133"/>
      <c r="GPS16" s="133"/>
      <c r="GPT16" s="133"/>
      <c r="GPU16" s="133"/>
      <c r="GPV16" s="136"/>
      <c r="GPW16" s="137"/>
      <c r="GPX16" s="136"/>
      <c r="GPY16" s="137"/>
      <c r="GPZ16" s="133"/>
      <c r="GQA16" s="133"/>
      <c r="GQB16" s="133"/>
      <c r="GQC16" s="133"/>
      <c r="GQD16" s="133"/>
      <c r="GQE16" s="133"/>
      <c r="GQF16" s="133"/>
      <c r="GQG16" s="133"/>
      <c r="GQH16" s="133"/>
      <c r="GQI16" s="133"/>
      <c r="GQJ16" s="133"/>
      <c r="GQK16" s="133"/>
      <c r="GQL16" s="136"/>
      <c r="GQM16" s="137"/>
      <c r="GQN16" s="136"/>
      <c r="GQO16" s="137"/>
      <c r="GQP16" s="133"/>
      <c r="GQQ16" s="133"/>
      <c r="GQR16" s="133"/>
      <c r="GQS16" s="133"/>
      <c r="GQT16" s="133"/>
      <c r="GQU16" s="133"/>
      <c r="GQV16" s="133"/>
      <c r="GQW16" s="133"/>
      <c r="GQX16" s="133"/>
      <c r="GQY16" s="133"/>
      <c r="GQZ16" s="133"/>
      <c r="GRA16" s="133"/>
      <c r="GRB16" s="136"/>
      <c r="GRC16" s="137"/>
      <c r="GRD16" s="136"/>
      <c r="GRE16" s="137"/>
      <c r="GRF16" s="133"/>
      <c r="GRG16" s="133"/>
      <c r="GRH16" s="133"/>
      <c r="GRI16" s="133"/>
      <c r="GRJ16" s="133"/>
      <c r="GRK16" s="133"/>
      <c r="GRL16" s="133"/>
      <c r="GRM16" s="133"/>
      <c r="GRN16" s="133"/>
      <c r="GRO16" s="133"/>
      <c r="GRP16" s="133"/>
      <c r="GRQ16" s="133"/>
      <c r="GRR16" s="136"/>
      <c r="GRS16" s="137"/>
      <c r="GRT16" s="136"/>
      <c r="GRU16" s="137"/>
      <c r="GRV16" s="133"/>
      <c r="GRW16" s="133"/>
      <c r="GRX16" s="133"/>
      <c r="GRY16" s="133"/>
      <c r="GRZ16" s="133"/>
      <c r="GSA16" s="133"/>
      <c r="GSB16" s="133"/>
      <c r="GSC16" s="133"/>
      <c r="GSD16" s="133"/>
      <c r="GSE16" s="133"/>
      <c r="GSF16" s="133"/>
      <c r="GSG16" s="133"/>
      <c r="GSH16" s="136"/>
      <c r="GSI16" s="137"/>
      <c r="GSJ16" s="136"/>
      <c r="GSK16" s="137"/>
      <c r="GSL16" s="133"/>
      <c r="GSM16" s="133"/>
      <c r="GSN16" s="133"/>
      <c r="GSO16" s="133"/>
      <c r="GSP16" s="133"/>
      <c r="GSQ16" s="133"/>
      <c r="GSR16" s="133"/>
      <c r="GSS16" s="133"/>
      <c r="GST16" s="133"/>
      <c r="GSU16" s="133"/>
      <c r="GSV16" s="133"/>
      <c r="GSW16" s="133"/>
      <c r="GSX16" s="136"/>
      <c r="GSY16" s="137"/>
      <c r="GSZ16" s="136"/>
      <c r="GTA16" s="137"/>
      <c r="GTB16" s="133"/>
      <c r="GTC16" s="133"/>
      <c r="GTD16" s="133"/>
      <c r="GTE16" s="133"/>
      <c r="GTF16" s="133"/>
      <c r="GTG16" s="133"/>
      <c r="GTH16" s="133"/>
      <c r="GTI16" s="133"/>
      <c r="GTJ16" s="133"/>
      <c r="GTK16" s="133"/>
      <c r="GTL16" s="133"/>
      <c r="GTM16" s="133"/>
      <c r="GTN16" s="136"/>
      <c r="GTO16" s="137"/>
      <c r="GTP16" s="136"/>
      <c r="GTQ16" s="137"/>
      <c r="GTR16" s="133"/>
      <c r="GTS16" s="133"/>
      <c r="GTT16" s="133"/>
      <c r="GTU16" s="133"/>
      <c r="GTV16" s="133"/>
      <c r="GTW16" s="133"/>
      <c r="GTX16" s="133"/>
      <c r="GTY16" s="133"/>
      <c r="GTZ16" s="133"/>
      <c r="GUA16" s="133"/>
      <c r="GUB16" s="133"/>
      <c r="GUC16" s="133"/>
      <c r="GUD16" s="136"/>
      <c r="GUE16" s="137"/>
      <c r="GUF16" s="136"/>
      <c r="GUG16" s="137"/>
      <c r="GUH16" s="133"/>
      <c r="GUI16" s="133"/>
      <c r="GUJ16" s="133"/>
      <c r="GUK16" s="133"/>
      <c r="GUL16" s="133"/>
      <c r="GUM16" s="133"/>
      <c r="GUN16" s="133"/>
      <c r="GUO16" s="133"/>
      <c r="GUP16" s="133"/>
      <c r="GUQ16" s="133"/>
      <c r="GUR16" s="133"/>
      <c r="GUS16" s="133"/>
      <c r="GUT16" s="136"/>
      <c r="GUU16" s="137"/>
      <c r="GUV16" s="136"/>
      <c r="GUW16" s="137"/>
      <c r="GUX16" s="133"/>
      <c r="GUY16" s="133"/>
      <c r="GUZ16" s="133"/>
      <c r="GVA16" s="133"/>
      <c r="GVB16" s="133"/>
      <c r="GVC16" s="133"/>
      <c r="GVD16" s="133"/>
      <c r="GVE16" s="133"/>
      <c r="GVF16" s="133"/>
      <c r="GVG16" s="133"/>
      <c r="GVH16" s="133"/>
      <c r="GVI16" s="133"/>
      <c r="GVJ16" s="136"/>
      <c r="GVK16" s="137"/>
      <c r="GVL16" s="136"/>
      <c r="GVM16" s="137"/>
      <c r="GVN16" s="133"/>
      <c r="GVO16" s="133"/>
      <c r="GVP16" s="133"/>
      <c r="GVQ16" s="133"/>
      <c r="GVR16" s="133"/>
      <c r="GVS16" s="133"/>
      <c r="GVT16" s="133"/>
      <c r="GVU16" s="133"/>
      <c r="GVV16" s="133"/>
      <c r="GVW16" s="133"/>
      <c r="GVX16" s="133"/>
      <c r="GVY16" s="133"/>
      <c r="GVZ16" s="136"/>
      <c r="GWA16" s="137"/>
      <c r="GWB16" s="136"/>
      <c r="GWC16" s="137"/>
      <c r="GWD16" s="133"/>
      <c r="GWE16" s="133"/>
      <c r="GWF16" s="133"/>
      <c r="GWG16" s="133"/>
      <c r="GWH16" s="133"/>
      <c r="GWI16" s="133"/>
      <c r="GWJ16" s="133"/>
      <c r="GWK16" s="133"/>
      <c r="GWL16" s="133"/>
      <c r="GWM16" s="133"/>
      <c r="GWN16" s="133"/>
      <c r="GWO16" s="133"/>
      <c r="GWP16" s="136"/>
      <c r="GWQ16" s="137"/>
      <c r="GWR16" s="136"/>
      <c r="GWS16" s="137"/>
      <c r="GWT16" s="133"/>
      <c r="GWU16" s="133"/>
      <c r="GWV16" s="133"/>
      <c r="GWW16" s="133"/>
      <c r="GWX16" s="133"/>
      <c r="GWY16" s="133"/>
      <c r="GWZ16" s="133"/>
      <c r="GXA16" s="133"/>
      <c r="GXB16" s="133"/>
      <c r="GXC16" s="133"/>
      <c r="GXD16" s="133"/>
      <c r="GXE16" s="133"/>
      <c r="GXF16" s="136"/>
      <c r="GXG16" s="137"/>
      <c r="GXH16" s="136"/>
      <c r="GXI16" s="137"/>
      <c r="GXJ16" s="133"/>
      <c r="GXK16" s="133"/>
      <c r="GXL16" s="133"/>
      <c r="GXM16" s="133"/>
      <c r="GXN16" s="133"/>
      <c r="GXO16" s="133"/>
      <c r="GXP16" s="133"/>
      <c r="GXQ16" s="133"/>
      <c r="GXR16" s="133"/>
      <c r="GXS16" s="133"/>
      <c r="GXT16" s="133"/>
      <c r="GXU16" s="133"/>
      <c r="GXV16" s="136"/>
      <c r="GXW16" s="137"/>
      <c r="GXX16" s="136"/>
      <c r="GXY16" s="137"/>
      <c r="GXZ16" s="133"/>
      <c r="GYA16" s="133"/>
      <c r="GYB16" s="133"/>
      <c r="GYC16" s="133"/>
      <c r="GYD16" s="133"/>
      <c r="GYE16" s="133"/>
      <c r="GYF16" s="133"/>
      <c r="GYG16" s="133"/>
      <c r="GYH16" s="133"/>
      <c r="GYI16" s="133"/>
      <c r="GYJ16" s="133"/>
      <c r="GYK16" s="133"/>
      <c r="GYL16" s="136"/>
      <c r="GYM16" s="137"/>
      <c r="GYN16" s="136"/>
      <c r="GYO16" s="137"/>
      <c r="GYP16" s="133"/>
      <c r="GYQ16" s="133"/>
      <c r="GYR16" s="133"/>
      <c r="GYS16" s="133"/>
      <c r="GYT16" s="133"/>
      <c r="GYU16" s="133"/>
      <c r="GYV16" s="133"/>
      <c r="GYW16" s="133"/>
      <c r="GYX16" s="133"/>
      <c r="GYY16" s="133"/>
      <c r="GYZ16" s="133"/>
      <c r="GZA16" s="133"/>
      <c r="GZB16" s="136"/>
      <c r="GZC16" s="137"/>
      <c r="GZD16" s="136"/>
      <c r="GZE16" s="137"/>
      <c r="GZF16" s="133"/>
      <c r="GZG16" s="133"/>
      <c r="GZH16" s="133"/>
      <c r="GZI16" s="133"/>
      <c r="GZJ16" s="133"/>
      <c r="GZK16" s="133"/>
      <c r="GZL16" s="133"/>
      <c r="GZM16" s="133"/>
      <c r="GZN16" s="133"/>
      <c r="GZO16" s="133"/>
      <c r="GZP16" s="133"/>
      <c r="GZQ16" s="133"/>
      <c r="GZR16" s="136"/>
      <c r="GZS16" s="137"/>
      <c r="GZT16" s="136"/>
      <c r="GZU16" s="137"/>
      <c r="GZV16" s="133"/>
      <c r="GZW16" s="133"/>
      <c r="GZX16" s="133"/>
      <c r="GZY16" s="133"/>
      <c r="GZZ16" s="133"/>
      <c r="HAA16" s="133"/>
      <c r="HAB16" s="133"/>
      <c r="HAC16" s="133"/>
      <c r="HAD16" s="133"/>
      <c r="HAE16" s="133"/>
      <c r="HAF16" s="133"/>
      <c r="HAG16" s="133"/>
      <c r="HAH16" s="136"/>
      <c r="HAI16" s="137"/>
      <c r="HAJ16" s="136"/>
      <c r="HAK16" s="137"/>
      <c r="HAL16" s="133"/>
      <c r="HAM16" s="133"/>
      <c r="HAN16" s="133"/>
      <c r="HAO16" s="133"/>
      <c r="HAP16" s="133"/>
      <c r="HAQ16" s="133"/>
      <c r="HAR16" s="133"/>
      <c r="HAS16" s="133"/>
      <c r="HAT16" s="133"/>
      <c r="HAU16" s="133"/>
      <c r="HAV16" s="133"/>
      <c r="HAW16" s="133"/>
      <c r="HAX16" s="136"/>
      <c r="HAY16" s="137"/>
      <c r="HAZ16" s="136"/>
      <c r="HBA16" s="137"/>
      <c r="HBB16" s="133"/>
      <c r="HBC16" s="133"/>
      <c r="HBD16" s="133"/>
      <c r="HBE16" s="133"/>
      <c r="HBF16" s="133"/>
      <c r="HBG16" s="133"/>
      <c r="HBH16" s="133"/>
      <c r="HBI16" s="133"/>
      <c r="HBJ16" s="133"/>
      <c r="HBK16" s="133"/>
      <c r="HBL16" s="133"/>
      <c r="HBM16" s="133"/>
      <c r="HBN16" s="136"/>
      <c r="HBO16" s="137"/>
      <c r="HBP16" s="136"/>
      <c r="HBQ16" s="137"/>
      <c r="HBR16" s="133"/>
      <c r="HBS16" s="133"/>
      <c r="HBT16" s="133"/>
      <c r="HBU16" s="133"/>
      <c r="HBV16" s="133"/>
      <c r="HBW16" s="133"/>
      <c r="HBX16" s="133"/>
      <c r="HBY16" s="133"/>
      <c r="HBZ16" s="133"/>
      <c r="HCA16" s="133"/>
      <c r="HCB16" s="133"/>
      <c r="HCC16" s="133"/>
      <c r="HCD16" s="136"/>
      <c r="HCE16" s="137"/>
      <c r="HCF16" s="136"/>
      <c r="HCG16" s="137"/>
      <c r="HCH16" s="133"/>
      <c r="HCI16" s="133"/>
      <c r="HCJ16" s="133"/>
      <c r="HCK16" s="133"/>
      <c r="HCL16" s="133"/>
      <c r="HCM16" s="133"/>
      <c r="HCN16" s="133"/>
      <c r="HCO16" s="133"/>
      <c r="HCP16" s="133"/>
      <c r="HCQ16" s="133"/>
      <c r="HCR16" s="133"/>
      <c r="HCS16" s="133"/>
      <c r="HCT16" s="136"/>
      <c r="HCU16" s="137"/>
      <c r="HCV16" s="136"/>
      <c r="HCW16" s="137"/>
      <c r="HCX16" s="133"/>
      <c r="HCY16" s="133"/>
      <c r="HCZ16" s="133"/>
      <c r="HDA16" s="133"/>
      <c r="HDB16" s="133"/>
      <c r="HDC16" s="133"/>
      <c r="HDD16" s="133"/>
      <c r="HDE16" s="133"/>
      <c r="HDF16" s="133"/>
      <c r="HDG16" s="133"/>
      <c r="HDH16" s="133"/>
      <c r="HDI16" s="133"/>
      <c r="HDJ16" s="136"/>
      <c r="HDK16" s="137"/>
      <c r="HDL16" s="136"/>
      <c r="HDM16" s="137"/>
      <c r="HDN16" s="133"/>
      <c r="HDO16" s="133"/>
      <c r="HDP16" s="133"/>
      <c r="HDQ16" s="133"/>
      <c r="HDR16" s="133"/>
      <c r="HDS16" s="133"/>
      <c r="HDT16" s="133"/>
      <c r="HDU16" s="133"/>
      <c r="HDV16" s="133"/>
      <c r="HDW16" s="133"/>
      <c r="HDX16" s="133"/>
      <c r="HDY16" s="133"/>
      <c r="HDZ16" s="136"/>
      <c r="HEA16" s="137"/>
      <c r="HEB16" s="136"/>
      <c r="HEC16" s="137"/>
      <c r="HED16" s="133"/>
      <c r="HEE16" s="133"/>
      <c r="HEF16" s="133"/>
      <c r="HEG16" s="133"/>
      <c r="HEH16" s="133"/>
      <c r="HEI16" s="133"/>
      <c r="HEJ16" s="133"/>
      <c r="HEK16" s="133"/>
      <c r="HEL16" s="133"/>
      <c r="HEM16" s="133"/>
      <c r="HEN16" s="133"/>
      <c r="HEO16" s="133"/>
      <c r="HEP16" s="136"/>
      <c r="HEQ16" s="137"/>
      <c r="HER16" s="136"/>
      <c r="HES16" s="137"/>
      <c r="HET16" s="133"/>
      <c r="HEU16" s="133"/>
      <c r="HEV16" s="133"/>
      <c r="HEW16" s="133"/>
      <c r="HEX16" s="133"/>
      <c r="HEY16" s="133"/>
      <c r="HEZ16" s="133"/>
      <c r="HFA16" s="133"/>
      <c r="HFB16" s="133"/>
      <c r="HFC16" s="133"/>
      <c r="HFD16" s="133"/>
      <c r="HFE16" s="133"/>
      <c r="HFF16" s="136"/>
      <c r="HFG16" s="137"/>
      <c r="HFH16" s="136"/>
      <c r="HFI16" s="137"/>
      <c r="HFJ16" s="133"/>
      <c r="HFK16" s="133"/>
      <c r="HFL16" s="133"/>
      <c r="HFM16" s="133"/>
      <c r="HFN16" s="133"/>
      <c r="HFO16" s="133"/>
      <c r="HFP16" s="133"/>
      <c r="HFQ16" s="133"/>
      <c r="HFR16" s="133"/>
      <c r="HFS16" s="133"/>
      <c r="HFT16" s="133"/>
      <c r="HFU16" s="133"/>
      <c r="HFV16" s="136"/>
      <c r="HFW16" s="137"/>
      <c r="HFX16" s="136"/>
      <c r="HFY16" s="137"/>
      <c r="HFZ16" s="133"/>
      <c r="HGA16" s="133"/>
      <c r="HGB16" s="133"/>
      <c r="HGC16" s="133"/>
      <c r="HGD16" s="133"/>
      <c r="HGE16" s="133"/>
      <c r="HGF16" s="133"/>
      <c r="HGG16" s="133"/>
      <c r="HGH16" s="133"/>
      <c r="HGI16" s="133"/>
      <c r="HGJ16" s="133"/>
      <c r="HGK16" s="133"/>
      <c r="HGL16" s="136"/>
      <c r="HGM16" s="137"/>
      <c r="HGN16" s="136"/>
      <c r="HGO16" s="137"/>
      <c r="HGP16" s="133"/>
      <c r="HGQ16" s="133"/>
      <c r="HGR16" s="133"/>
      <c r="HGS16" s="133"/>
      <c r="HGT16" s="133"/>
      <c r="HGU16" s="133"/>
      <c r="HGV16" s="133"/>
      <c r="HGW16" s="133"/>
      <c r="HGX16" s="133"/>
      <c r="HGY16" s="133"/>
      <c r="HGZ16" s="133"/>
      <c r="HHA16" s="133"/>
      <c r="HHB16" s="136"/>
      <c r="HHC16" s="137"/>
      <c r="HHD16" s="136"/>
      <c r="HHE16" s="137"/>
      <c r="HHF16" s="133"/>
      <c r="HHG16" s="133"/>
      <c r="HHH16" s="133"/>
      <c r="HHI16" s="133"/>
      <c r="HHJ16" s="133"/>
      <c r="HHK16" s="133"/>
      <c r="HHL16" s="133"/>
      <c r="HHM16" s="133"/>
      <c r="HHN16" s="133"/>
      <c r="HHO16" s="133"/>
      <c r="HHP16" s="133"/>
      <c r="HHQ16" s="133"/>
      <c r="HHR16" s="136"/>
      <c r="HHS16" s="137"/>
      <c r="HHT16" s="136"/>
      <c r="HHU16" s="137"/>
      <c r="HHV16" s="133"/>
      <c r="HHW16" s="133"/>
      <c r="HHX16" s="133"/>
      <c r="HHY16" s="133"/>
      <c r="HHZ16" s="133"/>
      <c r="HIA16" s="133"/>
      <c r="HIB16" s="133"/>
      <c r="HIC16" s="133"/>
      <c r="HID16" s="133"/>
      <c r="HIE16" s="133"/>
      <c r="HIF16" s="133"/>
      <c r="HIG16" s="133"/>
      <c r="HIH16" s="136"/>
      <c r="HII16" s="137"/>
      <c r="HIJ16" s="136"/>
      <c r="HIK16" s="137"/>
      <c r="HIL16" s="133"/>
      <c r="HIM16" s="133"/>
      <c r="HIN16" s="133"/>
      <c r="HIO16" s="133"/>
      <c r="HIP16" s="133"/>
      <c r="HIQ16" s="133"/>
      <c r="HIR16" s="133"/>
      <c r="HIS16" s="133"/>
      <c r="HIT16" s="133"/>
      <c r="HIU16" s="133"/>
      <c r="HIV16" s="133"/>
      <c r="HIW16" s="133"/>
      <c r="HIX16" s="136"/>
      <c r="HIY16" s="137"/>
      <c r="HIZ16" s="136"/>
      <c r="HJA16" s="137"/>
      <c r="HJB16" s="133"/>
      <c r="HJC16" s="133"/>
      <c r="HJD16" s="133"/>
      <c r="HJE16" s="133"/>
      <c r="HJF16" s="133"/>
      <c r="HJG16" s="133"/>
      <c r="HJH16" s="133"/>
      <c r="HJI16" s="133"/>
      <c r="HJJ16" s="133"/>
      <c r="HJK16" s="133"/>
      <c r="HJL16" s="133"/>
      <c r="HJM16" s="133"/>
      <c r="HJN16" s="136"/>
      <c r="HJO16" s="137"/>
      <c r="HJP16" s="136"/>
      <c r="HJQ16" s="137"/>
      <c r="HJR16" s="133"/>
      <c r="HJS16" s="133"/>
      <c r="HJT16" s="133"/>
      <c r="HJU16" s="133"/>
      <c r="HJV16" s="133"/>
      <c r="HJW16" s="133"/>
      <c r="HJX16" s="133"/>
      <c r="HJY16" s="133"/>
      <c r="HJZ16" s="133"/>
      <c r="HKA16" s="133"/>
      <c r="HKB16" s="133"/>
      <c r="HKC16" s="133"/>
      <c r="HKD16" s="136"/>
      <c r="HKE16" s="137"/>
      <c r="HKF16" s="136"/>
      <c r="HKG16" s="137"/>
      <c r="HKH16" s="133"/>
      <c r="HKI16" s="133"/>
      <c r="HKJ16" s="133"/>
      <c r="HKK16" s="133"/>
      <c r="HKL16" s="133"/>
      <c r="HKM16" s="133"/>
      <c r="HKN16" s="133"/>
      <c r="HKO16" s="133"/>
      <c r="HKP16" s="133"/>
      <c r="HKQ16" s="133"/>
      <c r="HKR16" s="133"/>
      <c r="HKS16" s="133"/>
      <c r="HKT16" s="136"/>
      <c r="HKU16" s="137"/>
      <c r="HKV16" s="136"/>
      <c r="HKW16" s="137"/>
      <c r="HKX16" s="133"/>
      <c r="HKY16" s="133"/>
      <c r="HKZ16" s="133"/>
      <c r="HLA16" s="133"/>
      <c r="HLB16" s="133"/>
      <c r="HLC16" s="133"/>
      <c r="HLD16" s="133"/>
      <c r="HLE16" s="133"/>
      <c r="HLF16" s="133"/>
      <c r="HLG16" s="133"/>
      <c r="HLH16" s="133"/>
      <c r="HLI16" s="133"/>
      <c r="HLJ16" s="136"/>
      <c r="HLK16" s="137"/>
      <c r="HLL16" s="136"/>
      <c r="HLM16" s="137"/>
      <c r="HLN16" s="133"/>
      <c r="HLO16" s="133"/>
      <c r="HLP16" s="133"/>
      <c r="HLQ16" s="133"/>
      <c r="HLR16" s="133"/>
      <c r="HLS16" s="133"/>
      <c r="HLT16" s="133"/>
      <c r="HLU16" s="133"/>
      <c r="HLV16" s="133"/>
      <c r="HLW16" s="133"/>
      <c r="HLX16" s="133"/>
      <c r="HLY16" s="133"/>
      <c r="HLZ16" s="136"/>
      <c r="HMA16" s="137"/>
      <c r="HMB16" s="136"/>
      <c r="HMC16" s="137"/>
      <c r="HMD16" s="133"/>
      <c r="HME16" s="133"/>
      <c r="HMF16" s="133"/>
      <c r="HMG16" s="133"/>
      <c r="HMH16" s="133"/>
      <c r="HMI16" s="133"/>
      <c r="HMJ16" s="133"/>
      <c r="HMK16" s="133"/>
      <c r="HML16" s="133"/>
      <c r="HMM16" s="133"/>
      <c r="HMN16" s="133"/>
      <c r="HMO16" s="133"/>
      <c r="HMP16" s="136"/>
      <c r="HMQ16" s="137"/>
      <c r="HMR16" s="136"/>
      <c r="HMS16" s="137"/>
      <c r="HMT16" s="133"/>
      <c r="HMU16" s="133"/>
      <c r="HMV16" s="133"/>
      <c r="HMW16" s="133"/>
      <c r="HMX16" s="133"/>
      <c r="HMY16" s="133"/>
      <c r="HMZ16" s="133"/>
      <c r="HNA16" s="133"/>
      <c r="HNB16" s="133"/>
      <c r="HNC16" s="133"/>
      <c r="HND16" s="133"/>
      <c r="HNE16" s="133"/>
      <c r="HNF16" s="136"/>
      <c r="HNG16" s="137"/>
      <c r="HNH16" s="136"/>
      <c r="HNI16" s="137"/>
      <c r="HNJ16" s="133"/>
      <c r="HNK16" s="133"/>
      <c r="HNL16" s="133"/>
      <c r="HNM16" s="133"/>
      <c r="HNN16" s="133"/>
      <c r="HNO16" s="133"/>
      <c r="HNP16" s="133"/>
      <c r="HNQ16" s="133"/>
      <c r="HNR16" s="133"/>
      <c r="HNS16" s="133"/>
      <c r="HNT16" s="133"/>
      <c r="HNU16" s="133"/>
      <c r="HNV16" s="136"/>
      <c r="HNW16" s="137"/>
      <c r="HNX16" s="136"/>
      <c r="HNY16" s="137"/>
      <c r="HNZ16" s="133"/>
      <c r="HOA16" s="133"/>
      <c r="HOB16" s="133"/>
      <c r="HOC16" s="133"/>
      <c r="HOD16" s="133"/>
      <c r="HOE16" s="133"/>
      <c r="HOF16" s="133"/>
      <c r="HOG16" s="133"/>
      <c r="HOH16" s="133"/>
      <c r="HOI16" s="133"/>
      <c r="HOJ16" s="133"/>
      <c r="HOK16" s="133"/>
      <c r="HOL16" s="136"/>
      <c r="HOM16" s="137"/>
      <c r="HON16" s="136"/>
      <c r="HOO16" s="137"/>
      <c r="HOP16" s="133"/>
      <c r="HOQ16" s="133"/>
      <c r="HOR16" s="133"/>
      <c r="HOS16" s="133"/>
      <c r="HOT16" s="133"/>
      <c r="HOU16" s="133"/>
      <c r="HOV16" s="133"/>
      <c r="HOW16" s="133"/>
      <c r="HOX16" s="133"/>
      <c r="HOY16" s="133"/>
      <c r="HOZ16" s="133"/>
      <c r="HPA16" s="133"/>
      <c r="HPB16" s="136"/>
      <c r="HPC16" s="137"/>
      <c r="HPD16" s="136"/>
      <c r="HPE16" s="137"/>
      <c r="HPF16" s="133"/>
      <c r="HPG16" s="133"/>
      <c r="HPH16" s="133"/>
      <c r="HPI16" s="133"/>
      <c r="HPJ16" s="133"/>
      <c r="HPK16" s="133"/>
      <c r="HPL16" s="133"/>
      <c r="HPM16" s="133"/>
      <c r="HPN16" s="133"/>
      <c r="HPO16" s="133"/>
      <c r="HPP16" s="133"/>
      <c r="HPQ16" s="133"/>
      <c r="HPR16" s="136"/>
      <c r="HPS16" s="137"/>
      <c r="HPT16" s="136"/>
      <c r="HPU16" s="137"/>
      <c r="HPV16" s="133"/>
      <c r="HPW16" s="133"/>
      <c r="HPX16" s="133"/>
      <c r="HPY16" s="133"/>
      <c r="HPZ16" s="133"/>
      <c r="HQA16" s="133"/>
      <c r="HQB16" s="133"/>
      <c r="HQC16" s="133"/>
      <c r="HQD16" s="133"/>
      <c r="HQE16" s="133"/>
      <c r="HQF16" s="133"/>
      <c r="HQG16" s="133"/>
      <c r="HQH16" s="136"/>
      <c r="HQI16" s="137"/>
      <c r="HQJ16" s="136"/>
      <c r="HQK16" s="137"/>
      <c r="HQL16" s="133"/>
      <c r="HQM16" s="133"/>
      <c r="HQN16" s="133"/>
      <c r="HQO16" s="133"/>
      <c r="HQP16" s="133"/>
      <c r="HQQ16" s="133"/>
      <c r="HQR16" s="133"/>
      <c r="HQS16" s="133"/>
      <c r="HQT16" s="133"/>
      <c r="HQU16" s="133"/>
      <c r="HQV16" s="133"/>
      <c r="HQW16" s="133"/>
      <c r="HQX16" s="136"/>
      <c r="HQY16" s="137"/>
      <c r="HQZ16" s="136"/>
      <c r="HRA16" s="137"/>
      <c r="HRB16" s="133"/>
      <c r="HRC16" s="133"/>
      <c r="HRD16" s="133"/>
      <c r="HRE16" s="133"/>
      <c r="HRF16" s="133"/>
      <c r="HRG16" s="133"/>
      <c r="HRH16" s="133"/>
      <c r="HRI16" s="133"/>
      <c r="HRJ16" s="133"/>
      <c r="HRK16" s="133"/>
      <c r="HRL16" s="133"/>
      <c r="HRM16" s="133"/>
      <c r="HRN16" s="136"/>
      <c r="HRO16" s="137"/>
      <c r="HRP16" s="136"/>
      <c r="HRQ16" s="137"/>
      <c r="HRR16" s="133"/>
      <c r="HRS16" s="133"/>
      <c r="HRT16" s="133"/>
      <c r="HRU16" s="133"/>
      <c r="HRV16" s="133"/>
      <c r="HRW16" s="133"/>
      <c r="HRX16" s="133"/>
      <c r="HRY16" s="133"/>
      <c r="HRZ16" s="133"/>
      <c r="HSA16" s="133"/>
      <c r="HSB16" s="133"/>
      <c r="HSC16" s="133"/>
      <c r="HSD16" s="136"/>
      <c r="HSE16" s="137"/>
      <c r="HSF16" s="136"/>
      <c r="HSG16" s="137"/>
      <c r="HSH16" s="133"/>
      <c r="HSI16" s="133"/>
      <c r="HSJ16" s="133"/>
      <c r="HSK16" s="133"/>
      <c r="HSL16" s="133"/>
      <c r="HSM16" s="133"/>
      <c r="HSN16" s="133"/>
      <c r="HSO16" s="133"/>
      <c r="HSP16" s="133"/>
      <c r="HSQ16" s="133"/>
      <c r="HSR16" s="133"/>
      <c r="HSS16" s="133"/>
      <c r="HST16" s="136"/>
      <c r="HSU16" s="137"/>
      <c r="HSV16" s="136"/>
      <c r="HSW16" s="137"/>
      <c r="HSX16" s="133"/>
      <c r="HSY16" s="133"/>
      <c r="HSZ16" s="133"/>
      <c r="HTA16" s="133"/>
      <c r="HTB16" s="133"/>
      <c r="HTC16" s="133"/>
      <c r="HTD16" s="133"/>
      <c r="HTE16" s="133"/>
      <c r="HTF16" s="133"/>
      <c r="HTG16" s="133"/>
      <c r="HTH16" s="133"/>
      <c r="HTI16" s="133"/>
      <c r="HTJ16" s="136"/>
      <c r="HTK16" s="137"/>
      <c r="HTL16" s="136"/>
      <c r="HTM16" s="137"/>
      <c r="HTN16" s="133"/>
      <c r="HTO16" s="133"/>
      <c r="HTP16" s="133"/>
      <c r="HTQ16" s="133"/>
      <c r="HTR16" s="133"/>
      <c r="HTS16" s="133"/>
      <c r="HTT16" s="133"/>
      <c r="HTU16" s="133"/>
      <c r="HTV16" s="133"/>
      <c r="HTW16" s="133"/>
      <c r="HTX16" s="133"/>
      <c r="HTY16" s="133"/>
      <c r="HTZ16" s="136"/>
      <c r="HUA16" s="137"/>
      <c r="HUB16" s="136"/>
      <c r="HUC16" s="137"/>
      <c r="HUD16" s="133"/>
      <c r="HUE16" s="133"/>
      <c r="HUF16" s="133"/>
      <c r="HUG16" s="133"/>
      <c r="HUH16" s="133"/>
      <c r="HUI16" s="133"/>
      <c r="HUJ16" s="133"/>
      <c r="HUK16" s="133"/>
      <c r="HUL16" s="133"/>
      <c r="HUM16" s="133"/>
      <c r="HUN16" s="133"/>
      <c r="HUO16" s="133"/>
      <c r="HUP16" s="136"/>
      <c r="HUQ16" s="137"/>
      <c r="HUR16" s="136"/>
      <c r="HUS16" s="137"/>
      <c r="HUT16" s="133"/>
      <c r="HUU16" s="133"/>
      <c r="HUV16" s="133"/>
      <c r="HUW16" s="133"/>
      <c r="HUX16" s="133"/>
      <c r="HUY16" s="133"/>
      <c r="HUZ16" s="133"/>
      <c r="HVA16" s="133"/>
      <c r="HVB16" s="133"/>
      <c r="HVC16" s="133"/>
      <c r="HVD16" s="133"/>
      <c r="HVE16" s="133"/>
      <c r="HVF16" s="136"/>
      <c r="HVG16" s="137"/>
      <c r="HVH16" s="136"/>
      <c r="HVI16" s="137"/>
      <c r="HVJ16" s="133"/>
      <c r="HVK16" s="133"/>
      <c r="HVL16" s="133"/>
      <c r="HVM16" s="133"/>
      <c r="HVN16" s="133"/>
      <c r="HVO16" s="133"/>
      <c r="HVP16" s="133"/>
      <c r="HVQ16" s="133"/>
      <c r="HVR16" s="133"/>
      <c r="HVS16" s="133"/>
      <c r="HVT16" s="133"/>
      <c r="HVU16" s="133"/>
      <c r="HVV16" s="136"/>
      <c r="HVW16" s="137"/>
      <c r="HVX16" s="136"/>
      <c r="HVY16" s="137"/>
      <c r="HVZ16" s="133"/>
      <c r="HWA16" s="133"/>
      <c r="HWB16" s="133"/>
      <c r="HWC16" s="133"/>
      <c r="HWD16" s="133"/>
      <c r="HWE16" s="133"/>
      <c r="HWF16" s="133"/>
      <c r="HWG16" s="133"/>
      <c r="HWH16" s="133"/>
      <c r="HWI16" s="133"/>
      <c r="HWJ16" s="133"/>
      <c r="HWK16" s="133"/>
      <c r="HWL16" s="136"/>
      <c r="HWM16" s="137"/>
      <c r="HWN16" s="136"/>
      <c r="HWO16" s="137"/>
      <c r="HWP16" s="133"/>
      <c r="HWQ16" s="133"/>
      <c r="HWR16" s="133"/>
      <c r="HWS16" s="133"/>
      <c r="HWT16" s="133"/>
      <c r="HWU16" s="133"/>
      <c r="HWV16" s="133"/>
      <c r="HWW16" s="133"/>
      <c r="HWX16" s="133"/>
      <c r="HWY16" s="133"/>
      <c r="HWZ16" s="133"/>
      <c r="HXA16" s="133"/>
      <c r="HXB16" s="136"/>
      <c r="HXC16" s="137"/>
      <c r="HXD16" s="136"/>
      <c r="HXE16" s="137"/>
      <c r="HXF16" s="133"/>
      <c r="HXG16" s="133"/>
      <c r="HXH16" s="133"/>
      <c r="HXI16" s="133"/>
      <c r="HXJ16" s="133"/>
      <c r="HXK16" s="133"/>
      <c r="HXL16" s="133"/>
      <c r="HXM16" s="133"/>
      <c r="HXN16" s="133"/>
      <c r="HXO16" s="133"/>
      <c r="HXP16" s="133"/>
      <c r="HXQ16" s="133"/>
      <c r="HXR16" s="136"/>
      <c r="HXS16" s="137"/>
      <c r="HXT16" s="136"/>
      <c r="HXU16" s="137"/>
      <c r="HXV16" s="133"/>
      <c r="HXW16" s="133"/>
      <c r="HXX16" s="133"/>
      <c r="HXY16" s="133"/>
      <c r="HXZ16" s="133"/>
      <c r="HYA16" s="133"/>
      <c r="HYB16" s="133"/>
      <c r="HYC16" s="133"/>
      <c r="HYD16" s="133"/>
      <c r="HYE16" s="133"/>
      <c r="HYF16" s="133"/>
      <c r="HYG16" s="133"/>
      <c r="HYH16" s="136"/>
      <c r="HYI16" s="137"/>
      <c r="HYJ16" s="136"/>
      <c r="HYK16" s="137"/>
      <c r="HYL16" s="133"/>
      <c r="HYM16" s="133"/>
      <c r="HYN16" s="133"/>
      <c r="HYO16" s="133"/>
      <c r="HYP16" s="133"/>
      <c r="HYQ16" s="133"/>
      <c r="HYR16" s="133"/>
      <c r="HYS16" s="133"/>
      <c r="HYT16" s="133"/>
      <c r="HYU16" s="133"/>
      <c r="HYV16" s="133"/>
      <c r="HYW16" s="133"/>
      <c r="HYX16" s="136"/>
      <c r="HYY16" s="137"/>
      <c r="HYZ16" s="136"/>
      <c r="HZA16" s="137"/>
      <c r="HZB16" s="133"/>
      <c r="HZC16" s="133"/>
      <c r="HZD16" s="133"/>
      <c r="HZE16" s="133"/>
      <c r="HZF16" s="133"/>
      <c r="HZG16" s="133"/>
      <c r="HZH16" s="133"/>
      <c r="HZI16" s="133"/>
      <c r="HZJ16" s="133"/>
      <c r="HZK16" s="133"/>
      <c r="HZL16" s="133"/>
      <c r="HZM16" s="133"/>
      <c r="HZN16" s="136"/>
      <c r="HZO16" s="137"/>
      <c r="HZP16" s="136"/>
      <c r="HZQ16" s="137"/>
      <c r="HZR16" s="133"/>
      <c r="HZS16" s="133"/>
      <c r="HZT16" s="133"/>
      <c r="HZU16" s="133"/>
      <c r="HZV16" s="133"/>
      <c r="HZW16" s="133"/>
      <c r="HZX16" s="133"/>
      <c r="HZY16" s="133"/>
      <c r="HZZ16" s="133"/>
      <c r="IAA16" s="133"/>
      <c r="IAB16" s="133"/>
      <c r="IAC16" s="133"/>
      <c r="IAD16" s="136"/>
      <c r="IAE16" s="137"/>
      <c r="IAF16" s="136"/>
      <c r="IAG16" s="137"/>
      <c r="IAH16" s="133"/>
      <c r="IAI16" s="133"/>
      <c r="IAJ16" s="133"/>
      <c r="IAK16" s="133"/>
      <c r="IAL16" s="133"/>
      <c r="IAM16" s="133"/>
      <c r="IAN16" s="133"/>
      <c r="IAO16" s="133"/>
      <c r="IAP16" s="133"/>
      <c r="IAQ16" s="133"/>
      <c r="IAR16" s="133"/>
      <c r="IAS16" s="133"/>
      <c r="IAT16" s="136"/>
      <c r="IAU16" s="137"/>
      <c r="IAV16" s="136"/>
      <c r="IAW16" s="137"/>
      <c r="IBJ16" s="136"/>
      <c r="IBK16" s="137"/>
      <c r="IBL16" s="136"/>
      <c r="IBM16" s="137"/>
      <c r="IBN16" s="133"/>
      <c r="IBO16" s="133"/>
      <c r="IBP16" s="133"/>
      <c r="IBQ16" s="133"/>
      <c r="IBR16" s="133"/>
      <c r="IBS16" s="133"/>
      <c r="IBT16" s="133"/>
      <c r="IBU16" s="133"/>
      <c r="IBV16" s="133"/>
      <c r="IBW16" s="133"/>
      <c r="IBX16" s="133"/>
      <c r="IBY16" s="133"/>
      <c r="IBZ16" s="136"/>
      <c r="ICA16" s="137"/>
      <c r="ICB16" s="136"/>
      <c r="ICC16" s="137"/>
      <c r="ICD16" s="133"/>
      <c r="ICE16" s="133"/>
      <c r="ICF16" s="133"/>
      <c r="ICG16" s="133"/>
      <c r="ICH16" s="133"/>
      <c r="ICI16" s="133"/>
      <c r="ICJ16" s="133"/>
      <c r="ICK16" s="133"/>
      <c r="ICL16" s="133"/>
      <c r="ICM16" s="133"/>
      <c r="ICN16" s="133"/>
      <c r="ICO16" s="133"/>
      <c r="ICP16" s="136"/>
      <c r="ICQ16" s="137"/>
      <c r="ICR16" s="136"/>
      <c r="ICS16" s="137"/>
      <c r="ICT16" s="133"/>
      <c r="ICU16" s="133"/>
      <c r="ICV16" s="133"/>
      <c r="ICW16" s="133"/>
      <c r="ICX16" s="133"/>
      <c r="ICY16" s="133"/>
      <c r="ICZ16" s="133"/>
      <c r="IDA16" s="133"/>
      <c r="IDB16" s="133"/>
      <c r="IDC16" s="133"/>
      <c r="IDD16" s="133"/>
      <c r="IDE16" s="133"/>
      <c r="IDF16" s="136"/>
      <c r="IDG16" s="137"/>
      <c r="IDH16" s="136"/>
      <c r="IDI16" s="137"/>
      <c r="IDJ16" s="133"/>
      <c r="IDK16" s="133"/>
      <c r="IDL16" s="133"/>
      <c r="IDM16" s="133"/>
      <c r="IDN16" s="133"/>
      <c r="IDO16" s="133"/>
      <c r="IDP16" s="133"/>
      <c r="IDQ16" s="133"/>
      <c r="IDR16" s="133"/>
      <c r="IDS16" s="133"/>
      <c r="IDT16" s="133"/>
      <c r="IDU16" s="133"/>
      <c r="IDV16" s="136"/>
      <c r="IDW16" s="137"/>
      <c r="IDX16" s="136"/>
      <c r="IDY16" s="137"/>
      <c r="IDZ16" s="133"/>
      <c r="IEA16" s="133"/>
      <c r="IEB16" s="133"/>
      <c r="IEC16" s="133"/>
      <c r="IED16" s="133"/>
      <c r="IEE16" s="133"/>
      <c r="IEF16" s="133"/>
      <c r="IEG16" s="133"/>
      <c r="IEH16" s="133"/>
      <c r="IEI16" s="133"/>
      <c r="IEJ16" s="133"/>
      <c r="IEK16" s="133"/>
      <c r="IEL16" s="136"/>
      <c r="IEM16" s="137"/>
      <c r="IEN16" s="136"/>
      <c r="IEO16" s="137"/>
      <c r="IEP16" s="133"/>
      <c r="IEQ16" s="133"/>
      <c r="IER16" s="133"/>
      <c r="IES16" s="133"/>
      <c r="IET16" s="133"/>
      <c r="IEU16" s="133"/>
      <c r="IEV16" s="133"/>
      <c r="IEW16" s="133"/>
      <c r="IEX16" s="133"/>
      <c r="IEY16" s="133"/>
      <c r="IEZ16" s="133"/>
      <c r="IFA16" s="133"/>
      <c r="IFB16" s="136"/>
      <c r="IFC16" s="137"/>
      <c r="IFD16" s="136"/>
      <c r="IFE16" s="137"/>
      <c r="IFF16" s="133"/>
      <c r="IFG16" s="133"/>
      <c r="IFH16" s="133"/>
      <c r="IFI16" s="133"/>
      <c r="IFJ16" s="133"/>
      <c r="IFK16" s="133"/>
      <c r="IFL16" s="133"/>
      <c r="IFM16" s="133"/>
      <c r="IFN16" s="133"/>
      <c r="IFO16" s="133"/>
      <c r="IFP16" s="133"/>
      <c r="IFQ16" s="133"/>
      <c r="IFR16" s="136"/>
      <c r="IFS16" s="137"/>
      <c r="IFT16" s="136"/>
      <c r="IFU16" s="137"/>
      <c r="IFV16" s="133"/>
      <c r="IFW16" s="133"/>
      <c r="IFX16" s="133"/>
      <c r="IFY16" s="133"/>
      <c r="IFZ16" s="133"/>
      <c r="IGA16" s="133"/>
      <c r="IGB16" s="133"/>
      <c r="IGC16" s="133"/>
      <c r="IGD16" s="133"/>
      <c r="IGE16" s="133"/>
      <c r="IGF16" s="133"/>
      <c r="IGG16" s="133"/>
      <c r="IGH16" s="136"/>
      <c r="IGI16" s="137"/>
      <c r="IGJ16" s="136"/>
      <c r="IGK16" s="137"/>
      <c r="IGL16" s="133"/>
      <c r="IGM16" s="133"/>
      <c r="IGN16" s="133"/>
      <c r="IGO16" s="133"/>
      <c r="IGP16" s="133"/>
      <c r="IGQ16" s="133"/>
      <c r="IGR16" s="133"/>
      <c r="IGS16" s="133"/>
      <c r="IGT16" s="133"/>
      <c r="IGU16" s="133"/>
      <c r="IGV16" s="133"/>
      <c r="IGW16" s="133"/>
      <c r="IGX16" s="136"/>
      <c r="IGY16" s="137"/>
      <c r="IGZ16" s="136"/>
      <c r="IHA16" s="137"/>
      <c r="IHB16" s="133"/>
      <c r="IHC16" s="133"/>
      <c r="IHD16" s="133"/>
      <c r="IHE16" s="133"/>
      <c r="IHF16" s="133"/>
      <c r="IHG16" s="133"/>
      <c r="IHH16" s="133"/>
      <c r="IHI16" s="133"/>
      <c r="IHJ16" s="133"/>
      <c r="IHK16" s="133"/>
      <c r="IHL16" s="133"/>
      <c r="IHM16" s="133"/>
      <c r="IHN16" s="136"/>
      <c r="IHO16" s="137"/>
      <c r="IHP16" s="136"/>
      <c r="IHQ16" s="137"/>
      <c r="IHR16" s="133"/>
      <c r="IHS16" s="133"/>
      <c r="IHT16" s="133"/>
      <c r="IHU16" s="133"/>
      <c r="IHV16" s="133"/>
      <c r="IHW16" s="133"/>
      <c r="IHX16" s="133"/>
      <c r="IHY16" s="133"/>
      <c r="IHZ16" s="133"/>
      <c r="IIA16" s="133"/>
      <c r="IIB16" s="133"/>
      <c r="IIC16" s="133"/>
      <c r="IID16" s="136"/>
      <c r="IIE16" s="137"/>
      <c r="IIF16" s="136"/>
      <c r="IIG16" s="137"/>
      <c r="IIH16" s="133"/>
      <c r="III16" s="133"/>
      <c r="IIJ16" s="133"/>
      <c r="IIK16" s="133"/>
      <c r="IIL16" s="133"/>
      <c r="IIM16" s="133"/>
      <c r="IIN16" s="133"/>
      <c r="IIO16" s="133"/>
      <c r="IIP16" s="133"/>
      <c r="IIQ16" s="133"/>
      <c r="IIR16" s="133"/>
      <c r="IIS16" s="133"/>
      <c r="IIT16" s="136"/>
      <c r="IIU16" s="137"/>
      <c r="IIV16" s="136"/>
      <c r="IIW16" s="137"/>
      <c r="IIX16" s="133"/>
      <c r="IIY16" s="133"/>
      <c r="IIZ16" s="133"/>
      <c r="IJA16" s="133"/>
      <c r="IJB16" s="133"/>
      <c r="IJC16" s="133"/>
      <c r="IJD16" s="133"/>
      <c r="IJE16" s="133"/>
      <c r="IJF16" s="133"/>
      <c r="IJG16" s="133"/>
      <c r="IJH16" s="133"/>
      <c r="IJI16" s="133"/>
      <c r="IJJ16" s="136"/>
      <c r="IJK16" s="137"/>
      <c r="IJL16" s="136"/>
      <c r="IJM16" s="137"/>
      <c r="IJN16" s="133"/>
      <c r="IJO16" s="133"/>
      <c r="IJP16" s="133"/>
      <c r="IJQ16" s="133"/>
      <c r="IJR16" s="133"/>
      <c r="IJS16" s="133"/>
      <c r="IJT16" s="133"/>
      <c r="IJU16" s="133"/>
      <c r="IJV16" s="133"/>
      <c r="IJW16" s="133"/>
      <c r="IJX16" s="133"/>
      <c r="IJY16" s="133"/>
      <c r="IJZ16" s="136"/>
      <c r="IKA16" s="137"/>
      <c r="IKB16" s="136"/>
      <c r="IKC16" s="137"/>
      <c r="IKD16" s="133"/>
      <c r="IKE16" s="133"/>
      <c r="IKF16" s="133"/>
      <c r="IKG16" s="133"/>
      <c r="IKH16" s="133"/>
      <c r="IKI16" s="133"/>
      <c r="IKJ16" s="133"/>
      <c r="IKK16" s="133"/>
      <c r="IKL16" s="133"/>
      <c r="IKM16" s="133"/>
      <c r="IKN16" s="133"/>
      <c r="IKO16" s="133"/>
      <c r="IKP16" s="136"/>
      <c r="IKQ16" s="137"/>
      <c r="IKR16" s="136"/>
      <c r="IKS16" s="137"/>
      <c r="IKT16" s="133"/>
      <c r="IKU16" s="133"/>
      <c r="IKV16" s="133"/>
      <c r="IKW16" s="133"/>
      <c r="IKX16" s="133"/>
      <c r="IKY16" s="133"/>
      <c r="IKZ16" s="133"/>
      <c r="ILA16" s="133"/>
      <c r="ILB16" s="133"/>
      <c r="ILC16" s="133"/>
      <c r="ILD16" s="133"/>
      <c r="ILE16" s="133"/>
      <c r="ILF16" s="136"/>
      <c r="ILG16" s="137"/>
      <c r="ILH16" s="136"/>
      <c r="ILI16" s="137"/>
      <c r="ILJ16" s="133"/>
      <c r="ILK16" s="133"/>
      <c r="ILL16" s="133"/>
      <c r="ILM16" s="133"/>
      <c r="ILN16" s="133"/>
      <c r="ILO16" s="133"/>
      <c r="ILP16" s="133"/>
      <c r="ILQ16" s="133"/>
      <c r="ILR16" s="133"/>
      <c r="ILS16" s="133"/>
      <c r="ILT16" s="133"/>
      <c r="ILU16" s="133"/>
      <c r="ILV16" s="136"/>
      <c r="ILW16" s="137"/>
      <c r="ILX16" s="136"/>
      <c r="ILY16" s="137"/>
      <c r="ILZ16" s="133"/>
      <c r="IMA16" s="133"/>
      <c r="IMB16" s="133"/>
      <c r="IMC16" s="133"/>
      <c r="IMD16" s="133"/>
      <c r="IME16" s="133"/>
      <c r="IMF16" s="133"/>
      <c r="IMG16" s="133"/>
      <c r="IMH16" s="133"/>
      <c r="IMI16" s="133"/>
      <c r="IMJ16" s="133"/>
      <c r="IMK16" s="133"/>
      <c r="IML16" s="136"/>
      <c r="IMM16" s="137"/>
      <c r="IMN16" s="136"/>
      <c r="IMO16" s="137"/>
      <c r="IMP16" s="133"/>
      <c r="IMQ16" s="133"/>
      <c r="IMR16" s="133"/>
      <c r="IMS16" s="133"/>
      <c r="IMT16" s="133"/>
      <c r="IMU16" s="133"/>
      <c r="IMV16" s="133"/>
      <c r="IMW16" s="133"/>
      <c r="IMX16" s="133"/>
      <c r="IMY16" s="133"/>
      <c r="IMZ16" s="133"/>
      <c r="INA16" s="133"/>
      <c r="INB16" s="136"/>
      <c r="INC16" s="137"/>
      <c r="IND16" s="136"/>
      <c r="INE16" s="137"/>
      <c r="INF16" s="133"/>
      <c r="ING16" s="133"/>
      <c r="INH16" s="133"/>
      <c r="INI16" s="133"/>
      <c r="INJ16" s="133"/>
      <c r="INK16" s="133"/>
      <c r="INL16" s="133"/>
      <c r="INM16" s="133"/>
      <c r="INN16" s="133"/>
      <c r="INO16" s="133"/>
      <c r="INP16" s="133"/>
      <c r="INQ16" s="133"/>
      <c r="INR16" s="136"/>
      <c r="INS16" s="137"/>
      <c r="INT16" s="136"/>
      <c r="INU16" s="137"/>
      <c r="INV16" s="133"/>
      <c r="INW16" s="133"/>
      <c r="INX16" s="133"/>
      <c r="INY16" s="133"/>
      <c r="INZ16" s="133"/>
      <c r="IOA16" s="133"/>
      <c r="IOB16" s="133"/>
      <c r="IOC16" s="133"/>
      <c r="IOD16" s="133"/>
      <c r="IOE16" s="133"/>
      <c r="IOF16" s="133"/>
      <c r="IOG16" s="133"/>
      <c r="IOH16" s="136"/>
      <c r="IOI16" s="137"/>
      <c r="IOJ16" s="136"/>
      <c r="IOK16" s="137"/>
      <c r="IOL16" s="133"/>
      <c r="IOM16" s="133"/>
      <c r="ION16" s="133"/>
      <c r="IOO16" s="133"/>
      <c r="IOP16" s="133"/>
      <c r="IOQ16" s="133"/>
      <c r="IOR16" s="133"/>
      <c r="IOS16" s="133"/>
      <c r="IOT16" s="133"/>
      <c r="IOU16" s="133"/>
      <c r="IOV16" s="133"/>
      <c r="IOW16" s="133"/>
      <c r="IOX16" s="136"/>
      <c r="IOY16" s="137"/>
      <c r="IOZ16" s="136"/>
      <c r="IPA16" s="137"/>
      <c r="IPB16" s="133"/>
      <c r="IPC16" s="133"/>
      <c r="IPD16" s="133"/>
      <c r="IPE16" s="133"/>
      <c r="IPF16" s="133"/>
      <c r="IPG16" s="133"/>
      <c r="IPH16" s="133"/>
      <c r="IPI16" s="133"/>
      <c r="IPJ16" s="133"/>
      <c r="IPK16" s="133"/>
      <c r="IPL16" s="133"/>
      <c r="IPM16" s="133"/>
      <c r="IPN16" s="136"/>
      <c r="IPO16" s="137"/>
      <c r="IPP16" s="136"/>
      <c r="IPQ16" s="137"/>
      <c r="IPR16" s="133"/>
      <c r="IPS16" s="133"/>
      <c r="IPT16" s="133"/>
      <c r="IPU16" s="133"/>
      <c r="IPV16" s="133"/>
      <c r="IPW16" s="133"/>
      <c r="IPX16" s="133"/>
      <c r="IPY16" s="133"/>
      <c r="IPZ16" s="133"/>
      <c r="IQA16" s="133"/>
      <c r="IQB16" s="133"/>
      <c r="IQC16" s="133"/>
      <c r="IQD16" s="136"/>
      <c r="IQE16" s="137"/>
      <c r="IQF16" s="136"/>
      <c r="IQG16" s="137"/>
      <c r="IQH16" s="133"/>
      <c r="IQI16" s="133"/>
      <c r="IQJ16" s="133"/>
      <c r="IQK16" s="133"/>
      <c r="IQL16" s="133"/>
      <c r="IQM16" s="133"/>
      <c r="IQN16" s="133"/>
      <c r="IQO16" s="133"/>
      <c r="IQP16" s="133"/>
      <c r="IQQ16" s="133"/>
      <c r="IQR16" s="133"/>
      <c r="IQS16" s="133"/>
      <c r="IQT16" s="136"/>
      <c r="IQU16" s="137"/>
      <c r="IQV16" s="136"/>
      <c r="IQW16" s="137"/>
      <c r="IQX16" s="133"/>
      <c r="IQY16" s="133"/>
      <c r="IQZ16" s="133"/>
      <c r="IRA16" s="133"/>
      <c r="IRB16" s="133"/>
      <c r="IRC16" s="133"/>
      <c r="IRD16" s="133"/>
      <c r="IRE16" s="133"/>
      <c r="IRF16" s="133"/>
      <c r="IRG16" s="133"/>
      <c r="IRH16" s="133"/>
      <c r="IRI16" s="133"/>
      <c r="IRJ16" s="136"/>
      <c r="IRK16" s="137"/>
      <c r="IRL16" s="136"/>
      <c r="IRM16" s="137"/>
      <c r="IRN16" s="133"/>
      <c r="IRO16" s="133"/>
      <c r="IRP16" s="133"/>
      <c r="IRQ16" s="133"/>
      <c r="IRR16" s="133"/>
      <c r="IRS16" s="133"/>
      <c r="IRT16" s="133"/>
      <c r="IRU16" s="133"/>
      <c r="IRV16" s="133"/>
      <c r="IRW16" s="133"/>
      <c r="IRX16" s="133"/>
      <c r="IRY16" s="133"/>
      <c r="IRZ16" s="136"/>
      <c r="ISA16" s="137"/>
      <c r="ISB16" s="136"/>
      <c r="ISC16" s="137"/>
      <c r="ISD16" s="133"/>
      <c r="ISE16" s="133"/>
      <c r="ISF16" s="133"/>
      <c r="ISG16" s="133"/>
      <c r="ISH16" s="133"/>
      <c r="ISI16" s="133"/>
      <c r="ISJ16" s="133"/>
      <c r="ISK16" s="133"/>
      <c r="ISL16" s="133"/>
      <c r="ISM16" s="133"/>
      <c r="ISN16" s="133"/>
      <c r="ISO16" s="133"/>
      <c r="ISP16" s="136"/>
      <c r="ISQ16" s="137"/>
      <c r="ISR16" s="136"/>
      <c r="ISS16" s="137"/>
      <c r="IST16" s="133"/>
      <c r="ISU16" s="133"/>
      <c r="ISV16" s="133"/>
      <c r="ISW16" s="133"/>
      <c r="ISX16" s="133"/>
      <c r="ISY16" s="133"/>
      <c r="ISZ16" s="133"/>
      <c r="ITA16" s="133"/>
      <c r="ITB16" s="133"/>
      <c r="ITC16" s="133"/>
      <c r="ITD16" s="133"/>
      <c r="ITE16" s="133"/>
      <c r="ITF16" s="136"/>
      <c r="ITG16" s="137"/>
      <c r="ITH16" s="136"/>
      <c r="ITI16" s="137"/>
      <c r="ITJ16" s="133"/>
      <c r="ITK16" s="133"/>
      <c r="ITL16" s="133"/>
      <c r="ITM16" s="133"/>
      <c r="ITN16" s="133"/>
      <c r="ITO16" s="133"/>
      <c r="ITP16" s="133"/>
      <c r="ITQ16" s="133"/>
      <c r="ITR16" s="133"/>
      <c r="ITS16" s="133"/>
      <c r="ITT16" s="133"/>
      <c r="ITU16" s="133"/>
      <c r="ITV16" s="136"/>
      <c r="ITW16" s="137"/>
      <c r="ITX16" s="136"/>
      <c r="ITY16" s="137"/>
      <c r="ITZ16" s="133"/>
      <c r="IUA16" s="133"/>
      <c r="IUB16" s="133"/>
      <c r="IUC16" s="133"/>
      <c r="IUD16" s="133"/>
      <c r="IUE16" s="133"/>
      <c r="IUF16" s="133"/>
      <c r="IUG16" s="133"/>
      <c r="IUH16" s="133"/>
      <c r="IUI16" s="133"/>
      <c r="IUJ16" s="133"/>
      <c r="IUK16" s="133"/>
      <c r="IUL16" s="136"/>
      <c r="IUM16" s="137"/>
      <c r="IUN16" s="136"/>
      <c r="IUO16" s="137"/>
      <c r="IUP16" s="133"/>
      <c r="IUQ16" s="133"/>
      <c r="IUR16" s="133"/>
      <c r="IUS16" s="133"/>
      <c r="IUT16" s="133"/>
      <c r="IUU16" s="133"/>
      <c r="IUV16" s="133"/>
      <c r="IUW16" s="133"/>
      <c r="IUX16" s="133"/>
      <c r="IUY16" s="133"/>
      <c r="IUZ16" s="133"/>
      <c r="IVA16" s="133"/>
      <c r="IVB16" s="136"/>
      <c r="IVC16" s="137"/>
      <c r="IVD16" s="136"/>
      <c r="IVE16" s="137"/>
      <c r="IVF16" s="133"/>
      <c r="IVG16" s="133"/>
      <c r="IVH16" s="133"/>
      <c r="IVI16" s="133"/>
      <c r="IVJ16" s="133"/>
      <c r="IVK16" s="133"/>
      <c r="IVL16" s="133"/>
      <c r="IVM16" s="133"/>
      <c r="IVN16" s="133"/>
      <c r="IVO16" s="133"/>
      <c r="IVP16" s="133"/>
      <c r="IVQ16" s="133"/>
      <c r="IVR16" s="136"/>
      <c r="IVS16" s="137"/>
      <c r="IVT16" s="136"/>
      <c r="IVU16" s="137"/>
      <c r="IVV16" s="133"/>
      <c r="IVW16" s="133"/>
      <c r="IVX16" s="133"/>
      <c r="IVY16" s="133"/>
      <c r="IVZ16" s="133"/>
      <c r="IWA16" s="133"/>
      <c r="IWB16" s="133"/>
      <c r="IWC16" s="133"/>
      <c r="IWD16" s="133"/>
      <c r="IWE16" s="133"/>
      <c r="IWF16" s="133"/>
      <c r="IWG16" s="133"/>
      <c r="IWH16" s="136"/>
      <c r="IWI16" s="137"/>
      <c r="IWJ16" s="136"/>
      <c r="IWK16" s="137"/>
      <c r="IWL16" s="133"/>
      <c r="IWM16" s="133"/>
      <c r="IWN16" s="133"/>
      <c r="IWO16" s="133"/>
      <c r="IWP16" s="133"/>
      <c r="IWQ16" s="133"/>
      <c r="IWR16" s="133"/>
      <c r="IWS16" s="133"/>
      <c r="IWT16" s="133"/>
      <c r="IWU16" s="133"/>
      <c r="IWV16" s="133"/>
      <c r="IWW16" s="133"/>
      <c r="IWX16" s="136"/>
      <c r="IWY16" s="137"/>
      <c r="IWZ16" s="136"/>
      <c r="IXA16" s="137"/>
      <c r="IXB16" s="133"/>
      <c r="IXC16" s="133"/>
      <c r="IXD16" s="133"/>
      <c r="IXE16" s="133"/>
      <c r="IXF16" s="133"/>
      <c r="IXG16" s="133"/>
      <c r="IXH16" s="133"/>
      <c r="IXI16" s="133"/>
      <c r="IXJ16" s="133"/>
      <c r="IXK16" s="133"/>
      <c r="IXL16" s="133"/>
      <c r="IXM16" s="133"/>
      <c r="IXN16" s="136"/>
      <c r="IXO16" s="137"/>
      <c r="IXP16" s="136"/>
      <c r="IXQ16" s="137"/>
      <c r="IXR16" s="133"/>
      <c r="IXS16" s="133"/>
      <c r="IXT16" s="133"/>
      <c r="IXU16" s="133"/>
      <c r="IXV16" s="133"/>
      <c r="IXW16" s="133"/>
      <c r="IXX16" s="133"/>
      <c r="IXY16" s="133"/>
      <c r="IXZ16" s="133"/>
      <c r="IYA16" s="133"/>
      <c r="IYB16" s="133"/>
      <c r="IYC16" s="133"/>
      <c r="IYD16" s="136"/>
      <c r="IYE16" s="137"/>
      <c r="IYF16" s="136"/>
      <c r="IYG16" s="137"/>
      <c r="IYH16" s="133"/>
      <c r="IYI16" s="133"/>
      <c r="IYJ16" s="133"/>
      <c r="IYK16" s="133"/>
      <c r="IYL16" s="133"/>
      <c r="IYM16" s="133"/>
      <c r="IYN16" s="133"/>
      <c r="IYO16" s="133"/>
      <c r="IYP16" s="133"/>
      <c r="IYQ16" s="133"/>
      <c r="IYR16" s="133"/>
      <c r="IYS16" s="133"/>
      <c r="IYT16" s="136"/>
      <c r="IYU16" s="137"/>
      <c r="IYV16" s="136"/>
      <c r="IYW16" s="137"/>
      <c r="IYX16" s="133"/>
      <c r="IYY16" s="133"/>
      <c r="IYZ16" s="133"/>
      <c r="IZA16" s="133"/>
      <c r="IZB16" s="133"/>
      <c r="IZC16" s="133"/>
      <c r="IZD16" s="133"/>
      <c r="IZE16" s="133"/>
      <c r="IZF16" s="133"/>
      <c r="IZG16" s="133"/>
      <c r="IZH16" s="133"/>
      <c r="IZI16" s="133"/>
      <c r="IZJ16" s="136"/>
      <c r="IZK16" s="137"/>
      <c r="IZL16" s="136"/>
      <c r="IZM16" s="137"/>
      <c r="IZN16" s="133"/>
      <c r="IZO16" s="133"/>
      <c r="IZP16" s="133"/>
      <c r="IZQ16" s="133"/>
      <c r="IZR16" s="133"/>
      <c r="IZS16" s="133"/>
      <c r="IZT16" s="133"/>
      <c r="IZU16" s="133"/>
      <c r="IZV16" s="133"/>
      <c r="IZW16" s="133"/>
      <c r="IZX16" s="133"/>
      <c r="IZY16" s="133"/>
      <c r="IZZ16" s="136"/>
      <c r="JAA16" s="137"/>
      <c r="JAB16" s="136"/>
      <c r="JAC16" s="137"/>
      <c r="JAD16" s="133"/>
      <c r="JAE16" s="133"/>
      <c r="JAF16" s="133"/>
      <c r="JAG16" s="133"/>
      <c r="JAH16" s="133"/>
      <c r="JAI16" s="133"/>
      <c r="JAJ16" s="133"/>
      <c r="JAK16" s="133"/>
      <c r="JAL16" s="133"/>
      <c r="JAM16" s="133"/>
      <c r="JAN16" s="133"/>
      <c r="JAO16" s="133"/>
      <c r="JAP16" s="136"/>
      <c r="JAQ16" s="137"/>
      <c r="JAR16" s="136"/>
      <c r="JAS16" s="137"/>
      <c r="JAT16" s="133"/>
      <c r="JAU16" s="133"/>
      <c r="JAV16" s="133"/>
      <c r="JAW16" s="133"/>
      <c r="JAX16" s="133"/>
      <c r="JAY16" s="133"/>
      <c r="JAZ16" s="133"/>
      <c r="JBA16" s="133"/>
      <c r="JBB16" s="133"/>
      <c r="JBC16" s="133"/>
      <c r="JBD16" s="133"/>
      <c r="JBE16" s="133"/>
      <c r="JBF16" s="136"/>
      <c r="JBG16" s="137"/>
      <c r="JBH16" s="136"/>
      <c r="JBI16" s="137"/>
      <c r="JBJ16" s="133"/>
      <c r="JBK16" s="133"/>
      <c r="JBL16" s="133"/>
      <c r="JBM16" s="133"/>
      <c r="JBN16" s="133"/>
      <c r="JBO16" s="133"/>
      <c r="JBP16" s="133"/>
      <c r="JBQ16" s="133"/>
      <c r="JBR16" s="133"/>
      <c r="JBS16" s="133"/>
      <c r="JBT16" s="133"/>
      <c r="JBU16" s="133"/>
      <c r="JBV16" s="136"/>
      <c r="JBW16" s="137"/>
      <c r="JBX16" s="136"/>
      <c r="JBY16" s="137"/>
      <c r="JBZ16" s="133"/>
      <c r="JCA16" s="133"/>
      <c r="JCB16" s="133"/>
      <c r="JCC16" s="133"/>
      <c r="JCD16" s="133"/>
      <c r="JCE16" s="133"/>
      <c r="JCF16" s="133"/>
      <c r="JCG16" s="133"/>
      <c r="JCH16" s="133"/>
      <c r="JCI16" s="133"/>
      <c r="JCJ16" s="133"/>
      <c r="JCK16" s="133"/>
      <c r="JCL16" s="136"/>
      <c r="JCM16" s="137"/>
      <c r="JCN16" s="136"/>
      <c r="JCO16" s="137"/>
      <c r="JCP16" s="133"/>
      <c r="JCQ16" s="133"/>
      <c r="JCR16" s="133"/>
      <c r="JCS16" s="133"/>
      <c r="JCT16" s="133"/>
      <c r="JCU16" s="133"/>
      <c r="JCV16" s="133"/>
      <c r="JCW16" s="133"/>
      <c r="JCX16" s="133"/>
      <c r="JCY16" s="133"/>
      <c r="JCZ16" s="133"/>
      <c r="JDA16" s="133"/>
      <c r="JDB16" s="136"/>
      <c r="JDC16" s="137"/>
      <c r="JDD16" s="136"/>
      <c r="JDE16" s="137"/>
      <c r="JDF16" s="133"/>
      <c r="JDG16" s="133"/>
      <c r="JDH16" s="133"/>
      <c r="JDI16" s="133"/>
      <c r="JDJ16" s="133"/>
      <c r="JDK16" s="133"/>
      <c r="JDL16" s="133"/>
      <c r="JDM16" s="133"/>
      <c r="JDN16" s="133"/>
      <c r="JDO16" s="133"/>
      <c r="JDP16" s="133"/>
      <c r="JDQ16" s="133"/>
      <c r="JDR16" s="136"/>
      <c r="JDS16" s="137"/>
      <c r="JDT16" s="136"/>
      <c r="JDU16" s="137"/>
      <c r="JDV16" s="133"/>
      <c r="JDW16" s="133"/>
      <c r="JDX16" s="133"/>
      <c r="JDY16" s="133"/>
      <c r="JDZ16" s="133"/>
      <c r="JEA16" s="133"/>
      <c r="JEB16" s="133"/>
      <c r="JEC16" s="133"/>
      <c r="JED16" s="133"/>
      <c r="JEE16" s="133"/>
      <c r="JEF16" s="133"/>
      <c r="JEG16" s="133"/>
      <c r="JEH16" s="136"/>
      <c r="JEI16" s="137"/>
      <c r="JEJ16" s="136"/>
      <c r="JEK16" s="137"/>
      <c r="JEL16" s="133"/>
      <c r="JEM16" s="133"/>
      <c r="JEN16" s="133"/>
      <c r="JEO16" s="133"/>
      <c r="JEP16" s="133"/>
      <c r="JEQ16" s="133"/>
      <c r="JER16" s="133"/>
      <c r="JES16" s="133"/>
      <c r="JET16" s="133"/>
      <c r="JEU16" s="133"/>
      <c r="JEV16" s="133"/>
      <c r="JEW16" s="133"/>
      <c r="JEX16" s="136"/>
      <c r="JEY16" s="137"/>
      <c r="JEZ16" s="136"/>
      <c r="JFA16" s="137"/>
      <c r="JFB16" s="133"/>
      <c r="JFC16" s="133"/>
      <c r="JFD16" s="133"/>
      <c r="JFE16" s="133"/>
      <c r="JFF16" s="133"/>
      <c r="JFG16" s="133"/>
      <c r="JFH16" s="133"/>
      <c r="JFI16" s="133"/>
      <c r="JFJ16" s="133"/>
      <c r="JFK16" s="133"/>
      <c r="JFL16" s="133"/>
      <c r="JFM16" s="133"/>
      <c r="JFN16" s="136"/>
      <c r="JFO16" s="137"/>
      <c r="JFP16" s="136"/>
      <c r="JFQ16" s="137"/>
      <c r="JFR16" s="133"/>
      <c r="JFS16" s="133"/>
      <c r="JFT16" s="133"/>
      <c r="JFU16" s="133"/>
      <c r="JFV16" s="133"/>
      <c r="JFW16" s="133"/>
      <c r="JFX16" s="133"/>
      <c r="JFY16" s="133"/>
      <c r="JFZ16" s="133"/>
      <c r="JGA16" s="133"/>
      <c r="JGB16" s="133"/>
      <c r="JGC16" s="133"/>
      <c r="JGD16" s="136"/>
      <c r="JGE16" s="137"/>
      <c r="JGF16" s="136"/>
      <c r="JGG16" s="137"/>
      <c r="JGH16" s="133"/>
      <c r="JGI16" s="133"/>
      <c r="JGJ16" s="133"/>
      <c r="JGK16" s="133"/>
      <c r="JGL16" s="133"/>
      <c r="JGM16" s="133"/>
      <c r="JGN16" s="133"/>
      <c r="JGO16" s="133"/>
      <c r="JGP16" s="133"/>
      <c r="JGQ16" s="133"/>
      <c r="JGR16" s="133"/>
      <c r="JGS16" s="133"/>
      <c r="JGT16" s="136"/>
      <c r="JGU16" s="137"/>
      <c r="JGV16" s="136"/>
      <c r="JGW16" s="137"/>
      <c r="JGX16" s="133"/>
      <c r="JGY16" s="133"/>
      <c r="JGZ16" s="133"/>
      <c r="JHA16" s="133"/>
      <c r="JHB16" s="133"/>
      <c r="JHC16" s="133"/>
      <c r="JHD16" s="133"/>
      <c r="JHE16" s="133"/>
      <c r="JHF16" s="133"/>
      <c r="JHG16" s="133"/>
      <c r="JHH16" s="133"/>
      <c r="JHI16" s="133"/>
      <c r="JHJ16" s="136"/>
      <c r="JHK16" s="137"/>
      <c r="JHL16" s="136"/>
      <c r="JHM16" s="137"/>
      <c r="JHN16" s="133"/>
      <c r="JHO16" s="133"/>
      <c r="JHP16" s="133"/>
      <c r="JHQ16" s="133"/>
      <c r="JHR16" s="133"/>
      <c r="JHS16" s="133"/>
      <c r="JHT16" s="133"/>
      <c r="JHU16" s="133"/>
      <c r="JHV16" s="133"/>
      <c r="JHW16" s="133"/>
      <c r="JHX16" s="133"/>
      <c r="JHY16" s="133"/>
      <c r="JHZ16" s="136"/>
      <c r="JIA16" s="137"/>
      <c r="JIB16" s="136"/>
      <c r="JIC16" s="137"/>
      <c r="JID16" s="133"/>
      <c r="JIE16" s="133"/>
      <c r="JIF16" s="133"/>
      <c r="JIG16" s="133"/>
      <c r="JIH16" s="133"/>
      <c r="JII16" s="133"/>
      <c r="JIJ16" s="133"/>
      <c r="JIK16" s="133"/>
      <c r="JIL16" s="133"/>
      <c r="JIM16" s="133"/>
      <c r="JIN16" s="133"/>
      <c r="JIO16" s="133"/>
      <c r="JIP16" s="136"/>
      <c r="JIQ16" s="137"/>
      <c r="JIR16" s="136"/>
      <c r="JIS16" s="137"/>
      <c r="JIT16" s="133"/>
      <c r="JIU16" s="133"/>
      <c r="JIV16" s="133"/>
      <c r="JIW16" s="133"/>
      <c r="JIX16" s="133"/>
      <c r="JIY16" s="133"/>
      <c r="JIZ16" s="133"/>
      <c r="JJA16" s="133"/>
      <c r="JJB16" s="133"/>
      <c r="JJC16" s="133"/>
      <c r="JJD16" s="133"/>
      <c r="JJE16" s="133"/>
      <c r="JJF16" s="136"/>
      <c r="JJG16" s="137"/>
      <c r="JJH16" s="136"/>
      <c r="JJI16" s="137"/>
      <c r="JJJ16" s="133"/>
      <c r="JJK16" s="133"/>
      <c r="JJL16" s="133"/>
      <c r="JJM16" s="133"/>
      <c r="JJN16" s="133"/>
      <c r="JJO16" s="133"/>
      <c r="JJP16" s="133"/>
      <c r="JJQ16" s="133"/>
      <c r="JJR16" s="133"/>
      <c r="JJS16" s="133"/>
      <c r="JJT16" s="133"/>
      <c r="JJU16" s="133"/>
      <c r="JJV16" s="136"/>
      <c r="JJW16" s="137"/>
      <c r="JJX16" s="136"/>
      <c r="JJY16" s="137"/>
      <c r="JJZ16" s="133"/>
      <c r="JKA16" s="133"/>
      <c r="JKB16" s="133"/>
      <c r="JKC16" s="133"/>
      <c r="JKD16" s="133"/>
      <c r="JKE16" s="133"/>
      <c r="JKF16" s="133"/>
      <c r="JKG16" s="133"/>
      <c r="JKH16" s="133"/>
      <c r="JKI16" s="133"/>
      <c r="JKJ16" s="133"/>
      <c r="JKK16" s="133"/>
      <c r="JKL16" s="136"/>
      <c r="JKM16" s="137"/>
      <c r="JKN16" s="136"/>
      <c r="JKO16" s="137"/>
      <c r="JKP16" s="133"/>
      <c r="JKQ16" s="133"/>
      <c r="JKR16" s="133"/>
      <c r="JKS16" s="133"/>
      <c r="JKT16" s="133"/>
      <c r="JKU16" s="133"/>
      <c r="JKV16" s="133"/>
      <c r="JKW16" s="133"/>
      <c r="JKX16" s="133"/>
      <c r="JKY16" s="133"/>
      <c r="JKZ16" s="133"/>
      <c r="JLA16" s="133"/>
      <c r="JLB16" s="136"/>
      <c r="JLC16" s="137"/>
      <c r="JLD16" s="136"/>
      <c r="JLE16" s="137"/>
      <c r="JLF16" s="133"/>
      <c r="JLG16" s="133"/>
      <c r="JLH16" s="133"/>
      <c r="JLI16" s="133"/>
      <c r="JLJ16" s="133"/>
      <c r="JLK16" s="133"/>
      <c r="JLL16" s="133"/>
      <c r="JLM16" s="133"/>
      <c r="JLN16" s="133"/>
      <c r="JLO16" s="133"/>
      <c r="JLP16" s="133"/>
      <c r="JLQ16" s="133"/>
      <c r="JLR16" s="136"/>
      <c r="JLS16" s="137"/>
      <c r="JLT16" s="136"/>
      <c r="JLU16" s="137"/>
      <c r="JLV16" s="133"/>
      <c r="JLW16" s="133"/>
      <c r="JLX16" s="133"/>
      <c r="JLY16" s="133"/>
      <c r="JLZ16" s="133"/>
      <c r="JMA16" s="133"/>
      <c r="JMB16" s="133"/>
      <c r="JMC16" s="133"/>
      <c r="JMD16" s="133"/>
      <c r="JME16" s="133"/>
      <c r="JMF16" s="133"/>
      <c r="JMG16" s="133"/>
      <c r="JMH16" s="136"/>
      <c r="JMI16" s="137"/>
      <c r="JMJ16" s="136"/>
      <c r="JMK16" s="137"/>
      <c r="JML16" s="133"/>
      <c r="JMM16" s="133"/>
      <c r="JMN16" s="133"/>
      <c r="JMO16" s="133"/>
      <c r="JMP16" s="133"/>
      <c r="JMQ16" s="133"/>
      <c r="JMR16" s="133"/>
      <c r="JMS16" s="133"/>
      <c r="JMT16" s="133"/>
      <c r="JMU16" s="133"/>
      <c r="JMV16" s="133"/>
      <c r="JMW16" s="133"/>
      <c r="JMX16" s="136"/>
      <c r="JMY16" s="137"/>
      <c r="JMZ16" s="136"/>
      <c r="JNA16" s="137"/>
      <c r="JNB16" s="133"/>
      <c r="JNC16" s="133"/>
      <c r="JND16" s="133"/>
      <c r="JNE16" s="133"/>
      <c r="JNF16" s="133"/>
      <c r="JNG16" s="133"/>
      <c r="JNH16" s="133"/>
      <c r="JNI16" s="133"/>
      <c r="JNJ16" s="133"/>
      <c r="JNK16" s="133"/>
      <c r="JNL16" s="133"/>
      <c r="JNM16" s="133"/>
      <c r="JNN16" s="136"/>
      <c r="JNO16" s="137"/>
      <c r="JNP16" s="136"/>
      <c r="JNQ16" s="137"/>
      <c r="JNR16" s="133"/>
      <c r="JNS16" s="133"/>
      <c r="JNT16" s="133"/>
      <c r="JNU16" s="133"/>
      <c r="JNV16" s="133"/>
      <c r="JNW16" s="133"/>
      <c r="JNX16" s="133"/>
      <c r="JNY16" s="133"/>
      <c r="JNZ16" s="133"/>
      <c r="JOA16" s="133"/>
      <c r="JOB16" s="133"/>
      <c r="JOC16" s="133"/>
      <c r="JOD16" s="136"/>
      <c r="JOE16" s="137"/>
      <c r="JOF16" s="136"/>
      <c r="JOG16" s="137"/>
      <c r="JOT16" s="136"/>
      <c r="JOU16" s="137"/>
      <c r="JOV16" s="136"/>
      <c r="JOW16" s="137"/>
      <c r="JOX16" s="133"/>
      <c r="JOY16" s="133"/>
      <c r="JOZ16" s="133"/>
      <c r="JPA16" s="133"/>
      <c r="JPB16" s="133"/>
      <c r="JPC16" s="133"/>
      <c r="JPD16" s="133"/>
      <c r="JPE16" s="133"/>
      <c r="JPF16" s="133"/>
      <c r="JPG16" s="133"/>
      <c r="JPH16" s="133"/>
      <c r="JPI16" s="133"/>
      <c r="JPJ16" s="136"/>
      <c r="JPK16" s="137"/>
      <c r="JPL16" s="136"/>
      <c r="JPM16" s="137"/>
      <c r="JPN16" s="133"/>
      <c r="JPO16" s="133"/>
      <c r="JPP16" s="133"/>
      <c r="JPQ16" s="133"/>
      <c r="JPR16" s="133"/>
      <c r="JPS16" s="133"/>
      <c r="JPT16" s="133"/>
      <c r="JPU16" s="133"/>
      <c r="JPV16" s="133"/>
      <c r="JPW16" s="133"/>
      <c r="JPX16" s="133"/>
      <c r="JPY16" s="133"/>
      <c r="JPZ16" s="136"/>
      <c r="JQA16" s="137"/>
      <c r="JQB16" s="136"/>
      <c r="JQC16" s="137"/>
      <c r="JQD16" s="133"/>
      <c r="JQE16" s="133"/>
      <c r="JQF16" s="133"/>
      <c r="JQG16" s="133"/>
      <c r="JQH16" s="133"/>
      <c r="JQI16" s="133"/>
      <c r="JQJ16" s="133"/>
      <c r="JQK16" s="133"/>
      <c r="JQL16" s="133"/>
      <c r="JQM16" s="133"/>
      <c r="JQN16" s="133"/>
      <c r="JQO16" s="133"/>
      <c r="JQP16" s="136"/>
      <c r="JQQ16" s="137"/>
      <c r="JQR16" s="136"/>
      <c r="JQS16" s="137"/>
      <c r="JQT16" s="133"/>
      <c r="JQU16" s="133"/>
      <c r="JQV16" s="133"/>
      <c r="JQW16" s="133"/>
      <c r="JQX16" s="133"/>
      <c r="JQY16" s="133"/>
      <c r="JQZ16" s="133"/>
      <c r="JRA16" s="133"/>
      <c r="JRB16" s="133"/>
      <c r="JRC16" s="133"/>
      <c r="JRD16" s="133"/>
      <c r="JRE16" s="133"/>
      <c r="JRF16" s="136"/>
      <c r="JRG16" s="137"/>
      <c r="JRH16" s="136"/>
      <c r="JRI16" s="137"/>
      <c r="JRJ16" s="133"/>
      <c r="JRK16" s="133"/>
      <c r="JRL16" s="133"/>
      <c r="JRM16" s="133"/>
      <c r="JRN16" s="133"/>
      <c r="JRO16" s="133"/>
      <c r="JRP16" s="133"/>
      <c r="JRQ16" s="133"/>
      <c r="JRR16" s="133"/>
      <c r="JRS16" s="133"/>
      <c r="JRT16" s="133"/>
      <c r="JRU16" s="133"/>
      <c r="JRV16" s="136"/>
      <c r="JRW16" s="137"/>
      <c r="JRX16" s="136"/>
      <c r="JRY16" s="137"/>
      <c r="JRZ16" s="133"/>
      <c r="JSA16" s="133"/>
      <c r="JSB16" s="133"/>
      <c r="JSC16" s="133"/>
      <c r="JSD16" s="133"/>
      <c r="JSE16" s="133"/>
      <c r="JSF16" s="133"/>
      <c r="JSG16" s="133"/>
      <c r="JSH16" s="133"/>
      <c r="JSI16" s="133"/>
      <c r="JSJ16" s="133"/>
      <c r="JSK16" s="133"/>
      <c r="JSL16" s="136"/>
      <c r="JSM16" s="137"/>
      <c r="JSN16" s="136"/>
      <c r="JSO16" s="137"/>
      <c r="JSP16" s="133"/>
      <c r="JSQ16" s="133"/>
      <c r="JSR16" s="133"/>
      <c r="JSS16" s="133"/>
      <c r="JST16" s="133"/>
      <c r="JSU16" s="133"/>
      <c r="JSV16" s="133"/>
      <c r="JSW16" s="133"/>
      <c r="JSX16" s="133"/>
      <c r="JSY16" s="133"/>
      <c r="JSZ16" s="133"/>
      <c r="JTA16" s="133"/>
      <c r="JTB16" s="136"/>
      <c r="JTC16" s="137"/>
      <c r="JTD16" s="136"/>
      <c r="JTE16" s="137"/>
      <c r="JTF16" s="133"/>
      <c r="JTG16" s="133"/>
      <c r="JTH16" s="133"/>
      <c r="JTI16" s="133"/>
      <c r="JTJ16" s="133"/>
      <c r="JTK16" s="133"/>
      <c r="JTL16" s="133"/>
      <c r="JTM16" s="133"/>
      <c r="JTN16" s="133"/>
      <c r="JTO16" s="133"/>
      <c r="JTP16" s="133"/>
      <c r="JTQ16" s="133"/>
      <c r="JTR16" s="136"/>
      <c r="JTS16" s="137"/>
      <c r="JTT16" s="136"/>
      <c r="JTU16" s="137"/>
      <c r="JTV16" s="133"/>
      <c r="JTW16" s="133"/>
      <c r="JTX16" s="133"/>
      <c r="JTY16" s="133"/>
      <c r="JTZ16" s="133"/>
      <c r="JUA16" s="133"/>
      <c r="JUB16" s="133"/>
      <c r="JUC16" s="133"/>
      <c r="JUD16" s="133"/>
      <c r="JUE16" s="133"/>
      <c r="JUF16" s="133"/>
      <c r="JUG16" s="133"/>
      <c r="JUH16" s="136"/>
      <c r="JUI16" s="137"/>
      <c r="JUJ16" s="136"/>
      <c r="JUK16" s="137"/>
      <c r="JUL16" s="133"/>
      <c r="JUM16" s="133"/>
      <c r="JUN16" s="133"/>
      <c r="JUO16" s="133"/>
      <c r="JUP16" s="133"/>
      <c r="JUQ16" s="133"/>
      <c r="JUR16" s="133"/>
      <c r="JUS16" s="133"/>
      <c r="JUT16" s="133"/>
      <c r="JUU16" s="133"/>
      <c r="JUV16" s="133"/>
      <c r="JUW16" s="133"/>
      <c r="JUX16" s="136"/>
      <c r="JUY16" s="137"/>
      <c r="JUZ16" s="136"/>
      <c r="JVA16" s="137"/>
      <c r="JVB16" s="133"/>
      <c r="JVC16" s="133"/>
      <c r="JVD16" s="133"/>
      <c r="JVE16" s="133"/>
      <c r="JVF16" s="133"/>
      <c r="JVG16" s="133"/>
      <c r="JVH16" s="133"/>
      <c r="JVI16" s="133"/>
      <c r="JVJ16" s="133"/>
      <c r="JVK16" s="133"/>
      <c r="JVL16" s="133"/>
      <c r="JVM16" s="133"/>
      <c r="JVN16" s="136"/>
      <c r="JVO16" s="137"/>
      <c r="JVP16" s="136"/>
      <c r="JVQ16" s="137"/>
      <c r="JVR16" s="133"/>
      <c r="JVS16" s="133"/>
      <c r="JVT16" s="133"/>
      <c r="JVU16" s="133"/>
      <c r="JVV16" s="133"/>
      <c r="JVW16" s="133"/>
      <c r="JVX16" s="133"/>
      <c r="JVY16" s="133"/>
      <c r="JVZ16" s="133"/>
      <c r="JWA16" s="133"/>
      <c r="JWB16" s="133"/>
      <c r="JWC16" s="133"/>
      <c r="JWD16" s="136"/>
      <c r="JWE16" s="137"/>
      <c r="JWF16" s="136"/>
      <c r="JWG16" s="137"/>
      <c r="JWH16" s="133"/>
      <c r="JWI16" s="133"/>
      <c r="JWJ16" s="133"/>
      <c r="JWK16" s="133"/>
      <c r="JWL16" s="133"/>
      <c r="JWM16" s="133"/>
      <c r="JWN16" s="133"/>
      <c r="JWO16" s="133"/>
      <c r="JWP16" s="133"/>
      <c r="JWQ16" s="133"/>
      <c r="JWR16" s="133"/>
      <c r="JWS16" s="133"/>
      <c r="JWT16" s="136"/>
      <c r="JWU16" s="137"/>
      <c r="JWV16" s="136"/>
      <c r="JWW16" s="137"/>
      <c r="JWX16" s="133"/>
      <c r="JWY16" s="133"/>
      <c r="JWZ16" s="133"/>
      <c r="JXA16" s="133"/>
      <c r="JXB16" s="133"/>
      <c r="JXC16" s="133"/>
      <c r="JXD16" s="133"/>
      <c r="JXE16" s="133"/>
      <c r="JXF16" s="133"/>
      <c r="JXG16" s="133"/>
      <c r="JXH16" s="133"/>
      <c r="JXI16" s="133"/>
      <c r="JXJ16" s="136"/>
      <c r="JXK16" s="137"/>
      <c r="JXL16" s="136"/>
      <c r="JXM16" s="137"/>
      <c r="JXN16" s="133"/>
      <c r="JXO16" s="133"/>
      <c r="JXP16" s="133"/>
      <c r="JXQ16" s="133"/>
      <c r="JXR16" s="133"/>
      <c r="JXS16" s="133"/>
      <c r="JXT16" s="133"/>
      <c r="JXU16" s="133"/>
      <c r="JXV16" s="133"/>
      <c r="JXW16" s="133"/>
      <c r="JXX16" s="133"/>
      <c r="JXY16" s="133"/>
      <c r="JXZ16" s="136"/>
      <c r="JYA16" s="137"/>
      <c r="JYB16" s="136"/>
      <c r="JYC16" s="137"/>
      <c r="JYD16" s="133"/>
      <c r="JYE16" s="133"/>
      <c r="JYF16" s="133"/>
      <c r="JYG16" s="133"/>
      <c r="JYH16" s="133"/>
      <c r="JYI16" s="133"/>
      <c r="JYJ16" s="133"/>
      <c r="JYK16" s="133"/>
      <c r="JYL16" s="133"/>
      <c r="JYM16" s="133"/>
      <c r="JYN16" s="133"/>
      <c r="JYO16" s="133"/>
      <c r="JYP16" s="136"/>
      <c r="JYQ16" s="137"/>
      <c r="JYR16" s="136"/>
      <c r="JYS16" s="137"/>
      <c r="JYT16" s="133"/>
      <c r="JYU16" s="133"/>
      <c r="JYV16" s="133"/>
      <c r="JYW16" s="133"/>
      <c r="JYX16" s="133"/>
      <c r="JYY16" s="133"/>
      <c r="JYZ16" s="133"/>
      <c r="JZA16" s="133"/>
      <c r="JZB16" s="133"/>
      <c r="JZC16" s="133"/>
      <c r="JZD16" s="133"/>
      <c r="JZE16" s="133"/>
      <c r="JZF16" s="136"/>
      <c r="JZG16" s="137"/>
      <c r="JZH16" s="136"/>
      <c r="JZI16" s="137"/>
      <c r="JZJ16" s="133"/>
      <c r="JZK16" s="133"/>
      <c r="JZL16" s="133"/>
      <c r="JZM16" s="133"/>
      <c r="JZN16" s="133"/>
      <c r="JZO16" s="133"/>
      <c r="JZP16" s="133"/>
      <c r="JZQ16" s="133"/>
      <c r="JZR16" s="133"/>
      <c r="JZS16" s="133"/>
      <c r="JZT16" s="133"/>
      <c r="JZU16" s="133"/>
      <c r="JZV16" s="136"/>
      <c r="JZW16" s="137"/>
      <c r="JZX16" s="136"/>
      <c r="JZY16" s="137"/>
      <c r="JZZ16" s="133"/>
      <c r="KAA16" s="133"/>
      <c r="KAB16" s="133"/>
      <c r="KAC16" s="133"/>
      <c r="KAD16" s="133"/>
      <c r="KAE16" s="133"/>
      <c r="KAF16" s="133"/>
      <c r="KAG16" s="133"/>
      <c r="KAH16" s="133"/>
      <c r="KAI16" s="133"/>
      <c r="KAJ16" s="133"/>
      <c r="KAK16" s="133"/>
      <c r="KAL16" s="136"/>
      <c r="KAM16" s="137"/>
      <c r="KAN16" s="136"/>
      <c r="KAO16" s="137"/>
      <c r="KAP16" s="133"/>
      <c r="KAQ16" s="133"/>
      <c r="KAR16" s="133"/>
      <c r="KAS16" s="133"/>
      <c r="KAT16" s="133"/>
      <c r="KAU16" s="133"/>
      <c r="KAV16" s="133"/>
      <c r="KAW16" s="133"/>
      <c r="KAX16" s="133"/>
      <c r="KAY16" s="133"/>
      <c r="KAZ16" s="133"/>
      <c r="KBA16" s="133"/>
      <c r="KBB16" s="136"/>
      <c r="KBC16" s="137"/>
      <c r="KBD16" s="136"/>
      <c r="KBE16" s="137"/>
      <c r="KBF16" s="133"/>
      <c r="KBG16" s="133"/>
      <c r="KBH16" s="133"/>
      <c r="KBI16" s="133"/>
      <c r="KBJ16" s="133"/>
      <c r="KBK16" s="133"/>
      <c r="KBL16" s="133"/>
      <c r="KBM16" s="133"/>
      <c r="KBN16" s="133"/>
      <c r="KBO16" s="133"/>
      <c r="KBP16" s="133"/>
      <c r="KBQ16" s="133"/>
      <c r="KBR16" s="136"/>
      <c r="KBS16" s="137"/>
      <c r="KBT16" s="136"/>
      <c r="KBU16" s="137"/>
      <c r="KBV16" s="133"/>
      <c r="KBW16" s="133"/>
      <c r="KBX16" s="133"/>
      <c r="KBY16" s="133"/>
      <c r="KBZ16" s="133"/>
      <c r="KCA16" s="133"/>
      <c r="KCB16" s="133"/>
      <c r="KCC16" s="133"/>
      <c r="KCD16" s="133"/>
      <c r="KCE16" s="133"/>
      <c r="KCF16" s="133"/>
      <c r="KCG16" s="133"/>
      <c r="KCH16" s="136"/>
      <c r="KCI16" s="137"/>
      <c r="KCJ16" s="136"/>
      <c r="KCK16" s="137"/>
      <c r="KCL16" s="133"/>
      <c r="KCM16" s="133"/>
      <c r="KCN16" s="133"/>
      <c r="KCO16" s="133"/>
      <c r="KCP16" s="133"/>
      <c r="KCQ16" s="133"/>
      <c r="KCR16" s="133"/>
      <c r="KCS16" s="133"/>
      <c r="KCT16" s="133"/>
      <c r="KCU16" s="133"/>
      <c r="KCV16" s="133"/>
      <c r="KCW16" s="133"/>
      <c r="KCX16" s="136"/>
      <c r="KCY16" s="137"/>
      <c r="KCZ16" s="136"/>
      <c r="KDA16" s="137"/>
      <c r="KDB16" s="133"/>
      <c r="KDC16" s="133"/>
      <c r="KDD16" s="133"/>
      <c r="KDE16" s="133"/>
      <c r="KDF16" s="133"/>
      <c r="KDG16" s="133"/>
      <c r="KDH16" s="133"/>
      <c r="KDI16" s="133"/>
      <c r="KDJ16" s="133"/>
      <c r="KDK16" s="133"/>
      <c r="KDL16" s="133"/>
      <c r="KDM16" s="133"/>
      <c r="KDN16" s="136"/>
      <c r="KDO16" s="137"/>
      <c r="KDP16" s="136"/>
      <c r="KDQ16" s="137"/>
      <c r="KDR16" s="133"/>
      <c r="KDS16" s="133"/>
      <c r="KDT16" s="133"/>
      <c r="KDU16" s="133"/>
      <c r="KDV16" s="133"/>
      <c r="KDW16" s="133"/>
      <c r="KDX16" s="133"/>
      <c r="KDY16" s="133"/>
      <c r="KDZ16" s="133"/>
      <c r="KEA16" s="133"/>
      <c r="KEB16" s="133"/>
      <c r="KEC16" s="133"/>
      <c r="KED16" s="136"/>
      <c r="KEE16" s="137"/>
      <c r="KEF16" s="136"/>
      <c r="KEG16" s="137"/>
      <c r="KEH16" s="133"/>
      <c r="KEI16" s="133"/>
      <c r="KEJ16" s="133"/>
      <c r="KEK16" s="133"/>
      <c r="KEL16" s="133"/>
      <c r="KEM16" s="133"/>
      <c r="KEN16" s="133"/>
      <c r="KEO16" s="133"/>
      <c r="KEP16" s="133"/>
      <c r="KEQ16" s="133"/>
      <c r="KER16" s="133"/>
      <c r="KES16" s="133"/>
      <c r="KET16" s="136"/>
      <c r="KEU16" s="137"/>
      <c r="KEV16" s="136"/>
      <c r="KEW16" s="137"/>
      <c r="KEX16" s="133"/>
      <c r="KEY16" s="133"/>
      <c r="KEZ16" s="133"/>
      <c r="KFA16" s="133"/>
      <c r="KFB16" s="133"/>
      <c r="KFC16" s="133"/>
      <c r="KFD16" s="133"/>
      <c r="KFE16" s="133"/>
      <c r="KFF16" s="133"/>
      <c r="KFG16" s="133"/>
      <c r="KFH16" s="133"/>
      <c r="KFI16" s="133"/>
      <c r="KFJ16" s="136"/>
      <c r="KFK16" s="137"/>
      <c r="KFL16" s="136"/>
      <c r="KFM16" s="137"/>
      <c r="KFN16" s="133"/>
      <c r="KFO16" s="133"/>
      <c r="KFP16" s="133"/>
      <c r="KFQ16" s="133"/>
      <c r="KFR16" s="133"/>
      <c r="KFS16" s="133"/>
      <c r="KFT16" s="133"/>
      <c r="KFU16" s="133"/>
      <c r="KFV16" s="133"/>
      <c r="KFW16" s="133"/>
      <c r="KFX16" s="133"/>
      <c r="KFY16" s="133"/>
      <c r="KFZ16" s="136"/>
      <c r="KGA16" s="137"/>
      <c r="KGB16" s="136"/>
      <c r="KGC16" s="137"/>
      <c r="KGD16" s="133"/>
      <c r="KGE16" s="133"/>
      <c r="KGF16" s="133"/>
      <c r="KGG16" s="133"/>
      <c r="KGH16" s="133"/>
      <c r="KGI16" s="133"/>
      <c r="KGJ16" s="133"/>
      <c r="KGK16" s="133"/>
      <c r="KGL16" s="133"/>
      <c r="KGM16" s="133"/>
      <c r="KGN16" s="133"/>
      <c r="KGO16" s="133"/>
      <c r="KGP16" s="136"/>
      <c r="KGQ16" s="137"/>
      <c r="KGR16" s="136"/>
      <c r="KGS16" s="137"/>
      <c r="KGT16" s="133"/>
      <c r="KGU16" s="133"/>
      <c r="KGV16" s="133"/>
      <c r="KGW16" s="133"/>
      <c r="KGX16" s="133"/>
      <c r="KGY16" s="133"/>
      <c r="KGZ16" s="133"/>
      <c r="KHA16" s="133"/>
      <c r="KHB16" s="133"/>
      <c r="KHC16" s="133"/>
      <c r="KHD16" s="133"/>
      <c r="KHE16" s="133"/>
      <c r="KHF16" s="136"/>
      <c r="KHG16" s="137"/>
      <c r="KHH16" s="136"/>
      <c r="KHI16" s="137"/>
      <c r="KHJ16" s="133"/>
      <c r="KHK16" s="133"/>
      <c r="KHL16" s="133"/>
      <c r="KHM16" s="133"/>
      <c r="KHN16" s="133"/>
      <c r="KHO16" s="133"/>
      <c r="KHP16" s="133"/>
      <c r="KHQ16" s="133"/>
      <c r="KHR16" s="133"/>
      <c r="KHS16" s="133"/>
      <c r="KHT16" s="133"/>
      <c r="KHU16" s="133"/>
      <c r="KHV16" s="136"/>
      <c r="KHW16" s="137"/>
      <c r="KHX16" s="136"/>
      <c r="KHY16" s="137"/>
      <c r="KHZ16" s="133"/>
      <c r="KIA16" s="133"/>
      <c r="KIB16" s="133"/>
      <c r="KIC16" s="133"/>
      <c r="KID16" s="133"/>
      <c r="KIE16" s="133"/>
      <c r="KIF16" s="133"/>
      <c r="KIG16" s="133"/>
      <c r="KIH16" s="133"/>
      <c r="KII16" s="133"/>
      <c r="KIJ16" s="133"/>
      <c r="KIK16" s="133"/>
      <c r="KIL16" s="136"/>
      <c r="KIM16" s="137"/>
      <c r="KIN16" s="136"/>
      <c r="KIO16" s="137"/>
      <c r="KIP16" s="133"/>
      <c r="KIQ16" s="133"/>
      <c r="KIR16" s="133"/>
      <c r="KIS16" s="133"/>
      <c r="KIT16" s="133"/>
      <c r="KIU16" s="133"/>
      <c r="KIV16" s="133"/>
      <c r="KIW16" s="133"/>
      <c r="KIX16" s="133"/>
      <c r="KIY16" s="133"/>
      <c r="KIZ16" s="133"/>
      <c r="KJA16" s="133"/>
      <c r="KJB16" s="136"/>
      <c r="KJC16" s="137"/>
      <c r="KJD16" s="136"/>
      <c r="KJE16" s="137"/>
      <c r="KJF16" s="133"/>
      <c r="KJG16" s="133"/>
      <c r="KJH16" s="133"/>
      <c r="KJI16" s="133"/>
      <c r="KJJ16" s="133"/>
      <c r="KJK16" s="133"/>
      <c r="KJL16" s="133"/>
      <c r="KJM16" s="133"/>
      <c r="KJN16" s="133"/>
      <c r="KJO16" s="133"/>
      <c r="KJP16" s="133"/>
      <c r="KJQ16" s="133"/>
      <c r="KJR16" s="136"/>
      <c r="KJS16" s="137"/>
      <c r="KJT16" s="136"/>
      <c r="KJU16" s="137"/>
      <c r="KJV16" s="133"/>
      <c r="KJW16" s="133"/>
      <c r="KJX16" s="133"/>
      <c r="KJY16" s="133"/>
      <c r="KJZ16" s="133"/>
      <c r="KKA16" s="133"/>
      <c r="KKB16" s="133"/>
      <c r="KKC16" s="133"/>
      <c r="KKD16" s="133"/>
      <c r="KKE16" s="133"/>
      <c r="KKF16" s="133"/>
      <c r="KKG16" s="133"/>
      <c r="KKH16" s="136"/>
      <c r="KKI16" s="137"/>
      <c r="KKJ16" s="136"/>
      <c r="KKK16" s="137"/>
      <c r="KKL16" s="133"/>
      <c r="KKM16" s="133"/>
      <c r="KKN16" s="133"/>
      <c r="KKO16" s="133"/>
      <c r="KKP16" s="133"/>
      <c r="KKQ16" s="133"/>
      <c r="KKR16" s="133"/>
      <c r="KKS16" s="133"/>
      <c r="KKT16" s="133"/>
      <c r="KKU16" s="133"/>
      <c r="KKV16" s="133"/>
      <c r="KKW16" s="133"/>
      <c r="KKX16" s="136"/>
      <c r="KKY16" s="137"/>
      <c r="KKZ16" s="136"/>
      <c r="KLA16" s="137"/>
      <c r="KLB16" s="133"/>
      <c r="KLC16" s="133"/>
      <c r="KLD16" s="133"/>
      <c r="KLE16" s="133"/>
      <c r="KLF16" s="133"/>
      <c r="KLG16" s="133"/>
      <c r="KLH16" s="133"/>
      <c r="KLI16" s="133"/>
      <c r="KLJ16" s="133"/>
      <c r="KLK16" s="133"/>
      <c r="KLL16" s="133"/>
      <c r="KLM16" s="133"/>
      <c r="KLN16" s="136"/>
      <c r="KLO16" s="137"/>
      <c r="KLP16" s="136"/>
      <c r="KLQ16" s="137"/>
      <c r="KLR16" s="133"/>
      <c r="KLS16" s="133"/>
      <c r="KLT16" s="133"/>
      <c r="KLU16" s="133"/>
      <c r="KLV16" s="133"/>
      <c r="KLW16" s="133"/>
      <c r="KLX16" s="133"/>
      <c r="KLY16" s="133"/>
      <c r="KLZ16" s="133"/>
      <c r="KMA16" s="133"/>
      <c r="KMB16" s="133"/>
      <c r="KMC16" s="133"/>
      <c r="KMD16" s="136"/>
      <c r="KME16" s="137"/>
      <c r="KMF16" s="136"/>
      <c r="KMG16" s="137"/>
      <c r="KMH16" s="133"/>
      <c r="KMI16" s="133"/>
      <c r="KMJ16" s="133"/>
      <c r="KMK16" s="133"/>
      <c r="KML16" s="133"/>
      <c r="KMM16" s="133"/>
      <c r="KMN16" s="133"/>
      <c r="KMO16" s="133"/>
      <c r="KMP16" s="133"/>
      <c r="KMQ16" s="133"/>
      <c r="KMR16" s="133"/>
      <c r="KMS16" s="133"/>
      <c r="KMT16" s="136"/>
      <c r="KMU16" s="137"/>
      <c r="KMV16" s="136"/>
      <c r="KMW16" s="137"/>
      <c r="KMX16" s="133"/>
      <c r="KMY16" s="133"/>
      <c r="KMZ16" s="133"/>
      <c r="KNA16" s="133"/>
      <c r="KNB16" s="133"/>
      <c r="KNC16" s="133"/>
      <c r="KND16" s="133"/>
      <c r="KNE16" s="133"/>
      <c r="KNF16" s="133"/>
      <c r="KNG16" s="133"/>
      <c r="KNH16" s="133"/>
      <c r="KNI16" s="133"/>
      <c r="KNJ16" s="136"/>
      <c r="KNK16" s="137"/>
      <c r="KNL16" s="136"/>
      <c r="KNM16" s="137"/>
      <c r="KNN16" s="133"/>
      <c r="KNO16" s="133"/>
      <c r="KNP16" s="133"/>
      <c r="KNQ16" s="133"/>
      <c r="KNR16" s="133"/>
      <c r="KNS16" s="133"/>
      <c r="KNT16" s="133"/>
      <c r="KNU16" s="133"/>
      <c r="KNV16" s="133"/>
      <c r="KNW16" s="133"/>
      <c r="KNX16" s="133"/>
      <c r="KNY16" s="133"/>
      <c r="KNZ16" s="136"/>
      <c r="KOA16" s="137"/>
      <c r="KOB16" s="136"/>
      <c r="KOC16" s="137"/>
      <c r="KOD16" s="133"/>
      <c r="KOE16" s="133"/>
      <c r="KOF16" s="133"/>
      <c r="KOG16" s="133"/>
      <c r="KOH16" s="133"/>
      <c r="KOI16" s="133"/>
      <c r="KOJ16" s="133"/>
      <c r="KOK16" s="133"/>
      <c r="KOL16" s="133"/>
      <c r="KOM16" s="133"/>
      <c r="KON16" s="133"/>
      <c r="KOO16" s="133"/>
      <c r="KOP16" s="136"/>
      <c r="KOQ16" s="137"/>
      <c r="KOR16" s="136"/>
      <c r="KOS16" s="137"/>
      <c r="KOT16" s="133"/>
      <c r="KOU16" s="133"/>
      <c r="KOV16" s="133"/>
      <c r="KOW16" s="133"/>
      <c r="KOX16" s="133"/>
      <c r="KOY16" s="133"/>
      <c r="KOZ16" s="133"/>
      <c r="KPA16" s="133"/>
      <c r="KPB16" s="133"/>
      <c r="KPC16" s="133"/>
      <c r="KPD16" s="133"/>
      <c r="KPE16" s="133"/>
      <c r="KPF16" s="136"/>
      <c r="KPG16" s="137"/>
      <c r="KPH16" s="136"/>
      <c r="KPI16" s="137"/>
      <c r="KPJ16" s="133"/>
      <c r="KPK16" s="133"/>
      <c r="KPL16" s="133"/>
      <c r="KPM16" s="133"/>
      <c r="KPN16" s="133"/>
      <c r="KPO16" s="133"/>
      <c r="KPP16" s="133"/>
      <c r="KPQ16" s="133"/>
      <c r="KPR16" s="133"/>
      <c r="KPS16" s="133"/>
      <c r="KPT16" s="133"/>
      <c r="KPU16" s="133"/>
      <c r="KPV16" s="136"/>
      <c r="KPW16" s="137"/>
      <c r="KPX16" s="136"/>
      <c r="KPY16" s="137"/>
      <c r="KPZ16" s="133"/>
      <c r="KQA16" s="133"/>
      <c r="KQB16" s="133"/>
      <c r="KQC16" s="133"/>
      <c r="KQD16" s="133"/>
      <c r="KQE16" s="133"/>
      <c r="KQF16" s="133"/>
      <c r="KQG16" s="133"/>
      <c r="KQH16" s="133"/>
      <c r="KQI16" s="133"/>
      <c r="KQJ16" s="133"/>
      <c r="KQK16" s="133"/>
      <c r="KQL16" s="136"/>
      <c r="KQM16" s="137"/>
      <c r="KQN16" s="136"/>
      <c r="KQO16" s="137"/>
      <c r="KQP16" s="133"/>
      <c r="KQQ16" s="133"/>
      <c r="KQR16" s="133"/>
      <c r="KQS16" s="133"/>
      <c r="KQT16" s="133"/>
      <c r="KQU16" s="133"/>
      <c r="KQV16" s="133"/>
      <c r="KQW16" s="133"/>
      <c r="KQX16" s="133"/>
      <c r="KQY16" s="133"/>
      <c r="KQZ16" s="133"/>
      <c r="KRA16" s="133"/>
      <c r="KRB16" s="136"/>
      <c r="KRC16" s="137"/>
      <c r="KRD16" s="136"/>
      <c r="KRE16" s="137"/>
      <c r="KRF16" s="133"/>
      <c r="KRG16" s="133"/>
      <c r="KRH16" s="133"/>
      <c r="KRI16" s="133"/>
      <c r="KRJ16" s="133"/>
      <c r="KRK16" s="133"/>
      <c r="KRL16" s="133"/>
      <c r="KRM16" s="133"/>
      <c r="KRN16" s="133"/>
      <c r="KRO16" s="133"/>
      <c r="KRP16" s="133"/>
      <c r="KRQ16" s="133"/>
      <c r="KRR16" s="136"/>
      <c r="KRS16" s="137"/>
      <c r="KRT16" s="136"/>
      <c r="KRU16" s="137"/>
      <c r="KRV16" s="133"/>
      <c r="KRW16" s="133"/>
      <c r="KRX16" s="133"/>
      <c r="KRY16" s="133"/>
      <c r="KRZ16" s="133"/>
      <c r="KSA16" s="133"/>
      <c r="KSB16" s="133"/>
      <c r="KSC16" s="133"/>
      <c r="KSD16" s="133"/>
      <c r="KSE16" s="133"/>
      <c r="KSF16" s="133"/>
      <c r="KSG16" s="133"/>
      <c r="KSH16" s="136"/>
      <c r="KSI16" s="137"/>
      <c r="KSJ16" s="136"/>
      <c r="KSK16" s="137"/>
      <c r="KSL16" s="133"/>
      <c r="KSM16" s="133"/>
      <c r="KSN16" s="133"/>
      <c r="KSO16" s="133"/>
      <c r="KSP16" s="133"/>
      <c r="KSQ16" s="133"/>
      <c r="KSR16" s="133"/>
      <c r="KSS16" s="133"/>
      <c r="KST16" s="133"/>
      <c r="KSU16" s="133"/>
      <c r="KSV16" s="133"/>
      <c r="KSW16" s="133"/>
      <c r="KSX16" s="136"/>
      <c r="KSY16" s="137"/>
      <c r="KSZ16" s="136"/>
      <c r="KTA16" s="137"/>
      <c r="KTB16" s="133"/>
      <c r="KTC16" s="133"/>
      <c r="KTD16" s="133"/>
      <c r="KTE16" s="133"/>
      <c r="KTF16" s="133"/>
      <c r="KTG16" s="133"/>
      <c r="KTH16" s="133"/>
      <c r="KTI16" s="133"/>
      <c r="KTJ16" s="133"/>
      <c r="KTK16" s="133"/>
      <c r="KTL16" s="133"/>
      <c r="KTM16" s="133"/>
      <c r="KTN16" s="136"/>
      <c r="KTO16" s="137"/>
      <c r="KTP16" s="136"/>
      <c r="KTQ16" s="137"/>
      <c r="KTR16" s="133"/>
      <c r="KTS16" s="133"/>
      <c r="KTT16" s="133"/>
      <c r="KTU16" s="133"/>
      <c r="KTV16" s="133"/>
      <c r="KTW16" s="133"/>
      <c r="KTX16" s="133"/>
      <c r="KTY16" s="133"/>
      <c r="KTZ16" s="133"/>
      <c r="KUA16" s="133"/>
      <c r="KUB16" s="133"/>
      <c r="KUC16" s="133"/>
      <c r="KUD16" s="136"/>
      <c r="KUE16" s="137"/>
      <c r="KUF16" s="136"/>
      <c r="KUG16" s="137"/>
      <c r="KUH16" s="133"/>
      <c r="KUI16" s="133"/>
      <c r="KUJ16" s="133"/>
      <c r="KUK16" s="133"/>
      <c r="KUL16" s="133"/>
      <c r="KUM16" s="133"/>
      <c r="KUN16" s="133"/>
      <c r="KUO16" s="133"/>
      <c r="KUP16" s="133"/>
      <c r="KUQ16" s="133"/>
      <c r="KUR16" s="133"/>
      <c r="KUS16" s="133"/>
      <c r="KUT16" s="136"/>
      <c r="KUU16" s="137"/>
      <c r="KUV16" s="136"/>
      <c r="KUW16" s="137"/>
      <c r="KUX16" s="133"/>
      <c r="KUY16" s="133"/>
      <c r="KUZ16" s="133"/>
      <c r="KVA16" s="133"/>
      <c r="KVB16" s="133"/>
      <c r="KVC16" s="133"/>
      <c r="KVD16" s="133"/>
      <c r="KVE16" s="133"/>
      <c r="KVF16" s="133"/>
      <c r="KVG16" s="133"/>
      <c r="KVH16" s="133"/>
      <c r="KVI16" s="133"/>
      <c r="KVJ16" s="136"/>
      <c r="KVK16" s="137"/>
      <c r="KVL16" s="136"/>
      <c r="KVM16" s="137"/>
      <c r="KVN16" s="133"/>
      <c r="KVO16" s="133"/>
      <c r="KVP16" s="133"/>
      <c r="KVQ16" s="133"/>
      <c r="KVR16" s="133"/>
      <c r="KVS16" s="133"/>
      <c r="KVT16" s="133"/>
      <c r="KVU16" s="133"/>
      <c r="KVV16" s="133"/>
      <c r="KVW16" s="133"/>
      <c r="KVX16" s="133"/>
      <c r="KVY16" s="133"/>
      <c r="KVZ16" s="136"/>
      <c r="KWA16" s="137"/>
      <c r="KWB16" s="136"/>
      <c r="KWC16" s="137"/>
      <c r="KWD16" s="133"/>
      <c r="KWE16" s="133"/>
      <c r="KWF16" s="133"/>
      <c r="KWG16" s="133"/>
      <c r="KWH16" s="133"/>
      <c r="KWI16" s="133"/>
      <c r="KWJ16" s="133"/>
      <c r="KWK16" s="133"/>
      <c r="KWL16" s="133"/>
      <c r="KWM16" s="133"/>
      <c r="KWN16" s="133"/>
      <c r="KWO16" s="133"/>
      <c r="KWP16" s="136"/>
      <c r="KWQ16" s="137"/>
      <c r="KWR16" s="136"/>
      <c r="KWS16" s="137"/>
      <c r="KWT16" s="133"/>
      <c r="KWU16" s="133"/>
      <c r="KWV16" s="133"/>
      <c r="KWW16" s="133"/>
      <c r="KWX16" s="133"/>
      <c r="KWY16" s="133"/>
      <c r="KWZ16" s="133"/>
      <c r="KXA16" s="133"/>
      <c r="KXB16" s="133"/>
      <c r="KXC16" s="133"/>
      <c r="KXD16" s="133"/>
      <c r="KXE16" s="133"/>
      <c r="KXF16" s="136"/>
      <c r="KXG16" s="137"/>
      <c r="KXH16" s="136"/>
      <c r="KXI16" s="137"/>
      <c r="KXJ16" s="133"/>
      <c r="KXK16" s="133"/>
      <c r="KXL16" s="133"/>
      <c r="KXM16" s="133"/>
      <c r="KXN16" s="133"/>
      <c r="KXO16" s="133"/>
      <c r="KXP16" s="133"/>
      <c r="KXQ16" s="133"/>
      <c r="KXR16" s="133"/>
      <c r="KXS16" s="133"/>
      <c r="KXT16" s="133"/>
      <c r="KXU16" s="133"/>
      <c r="KXV16" s="136"/>
      <c r="KXW16" s="137"/>
      <c r="KXX16" s="136"/>
      <c r="KXY16" s="137"/>
      <c r="KXZ16" s="133"/>
      <c r="KYA16" s="133"/>
      <c r="KYB16" s="133"/>
      <c r="KYC16" s="133"/>
      <c r="KYD16" s="133"/>
      <c r="KYE16" s="133"/>
      <c r="KYF16" s="133"/>
      <c r="KYG16" s="133"/>
      <c r="KYH16" s="133"/>
      <c r="KYI16" s="133"/>
      <c r="KYJ16" s="133"/>
      <c r="KYK16" s="133"/>
      <c r="KYL16" s="136"/>
      <c r="KYM16" s="137"/>
      <c r="KYN16" s="136"/>
      <c r="KYO16" s="137"/>
      <c r="KYP16" s="133"/>
      <c r="KYQ16" s="133"/>
      <c r="KYR16" s="133"/>
      <c r="KYS16" s="133"/>
      <c r="KYT16" s="133"/>
      <c r="KYU16" s="133"/>
      <c r="KYV16" s="133"/>
      <c r="KYW16" s="133"/>
      <c r="KYX16" s="133"/>
      <c r="KYY16" s="133"/>
      <c r="KYZ16" s="133"/>
      <c r="KZA16" s="133"/>
      <c r="KZB16" s="136"/>
      <c r="KZC16" s="137"/>
      <c r="KZD16" s="136"/>
      <c r="KZE16" s="137"/>
      <c r="KZF16" s="133"/>
      <c r="KZG16" s="133"/>
      <c r="KZH16" s="133"/>
      <c r="KZI16" s="133"/>
      <c r="KZJ16" s="133"/>
      <c r="KZK16" s="133"/>
      <c r="KZL16" s="133"/>
      <c r="KZM16" s="133"/>
      <c r="KZN16" s="133"/>
      <c r="KZO16" s="133"/>
      <c r="KZP16" s="133"/>
      <c r="KZQ16" s="133"/>
      <c r="KZR16" s="136"/>
      <c r="KZS16" s="137"/>
      <c r="KZT16" s="136"/>
      <c r="KZU16" s="137"/>
      <c r="KZV16" s="133"/>
      <c r="KZW16" s="133"/>
      <c r="KZX16" s="133"/>
      <c r="KZY16" s="133"/>
      <c r="KZZ16" s="133"/>
      <c r="LAA16" s="133"/>
      <c r="LAB16" s="133"/>
      <c r="LAC16" s="133"/>
      <c r="LAD16" s="133"/>
      <c r="LAE16" s="133"/>
      <c r="LAF16" s="133"/>
      <c r="LAG16" s="133"/>
      <c r="LAH16" s="136"/>
      <c r="LAI16" s="137"/>
      <c r="LAJ16" s="136"/>
      <c r="LAK16" s="137"/>
      <c r="LAL16" s="133"/>
      <c r="LAM16" s="133"/>
      <c r="LAN16" s="133"/>
      <c r="LAO16" s="133"/>
      <c r="LAP16" s="133"/>
      <c r="LAQ16" s="133"/>
      <c r="LAR16" s="133"/>
      <c r="LAS16" s="133"/>
      <c r="LAT16" s="133"/>
      <c r="LAU16" s="133"/>
      <c r="LAV16" s="133"/>
      <c r="LAW16" s="133"/>
      <c r="LAX16" s="136"/>
      <c r="LAY16" s="137"/>
      <c r="LAZ16" s="136"/>
      <c r="LBA16" s="137"/>
      <c r="LBB16" s="133"/>
      <c r="LBC16" s="133"/>
      <c r="LBD16" s="133"/>
      <c r="LBE16" s="133"/>
      <c r="LBF16" s="133"/>
      <c r="LBG16" s="133"/>
      <c r="LBH16" s="133"/>
      <c r="LBI16" s="133"/>
      <c r="LBJ16" s="133"/>
      <c r="LBK16" s="133"/>
      <c r="LBL16" s="133"/>
      <c r="LBM16" s="133"/>
      <c r="LBN16" s="136"/>
      <c r="LBO16" s="137"/>
      <c r="LBP16" s="136"/>
      <c r="LBQ16" s="137"/>
      <c r="LCD16" s="136"/>
      <c r="LCE16" s="137"/>
      <c r="LCF16" s="136"/>
      <c r="LCG16" s="137"/>
      <c r="LCH16" s="133"/>
      <c r="LCI16" s="133"/>
      <c r="LCJ16" s="133"/>
      <c r="LCK16" s="133"/>
      <c r="LCL16" s="133"/>
      <c r="LCM16" s="133"/>
      <c r="LCN16" s="133"/>
      <c r="LCO16" s="133"/>
      <c r="LCP16" s="133"/>
      <c r="LCQ16" s="133"/>
      <c r="LCR16" s="133"/>
      <c r="LCS16" s="133"/>
      <c r="LCT16" s="136"/>
      <c r="LCU16" s="137"/>
      <c r="LCV16" s="136"/>
      <c r="LCW16" s="137"/>
      <c r="LCX16" s="133"/>
      <c r="LCY16" s="133"/>
      <c r="LCZ16" s="133"/>
      <c r="LDA16" s="133"/>
      <c r="LDB16" s="133"/>
      <c r="LDC16" s="133"/>
      <c r="LDD16" s="133"/>
      <c r="LDE16" s="133"/>
      <c r="LDF16" s="133"/>
      <c r="LDG16" s="133"/>
      <c r="LDH16" s="133"/>
      <c r="LDI16" s="133"/>
      <c r="LDJ16" s="136"/>
      <c r="LDK16" s="137"/>
      <c r="LDL16" s="136"/>
      <c r="LDM16" s="137"/>
      <c r="LDN16" s="133"/>
      <c r="LDO16" s="133"/>
      <c r="LDP16" s="133"/>
      <c r="LDQ16" s="133"/>
      <c r="LDR16" s="133"/>
      <c r="LDS16" s="133"/>
      <c r="LDT16" s="133"/>
      <c r="LDU16" s="133"/>
      <c r="LDV16" s="133"/>
      <c r="LDW16" s="133"/>
      <c r="LDX16" s="133"/>
      <c r="LDY16" s="133"/>
      <c r="LDZ16" s="136"/>
      <c r="LEA16" s="137"/>
      <c r="LEB16" s="136"/>
      <c r="LEC16" s="137"/>
      <c r="LED16" s="133"/>
      <c r="LEE16" s="133"/>
      <c r="LEF16" s="133"/>
      <c r="LEG16" s="133"/>
      <c r="LEH16" s="133"/>
      <c r="LEI16" s="133"/>
      <c r="LEJ16" s="133"/>
      <c r="LEK16" s="133"/>
      <c r="LEL16" s="133"/>
      <c r="LEM16" s="133"/>
      <c r="LEN16" s="133"/>
      <c r="LEO16" s="133"/>
      <c r="LEP16" s="136"/>
      <c r="LEQ16" s="137"/>
      <c r="LER16" s="136"/>
      <c r="LES16" s="137"/>
      <c r="LET16" s="133"/>
      <c r="LEU16" s="133"/>
      <c r="LEV16" s="133"/>
      <c r="LEW16" s="133"/>
      <c r="LEX16" s="133"/>
      <c r="LEY16" s="133"/>
      <c r="LEZ16" s="133"/>
      <c r="LFA16" s="133"/>
      <c r="LFB16" s="133"/>
      <c r="LFC16" s="133"/>
      <c r="LFD16" s="133"/>
      <c r="LFE16" s="133"/>
      <c r="LFF16" s="136"/>
      <c r="LFG16" s="137"/>
      <c r="LFH16" s="136"/>
      <c r="LFI16" s="137"/>
      <c r="LFJ16" s="133"/>
      <c r="LFK16" s="133"/>
      <c r="LFL16" s="133"/>
      <c r="LFM16" s="133"/>
      <c r="LFN16" s="133"/>
      <c r="LFO16" s="133"/>
      <c r="LFP16" s="133"/>
      <c r="LFQ16" s="133"/>
      <c r="LFR16" s="133"/>
      <c r="LFS16" s="133"/>
      <c r="LFT16" s="133"/>
      <c r="LFU16" s="133"/>
      <c r="LFV16" s="136"/>
      <c r="LFW16" s="137"/>
      <c r="LFX16" s="136"/>
      <c r="LFY16" s="137"/>
      <c r="LFZ16" s="133"/>
      <c r="LGA16" s="133"/>
      <c r="LGB16" s="133"/>
      <c r="LGC16" s="133"/>
      <c r="LGD16" s="133"/>
      <c r="LGE16" s="133"/>
      <c r="LGF16" s="133"/>
      <c r="LGG16" s="133"/>
      <c r="LGH16" s="133"/>
      <c r="LGI16" s="133"/>
      <c r="LGJ16" s="133"/>
      <c r="LGK16" s="133"/>
      <c r="LGL16" s="136"/>
      <c r="LGM16" s="137"/>
      <c r="LGN16" s="136"/>
      <c r="LGO16" s="137"/>
      <c r="LGP16" s="133"/>
      <c r="LGQ16" s="133"/>
      <c r="LGR16" s="133"/>
      <c r="LGS16" s="133"/>
      <c r="LGT16" s="133"/>
      <c r="LGU16" s="133"/>
      <c r="LGV16" s="133"/>
      <c r="LGW16" s="133"/>
      <c r="LGX16" s="133"/>
      <c r="LGY16" s="133"/>
      <c r="LGZ16" s="133"/>
      <c r="LHA16" s="133"/>
      <c r="LHB16" s="136"/>
      <c r="LHC16" s="137"/>
      <c r="LHD16" s="136"/>
      <c r="LHE16" s="137"/>
      <c r="LHF16" s="133"/>
      <c r="LHG16" s="133"/>
      <c r="LHH16" s="133"/>
      <c r="LHI16" s="133"/>
      <c r="LHJ16" s="133"/>
      <c r="LHK16" s="133"/>
      <c r="LHL16" s="133"/>
      <c r="LHM16" s="133"/>
      <c r="LHN16" s="133"/>
      <c r="LHO16" s="133"/>
      <c r="LHP16" s="133"/>
      <c r="LHQ16" s="133"/>
      <c r="LHR16" s="136"/>
      <c r="LHS16" s="137"/>
      <c r="LHT16" s="136"/>
      <c r="LHU16" s="137"/>
      <c r="LHV16" s="133"/>
      <c r="LHW16" s="133"/>
      <c r="LHX16" s="133"/>
      <c r="LHY16" s="133"/>
      <c r="LHZ16" s="133"/>
      <c r="LIA16" s="133"/>
      <c r="LIB16" s="133"/>
      <c r="LIC16" s="133"/>
      <c r="LID16" s="133"/>
      <c r="LIE16" s="133"/>
      <c r="LIF16" s="133"/>
      <c r="LIG16" s="133"/>
      <c r="LIH16" s="136"/>
      <c r="LII16" s="137"/>
      <c r="LIJ16" s="136"/>
      <c r="LIK16" s="137"/>
      <c r="LIL16" s="133"/>
      <c r="LIM16" s="133"/>
      <c r="LIN16" s="133"/>
      <c r="LIO16" s="133"/>
      <c r="LIP16" s="133"/>
      <c r="LIQ16" s="133"/>
      <c r="LIR16" s="133"/>
      <c r="LIS16" s="133"/>
      <c r="LIT16" s="133"/>
      <c r="LIU16" s="133"/>
      <c r="LIV16" s="133"/>
      <c r="LIW16" s="133"/>
      <c r="LIX16" s="136"/>
      <c r="LIY16" s="137"/>
      <c r="LIZ16" s="136"/>
      <c r="LJA16" s="137"/>
      <c r="LJB16" s="133"/>
      <c r="LJC16" s="133"/>
      <c r="LJD16" s="133"/>
      <c r="LJE16" s="133"/>
      <c r="LJF16" s="133"/>
      <c r="LJG16" s="133"/>
      <c r="LJH16" s="133"/>
      <c r="LJI16" s="133"/>
      <c r="LJJ16" s="133"/>
      <c r="LJK16" s="133"/>
      <c r="LJL16" s="133"/>
      <c r="LJM16" s="133"/>
      <c r="LJN16" s="136"/>
      <c r="LJO16" s="137"/>
      <c r="LJP16" s="136"/>
      <c r="LJQ16" s="137"/>
      <c r="LJR16" s="133"/>
      <c r="LJS16" s="133"/>
      <c r="LJT16" s="133"/>
      <c r="LJU16" s="133"/>
      <c r="LJV16" s="133"/>
      <c r="LJW16" s="133"/>
      <c r="LJX16" s="133"/>
      <c r="LJY16" s="133"/>
      <c r="LJZ16" s="133"/>
      <c r="LKA16" s="133"/>
      <c r="LKB16" s="133"/>
      <c r="LKC16" s="133"/>
      <c r="LKD16" s="136"/>
      <c r="LKE16" s="137"/>
      <c r="LKF16" s="136"/>
      <c r="LKG16" s="137"/>
      <c r="LKH16" s="133"/>
      <c r="LKI16" s="133"/>
      <c r="LKJ16" s="133"/>
      <c r="LKK16" s="133"/>
      <c r="LKL16" s="133"/>
      <c r="LKM16" s="133"/>
      <c r="LKN16" s="133"/>
      <c r="LKO16" s="133"/>
      <c r="LKP16" s="133"/>
      <c r="LKQ16" s="133"/>
      <c r="LKR16" s="133"/>
      <c r="LKS16" s="133"/>
      <c r="LKT16" s="136"/>
      <c r="LKU16" s="137"/>
      <c r="LKV16" s="136"/>
      <c r="LKW16" s="137"/>
      <c r="LKX16" s="133"/>
      <c r="LKY16" s="133"/>
      <c r="LKZ16" s="133"/>
      <c r="LLA16" s="133"/>
      <c r="LLB16" s="133"/>
      <c r="LLC16" s="133"/>
      <c r="LLD16" s="133"/>
      <c r="LLE16" s="133"/>
      <c r="LLF16" s="133"/>
      <c r="LLG16" s="133"/>
      <c r="LLH16" s="133"/>
      <c r="LLI16" s="133"/>
      <c r="LLJ16" s="136"/>
      <c r="LLK16" s="137"/>
      <c r="LLL16" s="136"/>
      <c r="LLM16" s="137"/>
      <c r="LLN16" s="133"/>
      <c r="LLO16" s="133"/>
      <c r="LLP16" s="133"/>
      <c r="LLQ16" s="133"/>
      <c r="LLR16" s="133"/>
      <c r="LLS16" s="133"/>
      <c r="LLT16" s="133"/>
      <c r="LLU16" s="133"/>
      <c r="LLV16" s="133"/>
      <c r="LLW16" s="133"/>
      <c r="LLX16" s="133"/>
      <c r="LLY16" s="133"/>
      <c r="LLZ16" s="136"/>
      <c r="LMA16" s="137"/>
      <c r="LMB16" s="136"/>
      <c r="LMC16" s="137"/>
      <c r="LMD16" s="133"/>
      <c r="LME16" s="133"/>
      <c r="LMF16" s="133"/>
      <c r="LMG16" s="133"/>
      <c r="LMH16" s="133"/>
      <c r="LMI16" s="133"/>
      <c r="LMJ16" s="133"/>
      <c r="LMK16" s="133"/>
      <c r="LML16" s="133"/>
      <c r="LMM16" s="133"/>
      <c r="LMN16" s="133"/>
      <c r="LMO16" s="133"/>
      <c r="LMP16" s="136"/>
      <c r="LMQ16" s="137"/>
      <c r="LMR16" s="136"/>
      <c r="LMS16" s="137"/>
      <c r="LMT16" s="133"/>
      <c r="LMU16" s="133"/>
      <c r="LMV16" s="133"/>
      <c r="LMW16" s="133"/>
      <c r="LMX16" s="133"/>
      <c r="LMY16" s="133"/>
      <c r="LMZ16" s="133"/>
      <c r="LNA16" s="133"/>
      <c r="LNB16" s="133"/>
      <c r="LNC16" s="133"/>
      <c r="LND16" s="133"/>
      <c r="LNE16" s="133"/>
      <c r="LNF16" s="136"/>
      <c r="LNG16" s="137"/>
      <c r="LNH16" s="136"/>
      <c r="LNI16" s="137"/>
      <c r="LNJ16" s="133"/>
      <c r="LNK16" s="133"/>
      <c r="LNL16" s="133"/>
      <c r="LNM16" s="133"/>
      <c r="LNN16" s="133"/>
      <c r="LNO16" s="133"/>
      <c r="LNP16" s="133"/>
      <c r="LNQ16" s="133"/>
      <c r="LNR16" s="133"/>
      <c r="LNS16" s="133"/>
      <c r="LNT16" s="133"/>
      <c r="LNU16" s="133"/>
      <c r="LNV16" s="136"/>
      <c r="LNW16" s="137"/>
      <c r="LNX16" s="136"/>
      <c r="LNY16" s="137"/>
      <c r="LNZ16" s="133"/>
      <c r="LOA16" s="133"/>
      <c r="LOB16" s="133"/>
      <c r="LOC16" s="133"/>
      <c r="LOD16" s="133"/>
      <c r="LOE16" s="133"/>
      <c r="LOF16" s="133"/>
      <c r="LOG16" s="133"/>
      <c r="LOH16" s="133"/>
      <c r="LOI16" s="133"/>
      <c r="LOJ16" s="133"/>
      <c r="LOK16" s="133"/>
      <c r="LOL16" s="136"/>
      <c r="LOM16" s="137"/>
      <c r="LON16" s="136"/>
      <c r="LOO16" s="137"/>
      <c r="LOP16" s="133"/>
      <c r="LOQ16" s="133"/>
      <c r="LOR16" s="133"/>
      <c r="LOS16" s="133"/>
      <c r="LOT16" s="133"/>
      <c r="LOU16" s="133"/>
      <c r="LOV16" s="133"/>
      <c r="LOW16" s="133"/>
      <c r="LOX16" s="133"/>
      <c r="LOY16" s="133"/>
      <c r="LOZ16" s="133"/>
      <c r="LPA16" s="133"/>
      <c r="LPB16" s="136"/>
      <c r="LPC16" s="137"/>
      <c r="LPD16" s="136"/>
      <c r="LPE16" s="137"/>
      <c r="LPF16" s="133"/>
      <c r="LPG16" s="133"/>
      <c r="LPH16" s="133"/>
      <c r="LPI16" s="133"/>
      <c r="LPJ16" s="133"/>
      <c r="LPK16" s="133"/>
      <c r="LPL16" s="133"/>
      <c r="LPM16" s="133"/>
      <c r="LPN16" s="133"/>
      <c r="LPO16" s="133"/>
      <c r="LPP16" s="133"/>
      <c r="LPQ16" s="133"/>
      <c r="LPR16" s="136"/>
      <c r="LPS16" s="137"/>
      <c r="LPT16" s="136"/>
      <c r="LPU16" s="137"/>
      <c r="LPV16" s="133"/>
      <c r="LPW16" s="133"/>
      <c r="LPX16" s="133"/>
      <c r="LPY16" s="133"/>
      <c r="LPZ16" s="133"/>
      <c r="LQA16" s="133"/>
      <c r="LQB16" s="133"/>
      <c r="LQC16" s="133"/>
      <c r="LQD16" s="133"/>
      <c r="LQE16" s="133"/>
      <c r="LQF16" s="133"/>
      <c r="LQG16" s="133"/>
      <c r="LQH16" s="136"/>
      <c r="LQI16" s="137"/>
      <c r="LQJ16" s="136"/>
      <c r="LQK16" s="137"/>
      <c r="LQL16" s="133"/>
      <c r="LQM16" s="133"/>
      <c r="LQN16" s="133"/>
      <c r="LQO16" s="133"/>
      <c r="LQP16" s="133"/>
      <c r="LQQ16" s="133"/>
      <c r="LQR16" s="133"/>
      <c r="LQS16" s="133"/>
      <c r="LQT16" s="133"/>
      <c r="LQU16" s="133"/>
      <c r="LQV16" s="133"/>
      <c r="LQW16" s="133"/>
      <c r="LQX16" s="136"/>
      <c r="LQY16" s="137"/>
      <c r="LQZ16" s="136"/>
      <c r="LRA16" s="137"/>
      <c r="LRB16" s="133"/>
      <c r="LRC16" s="133"/>
      <c r="LRD16" s="133"/>
      <c r="LRE16" s="133"/>
      <c r="LRF16" s="133"/>
      <c r="LRG16" s="133"/>
      <c r="LRH16" s="133"/>
      <c r="LRI16" s="133"/>
      <c r="LRJ16" s="133"/>
      <c r="LRK16" s="133"/>
      <c r="LRL16" s="133"/>
      <c r="LRM16" s="133"/>
      <c r="LRN16" s="136"/>
      <c r="LRO16" s="137"/>
      <c r="LRP16" s="136"/>
      <c r="LRQ16" s="137"/>
      <c r="LRR16" s="133"/>
      <c r="LRS16" s="133"/>
      <c r="LRT16" s="133"/>
      <c r="LRU16" s="133"/>
      <c r="LRV16" s="133"/>
      <c r="LRW16" s="133"/>
      <c r="LRX16" s="133"/>
      <c r="LRY16" s="133"/>
      <c r="LRZ16" s="133"/>
      <c r="LSA16" s="133"/>
      <c r="LSB16" s="133"/>
      <c r="LSC16" s="133"/>
      <c r="LSD16" s="136"/>
      <c r="LSE16" s="137"/>
      <c r="LSF16" s="136"/>
      <c r="LSG16" s="137"/>
      <c r="LSH16" s="133"/>
      <c r="LSI16" s="133"/>
      <c r="LSJ16" s="133"/>
      <c r="LSK16" s="133"/>
      <c r="LSL16" s="133"/>
      <c r="LSM16" s="133"/>
      <c r="LSN16" s="133"/>
      <c r="LSO16" s="133"/>
      <c r="LSP16" s="133"/>
      <c r="LSQ16" s="133"/>
      <c r="LSR16" s="133"/>
      <c r="LSS16" s="133"/>
      <c r="LST16" s="136"/>
      <c r="LSU16" s="137"/>
      <c r="LSV16" s="136"/>
      <c r="LSW16" s="137"/>
      <c r="LSX16" s="133"/>
      <c r="LSY16" s="133"/>
      <c r="LSZ16" s="133"/>
      <c r="LTA16" s="133"/>
      <c r="LTB16" s="133"/>
      <c r="LTC16" s="133"/>
      <c r="LTD16" s="133"/>
      <c r="LTE16" s="133"/>
      <c r="LTF16" s="133"/>
      <c r="LTG16" s="133"/>
      <c r="LTH16" s="133"/>
      <c r="LTI16" s="133"/>
      <c r="LTJ16" s="136"/>
      <c r="LTK16" s="137"/>
      <c r="LTL16" s="136"/>
      <c r="LTM16" s="137"/>
      <c r="LTN16" s="133"/>
      <c r="LTO16" s="133"/>
      <c r="LTP16" s="133"/>
      <c r="LTQ16" s="133"/>
      <c r="LTR16" s="133"/>
      <c r="LTS16" s="133"/>
      <c r="LTT16" s="133"/>
      <c r="LTU16" s="133"/>
      <c r="LTV16" s="133"/>
      <c r="LTW16" s="133"/>
      <c r="LTX16" s="133"/>
      <c r="LTY16" s="133"/>
      <c r="LTZ16" s="136"/>
      <c r="LUA16" s="137"/>
      <c r="LUB16" s="136"/>
      <c r="LUC16" s="137"/>
      <c r="LUD16" s="133"/>
      <c r="LUE16" s="133"/>
      <c r="LUF16" s="133"/>
      <c r="LUG16" s="133"/>
      <c r="LUH16" s="133"/>
      <c r="LUI16" s="133"/>
      <c r="LUJ16" s="133"/>
      <c r="LUK16" s="133"/>
      <c r="LUL16" s="133"/>
      <c r="LUM16" s="133"/>
      <c r="LUN16" s="133"/>
      <c r="LUO16" s="133"/>
      <c r="LUP16" s="136"/>
      <c r="LUQ16" s="137"/>
      <c r="LUR16" s="136"/>
      <c r="LUS16" s="137"/>
      <c r="LUT16" s="133"/>
      <c r="LUU16" s="133"/>
      <c r="LUV16" s="133"/>
      <c r="LUW16" s="133"/>
      <c r="LUX16" s="133"/>
      <c r="LUY16" s="133"/>
      <c r="LUZ16" s="133"/>
      <c r="LVA16" s="133"/>
      <c r="LVB16" s="133"/>
      <c r="LVC16" s="133"/>
      <c r="LVD16" s="133"/>
      <c r="LVE16" s="133"/>
      <c r="LVF16" s="136"/>
      <c r="LVG16" s="137"/>
      <c r="LVH16" s="136"/>
      <c r="LVI16" s="137"/>
      <c r="LVJ16" s="133"/>
      <c r="LVK16" s="133"/>
      <c r="LVL16" s="133"/>
      <c r="LVM16" s="133"/>
      <c r="LVN16" s="133"/>
      <c r="LVO16" s="133"/>
      <c r="LVP16" s="133"/>
      <c r="LVQ16" s="133"/>
      <c r="LVR16" s="133"/>
      <c r="LVS16" s="133"/>
      <c r="LVT16" s="133"/>
      <c r="LVU16" s="133"/>
      <c r="LVV16" s="136"/>
      <c r="LVW16" s="137"/>
      <c r="LVX16" s="136"/>
      <c r="LVY16" s="137"/>
      <c r="LVZ16" s="133"/>
      <c r="LWA16" s="133"/>
      <c r="LWB16" s="133"/>
      <c r="LWC16" s="133"/>
      <c r="LWD16" s="133"/>
      <c r="LWE16" s="133"/>
      <c r="LWF16" s="133"/>
      <c r="LWG16" s="133"/>
      <c r="LWH16" s="133"/>
      <c r="LWI16" s="133"/>
      <c r="LWJ16" s="133"/>
      <c r="LWK16" s="133"/>
      <c r="LWL16" s="136"/>
      <c r="LWM16" s="137"/>
      <c r="LWN16" s="136"/>
      <c r="LWO16" s="137"/>
      <c r="LWP16" s="133"/>
      <c r="LWQ16" s="133"/>
      <c r="LWR16" s="133"/>
      <c r="LWS16" s="133"/>
      <c r="LWT16" s="133"/>
      <c r="LWU16" s="133"/>
      <c r="LWV16" s="133"/>
      <c r="LWW16" s="133"/>
      <c r="LWX16" s="133"/>
      <c r="LWY16" s="133"/>
      <c r="LWZ16" s="133"/>
      <c r="LXA16" s="133"/>
      <c r="LXB16" s="136"/>
      <c r="LXC16" s="137"/>
      <c r="LXD16" s="136"/>
      <c r="LXE16" s="137"/>
      <c r="LXF16" s="133"/>
      <c r="LXG16" s="133"/>
      <c r="LXH16" s="133"/>
      <c r="LXI16" s="133"/>
      <c r="LXJ16" s="133"/>
      <c r="LXK16" s="133"/>
      <c r="LXL16" s="133"/>
      <c r="LXM16" s="133"/>
      <c r="LXN16" s="133"/>
      <c r="LXO16" s="133"/>
      <c r="LXP16" s="133"/>
      <c r="LXQ16" s="133"/>
      <c r="LXR16" s="136"/>
      <c r="LXS16" s="137"/>
      <c r="LXT16" s="136"/>
      <c r="LXU16" s="137"/>
      <c r="LXV16" s="133"/>
      <c r="LXW16" s="133"/>
      <c r="LXX16" s="133"/>
      <c r="LXY16" s="133"/>
      <c r="LXZ16" s="133"/>
      <c r="LYA16" s="133"/>
      <c r="LYB16" s="133"/>
      <c r="LYC16" s="133"/>
      <c r="LYD16" s="133"/>
      <c r="LYE16" s="133"/>
      <c r="LYF16" s="133"/>
      <c r="LYG16" s="133"/>
      <c r="LYH16" s="136"/>
      <c r="LYI16" s="137"/>
      <c r="LYJ16" s="136"/>
      <c r="LYK16" s="137"/>
      <c r="LYL16" s="133"/>
      <c r="LYM16" s="133"/>
      <c r="LYN16" s="133"/>
      <c r="LYO16" s="133"/>
      <c r="LYP16" s="133"/>
      <c r="LYQ16" s="133"/>
      <c r="LYR16" s="133"/>
      <c r="LYS16" s="133"/>
      <c r="LYT16" s="133"/>
      <c r="LYU16" s="133"/>
      <c r="LYV16" s="133"/>
      <c r="LYW16" s="133"/>
      <c r="LYX16" s="136"/>
      <c r="LYY16" s="137"/>
      <c r="LYZ16" s="136"/>
      <c r="LZA16" s="137"/>
      <c r="LZB16" s="133"/>
      <c r="LZC16" s="133"/>
      <c r="LZD16" s="133"/>
      <c r="LZE16" s="133"/>
      <c r="LZF16" s="133"/>
      <c r="LZG16" s="133"/>
      <c r="LZH16" s="133"/>
      <c r="LZI16" s="133"/>
      <c r="LZJ16" s="133"/>
      <c r="LZK16" s="133"/>
      <c r="LZL16" s="133"/>
      <c r="LZM16" s="133"/>
      <c r="LZN16" s="136"/>
      <c r="LZO16" s="137"/>
      <c r="LZP16" s="136"/>
      <c r="LZQ16" s="137"/>
      <c r="LZR16" s="133"/>
      <c r="LZS16" s="133"/>
      <c r="LZT16" s="133"/>
      <c r="LZU16" s="133"/>
      <c r="LZV16" s="133"/>
      <c r="LZW16" s="133"/>
      <c r="LZX16" s="133"/>
      <c r="LZY16" s="133"/>
      <c r="LZZ16" s="133"/>
      <c r="MAA16" s="133"/>
      <c r="MAB16" s="133"/>
      <c r="MAC16" s="133"/>
      <c r="MAD16" s="136"/>
      <c r="MAE16" s="137"/>
      <c r="MAF16" s="136"/>
      <c r="MAG16" s="137"/>
      <c r="MAH16" s="133"/>
      <c r="MAI16" s="133"/>
      <c r="MAJ16" s="133"/>
      <c r="MAK16" s="133"/>
      <c r="MAL16" s="133"/>
      <c r="MAM16" s="133"/>
      <c r="MAN16" s="133"/>
      <c r="MAO16" s="133"/>
      <c r="MAP16" s="133"/>
      <c r="MAQ16" s="133"/>
      <c r="MAR16" s="133"/>
      <c r="MAS16" s="133"/>
      <c r="MAT16" s="136"/>
      <c r="MAU16" s="137"/>
      <c r="MAV16" s="136"/>
      <c r="MAW16" s="137"/>
      <c r="MAX16" s="133"/>
      <c r="MAY16" s="133"/>
      <c r="MAZ16" s="133"/>
      <c r="MBA16" s="133"/>
      <c r="MBB16" s="133"/>
      <c r="MBC16" s="133"/>
      <c r="MBD16" s="133"/>
      <c r="MBE16" s="133"/>
      <c r="MBF16" s="133"/>
      <c r="MBG16" s="133"/>
      <c r="MBH16" s="133"/>
      <c r="MBI16" s="133"/>
      <c r="MBJ16" s="136"/>
      <c r="MBK16" s="137"/>
      <c r="MBL16" s="136"/>
      <c r="MBM16" s="137"/>
      <c r="MBN16" s="133"/>
      <c r="MBO16" s="133"/>
      <c r="MBP16" s="133"/>
      <c r="MBQ16" s="133"/>
      <c r="MBR16" s="133"/>
      <c r="MBS16" s="133"/>
      <c r="MBT16" s="133"/>
      <c r="MBU16" s="133"/>
      <c r="MBV16" s="133"/>
      <c r="MBW16" s="133"/>
      <c r="MBX16" s="133"/>
      <c r="MBY16" s="133"/>
      <c r="MBZ16" s="136"/>
      <c r="MCA16" s="137"/>
      <c r="MCB16" s="136"/>
      <c r="MCC16" s="137"/>
      <c r="MCD16" s="133"/>
      <c r="MCE16" s="133"/>
      <c r="MCF16" s="133"/>
      <c r="MCG16" s="133"/>
      <c r="MCH16" s="133"/>
      <c r="MCI16" s="133"/>
      <c r="MCJ16" s="133"/>
      <c r="MCK16" s="133"/>
      <c r="MCL16" s="133"/>
      <c r="MCM16" s="133"/>
      <c r="MCN16" s="133"/>
      <c r="MCO16" s="133"/>
      <c r="MCP16" s="136"/>
      <c r="MCQ16" s="137"/>
      <c r="MCR16" s="136"/>
      <c r="MCS16" s="137"/>
      <c r="MCT16" s="133"/>
      <c r="MCU16" s="133"/>
      <c r="MCV16" s="133"/>
      <c r="MCW16" s="133"/>
      <c r="MCX16" s="133"/>
      <c r="MCY16" s="133"/>
      <c r="MCZ16" s="133"/>
      <c r="MDA16" s="133"/>
      <c r="MDB16" s="133"/>
      <c r="MDC16" s="133"/>
      <c r="MDD16" s="133"/>
      <c r="MDE16" s="133"/>
      <c r="MDF16" s="136"/>
      <c r="MDG16" s="137"/>
      <c r="MDH16" s="136"/>
      <c r="MDI16" s="137"/>
      <c r="MDJ16" s="133"/>
      <c r="MDK16" s="133"/>
      <c r="MDL16" s="133"/>
      <c r="MDM16" s="133"/>
      <c r="MDN16" s="133"/>
      <c r="MDO16" s="133"/>
      <c r="MDP16" s="133"/>
      <c r="MDQ16" s="133"/>
      <c r="MDR16" s="133"/>
      <c r="MDS16" s="133"/>
      <c r="MDT16" s="133"/>
      <c r="MDU16" s="133"/>
      <c r="MDV16" s="136"/>
      <c r="MDW16" s="137"/>
      <c r="MDX16" s="136"/>
      <c r="MDY16" s="137"/>
      <c r="MDZ16" s="133"/>
      <c r="MEA16" s="133"/>
      <c r="MEB16" s="133"/>
      <c r="MEC16" s="133"/>
      <c r="MED16" s="133"/>
      <c r="MEE16" s="133"/>
      <c r="MEF16" s="133"/>
      <c r="MEG16" s="133"/>
      <c r="MEH16" s="133"/>
      <c r="MEI16" s="133"/>
      <c r="MEJ16" s="133"/>
      <c r="MEK16" s="133"/>
      <c r="MEL16" s="136"/>
      <c r="MEM16" s="137"/>
      <c r="MEN16" s="136"/>
      <c r="MEO16" s="137"/>
      <c r="MEP16" s="133"/>
      <c r="MEQ16" s="133"/>
      <c r="MER16" s="133"/>
      <c r="MES16" s="133"/>
      <c r="MET16" s="133"/>
      <c r="MEU16" s="133"/>
      <c r="MEV16" s="133"/>
      <c r="MEW16" s="133"/>
      <c r="MEX16" s="133"/>
      <c r="MEY16" s="133"/>
      <c r="MEZ16" s="133"/>
      <c r="MFA16" s="133"/>
      <c r="MFB16" s="136"/>
      <c r="MFC16" s="137"/>
      <c r="MFD16" s="136"/>
      <c r="MFE16" s="137"/>
      <c r="MFF16" s="133"/>
      <c r="MFG16" s="133"/>
      <c r="MFH16" s="133"/>
      <c r="MFI16" s="133"/>
      <c r="MFJ16" s="133"/>
      <c r="MFK16" s="133"/>
      <c r="MFL16" s="133"/>
      <c r="MFM16" s="133"/>
      <c r="MFN16" s="133"/>
      <c r="MFO16" s="133"/>
      <c r="MFP16" s="133"/>
      <c r="MFQ16" s="133"/>
      <c r="MFR16" s="136"/>
      <c r="MFS16" s="137"/>
      <c r="MFT16" s="136"/>
      <c r="MFU16" s="137"/>
      <c r="MFV16" s="133"/>
      <c r="MFW16" s="133"/>
      <c r="MFX16" s="133"/>
      <c r="MFY16" s="133"/>
      <c r="MFZ16" s="133"/>
      <c r="MGA16" s="133"/>
      <c r="MGB16" s="133"/>
      <c r="MGC16" s="133"/>
      <c r="MGD16" s="133"/>
      <c r="MGE16" s="133"/>
      <c r="MGF16" s="133"/>
      <c r="MGG16" s="133"/>
      <c r="MGH16" s="136"/>
      <c r="MGI16" s="137"/>
      <c r="MGJ16" s="136"/>
      <c r="MGK16" s="137"/>
      <c r="MGL16" s="133"/>
      <c r="MGM16" s="133"/>
      <c r="MGN16" s="133"/>
      <c r="MGO16" s="133"/>
      <c r="MGP16" s="133"/>
      <c r="MGQ16" s="133"/>
      <c r="MGR16" s="133"/>
      <c r="MGS16" s="133"/>
      <c r="MGT16" s="133"/>
      <c r="MGU16" s="133"/>
      <c r="MGV16" s="133"/>
      <c r="MGW16" s="133"/>
      <c r="MGX16" s="136"/>
      <c r="MGY16" s="137"/>
      <c r="MGZ16" s="136"/>
      <c r="MHA16" s="137"/>
      <c r="MHB16" s="133"/>
      <c r="MHC16" s="133"/>
      <c r="MHD16" s="133"/>
      <c r="MHE16" s="133"/>
      <c r="MHF16" s="133"/>
      <c r="MHG16" s="133"/>
      <c r="MHH16" s="133"/>
      <c r="MHI16" s="133"/>
      <c r="MHJ16" s="133"/>
      <c r="MHK16" s="133"/>
      <c r="MHL16" s="133"/>
      <c r="MHM16" s="133"/>
      <c r="MHN16" s="136"/>
      <c r="MHO16" s="137"/>
      <c r="MHP16" s="136"/>
      <c r="MHQ16" s="137"/>
      <c r="MHR16" s="133"/>
      <c r="MHS16" s="133"/>
      <c r="MHT16" s="133"/>
      <c r="MHU16" s="133"/>
      <c r="MHV16" s="133"/>
      <c r="MHW16" s="133"/>
      <c r="MHX16" s="133"/>
      <c r="MHY16" s="133"/>
      <c r="MHZ16" s="133"/>
      <c r="MIA16" s="133"/>
      <c r="MIB16" s="133"/>
      <c r="MIC16" s="133"/>
      <c r="MID16" s="136"/>
      <c r="MIE16" s="137"/>
      <c r="MIF16" s="136"/>
      <c r="MIG16" s="137"/>
      <c r="MIH16" s="133"/>
      <c r="MII16" s="133"/>
      <c r="MIJ16" s="133"/>
      <c r="MIK16" s="133"/>
      <c r="MIL16" s="133"/>
      <c r="MIM16" s="133"/>
      <c r="MIN16" s="133"/>
      <c r="MIO16" s="133"/>
      <c r="MIP16" s="133"/>
      <c r="MIQ16" s="133"/>
      <c r="MIR16" s="133"/>
      <c r="MIS16" s="133"/>
      <c r="MIT16" s="136"/>
      <c r="MIU16" s="137"/>
      <c r="MIV16" s="136"/>
      <c r="MIW16" s="137"/>
      <c r="MIX16" s="133"/>
      <c r="MIY16" s="133"/>
      <c r="MIZ16" s="133"/>
      <c r="MJA16" s="133"/>
      <c r="MJB16" s="133"/>
      <c r="MJC16" s="133"/>
      <c r="MJD16" s="133"/>
      <c r="MJE16" s="133"/>
      <c r="MJF16" s="133"/>
      <c r="MJG16" s="133"/>
      <c r="MJH16" s="133"/>
      <c r="MJI16" s="133"/>
      <c r="MJJ16" s="136"/>
      <c r="MJK16" s="137"/>
      <c r="MJL16" s="136"/>
      <c r="MJM16" s="137"/>
      <c r="MJN16" s="133"/>
      <c r="MJO16" s="133"/>
      <c r="MJP16" s="133"/>
      <c r="MJQ16" s="133"/>
      <c r="MJR16" s="133"/>
      <c r="MJS16" s="133"/>
      <c r="MJT16" s="133"/>
      <c r="MJU16" s="133"/>
      <c r="MJV16" s="133"/>
      <c r="MJW16" s="133"/>
      <c r="MJX16" s="133"/>
      <c r="MJY16" s="133"/>
      <c r="MJZ16" s="136"/>
      <c r="MKA16" s="137"/>
      <c r="MKB16" s="136"/>
      <c r="MKC16" s="137"/>
      <c r="MKD16" s="133"/>
      <c r="MKE16" s="133"/>
      <c r="MKF16" s="133"/>
      <c r="MKG16" s="133"/>
      <c r="MKH16" s="133"/>
      <c r="MKI16" s="133"/>
      <c r="MKJ16" s="133"/>
      <c r="MKK16" s="133"/>
      <c r="MKL16" s="133"/>
      <c r="MKM16" s="133"/>
      <c r="MKN16" s="133"/>
      <c r="MKO16" s="133"/>
      <c r="MKP16" s="136"/>
      <c r="MKQ16" s="137"/>
      <c r="MKR16" s="136"/>
      <c r="MKS16" s="137"/>
      <c r="MKT16" s="133"/>
      <c r="MKU16" s="133"/>
      <c r="MKV16" s="133"/>
      <c r="MKW16" s="133"/>
      <c r="MKX16" s="133"/>
      <c r="MKY16" s="133"/>
      <c r="MKZ16" s="133"/>
      <c r="MLA16" s="133"/>
      <c r="MLB16" s="133"/>
      <c r="MLC16" s="133"/>
      <c r="MLD16" s="133"/>
      <c r="MLE16" s="133"/>
      <c r="MLF16" s="136"/>
      <c r="MLG16" s="137"/>
      <c r="MLH16" s="136"/>
      <c r="MLI16" s="137"/>
      <c r="MLJ16" s="133"/>
      <c r="MLK16" s="133"/>
      <c r="MLL16" s="133"/>
      <c r="MLM16" s="133"/>
      <c r="MLN16" s="133"/>
      <c r="MLO16" s="133"/>
      <c r="MLP16" s="133"/>
      <c r="MLQ16" s="133"/>
      <c r="MLR16" s="133"/>
      <c r="MLS16" s="133"/>
      <c r="MLT16" s="133"/>
      <c r="MLU16" s="133"/>
      <c r="MLV16" s="136"/>
      <c r="MLW16" s="137"/>
      <c r="MLX16" s="136"/>
      <c r="MLY16" s="137"/>
      <c r="MLZ16" s="133"/>
      <c r="MMA16" s="133"/>
      <c r="MMB16" s="133"/>
      <c r="MMC16" s="133"/>
      <c r="MMD16" s="133"/>
      <c r="MME16" s="133"/>
      <c r="MMF16" s="133"/>
      <c r="MMG16" s="133"/>
      <c r="MMH16" s="133"/>
      <c r="MMI16" s="133"/>
      <c r="MMJ16" s="133"/>
      <c r="MMK16" s="133"/>
      <c r="MML16" s="136"/>
      <c r="MMM16" s="137"/>
      <c r="MMN16" s="136"/>
      <c r="MMO16" s="137"/>
      <c r="MMP16" s="133"/>
      <c r="MMQ16" s="133"/>
      <c r="MMR16" s="133"/>
      <c r="MMS16" s="133"/>
      <c r="MMT16" s="133"/>
      <c r="MMU16" s="133"/>
      <c r="MMV16" s="133"/>
      <c r="MMW16" s="133"/>
      <c r="MMX16" s="133"/>
      <c r="MMY16" s="133"/>
      <c r="MMZ16" s="133"/>
      <c r="MNA16" s="133"/>
      <c r="MNB16" s="136"/>
      <c r="MNC16" s="137"/>
      <c r="MND16" s="136"/>
      <c r="MNE16" s="137"/>
      <c r="MNF16" s="133"/>
      <c r="MNG16" s="133"/>
      <c r="MNH16" s="133"/>
      <c r="MNI16" s="133"/>
      <c r="MNJ16" s="133"/>
      <c r="MNK16" s="133"/>
      <c r="MNL16" s="133"/>
      <c r="MNM16" s="133"/>
      <c r="MNN16" s="133"/>
      <c r="MNO16" s="133"/>
      <c r="MNP16" s="133"/>
      <c r="MNQ16" s="133"/>
      <c r="MNR16" s="136"/>
      <c r="MNS16" s="137"/>
      <c r="MNT16" s="136"/>
      <c r="MNU16" s="137"/>
      <c r="MNV16" s="133"/>
      <c r="MNW16" s="133"/>
      <c r="MNX16" s="133"/>
      <c r="MNY16" s="133"/>
      <c r="MNZ16" s="133"/>
      <c r="MOA16" s="133"/>
      <c r="MOB16" s="133"/>
      <c r="MOC16" s="133"/>
      <c r="MOD16" s="133"/>
      <c r="MOE16" s="133"/>
      <c r="MOF16" s="133"/>
      <c r="MOG16" s="133"/>
      <c r="MOH16" s="136"/>
      <c r="MOI16" s="137"/>
      <c r="MOJ16" s="136"/>
      <c r="MOK16" s="137"/>
      <c r="MOL16" s="133"/>
      <c r="MOM16" s="133"/>
      <c r="MON16" s="133"/>
      <c r="MOO16" s="133"/>
      <c r="MOP16" s="133"/>
      <c r="MOQ16" s="133"/>
      <c r="MOR16" s="133"/>
      <c r="MOS16" s="133"/>
      <c r="MOT16" s="133"/>
      <c r="MOU16" s="133"/>
      <c r="MOV16" s="133"/>
      <c r="MOW16" s="133"/>
      <c r="MOX16" s="136"/>
      <c r="MOY16" s="137"/>
      <c r="MOZ16" s="136"/>
      <c r="MPA16" s="137"/>
      <c r="MPN16" s="136"/>
      <c r="MPO16" s="137"/>
      <c r="MPP16" s="136"/>
      <c r="MPQ16" s="137"/>
      <c r="MPR16" s="133"/>
      <c r="MPS16" s="133"/>
      <c r="MPT16" s="133"/>
      <c r="MPU16" s="133"/>
      <c r="MPV16" s="133"/>
      <c r="MPW16" s="133"/>
      <c r="MPX16" s="133"/>
      <c r="MPY16" s="133"/>
      <c r="MPZ16" s="133"/>
      <c r="MQA16" s="133"/>
      <c r="MQB16" s="133"/>
      <c r="MQC16" s="133"/>
      <c r="MQD16" s="136"/>
      <c r="MQE16" s="137"/>
      <c r="MQF16" s="136"/>
      <c r="MQG16" s="137"/>
      <c r="MQH16" s="133"/>
      <c r="MQI16" s="133"/>
      <c r="MQJ16" s="133"/>
      <c r="MQK16" s="133"/>
      <c r="MQL16" s="133"/>
      <c r="MQM16" s="133"/>
      <c r="MQN16" s="133"/>
      <c r="MQO16" s="133"/>
      <c r="MQP16" s="133"/>
      <c r="MQQ16" s="133"/>
      <c r="MQR16" s="133"/>
      <c r="MQS16" s="133"/>
      <c r="MQT16" s="136"/>
      <c r="MQU16" s="137"/>
      <c r="MQV16" s="136"/>
      <c r="MQW16" s="137"/>
      <c r="MQX16" s="133"/>
      <c r="MQY16" s="133"/>
      <c r="MQZ16" s="133"/>
      <c r="MRA16" s="133"/>
      <c r="MRB16" s="133"/>
      <c r="MRC16" s="133"/>
      <c r="MRD16" s="133"/>
      <c r="MRE16" s="133"/>
      <c r="MRF16" s="133"/>
      <c r="MRG16" s="133"/>
      <c r="MRH16" s="133"/>
      <c r="MRI16" s="133"/>
      <c r="MRJ16" s="136"/>
      <c r="MRK16" s="137"/>
      <c r="MRL16" s="136"/>
      <c r="MRM16" s="137"/>
      <c r="MRN16" s="133"/>
      <c r="MRO16" s="133"/>
      <c r="MRP16" s="133"/>
      <c r="MRQ16" s="133"/>
      <c r="MRR16" s="133"/>
      <c r="MRS16" s="133"/>
      <c r="MRT16" s="133"/>
      <c r="MRU16" s="133"/>
      <c r="MRV16" s="133"/>
      <c r="MRW16" s="133"/>
      <c r="MRX16" s="133"/>
      <c r="MRY16" s="133"/>
      <c r="MRZ16" s="136"/>
      <c r="MSA16" s="137"/>
      <c r="MSB16" s="136"/>
      <c r="MSC16" s="137"/>
      <c r="MSD16" s="133"/>
      <c r="MSE16" s="133"/>
      <c r="MSF16" s="133"/>
      <c r="MSG16" s="133"/>
      <c r="MSH16" s="133"/>
      <c r="MSI16" s="133"/>
      <c r="MSJ16" s="133"/>
      <c r="MSK16" s="133"/>
      <c r="MSL16" s="133"/>
      <c r="MSM16" s="133"/>
      <c r="MSN16" s="133"/>
      <c r="MSO16" s="133"/>
      <c r="MSP16" s="136"/>
      <c r="MSQ16" s="137"/>
      <c r="MSR16" s="136"/>
      <c r="MSS16" s="137"/>
      <c r="MST16" s="133"/>
      <c r="MSU16" s="133"/>
      <c r="MSV16" s="133"/>
      <c r="MSW16" s="133"/>
      <c r="MSX16" s="133"/>
      <c r="MSY16" s="133"/>
      <c r="MSZ16" s="133"/>
      <c r="MTA16" s="133"/>
      <c r="MTB16" s="133"/>
      <c r="MTC16" s="133"/>
      <c r="MTD16" s="133"/>
      <c r="MTE16" s="133"/>
      <c r="MTF16" s="136"/>
      <c r="MTG16" s="137"/>
      <c r="MTH16" s="136"/>
      <c r="MTI16" s="137"/>
      <c r="MTJ16" s="133"/>
      <c r="MTK16" s="133"/>
      <c r="MTL16" s="133"/>
      <c r="MTM16" s="133"/>
      <c r="MTN16" s="133"/>
      <c r="MTO16" s="133"/>
      <c r="MTP16" s="133"/>
      <c r="MTQ16" s="133"/>
      <c r="MTR16" s="133"/>
      <c r="MTS16" s="133"/>
      <c r="MTT16" s="133"/>
      <c r="MTU16" s="133"/>
      <c r="MTV16" s="136"/>
      <c r="MTW16" s="137"/>
      <c r="MTX16" s="136"/>
      <c r="MTY16" s="137"/>
      <c r="MTZ16" s="133"/>
      <c r="MUA16" s="133"/>
      <c r="MUB16" s="133"/>
      <c r="MUC16" s="133"/>
      <c r="MUD16" s="133"/>
      <c r="MUE16" s="133"/>
      <c r="MUF16" s="133"/>
      <c r="MUG16" s="133"/>
      <c r="MUH16" s="133"/>
      <c r="MUI16" s="133"/>
      <c r="MUJ16" s="133"/>
      <c r="MUK16" s="133"/>
      <c r="MUL16" s="136"/>
      <c r="MUM16" s="137"/>
      <c r="MUN16" s="136"/>
      <c r="MUO16" s="137"/>
      <c r="MUP16" s="133"/>
      <c r="MUQ16" s="133"/>
      <c r="MUR16" s="133"/>
      <c r="MUS16" s="133"/>
      <c r="MUT16" s="133"/>
      <c r="MUU16" s="133"/>
      <c r="MUV16" s="133"/>
      <c r="MUW16" s="133"/>
      <c r="MUX16" s="133"/>
      <c r="MUY16" s="133"/>
      <c r="MUZ16" s="133"/>
      <c r="MVA16" s="133"/>
      <c r="MVB16" s="136"/>
      <c r="MVC16" s="137"/>
      <c r="MVD16" s="136"/>
      <c r="MVE16" s="137"/>
      <c r="MVF16" s="133"/>
      <c r="MVG16" s="133"/>
      <c r="MVH16" s="133"/>
      <c r="MVI16" s="133"/>
      <c r="MVJ16" s="133"/>
      <c r="MVK16" s="133"/>
      <c r="MVL16" s="133"/>
      <c r="MVM16" s="133"/>
      <c r="MVN16" s="133"/>
      <c r="MVO16" s="133"/>
      <c r="MVP16" s="133"/>
      <c r="MVQ16" s="133"/>
      <c r="MVR16" s="136"/>
      <c r="MVS16" s="137"/>
      <c r="MVT16" s="136"/>
      <c r="MVU16" s="137"/>
      <c r="MVV16" s="133"/>
      <c r="MVW16" s="133"/>
      <c r="MVX16" s="133"/>
      <c r="MVY16" s="133"/>
      <c r="MVZ16" s="133"/>
      <c r="MWA16" s="133"/>
      <c r="MWB16" s="133"/>
      <c r="MWC16" s="133"/>
      <c r="MWD16" s="133"/>
      <c r="MWE16" s="133"/>
      <c r="MWF16" s="133"/>
      <c r="MWG16" s="133"/>
      <c r="MWH16" s="136"/>
      <c r="MWI16" s="137"/>
      <c r="MWJ16" s="136"/>
      <c r="MWK16" s="137"/>
      <c r="MWL16" s="133"/>
      <c r="MWM16" s="133"/>
      <c r="MWN16" s="133"/>
      <c r="MWO16" s="133"/>
      <c r="MWP16" s="133"/>
      <c r="MWQ16" s="133"/>
      <c r="MWR16" s="133"/>
      <c r="MWS16" s="133"/>
      <c r="MWT16" s="133"/>
      <c r="MWU16" s="133"/>
      <c r="MWV16" s="133"/>
      <c r="MWW16" s="133"/>
      <c r="MWX16" s="136"/>
      <c r="MWY16" s="137"/>
      <c r="MWZ16" s="136"/>
      <c r="MXA16" s="137"/>
      <c r="MXB16" s="133"/>
      <c r="MXC16" s="133"/>
      <c r="MXD16" s="133"/>
      <c r="MXE16" s="133"/>
      <c r="MXF16" s="133"/>
      <c r="MXG16" s="133"/>
      <c r="MXH16" s="133"/>
      <c r="MXI16" s="133"/>
      <c r="MXJ16" s="133"/>
      <c r="MXK16" s="133"/>
      <c r="MXL16" s="133"/>
      <c r="MXM16" s="133"/>
      <c r="MXN16" s="136"/>
      <c r="MXO16" s="137"/>
      <c r="MXP16" s="136"/>
      <c r="MXQ16" s="137"/>
      <c r="MXR16" s="133"/>
      <c r="MXS16" s="133"/>
      <c r="MXT16" s="133"/>
      <c r="MXU16" s="133"/>
      <c r="MXV16" s="133"/>
      <c r="MXW16" s="133"/>
      <c r="MXX16" s="133"/>
      <c r="MXY16" s="133"/>
      <c r="MXZ16" s="133"/>
      <c r="MYA16" s="133"/>
      <c r="MYB16" s="133"/>
      <c r="MYC16" s="133"/>
      <c r="MYD16" s="136"/>
      <c r="MYE16" s="137"/>
      <c r="MYF16" s="136"/>
      <c r="MYG16" s="137"/>
      <c r="MYH16" s="133"/>
      <c r="MYI16" s="133"/>
      <c r="MYJ16" s="133"/>
      <c r="MYK16" s="133"/>
      <c r="MYL16" s="133"/>
      <c r="MYM16" s="133"/>
      <c r="MYN16" s="133"/>
      <c r="MYO16" s="133"/>
      <c r="MYP16" s="133"/>
      <c r="MYQ16" s="133"/>
      <c r="MYR16" s="133"/>
      <c r="MYS16" s="133"/>
      <c r="MYT16" s="136"/>
      <c r="MYU16" s="137"/>
      <c r="MYV16" s="136"/>
      <c r="MYW16" s="137"/>
      <c r="MYX16" s="133"/>
      <c r="MYY16" s="133"/>
      <c r="MYZ16" s="133"/>
      <c r="MZA16" s="133"/>
      <c r="MZB16" s="133"/>
      <c r="MZC16" s="133"/>
      <c r="MZD16" s="133"/>
      <c r="MZE16" s="133"/>
      <c r="MZF16" s="133"/>
      <c r="MZG16" s="133"/>
      <c r="MZH16" s="133"/>
      <c r="MZI16" s="133"/>
      <c r="MZJ16" s="136"/>
      <c r="MZK16" s="137"/>
      <c r="MZL16" s="136"/>
      <c r="MZM16" s="137"/>
      <c r="MZN16" s="133"/>
      <c r="MZO16" s="133"/>
      <c r="MZP16" s="133"/>
      <c r="MZQ16" s="133"/>
      <c r="MZR16" s="133"/>
      <c r="MZS16" s="133"/>
      <c r="MZT16" s="133"/>
      <c r="MZU16" s="133"/>
      <c r="MZV16" s="133"/>
      <c r="MZW16" s="133"/>
      <c r="MZX16" s="133"/>
      <c r="MZY16" s="133"/>
      <c r="MZZ16" s="136"/>
      <c r="NAA16" s="137"/>
      <c r="NAB16" s="136"/>
      <c r="NAC16" s="137"/>
      <c r="NAD16" s="133"/>
      <c r="NAE16" s="133"/>
      <c r="NAF16" s="133"/>
      <c r="NAG16" s="133"/>
      <c r="NAH16" s="133"/>
      <c r="NAI16" s="133"/>
      <c r="NAJ16" s="133"/>
      <c r="NAK16" s="133"/>
      <c r="NAL16" s="133"/>
      <c r="NAM16" s="133"/>
      <c r="NAN16" s="133"/>
      <c r="NAO16" s="133"/>
      <c r="NAP16" s="136"/>
      <c r="NAQ16" s="137"/>
      <c r="NAR16" s="136"/>
      <c r="NAS16" s="137"/>
      <c r="NAT16" s="133"/>
      <c r="NAU16" s="133"/>
      <c r="NAV16" s="133"/>
      <c r="NAW16" s="133"/>
      <c r="NAX16" s="133"/>
      <c r="NAY16" s="133"/>
      <c r="NAZ16" s="133"/>
      <c r="NBA16" s="133"/>
      <c r="NBB16" s="133"/>
      <c r="NBC16" s="133"/>
      <c r="NBD16" s="133"/>
      <c r="NBE16" s="133"/>
      <c r="NBF16" s="136"/>
      <c r="NBG16" s="137"/>
      <c r="NBH16" s="136"/>
      <c r="NBI16" s="137"/>
      <c r="NBJ16" s="133"/>
      <c r="NBK16" s="133"/>
      <c r="NBL16" s="133"/>
      <c r="NBM16" s="133"/>
      <c r="NBN16" s="133"/>
      <c r="NBO16" s="133"/>
      <c r="NBP16" s="133"/>
      <c r="NBQ16" s="133"/>
      <c r="NBR16" s="133"/>
      <c r="NBS16" s="133"/>
      <c r="NBT16" s="133"/>
      <c r="NBU16" s="133"/>
      <c r="NBV16" s="136"/>
      <c r="NBW16" s="137"/>
      <c r="NBX16" s="136"/>
      <c r="NBY16" s="137"/>
      <c r="NBZ16" s="133"/>
      <c r="NCA16" s="133"/>
      <c r="NCB16" s="133"/>
      <c r="NCC16" s="133"/>
      <c r="NCD16" s="133"/>
      <c r="NCE16" s="133"/>
      <c r="NCF16" s="133"/>
      <c r="NCG16" s="133"/>
      <c r="NCH16" s="133"/>
      <c r="NCI16" s="133"/>
      <c r="NCJ16" s="133"/>
      <c r="NCK16" s="133"/>
      <c r="NCL16" s="136"/>
      <c r="NCM16" s="137"/>
      <c r="NCN16" s="136"/>
      <c r="NCO16" s="137"/>
      <c r="NCP16" s="133"/>
      <c r="NCQ16" s="133"/>
      <c r="NCR16" s="133"/>
      <c r="NCS16" s="133"/>
      <c r="NCT16" s="133"/>
      <c r="NCU16" s="133"/>
      <c r="NCV16" s="133"/>
      <c r="NCW16" s="133"/>
      <c r="NCX16" s="133"/>
      <c r="NCY16" s="133"/>
      <c r="NCZ16" s="133"/>
      <c r="NDA16" s="133"/>
      <c r="NDB16" s="136"/>
      <c r="NDC16" s="137"/>
      <c r="NDD16" s="136"/>
      <c r="NDE16" s="137"/>
      <c r="NDF16" s="133"/>
      <c r="NDG16" s="133"/>
      <c r="NDH16" s="133"/>
      <c r="NDI16" s="133"/>
      <c r="NDJ16" s="133"/>
      <c r="NDK16" s="133"/>
      <c r="NDL16" s="133"/>
      <c r="NDM16" s="133"/>
      <c r="NDN16" s="133"/>
      <c r="NDO16" s="133"/>
      <c r="NDP16" s="133"/>
      <c r="NDQ16" s="133"/>
      <c r="NDR16" s="136"/>
      <c r="NDS16" s="137"/>
      <c r="NDT16" s="136"/>
      <c r="NDU16" s="137"/>
      <c r="NDV16" s="133"/>
      <c r="NDW16" s="133"/>
      <c r="NDX16" s="133"/>
      <c r="NDY16" s="133"/>
      <c r="NDZ16" s="133"/>
      <c r="NEA16" s="133"/>
      <c r="NEB16" s="133"/>
      <c r="NEC16" s="133"/>
      <c r="NED16" s="133"/>
      <c r="NEE16" s="133"/>
      <c r="NEF16" s="133"/>
      <c r="NEG16" s="133"/>
      <c r="NEH16" s="136"/>
      <c r="NEI16" s="137"/>
      <c r="NEJ16" s="136"/>
      <c r="NEK16" s="137"/>
      <c r="NEL16" s="133"/>
      <c r="NEM16" s="133"/>
      <c r="NEN16" s="133"/>
      <c r="NEO16" s="133"/>
      <c r="NEP16" s="133"/>
      <c r="NEQ16" s="133"/>
      <c r="NER16" s="133"/>
      <c r="NES16" s="133"/>
      <c r="NET16" s="133"/>
      <c r="NEU16" s="133"/>
      <c r="NEV16" s="133"/>
      <c r="NEW16" s="133"/>
      <c r="NEX16" s="136"/>
      <c r="NEY16" s="137"/>
      <c r="NEZ16" s="136"/>
      <c r="NFA16" s="137"/>
      <c r="NFB16" s="133"/>
      <c r="NFC16" s="133"/>
      <c r="NFD16" s="133"/>
      <c r="NFE16" s="133"/>
      <c r="NFF16" s="133"/>
      <c r="NFG16" s="133"/>
      <c r="NFH16" s="133"/>
      <c r="NFI16" s="133"/>
      <c r="NFJ16" s="133"/>
      <c r="NFK16" s="133"/>
      <c r="NFL16" s="133"/>
      <c r="NFM16" s="133"/>
      <c r="NFN16" s="136"/>
      <c r="NFO16" s="137"/>
      <c r="NFP16" s="136"/>
      <c r="NFQ16" s="137"/>
      <c r="NFR16" s="133"/>
      <c r="NFS16" s="133"/>
      <c r="NFT16" s="133"/>
      <c r="NFU16" s="133"/>
      <c r="NFV16" s="133"/>
      <c r="NFW16" s="133"/>
      <c r="NFX16" s="133"/>
      <c r="NFY16" s="133"/>
      <c r="NFZ16" s="133"/>
      <c r="NGA16" s="133"/>
      <c r="NGB16" s="133"/>
      <c r="NGC16" s="133"/>
      <c r="NGD16" s="136"/>
      <c r="NGE16" s="137"/>
      <c r="NGF16" s="136"/>
      <c r="NGG16" s="137"/>
      <c r="NGH16" s="133"/>
      <c r="NGI16" s="133"/>
      <c r="NGJ16" s="133"/>
      <c r="NGK16" s="133"/>
      <c r="NGL16" s="133"/>
      <c r="NGM16" s="133"/>
      <c r="NGN16" s="133"/>
      <c r="NGO16" s="133"/>
      <c r="NGP16" s="133"/>
      <c r="NGQ16" s="133"/>
      <c r="NGR16" s="133"/>
      <c r="NGS16" s="133"/>
      <c r="NGT16" s="136"/>
      <c r="NGU16" s="137"/>
      <c r="NGV16" s="136"/>
      <c r="NGW16" s="137"/>
      <c r="NGX16" s="133"/>
      <c r="NGY16" s="133"/>
      <c r="NGZ16" s="133"/>
      <c r="NHA16" s="133"/>
      <c r="NHB16" s="133"/>
      <c r="NHC16" s="133"/>
      <c r="NHD16" s="133"/>
      <c r="NHE16" s="133"/>
      <c r="NHF16" s="133"/>
      <c r="NHG16" s="133"/>
      <c r="NHH16" s="133"/>
      <c r="NHI16" s="133"/>
      <c r="NHJ16" s="136"/>
      <c r="NHK16" s="137"/>
      <c r="NHL16" s="136"/>
      <c r="NHM16" s="137"/>
      <c r="NHN16" s="133"/>
      <c r="NHO16" s="133"/>
      <c r="NHP16" s="133"/>
      <c r="NHQ16" s="133"/>
      <c r="NHR16" s="133"/>
      <c r="NHS16" s="133"/>
      <c r="NHT16" s="133"/>
      <c r="NHU16" s="133"/>
      <c r="NHV16" s="133"/>
      <c r="NHW16" s="133"/>
      <c r="NHX16" s="133"/>
      <c r="NHY16" s="133"/>
      <c r="NHZ16" s="136"/>
      <c r="NIA16" s="137"/>
      <c r="NIB16" s="136"/>
      <c r="NIC16" s="137"/>
      <c r="NID16" s="133"/>
      <c r="NIE16" s="133"/>
      <c r="NIF16" s="133"/>
      <c r="NIG16" s="133"/>
      <c r="NIH16" s="133"/>
      <c r="NII16" s="133"/>
      <c r="NIJ16" s="133"/>
      <c r="NIK16" s="133"/>
      <c r="NIL16" s="133"/>
      <c r="NIM16" s="133"/>
      <c r="NIN16" s="133"/>
      <c r="NIO16" s="133"/>
      <c r="NIP16" s="136"/>
      <c r="NIQ16" s="137"/>
      <c r="NIR16" s="136"/>
      <c r="NIS16" s="137"/>
      <c r="NIT16" s="133"/>
      <c r="NIU16" s="133"/>
      <c r="NIV16" s="133"/>
      <c r="NIW16" s="133"/>
      <c r="NIX16" s="133"/>
      <c r="NIY16" s="133"/>
      <c r="NIZ16" s="133"/>
      <c r="NJA16" s="133"/>
      <c r="NJB16" s="133"/>
      <c r="NJC16" s="133"/>
      <c r="NJD16" s="133"/>
      <c r="NJE16" s="133"/>
      <c r="NJF16" s="136"/>
      <c r="NJG16" s="137"/>
      <c r="NJH16" s="136"/>
      <c r="NJI16" s="137"/>
      <c r="NJJ16" s="133"/>
      <c r="NJK16" s="133"/>
      <c r="NJL16" s="133"/>
      <c r="NJM16" s="133"/>
      <c r="NJN16" s="133"/>
      <c r="NJO16" s="133"/>
      <c r="NJP16" s="133"/>
      <c r="NJQ16" s="133"/>
      <c r="NJR16" s="133"/>
      <c r="NJS16" s="133"/>
      <c r="NJT16" s="133"/>
      <c r="NJU16" s="133"/>
      <c r="NJV16" s="136"/>
      <c r="NJW16" s="137"/>
      <c r="NJX16" s="136"/>
      <c r="NJY16" s="137"/>
      <c r="NJZ16" s="133"/>
      <c r="NKA16" s="133"/>
      <c r="NKB16" s="133"/>
      <c r="NKC16" s="133"/>
      <c r="NKD16" s="133"/>
      <c r="NKE16" s="133"/>
      <c r="NKF16" s="133"/>
      <c r="NKG16" s="133"/>
      <c r="NKH16" s="133"/>
      <c r="NKI16" s="133"/>
      <c r="NKJ16" s="133"/>
      <c r="NKK16" s="133"/>
      <c r="NKL16" s="136"/>
      <c r="NKM16" s="137"/>
      <c r="NKN16" s="136"/>
      <c r="NKO16" s="137"/>
      <c r="NKP16" s="133"/>
      <c r="NKQ16" s="133"/>
      <c r="NKR16" s="133"/>
      <c r="NKS16" s="133"/>
      <c r="NKT16" s="133"/>
      <c r="NKU16" s="133"/>
      <c r="NKV16" s="133"/>
      <c r="NKW16" s="133"/>
      <c r="NKX16" s="133"/>
      <c r="NKY16" s="133"/>
      <c r="NKZ16" s="133"/>
      <c r="NLA16" s="133"/>
      <c r="NLB16" s="136"/>
      <c r="NLC16" s="137"/>
      <c r="NLD16" s="136"/>
      <c r="NLE16" s="137"/>
      <c r="NLF16" s="133"/>
      <c r="NLG16" s="133"/>
      <c r="NLH16" s="133"/>
      <c r="NLI16" s="133"/>
      <c r="NLJ16" s="133"/>
      <c r="NLK16" s="133"/>
      <c r="NLL16" s="133"/>
      <c r="NLM16" s="133"/>
      <c r="NLN16" s="133"/>
      <c r="NLO16" s="133"/>
      <c r="NLP16" s="133"/>
      <c r="NLQ16" s="133"/>
      <c r="NLR16" s="136"/>
      <c r="NLS16" s="137"/>
      <c r="NLT16" s="136"/>
      <c r="NLU16" s="137"/>
      <c r="NLV16" s="133"/>
      <c r="NLW16" s="133"/>
      <c r="NLX16" s="133"/>
      <c r="NLY16" s="133"/>
      <c r="NLZ16" s="133"/>
      <c r="NMA16" s="133"/>
      <c r="NMB16" s="133"/>
      <c r="NMC16" s="133"/>
      <c r="NMD16" s="133"/>
      <c r="NME16" s="133"/>
      <c r="NMF16" s="133"/>
      <c r="NMG16" s="133"/>
      <c r="NMH16" s="136"/>
      <c r="NMI16" s="137"/>
      <c r="NMJ16" s="136"/>
      <c r="NMK16" s="137"/>
      <c r="NML16" s="133"/>
      <c r="NMM16" s="133"/>
      <c r="NMN16" s="133"/>
      <c r="NMO16" s="133"/>
      <c r="NMP16" s="133"/>
      <c r="NMQ16" s="133"/>
      <c r="NMR16" s="133"/>
      <c r="NMS16" s="133"/>
      <c r="NMT16" s="133"/>
      <c r="NMU16" s="133"/>
      <c r="NMV16" s="133"/>
      <c r="NMW16" s="133"/>
      <c r="NMX16" s="136"/>
      <c r="NMY16" s="137"/>
      <c r="NMZ16" s="136"/>
      <c r="NNA16" s="137"/>
      <c r="NNB16" s="133"/>
      <c r="NNC16" s="133"/>
      <c r="NND16" s="133"/>
      <c r="NNE16" s="133"/>
      <c r="NNF16" s="133"/>
      <c r="NNG16" s="133"/>
      <c r="NNH16" s="133"/>
      <c r="NNI16" s="133"/>
      <c r="NNJ16" s="133"/>
      <c r="NNK16" s="133"/>
      <c r="NNL16" s="133"/>
      <c r="NNM16" s="133"/>
      <c r="NNN16" s="136"/>
      <c r="NNO16" s="137"/>
      <c r="NNP16" s="136"/>
      <c r="NNQ16" s="137"/>
      <c r="NNR16" s="133"/>
      <c r="NNS16" s="133"/>
      <c r="NNT16" s="133"/>
      <c r="NNU16" s="133"/>
      <c r="NNV16" s="133"/>
      <c r="NNW16" s="133"/>
      <c r="NNX16" s="133"/>
      <c r="NNY16" s="133"/>
      <c r="NNZ16" s="133"/>
      <c r="NOA16" s="133"/>
      <c r="NOB16" s="133"/>
      <c r="NOC16" s="133"/>
      <c r="NOD16" s="136"/>
      <c r="NOE16" s="137"/>
      <c r="NOF16" s="136"/>
      <c r="NOG16" s="137"/>
      <c r="NOH16" s="133"/>
      <c r="NOI16" s="133"/>
      <c r="NOJ16" s="133"/>
      <c r="NOK16" s="133"/>
      <c r="NOL16" s="133"/>
      <c r="NOM16" s="133"/>
      <c r="NON16" s="133"/>
      <c r="NOO16" s="133"/>
      <c r="NOP16" s="133"/>
      <c r="NOQ16" s="133"/>
      <c r="NOR16" s="133"/>
      <c r="NOS16" s="133"/>
      <c r="NOT16" s="136"/>
      <c r="NOU16" s="137"/>
      <c r="NOV16" s="136"/>
      <c r="NOW16" s="137"/>
      <c r="NOX16" s="133"/>
      <c r="NOY16" s="133"/>
      <c r="NOZ16" s="133"/>
      <c r="NPA16" s="133"/>
      <c r="NPB16" s="133"/>
      <c r="NPC16" s="133"/>
      <c r="NPD16" s="133"/>
      <c r="NPE16" s="133"/>
      <c r="NPF16" s="133"/>
      <c r="NPG16" s="133"/>
      <c r="NPH16" s="133"/>
      <c r="NPI16" s="133"/>
      <c r="NPJ16" s="136"/>
      <c r="NPK16" s="137"/>
      <c r="NPL16" s="136"/>
      <c r="NPM16" s="137"/>
      <c r="NPN16" s="133"/>
      <c r="NPO16" s="133"/>
      <c r="NPP16" s="133"/>
      <c r="NPQ16" s="133"/>
      <c r="NPR16" s="133"/>
      <c r="NPS16" s="133"/>
      <c r="NPT16" s="133"/>
      <c r="NPU16" s="133"/>
      <c r="NPV16" s="133"/>
      <c r="NPW16" s="133"/>
      <c r="NPX16" s="133"/>
      <c r="NPY16" s="133"/>
      <c r="NPZ16" s="136"/>
      <c r="NQA16" s="137"/>
      <c r="NQB16" s="136"/>
      <c r="NQC16" s="137"/>
      <c r="NQD16" s="133"/>
      <c r="NQE16" s="133"/>
      <c r="NQF16" s="133"/>
      <c r="NQG16" s="133"/>
      <c r="NQH16" s="133"/>
      <c r="NQI16" s="133"/>
      <c r="NQJ16" s="133"/>
      <c r="NQK16" s="133"/>
      <c r="NQL16" s="133"/>
      <c r="NQM16" s="133"/>
      <c r="NQN16" s="133"/>
      <c r="NQO16" s="133"/>
      <c r="NQP16" s="136"/>
      <c r="NQQ16" s="137"/>
      <c r="NQR16" s="136"/>
      <c r="NQS16" s="137"/>
      <c r="NQT16" s="133"/>
      <c r="NQU16" s="133"/>
      <c r="NQV16" s="133"/>
      <c r="NQW16" s="133"/>
      <c r="NQX16" s="133"/>
      <c r="NQY16" s="133"/>
      <c r="NQZ16" s="133"/>
      <c r="NRA16" s="133"/>
      <c r="NRB16" s="133"/>
      <c r="NRC16" s="133"/>
      <c r="NRD16" s="133"/>
      <c r="NRE16" s="133"/>
      <c r="NRF16" s="136"/>
      <c r="NRG16" s="137"/>
      <c r="NRH16" s="136"/>
      <c r="NRI16" s="137"/>
      <c r="NRJ16" s="133"/>
      <c r="NRK16" s="133"/>
      <c r="NRL16" s="133"/>
      <c r="NRM16" s="133"/>
      <c r="NRN16" s="133"/>
      <c r="NRO16" s="133"/>
      <c r="NRP16" s="133"/>
      <c r="NRQ16" s="133"/>
      <c r="NRR16" s="133"/>
      <c r="NRS16" s="133"/>
      <c r="NRT16" s="133"/>
      <c r="NRU16" s="133"/>
      <c r="NRV16" s="136"/>
      <c r="NRW16" s="137"/>
      <c r="NRX16" s="136"/>
      <c r="NRY16" s="137"/>
      <c r="NRZ16" s="133"/>
      <c r="NSA16" s="133"/>
      <c r="NSB16" s="133"/>
      <c r="NSC16" s="133"/>
      <c r="NSD16" s="133"/>
      <c r="NSE16" s="133"/>
      <c r="NSF16" s="133"/>
      <c r="NSG16" s="133"/>
      <c r="NSH16" s="133"/>
      <c r="NSI16" s="133"/>
      <c r="NSJ16" s="133"/>
      <c r="NSK16" s="133"/>
      <c r="NSL16" s="136"/>
      <c r="NSM16" s="137"/>
      <c r="NSN16" s="136"/>
      <c r="NSO16" s="137"/>
      <c r="NSP16" s="133"/>
      <c r="NSQ16" s="133"/>
      <c r="NSR16" s="133"/>
      <c r="NSS16" s="133"/>
      <c r="NST16" s="133"/>
      <c r="NSU16" s="133"/>
      <c r="NSV16" s="133"/>
      <c r="NSW16" s="133"/>
      <c r="NSX16" s="133"/>
      <c r="NSY16" s="133"/>
      <c r="NSZ16" s="133"/>
      <c r="NTA16" s="133"/>
      <c r="NTB16" s="136"/>
      <c r="NTC16" s="137"/>
      <c r="NTD16" s="136"/>
      <c r="NTE16" s="137"/>
      <c r="NTF16" s="133"/>
      <c r="NTG16" s="133"/>
      <c r="NTH16" s="133"/>
      <c r="NTI16" s="133"/>
      <c r="NTJ16" s="133"/>
      <c r="NTK16" s="133"/>
      <c r="NTL16" s="133"/>
      <c r="NTM16" s="133"/>
      <c r="NTN16" s="133"/>
      <c r="NTO16" s="133"/>
      <c r="NTP16" s="133"/>
      <c r="NTQ16" s="133"/>
      <c r="NTR16" s="136"/>
      <c r="NTS16" s="137"/>
      <c r="NTT16" s="136"/>
      <c r="NTU16" s="137"/>
      <c r="NTV16" s="133"/>
      <c r="NTW16" s="133"/>
      <c r="NTX16" s="133"/>
      <c r="NTY16" s="133"/>
      <c r="NTZ16" s="133"/>
      <c r="NUA16" s="133"/>
      <c r="NUB16" s="133"/>
      <c r="NUC16" s="133"/>
      <c r="NUD16" s="133"/>
      <c r="NUE16" s="133"/>
      <c r="NUF16" s="133"/>
      <c r="NUG16" s="133"/>
      <c r="NUH16" s="136"/>
      <c r="NUI16" s="137"/>
      <c r="NUJ16" s="136"/>
      <c r="NUK16" s="137"/>
      <c r="NUL16" s="133"/>
      <c r="NUM16" s="133"/>
      <c r="NUN16" s="133"/>
      <c r="NUO16" s="133"/>
      <c r="NUP16" s="133"/>
      <c r="NUQ16" s="133"/>
      <c r="NUR16" s="133"/>
      <c r="NUS16" s="133"/>
      <c r="NUT16" s="133"/>
      <c r="NUU16" s="133"/>
      <c r="NUV16" s="133"/>
      <c r="NUW16" s="133"/>
      <c r="NUX16" s="136"/>
      <c r="NUY16" s="137"/>
      <c r="NUZ16" s="136"/>
      <c r="NVA16" s="137"/>
      <c r="NVB16" s="133"/>
      <c r="NVC16" s="133"/>
      <c r="NVD16" s="133"/>
      <c r="NVE16" s="133"/>
      <c r="NVF16" s="133"/>
      <c r="NVG16" s="133"/>
      <c r="NVH16" s="133"/>
      <c r="NVI16" s="133"/>
      <c r="NVJ16" s="133"/>
      <c r="NVK16" s="133"/>
      <c r="NVL16" s="133"/>
      <c r="NVM16" s="133"/>
      <c r="NVN16" s="136"/>
      <c r="NVO16" s="137"/>
      <c r="NVP16" s="136"/>
      <c r="NVQ16" s="137"/>
      <c r="NVR16" s="133"/>
      <c r="NVS16" s="133"/>
      <c r="NVT16" s="133"/>
      <c r="NVU16" s="133"/>
      <c r="NVV16" s="133"/>
      <c r="NVW16" s="133"/>
      <c r="NVX16" s="133"/>
      <c r="NVY16" s="133"/>
      <c r="NVZ16" s="133"/>
      <c r="NWA16" s="133"/>
      <c r="NWB16" s="133"/>
      <c r="NWC16" s="133"/>
      <c r="NWD16" s="136"/>
      <c r="NWE16" s="137"/>
      <c r="NWF16" s="136"/>
      <c r="NWG16" s="137"/>
      <c r="NWH16" s="133"/>
      <c r="NWI16" s="133"/>
      <c r="NWJ16" s="133"/>
      <c r="NWK16" s="133"/>
      <c r="NWL16" s="133"/>
      <c r="NWM16" s="133"/>
      <c r="NWN16" s="133"/>
      <c r="NWO16" s="133"/>
      <c r="NWP16" s="133"/>
      <c r="NWQ16" s="133"/>
      <c r="NWR16" s="133"/>
      <c r="NWS16" s="133"/>
      <c r="NWT16" s="136"/>
      <c r="NWU16" s="137"/>
      <c r="NWV16" s="136"/>
      <c r="NWW16" s="137"/>
      <c r="NWX16" s="133"/>
      <c r="NWY16" s="133"/>
      <c r="NWZ16" s="133"/>
      <c r="NXA16" s="133"/>
      <c r="NXB16" s="133"/>
      <c r="NXC16" s="133"/>
      <c r="NXD16" s="133"/>
      <c r="NXE16" s="133"/>
      <c r="NXF16" s="133"/>
      <c r="NXG16" s="133"/>
      <c r="NXH16" s="133"/>
      <c r="NXI16" s="133"/>
      <c r="NXJ16" s="136"/>
      <c r="NXK16" s="137"/>
      <c r="NXL16" s="136"/>
      <c r="NXM16" s="137"/>
      <c r="NXN16" s="133"/>
      <c r="NXO16" s="133"/>
      <c r="NXP16" s="133"/>
      <c r="NXQ16" s="133"/>
      <c r="NXR16" s="133"/>
      <c r="NXS16" s="133"/>
      <c r="NXT16" s="133"/>
      <c r="NXU16" s="133"/>
      <c r="NXV16" s="133"/>
      <c r="NXW16" s="133"/>
      <c r="NXX16" s="133"/>
      <c r="NXY16" s="133"/>
      <c r="NXZ16" s="136"/>
      <c r="NYA16" s="137"/>
      <c r="NYB16" s="136"/>
      <c r="NYC16" s="137"/>
      <c r="NYD16" s="133"/>
      <c r="NYE16" s="133"/>
      <c r="NYF16" s="133"/>
      <c r="NYG16" s="133"/>
      <c r="NYH16" s="133"/>
      <c r="NYI16" s="133"/>
      <c r="NYJ16" s="133"/>
      <c r="NYK16" s="133"/>
      <c r="NYL16" s="133"/>
      <c r="NYM16" s="133"/>
      <c r="NYN16" s="133"/>
      <c r="NYO16" s="133"/>
      <c r="NYP16" s="136"/>
      <c r="NYQ16" s="137"/>
      <c r="NYR16" s="136"/>
      <c r="NYS16" s="137"/>
      <c r="NYT16" s="133"/>
      <c r="NYU16" s="133"/>
      <c r="NYV16" s="133"/>
      <c r="NYW16" s="133"/>
      <c r="NYX16" s="133"/>
      <c r="NYY16" s="133"/>
      <c r="NYZ16" s="133"/>
      <c r="NZA16" s="133"/>
      <c r="NZB16" s="133"/>
      <c r="NZC16" s="133"/>
      <c r="NZD16" s="133"/>
      <c r="NZE16" s="133"/>
      <c r="NZF16" s="136"/>
      <c r="NZG16" s="137"/>
      <c r="NZH16" s="136"/>
      <c r="NZI16" s="137"/>
      <c r="NZJ16" s="133"/>
      <c r="NZK16" s="133"/>
      <c r="NZL16" s="133"/>
      <c r="NZM16" s="133"/>
      <c r="NZN16" s="133"/>
      <c r="NZO16" s="133"/>
      <c r="NZP16" s="133"/>
      <c r="NZQ16" s="133"/>
      <c r="NZR16" s="133"/>
      <c r="NZS16" s="133"/>
      <c r="NZT16" s="133"/>
      <c r="NZU16" s="133"/>
      <c r="NZV16" s="136"/>
      <c r="NZW16" s="137"/>
      <c r="NZX16" s="136"/>
      <c r="NZY16" s="137"/>
      <c r="NZZ16" s="133"/>
      <c r="OAA16" s="133"/>
      <c r="OAB16" s="133"/>
      <c r="OAC16" s="133"/>
      <c r="OAD16" s="133"/>
      <c r="OAE16" s="133"/>
      <c r="OAF16" s="133"/>
      <c r="OAG16" s="133"/>
      <c r="OAH16" s="133"/>
      <c r="OAI16" s="133"/>
      <c r="OAJ16" s="133"/>
      <c r="OAK16" s="133"/>
      <c r="OAL16" s="136"/>
      <c r="OAM16" s="137"/>
      <c r="OAN16" s="136"/>
      <c r="OAO16" s="137"/>
      <c r="OAP16" s="133"/>
      <c r="OAQ16" s="133"/>
      <c r="OAR16" s="133"/>
      <c r="OAS16" s="133"/>
      <c r="OAT16" s="133"/>
      <c r="OAU16" s="133"/>
      <c r="OAV16" s="133"/>
      <c r="OAW16" s="133"/>
      <c r="OAX16" s="133"/>
      <c r="OAY16" s="133"/>
      <c r="OAZ16" s="133"/>
      <c r="OBA16" s="133"/>
      <c r="OBB16" s="136"/>
      <c r="OBC16" s="137"/>
      <c r="OBD16" s="136"/>
      <c r="OBE16" s="137"/>
      <c r="OBF16" s="133"/>
      <c r="OBG16" s="133"/>
      <c r="OBH16" s="133"/>
      <c r="OBI16" s="133"/>
      <c r="OBJ16" s="133"/>
      <c r="OBK16" s="133"/>
      <c r="OBL16" s="133"/>
      <c r="OBM16" s="133"/>
      <c r="OBN16" s="133"/>
      <c r="OBO16" s="133"/>
      <c r="OBP16" s="133"/>
      <c r="OBQ16" s="133"/>
      <c r="OBR16" s="136"/>
      <c r="OBS16" s="137"/>
      <c r="OBT16" s="136"/>
      <c r="OBU16" s="137"/>
      <c r="OBV16" s="133"/>
      <c r="OBW16" s="133"/>
      <c r="OBX16" s="133"/>
      <c r="OBY16" s="133"/>
      <c r="OBZ16" s="133"/>
      <c r="OCA16" s="133"/>
      <c r="OCB16" s="133"/>
      <c r="OCC16" s="133"/>
      <c r="OCD16" s="133"/>
      <c r="OCE16" s="133"/>
      <c r="OCF16" s="133"/>
      <c r="OCG16" s="133"/>
      <c r="OCH16" s="136"/>
      <c r="OCI16" s="137"/>
      <c r="OCJ16" s="136"/>
      <c r="OCK16" s="137"/>
      <c r="OCX16" s="136"/>
      <c r="OCY16" s="137"/>
      <c r="OCZ16" s="136"/>
      <c r="ODA16" s="137"/>
      <c r="ODB16" s="133"/>
      <c r="ODC16" s="133"/>
      <c r="ODD16" s="133"/>
      <c r="ODE16" s="133"/>
      <c r="ODF16" s="133"/>
      <c r="ODG16" s="133"/>
      <c r="ODH16" s="133"/>
      <c r="ODI16" s="133"/>
      <c r="ODJ16" s="133"/>
      <c r="ODK16" s="133"/>
      <c r="ODL16" s="133"/>
      <c r="ODM16" s="133"/>
      <c r="ODN16" s="136"/>
      <c r="ODO16" s="137"/>
      <c r="ODP16" s="136"/>
      <c r="ODQ16" s="137"/>
      <c r="ODR16" s="133"/>
      <c r="ODS16" s="133"/>
      <c r="ODT16" s="133"/>
      <c r="ODU16" s="133"/>
      <c r="ODV16" s="133"/>
      <c r="ODW16" s="133"/>
      <c r="ODX16" s="133"/>
      <c r="ODY16" s="133"/>
      <c r="ODZ16" s="133"/>
      <c r="OEA16" s="133"/>
      <c r="OEB16" s="133"/>
      <c r="OEC16" s="133"/>
      <c r="OED16" s="136"/>
      <c r="OEE16" s="137"/>
      <c r="OEF16" s="136"/>
      <c r="OEG16" s="137"/>
      <c r="OEH16" s="133"/>
      <c r="OEI16" s="133"/>
      <c r="OEJ16" s="133"/>
      <c r="OEK16" s="133"/>
      <c r="OEL16" s="133"/>
      <c r="OEM16" s="133"/>
      <c r="OEN16" s="133"/>
      <c r="OEO16" s="133"/>
      <c r="OEP16" s="133"/>
      <c r="OEQ16" s="133"/>
      <c r="OER16" s="133"/>
      <c r="OES16" s="133"/>
      <c r="OET16" s="136"/>
      <c r="OEU16" s="137"/>
      <c r="OEV16" s="136"/>
      <c r="OEW16" s="137"/>
      <c r="OEX16" s="133"/>
      <c r="OEY16" s="133"/>
      <c r="OEZ16" s="133"/>
      <c r="OFA16" s="133"/>
      <c r="OFB16" s="133"/>
      <c r="OFC16" s="133"/>
      <c r="OFD16" s="133"/>
      <c r="OFE16" s="133"/>
      <c r="OFF16" s="133"/>
      <c r="OFG16" s="133"/>
      <c r="OFH16" s="133"/>
      <c r="OFI16" s="133"/>
      <c r="OFJ16" s="136"/>
      <c r="OFK16" s="137"/>
      <c r="OFL16" s="136"/>
      <c r="OFM16" s="137"/>
      <c r="OFN16" s="133"/>
      <c r="OFO16" s="133"/>
      <c r="OFP16" s="133"/>
      <c r="OFQ16" s="133"/>
      <c r="OFR16" s="133"/>
      <c r="OFS16" s="133"/>
      <c r="OFT16" s="133"/>
      <c r="OFU16" s="133"/>
      <c r="OFV16" s="133"/>
      <c r="OFW16" s="133"/>
      <c r="OFX16" s="133"/>
      <c r="OFY16" s="133"/>
      <c r="OFZ16" s="136"/>
      <c r="OGA16" s="137"/>
      <c r="OGB16" s="136"/>
      <c r="OGC16" s="137"/>
      <c r="OGD16" s="133"/>
      <c r="OGE16" s="133"/>
      <c r="OGF16" s="133"/>
      <c r="OGG16" s="133"/>
      <c r="OGH16" s="133"/>
      <c r="OGI16" s="133"/>
      <c r="OGJ16" s="133"/>
      <c r="OGK16" s="133"/>
      <c r="OGL16" s="133"/>
      <c r="OGM16" s="133"/>
      <c r="OGN16" s="133"/>
      <c r="OGO16" s="133"/>
      <c r="OGP16" s="136"/>
      <c r="OGQ16" s="137"/>
      <c r="OGR16" s="136"/>
      <c r="OGS16" s="137"/>
      <c r="OGT16" s="133"/>
      <c r="OGU16" s="133"/>
      <c r="OGV16" s="133"/>
      <c r="OGW16" s="133"/>
      <c r="OGX16" s="133"/>
      <c r="OGY16" s="133"/>
      <c r="OGZ16" s="133"/>
      <c r="OHA16" s="133"/>
      <c r="OHB16" s="133"/>
      <c r="OHC16" s="133"/>
      <c r="OHD16" s="133"/>
      <c r="OHE16" s="133"/>
      <c r="OHF16" s="136"/>
      <c r="OHG16" s="137"/>
      <c r="OHH16" s="136"/>
      <c r="OHI16" s="137"/>
      <c r="OHJ16" s="133"/>
      <c r="OHK16" s="133"/>
      <c r="OHL16" s="133"/>
      <c r="OHM16" s="133"/>
      <c r="OHN16" s="133"/>
      <c r="OHO16" s="133"/>
      <c r="OHP16" s="133"/>
      <c r="OHQ16" s="133"/>
      <c r="OHR16" s="133"/>
      <c r="OHS16" s="133"/>
      <c r="OHT16" s="133"/>
      <c r="OHU16" s="133"/>
      <c r="OHV16" s="136"/>
      <c r="OHW16" s="137"/>
      <c r="OHX16" s="136"/>
      <c r="OHY16" s="137"/>
      <c r="OHZ16" s="133"/>
      <c r="OIA16" s="133"/>
      <c r="OIB16" s="133"/>
      <c r="OIC16" s="133"/>
      <c r="OID16" s="133"/>
      <c r="OIE16" s="133"/>
      <c r="OIF16" s="133"/>
      <c r="OIG16" s="133"/>
      <c r="OIH16" s="133"/>
      <c r="OII16" s="133"/>
      <c r="OIJ16" s="133"/>
      <c r="OIK16" s="133"/>
      <c r="OIL16" s="136"/>
      <c r="OIM16" s="137"/>
      <c r="OIN16" s="136"/>
      <c r="OIO16" s="137"/>
      <c r="OIP16" s="133"/>
      <c r="OIQ16" s="133"/>
      <c r="OIR16" s="133"/>
      <c r="OIS16" s="133"/>
      <c r="OIT16" s="133"/>
      <c r="OIU16" s="133"/>
      <c r="OIV16" s="133"/>
      <c r="OIW16" s="133"/>
      <c r="OIX16" s="133"/>
      <c r="OIY16" s="133"/>
      <c r="OIZ16" s="133"/>
      <c r="OJA16" s="133"/>
      <c r="OJB16" s="136"/>
      <c r="OJC16" s="137"/>
      <c r="OJD16" s="136"/>
      <c r="OJE16" s="137"/>
      <c r="OJF16" s="133"/>
      <c r="OJG16" s="133"/>
      <c r="OJH16" s="133"/>
      <c r="OJI16" s="133"/>
      <c r="OJJ16" s="133"/>
      <c r="OJK16" s="133"/>
      <c r="OJL16" s="133"/>
      <c r="OJM16" s="133"/>
      <c r="OJN16" s="133"/>
      <c r="OJO16" s="133"/>
      <c r="OJP16" s="133"/>
      <c r="OJQ16" s="133"/>
      <c r="OJR16" s="136"/>
      <c r="OJS16" s="137"/>
      <c r="OJT16" s="136"/>
      <c r="OJU16" s="137"/>
      <c r="OJV16" s="133"/>
      <c r="OJW16" s="133"/>
      <c r="OJX16" s="133"/>
      <c r="OJY16" s="133"/>
      <c r="OJZ16" s="133"/>
      <c r="OKA16" s="133"/>
      <c r="OKB16" s="133"/>
      <c r="OKC16" s="133"/>
      <c r="OKD16" s="133"/>
      <c r="OKE16" s="133"/>
      <c r="OKF16" s="133"/>
      <c r="OKG16" s="133"/>
      <c r="OKH16" s="136"/>
      <c r="OKI16" s="137"/>
      <c r="OKJ16" s="136"/>
      <c r="OKK16" s="137"/>
      <c r="OKL16" s="133"/>
      <c r="OKM16" s="133"/>
      <c r="OKN16" s="133"/>
      <c r="OKO16" s="133"/>
      <c r="OKP16" s="133"/>
      <c r="OKQ16" s="133"/>
      <c r="OKR16" s="133"/>
      <c r="OKS16" s="133"/>
      <c r="OKT16" s="133"/>
      <c r="OKU16" s="133"/>
      <c r="OKV16" s="133"/>
      <c r="OKW16" s="133"/>
      <c r="OKX16" s="136"/>
      <c r="OKY16" s="137"/>
      <c r="OKZ16" s="136"/>
      <c r="OLA16" s="137"/>
      <c r="OLB16" s="133"/>
      <c r="OLC16" s="133"/>
      <c r="OLD16" s="133"/>
      <c r="OLE16" s="133"/>
      <c r="OLF16" s="133"/>
      <c r="OLG16" s="133"/>
      <c r="OLH16" s="133"/>
      <c r="OLI16" s="133"/>
      <c r="OLJ16" s="133"/>
      <c r="OLK16" s="133"/>
      <c r="OLL16" s="133"/>
      <c r="OLM16" s="133"/>
      <c r="OLN16" s="136"/>
      <c r="OLO16" s="137"/>
      <c r="OLP16" s="136"/>
      <c r="OLQ16" s="137"/>
      <c r="OLR16" s="133"/>
      <c r="OLS16" s="133"/>
      <c r="OLT16" s="133"/>
      <c r="OLU16" s="133"/>
      <c r="OLV16" s="133"/>
      <c r="OLW16" s="133"/>
      <c r="OLX16" s="133"/>
      <c r="OLY16" s="133"/>
      <c r="OLZ16" s="133"/>
      <c r="OMA16" s="133"/>
      <c r="OMB16" s="133"/>
      <c r="OMC16" s="133"/>
      <c r="OMD16" s="136"/>
      <c r="OME16" s="137"/>
      <c r="OMF16" s="136"/>
      <c r="OMG16" s="137"/>
      <c r="OMH16" s="133"/>
      <c r="OMI16" s="133"/>
      <c r="OMJ16" s="133"/>
      <c r="OMK16" s="133"/>
      <c r="OML16" s="133"/>
      <c r="OMM16" s="133"/>
      <c r="OMN16" s="133"/>
      <c r="OMO16" s="133"/>
      <c r="OMP16" s="133"/>
      <c r="OMQ16" s="133"/>
      <c r="OMR16" s="133"/>
      <c r="OMS16" s="133"/>
      <c r="OMT16" s="136"/>
      <c r="OMU16" s="137"/>
      <c r="OMV16" s="136"/>
      <c r="OMW16" s="137"/>
      <c r="OMX16" s="133"/>
      <c r="OMY16" s="133"/>
      <c r="OMZ16" s="133"/>
      <c r="ONA16" s="133"/>
      <c r="ONB16" s="133"/>
      <c r="ONC16" s="133"/>
      <c r="OND16" s="133"/>
      <c r="ONE16" s="133"/>
      <c r="ONF16" s="133"/>
      <c r="ONG16" s="133"/>
      <c r="ONH16" s="133"/>
      <c r="ONI16" s="133"/>
      <c r="ONJ16" s="136"/>
      <c r="ONK16" s="137"/>
      <c r="ONL16" s="136"/>
      <c r="ONM16" s="137"/>
      <c r="ONN16" s="133"/>
      <c r="ONO16" s="133"/>
      <c r="ONP16" s="133"/>
      <c r="ONQ16" s="133"/>
      <c r="ONR16" s="133"/>
      <c r="ONS16" s="133"/>
      <c r="ONT16" s="133"/>
      <c r="ONU16" s="133"/>
      <c r="ONV16" s="133"/>
      <c r="ONW16" s="133"/>
      <c r="ONX16" s="133"/>
      <c r="ONY16" s="133"/>
      <c r="ONZ16" s="136"/>
      <c r="OOA16" s="137"/>
      <c r="OOB16" s="136"/>
      <c r="OOC16" s="137"/>
      <c r="OOD16" s="133"/>
      <c r="OOE16" s="133"/>
      <c r="OOF16" s="133"/>
      <c r="OOG16" s="133"/>
      <c r="OOH16" s="133"/>
      <c r="OOI16" s="133"/>
      <c r="OOJ16" s="133"/>
      <c r="OOK16" s="133"/>
      <c r="OOL16" s="133"/>
      <c r="OOM16" s="133"/>
      <c r="OON16" s="133"/>
      <c r="OOO16" s="133"/>
      <c r="OOP16" s="136"/>
      <c r="OOQ16" s="137"/>
      <c r="OOR16" s="136"/>
      <c r="OOS16" s="137"/>
      <c r="OOT16" s="133"/>
      <c r="OOU16" s="133"/>
      <c r="OOV16" s="133"/>
      <c r="OOW16" s="133"/>
      <c r="OOX16" s="133"/>
      <c r="OOY16" s="133"/>
      <c r="OOZ16" s="133"/>
      <c r="OPA16" s="133"/>
      <c r="OPB16" s="133"/>
      <c r="OPC16" s="133"/>
      <c r="OPD16" s="133"/>
      <c r="OPE16" s="133"/>
      <c r="OPF16" s="136"/>
      <c r="OPG16" s="137"/>
      <c r="OPH16" s="136"/>
      <c r="OPI16" s="137"/>
      <c r="OPJ16" s="133"/>
      <c r="OPK16" s="133"/>
      <c r="OPL16" s="133"/>
      <c r="OPM16" s="133"/>
      <c r="OPN16" s="133"/>
      <c r="OPO16" s="133"/>
      <c r="OPP16" s="133"/>
      <c r="OPQ16" s="133"/>
      <c r="OPR16" s="133"/>
      <c r="OPS16" s="133"/>
      <c r="OPT16" s="133"/>
      <c r="OPU16" s="133"/>
      <c r="OPV16" s="136"/>
      <c r="OPW16" s="137"/>
      <c r="OPX16" s="136"/>
      <c r="OPY16" s="137"/>
      <c r="OPZ16" s="133"/>
      <c r="OQA16" s="133"/>
      <c r="OQB16" s="133"/>
      <c r="OQC16" s="133"/>
      <c r="OQD16" s="133"/>
      <c r="OQE16" s="133"/>
      <c r="OQF16" s="133"/>
      <c r="OQG16" s="133"/>
      <c r="OQH16" s="133"/>
      <c r="OQI16" s="133"/>
      <c r="OQJ16" s="133"/>
      <c r="OQK16" s="133"/>
      <c r="OQL16" s="136"/>
      <c r="OQM16" s="137"/>
      <c r="OQN16" s="136"/>
      <c r="OQO16" s="137"/>
      <c r="OQP16" s="133"/>
      <c r="OQQ16" s="133"/>
      <c r="OQR16" s="133"/>
      <c r="OQS16" s="133"/>
      <c r="OQT16" s="133"/>
      <c r="OQU16" s="133"/>
      <c r="OQV16" s="133"/>
      <c r="OQW16" s="133"/>
      <c r="OQX16" s="133"/>
      <c r="OQY16" s="133"/>
      <c r="OQZ16" s="133"/>
      <c r="ORA16" s="133"/>
      <c r="ORB16" s="136"/>
      <c r="ORC16" s="137"/>
      <c r="ORD16" s="136"/>
      <c r="ORE16" s="137"/>
      <c r="ORF16" s="133"/>
      <c r="ORG16" s="133"/>
      <c r="ORH16" s="133"/>
      <c r="ORI16" s="133"/>
      <c r="ORJ16" s="133"/>
      <c r="ORK16" s="133"/>
      <c r="ORL16" s="133"/>
      <c r="ORM16" s="133"/>
      <c r="ORN16" s="133"/>
      <c r="ORO16" s="133"/>
      <c r="ORP16" s="133"/>
      <c r="ORQ16" s="133"/>
      <c r="ORR16" s="136"/>
      <c r="ORS16" s="137"/>
      <c r="ORT16" s="136"/>
      <c r="ORU16" s="137"/>
      <c r="ORV16" s="133"/>
      <c r="ORW16" s="133"/>
      <c r="ORX16" s="133"/>
      <c r="ORY16" s="133"/>
      <c r="ORZ16" s="133"/>
      <c r="OSA16" s="133"/>
      <c r="OSB16" s="133"/>
      <c r="OSC16" s="133"/>
      <c r="OSD16" s="133"/>
      <c r="OSE16" s="133"/>
      <c r="OSF16" s="133"/>
      <c r="OSG16" s="133"/>
      <c r="OSH16" s="136"/>
      <c r="OSI16" s="137"/>
      <c r="OSJ16" s="136"/>
      <c r="OSK16" s="137"/>
      <c r="OSL16" s="133"/>
      <c r="OSM16" s="133"/>
      <c r="OSN16" s="133"/>
      <c r="OSO16" s="133"/>
      <c r="OSP16" s="133"/>
      <c r="OSQ16" s="133"/>
      <c r="OSR16" s="133"/>
      <c r="OSS16" s="133"/>
      <c r="OST16" s="133"/>
      <c r="OSU16" s="133"/>
      <c r="OSV16" s="133"/>
      <c r="OSW16" s="133"/>
      <c r="OSX16" s="136"/>
      <c r="OSY16" s="137"/>
      <c r="OSZ16" s="136"/>
      <c r="OTA16" s="137"/>
      <c r="OTB16" s="133"/>
      <c r="OTC16" s="133"/>
      <c r="OTD16" s="133"/>
      <c r="OTE16" s="133"/>
      <c r="OTF16" s="133"/>
      <c r="OTG16" s="133"/>
      <c r="OTH16" s="133"/>
      <c r="OTI16" s="133"/>
      <c r="OTJ16" s="133"/>
      <c r="OTK16" s="133"/>
      <c r="OTL16" s="133"/>
      <c r="OTM16" s="133"/>
      <c r="OTN16" s="136"/>
      <c r="OTO16" s="137"/>
      <c r="OTP16" s="136"/>
      <c r="OTQ16" s="137"/>
      <c r="OTR16" s="133"/>
      <c r="OTS16" s="133"/>
      <c r="OTT16" s="133"/>
      <c r="OTU16" s="133"/>
      <c r="OTV16" s="133"/>
      <c r="OTW16" s="133"/>
      <c r="OTX16" s="133"/>
      <c r="OTY16" s="133"/>
      <c r="OTZ16" s="133"/>
      <c r="OUA16" s="133"/>
      <c r="OUB16" s="133"/>
      <c r="OUC16" s="133"/>
      <c r="OUD16" s="136"/>
      <c r="OUE16" s="137"/>
      <c r="OUF16" s="136"/>
      <c r="OUG16" s="137"/>
      <c r="OUH16" s="133"/>
      <c r="OUI16" s="133"/>
      <c r="OUJ16" s="133"/>
      <c r="OUK16" s="133"/>
      <c r="OUL16" s="133"/>
      <c r="OUM16" s="133"/>
      <c r="OUN16" s="133"/>
      <c r="OUO16" s="133"/>
      <c r="OUP16" s="133"/>
      <c r="OUQ16" s="133"/>
      <c r="OUR16" s="133"/>
      <c r="OUS16" s="133"/>
      <c r="OUT16" s="136"/>
      <c r="OUU16" s="137"/>
      <c r="OUV16" s="136"/>
      <c r="OUW16" s="137"/>
      <c r="OUX16" s="133"/>
      <c r="OUY16" s="133"/>
      <c r="OUZ16" s="133"/>
      <c r="OVA16" s="133"/>
      <c r="OVB16" s="133"/>
      <c r="OVC16" s="133"/>
      <c r="OVD16" s="133"/>
      <c r="OVE16" s="133"/>
      <c r="OVF16" s="133"/>
      <c r="OVG16" s="133"/>
      <c r="OVH16" s="133"/>
      <c r="OVI16" s="133"/>
      <c r="OVJ16" s="136"/>
      <c r="OVK16" s="137"/>
      <c r="OVL16" s="136"/>
      <c r="OVM16" s="137"/>
      <c r="OVN16" s="133"/>
      <c r="OVO16" s="133"/>
      <c r="OVP16" s="133"/>
      <c r="OVQ16" s="133"/>
      <c r="OVR16" s="133"/>
      <c r="OVS16" s="133"/>
      <c r="OVT16" s="133"/>
      <c r="OVU16" s="133"/>
      <c r="OVV16" s="133"/>
      <c r="OVW16" s="133"/>
      <c r="OVX16" s="133"/>
      <c r="OVY16" s="133"/>
      <c r="OVZ16" s="136"/>
      <c r="OWA16" s="137"/>
      <c r="OWB16" s="136"/>
      <c r="OWC16" s="137"/>
      <c r="OWD16" s="133"/>
      <c r="OWE16" s="133"/>
      <c r="OWF16" s="133"/>
      <c r="OWG16" s="133"/>
      <c r="OWH16" s="133"/>
      <c r="OWI16" s="133"/>
      <c r="OWJ16" s="133"/>
      <c r="OWK16" s="133"/>
      <c r="OWL16" s="133"/>
      <c r="OWM16" s="133"/>
      <c r="OWN16" s="133"/>
      <c r="OWO16" s="133"/>
      <c r="OWP16" s="136"/>
      <c r="OWQ16" s="137"/>
      <c r="OWR16" s="136"/>
      <c r="OWS16" s="137"/>
      <c r="OWT16" s="133"/>
      <c r="OWU16" s="133"/>
      <c r="OWV16" s="133"/>
      <c r="OWW16" s="133"/>
      <c r="OWX16" s="133"/>
      <c r="OWY16" s="133"/>
      <c r="OWZ16" s="133"/>
      <c r="OXA16" s="133"/>
      <c r="OXB16" s="133"/>
      <c r="OXC16" s="133"/>
      <c r="OXD16" s="133"/>
      <c r="OXE16" s="133"/>
      <c r="OXF16" s="136"/>
      <c r="OXG16" s="137"/>
      <c r="OXH16" s="136"/>
      <c r="OXI16" s="137"/>
      <c r="OXJ16" s="133"/>
      <c r="OXK16" s="133"/>
      <c r="OXL16" s="133"/>
      <c r="OXM16" s="133"/>
      <c r="OXN16" s="133"/>
      <c r="OXO16" s="133"/>
      <c r="OXP16" s="133"/>
      <c r="OXQ16" s="133"/>
      <c r="OXR16" s="133"/>
      <c r="OXS16" s="133"/>
      <c r="OXT16" s="133"/>
      <c r="OXU16" s="133"/>
      <c r="OXV16" s="136"/>
      <c r="OXW16" s="137"/>
      <c r="OXX16" s="136"/>
      <c r="OXY16" s="137"/>
      <c r="OXZ16" s="133"/>
      <c r="OYA16" s="133"/>
      <c r="OYB16" s="133"/>
      <c r="OYC16" s="133"/>
      <c r="OYD16" s="133"/>
      <c r="OYE16" s="133"/>
      <c r="OYF16" s="133"/>
      <c r="OYG16" s="133"/>
      <c r="OYH16" s="133"/>
      <c r="OYI16" s="133"/>
      <c r="OYJ16" s="133"/>
      <c r="OYK16" s="133"/>
      <c r="OYL16" s="136"/>
      <c r="OYM16" s="137"/>
      <c r="OYN16" s="136"/>
      <c r="OYO16" s="137"/>
      <c r="OYP16" s="133"/>
      <c r="OYQ16" s="133"/>
      <c r="OYR16" s="133"/>
      <c r="OYS16" s="133"/>
      <c r="OYT16" s="133"/>
      <c r="OYU16" s="133"/>
      <c r="OYV16" s="133"/>
      <c r="OYW16" s="133"/>
      <c r="OYX16" s="133"/>
      <c r="OYY16" s="133"/>
      <c r="OYZ16" s="133"/>
      <c r="OZA16" s="133"/>
      <c r="OZB16" s="136"/>
      <c r="OZC16" s="137"/>
      <c r="OZD16" s="136"/>
      <c r="OZE16" s="137"/>
      <c r="OZF16" s="133"/>
      <c r="OZG16" s="133"/>
      <c r="OZH16" s="133"/>
      <c r="OZI16" s="133"/>
      <c r="OZJ16" s="133"/>
      <c r="OZK16" s="133"/>
      <c r="OZL16" s="133"/>
      <c r="OZM16" s="133"/>
      <c r="OZN16" s="133"/>
      <c r="OZO16" s="133"/>
      <c r="OZP16" s="133"/>
      <c r="OZQ16" s="133"/>
      <c r="OZR16" s="136"/>
      <c r="OZS16" s="137"/>
      <c r="OZT16" s="136"/>
      <c r="OZU16" s="137"/>
      <c r="OZV16" s="133"/>
      <c r="OZW16" s="133"/>
      <c r="OZX16" s="133"/>
      <c r="OZY16" s="133"/>
      <c r="OZZ16" s="133"/>
      <c r="PAA16" s="133"/>
      <c r="PAB16" s="133"/>
      <c r="PAC16" s="133"/>
      <c r="PAD16" s="133"/>
      <c r="PAE16" s="133"/>
      <c r="PAF16" s="133"/>
      <c r="PAG16" s="133"/>
      <c r="PAH16" s="136"/>
      <c r="PAI16" s="137"/>
      <c r="PAJ16" s="136"/>
      <c r="PAK16" s="137"/>
      <c r="PAL16" s="133"/>
      <c r="PAM16" s="133"/>
      <c r="PAN16" s="133"/>
      <c r="PAO16" s="133"/>
      <c r="PAP16" s="133"/>
      <c r="PAQ16" s="133"/>
      <c r="PAR16" s="133"/>
      <c r="PAS16" s="133"/>
      <c r="PAT16" s="133"/>
      <c r="PAU16" s="133"/>
      <c r="PAV16" s="133"/>
      <c r="PAW16" s="133"/>
      <c r="PAX16" s="136"/>
      <c r="PAY16" s="137"/>
      <c r="PAZ16" s="136"/>
      <c r="PBA16" s="137"/>
      <c r="PBB16" s="133"/>
      <c r="PBC16" s="133"/>
      <c r="PBD16" s="133"/>
      <c r="PBE16" s="133"/>
      <c r="PBF16" s="133"/>
      <c r="PBG16" s="133"/>
      <c r="PBH16" s="133"/>
      <c r="PBI16" s="133"/>
      <c r="PBJ16" s="133"/>
      <c r="PBK16" s="133"/>
      <c r="PBL16" s="133"/>
      <c r="PBM16" s="133"/>
      <c r="PBN16" s="136"/>
      <c r="PBO16" s="137"/>
      <c r="PBP16" s="136"/>
      <c r="PBQ16" s="137"/>
      <c r="PBR16" s="133"/>
      <c r="PBS16" s="133"/>
      <c r="PBT16" s="133"/>
      <c r="PBU16" s="133"/>
      <c r="PBV16" s="133"/>
      <c r="PBW16" s="133"/>
      <c r="PBX16" s="133"/>
      <c r="PBY16" s="133"/>
      <c r="PBZ16" s="133"/>
      <c r="PCA16" s="133"/>
      <c r="PCB16" s="133"/>
      <c r="PCC16" s="133"/>
      <c r="PCD16" s="136"/>
      <c r="PCE16" s="137"/>
      <c r="PCF16" s="136"/>
      <c r="PCG16" s="137"/>
      <c r="PCH16" s="133"/>
      <c r="PCI16" s="133"/>
      <c r="PCJ16" s="133"/>
      <c r="PCK16" s="133"/>
      <c r="PCL16" s="133"/>
      <c r="PCM16" s="133"/>
      <c r="PCN16" s="133"/>
      <c r="PCO16" s="133"/>
      <c r="PCP16" s="133"/>
      <c r="PCQ16" s="133"/>
      <c r="PCR16" s="133"/>
      <c r="PCS16" s="133"/>
      <c r="PCT16" s="136"/>
      <c r="PCU16" s="137"/>
      <c r="PCV16" s="136"/>
      <c r="PCW16" s="137"/>
      <c r="PCX16" s="133"/>
      <c r="PCY16" s="133"/>
      <c r="PCZ16" s="133"/>
      <c r="PDA16" s="133"/>
      <c r="PDB16" s="133"/>
      <c r="PDC16" s="133"/>
      <c r="PDD16" s="133"/>
      <c r="PDE16" s="133"/>
      <c r="PDF16" s="133"/>
      <c r="PDG16" s="133"/>
      <c r="PDH16" s="133"/>
      <c r="PDI16" s="133"/>
      <c r="PDJ16" s="136"/>
      <c r="PDK16" s="137"/>
      <c r="PDL16" s="136"/>
      <c r="PDM16" s="137"/>
      <c r="PDN16" s="133"/>
      <c r="PDO16" s="133"/>
      <c r="PDP16" s="133"/>
      <c r="PDQ16" s="133"/>
      <c r="PDR16" s="133"/>
      <c r="PDS16" s="133"/>
      <c r="PDT16" s="133"/>
      <c r="PDU16" s="133"/>
      <c r="PDV16" s="133"/>
      <c r="PDW16" s="133"/>
      <c r="PDX16" s="133"/>
      <c r="PDY16" s="133"/>
      <c r="PDZ16" s="136"/>
      <c r="PEA16" s="137"/>
      <c r="PEB16" s="136"/>
      <c r="PEC16" s="137"/>
      <c r="PED16" s="133"/>
      <c r="PEE16" s="133"/>
      <c r="PEF16" s="133"/>
      <c r="PEG16" s="133"/>
      <c r="PEH16" s="133"/>
      <c r="PEI16" s="133"/>
      <c r="PEJ16" s="133"/>
      <c r="PEK16" s="133"/>
      <c r="PEL16" s="133"/>
      <c r="PEM16" s="133"/>
      <c r="PEN16" s="133"/>
      <c r="PEO16" s="133"/>
      <c r="PEP16" s="136"/>
      <c r="PEQ16" s="137"/>
      <c r="PER16" s="136"/>
      <c r="PES16" s="137"/>
      <c r="PET16" s="133"/>
      <c r="PEU16" s="133"/>
      <c r="PEV16" s="133"/>
      <c r="PEW16" s="133"/>
      <c r="PEX16" s="133"/>
      <c r="PEY16" s="133"/>
      <c r="PEZ16" s="133"/>
      <c r="PFA16" s="133"/>
      <c r="PFB16" s="133"/>
      <c r="PFC16" s="133"/>
      <c r="PFD16" s="133"/>
      <c r="PFE16" s="133"/>
      <c r="PFF16" s="136"/>
      <c r="PFG16" s="137"/>
      <c r="PFH16" s="136"/>
      <c r="PFI16" s="137"/>
      <c r="PFJ16" s="133"/>
      <c r="PFK16" s="133"/>
      <c r="PFL16" s="133"/>
      <c r="PFM16" s="133"/>
      <c r="PFN16" s="133"/>
      <c r="PFO16" s="133"/>
      <c r="PFP16" s="133"/>
      <c r="PFQ16" s="133"/>
      <c r="PFR16" s="133"/>
      <c r="PFS16" s="133"/>
      <c r="PFT16" s="133"/>
      <c r="PFU16" s="133"/>
      <c r="PFV16" s="136"/>
      <c r="PFW16" s="137"/>
      <c r="PFX16" s="136"/>
      <c r="PFY16" s="137"/>
      <c r="PFZ16" s="133"/>
      <c r="PGA16" s="133"/>
      <c r="PGB16" s="133"/>
      <c r="PGC16" s="133"/>
      <c r="PGD16" s="133"/>
      <c r="PGE16" s="133"/>
      <c r="PGF16" s="133"/>
      <c r="PGG16" s="133"/>
      <c r="PGH16" s="133"/>
      <c r="PGI16" s="133"/>
      <c r="PGJ16" s="133"/>
      <c r="PGK16" s="133"/>
      <c r="PGL16" s="136"/>
      <c r="PGM16" s="137"/>
      <c r="PGN16" s="136"/>
      <c r="PGO16" s="137"/>
      <c r="PGP16" s="133"/>
      <c r="PGQ16" s="133"/>
      <c r="PGR16" s="133"/>
      <c r="PGS16" s="133"/>
      <c r="PGT16" s="133"/>
      <c r="PGU16" s="133"/>
      <c r="PGV16" s="133"/>
      <c r="PGW16" s="133"/>
      <c r="PGX16" s="133"/>
      <c r="PGY16" s="133"/>
      <c r="PGZ16" s="133"/>
      <c r="PHA16" s="133"/>
      <c r="PHB16" s="136"/>
      <c r="PHC16" s="137"/>
      <c r="PHD16" s="136"/>
      <c r="PHE16" s="137"/>
      <c r="PHF16" s="133"/>
      <c r="PHG16" s="133"/>
      <c r="PHH16" s="133"/>
      <c r="PHI16" s="133"/>
      <c r="PHJ16" s="133"/>
      <c r="PHK16" s="133"/>
      <c r="PHL16" s="133"/>
      <c r="PHM16" s="133"/>
      <c r="PHN16" s="133"/>
      <c r="PHO16" s="133"/>
      <c r="PHP16" s="133"/>
      <c r="PHQ16" s="133"/>
      <c r="PHR16" s="136"/>
      <c r="PHS16" s="137"/>
      <c r="PHT16" s="136"/>
      <c r="PHU16" s="137"/>
      <c r="PHV16" s="133"/>
      <c r="PHW16" s="133"/>
      <c r="PHX16" s="133"/>
      <c r="PHY16" s="133"/>
      <c r="PHZ16" s="133"/>
      <c r="PIA16" s="133"/>
      <c r="PIB16" s="133"/>
      <c r="PIC16" s="133"/>
      <c r="PID16" s="133"/>
      <c r="PIE16" s="133"/>
      <c r="PIF16" s="133"/>
      <c r="PIG16" s="133"/>
      <c r="PIH16" s="136"/>
      <c r="PII16" s="137"/>
      <c r="PIJ16" s="136"/>
      <c r="PIK16" s="137"/>
      <c r="PIL16" s="133"/>
      <c r="PIM16" s="133"/>
      <c r="PIN16" s="133"/>
      <c r="PIO16" s="133"/>
      <c r="PIP16" s="133"/>
      <c r="PIQ16" s="133"/>
      <c r="PIR16" s="133"/>
      <c r="PIS16" s="133"/>
      <c r="PIT16" s="133"/>
      <c r="PIU16" s="133"/>
      <c r="PIV16" s="133"/>
      <c r="PIW16" s="133"/>
      <c r="PIX16" s="136"/>
      <c r="PIY16" s="137"/>
      <c r="PIZ16" s="136"/>
      <c r="PJA16" s="137"/>
      <c r="PJB16" s="133"/>
      <c r="PJC16" s="133"/>
      <c r="PJD16" s="133"/>
      <c r="PJE16" s="133"/>
      <c r="PJF16" s="133"/>
      <c r="PJG16" s="133"/>
      <c r="PJH16" s="133"/>
      <c r="PJI16" s="133"/>
      <c r="PJJ16" s="133"/>
      <c r="PJK16" s="133"/>
      <c r="PJL16" s="133"/>
      <c r="PJM16" s="133"/>
      <c r="PJN16" s="136"/>
      <c r="PJO16" s="137"/>
      <c r="PJP16" s="136"/>
      <c r="PJQ16" s="137"/>
      <c r="PJR16" s="133"/>
      <c r="PJS16" s="133"/>
      <c r="PJT16" s="133"/>
      <c r="PJU16" s="133"/>
      <c r="PJV16" s="133"/>
      <c r="PJW16" s="133"/>
      <c r="PJX16" s="133"/>
      <c r="PJY16" s="133"/>
      <c r="PJZ16" s="133"/>
      <c r="PKA16" s="133"/>
      <c r="PKB16" s="133"/>
      <c r="PKC16" s="133"/>
      <c r="PKD16" s="136"/>
      <c r="PKE16" s="137"/>
      <c r="PKF16" s="136"/>
      <c r="PKG16" s="137"/>
      <c r="PKH16" s="133"/>
      <c r="PKI16" s="133"/>
      <c r="PKJ16" s="133"/>
      <c r="PKK16" s="133"/>
      <c r="PKL16" s="133"/>
      <c r="PKM16" s="133"/>
      <c r="PKN16" s="133"/>
      <c r="PKO16" s="133"/>
      <c r="PKP16" s="133"/>
      <c r="PKQ16" s="133"/>
      <c r="PKR16" s="133"/>
      <c r="PKS16" s="133"/>
      <c r="PKT16" s="136"/>
      <c r="PKU16" s="137"/>
      <c r="PKV16" s="136"/>
      <c r="PKW16" s="137"/>
      <c r="PKX16" s="133"/>
      <c r="PKY16" s="133"/>
      <c r="PKZ16" s="133"/>
      <c r="PLA16" s="133"/>
      <c r="PLB16" s="133"/>
      <c r="PLC16" s="133"/>
      <c r="PLD16" s="133"/>
      <c r="PLE16" s="133"/>
      <c r="PLF16" s="133"/>
      <c r="PLG16" s="133"/>
      <c r="PLH16" s="133"/>
      <c r="PLI16" s="133"/>
      <c r="PLJ16" s="136"/>
      <c r="PLK16" s="137"/>
      <c r="PLL16" s="136"/>
      <c r="PLM16" s="137"/>
      <c r="PLN16" s="133"/>
      <c r="PLO16" s="133"/>
      <c r="PLP16" s="133"/>
      <c r="PLQ16" s="133"/>
      <c r="PLR16" s="133"/>
      <c r="PLS16" s="133"/>
      <c r="PLT16" s="133"/>
      <c r="PLU16" s="133"/>
      <c r="PLV16" s="133"/>
      <c r="PLW16" s="133"/>
      <c r="PLX16" s="133"/>
      <c r="PLY16" s="133"/>
      <c r="PLZ16" s="136"/>
      <c r="PMA16" s="137"/>
      <c r="PMB16" s="136"/>
      <c r="PMC16" s="137"/>
      <c r="PMD16" s="133"/>
      <c r="PME16" s="133"/>
      <c r="PMF16" s="133"/>
      <c r="PMG16" s="133"/>
      <c r="PMH16" s="133"/>
      <c r="PMI16" s="133"/>
      <c r="PMJ16" s="133"/>
      <c r="PMK16" s="133"/>
      <c r="PML16" s="133"/>
      <c r="PMM16" s="133"/>
      <c r="PMN16" s="133"/>
      <c r="PMO16" s="133"/>
      <c r="PMP16" s="136"/>
      <c r="PMQ16" s="137"/>
      <c r="PMR16" s="136"/>
      <c r="PMS16" s="137"/>
      <c r="PMT16" s="133"/>
      <c r="PMU16" s="133"/>
      <c r="PMV16" s="133"/>
      <c r="PMW16" s="133"/>
      <c r="PMX16" s="133"/>
      <c r="PMY16" s="133"/>
      <c r="PMZ16" s="133"/>
      <c r="PNA16" s="133"/>
      <c r="PNB16" s="133"/>
      <c r="PNC16" s="133"/>
      <c r="PND16" s="133"/>
      <c r="PNE16" s="133"/>
      <c r="PNF16" s="136"/>
      <c r="PNG16" s="137"/>
      <c r="PNH16" s="136"/>
      <c r="PNI16" s="137"/>
      <c r="PNJ16" s="133"/>
      <c r="PNK16" s="133"/>
      <c r="PNL16" s="133"/>
      <c r="PNM16" s="133"/>
      <c r="PNN16" s="133"/>
      <c r="PNO16" s="133"/>
      <c r="PNP16" s="133"/>
      <c r="PNQ16" s="133"/>
      <c r="PNR16" s="133"/>
      <c r="PNS16" s="133"/>
      <c r="PNT16" s="133"/>
      <c r="PNU16" s="133"/>
      <c r="PNV16" s="136"/>
      <c r="PNW16" s="137"/>
      <c r="PNX16" s="136"/>
      <c r="PNY16" s="137"/>
      <c r="PNZ16" s="133"/>
      <c r="POA16" s="133"/>
      <c r="POB16" s="133"/>
      <c r="POC16" s="133"/>
      <c r="POD16" s="133"/>
      <c r="POE16" s="133"/>
      <c r="POF16" s="133"/>
      <c r="POG16" s="133"/>
      <c r="POH16" s="133"/>
      <c r="POI16" s="133"/>
      <c r="POJ16" s="133"/>
      <c r="POK16" s="133"/>
      <c r="POL16" s="136"/>
      <c r="POM16" s="137"/>
      <c r="PON16" s="136"/>
      <c r="POO16" s="137"/>
    </row>
    <row r="17" spans="1:46" s="134" customFormat="1" ht="14.95" customHeight="1" thickBot="1" x14ac:dyDescent="0.3">
      <c r="A17" s="468" t="s">
        <v>257</v>
      </c>
      <c r="B17" s="469" t="s">
        <v>199</v>
      </c>
      <c r="C17" s="470" t="s">
        <v>27</v>
      </c>
      <c r="D17" s="471" t="s">
        <v>299</v>
      </c>
      <c r="E17" s="471" t="s">
        <v>32</v>
      </c>
      <c r="F17" s="471">
        <v>16</v>
      </c>
      <c r="G17" s="471">
        <v>14</v>
      </c>
      <c r="H17" s="471">
        <v>0</v>
      </c>
      <c r="I17" s="471">
        <v>0</v>
      </c>
      <c r="J17" s="471">
        <v>1</v>
      </c>
      <c r="K17" s="471">
        <v>1</v>
      </c>
      <c r="L17" s="471">
        <v>0</v>
      </c>
      <c r="M17" s="471">
        <v>3</v>
      </c>
      <c r="N17" s="471">
        <v>0</v>
      </c>
      <c r="O17" s="471">
        <v>0</v>
      </c>
      <c r="P17" s="471">
        <v>0</v>
      </c>
      <c r="Q17" s="471">
        <v>1</v>
      </c>
      <c r="R17" s="471">
        <v>2</v>
      </c>
      <c r="S17" s="595">
        <v>14509</v>
      </c>
      <c r="T17" s="480" t="s">
        <v>713</v>
      </c>
      <c r="U17" s="478" t="s">
        <v>396</v>
      </c>
      <c r="V17" s="472" t="s">
        <v>403</v>
      </c>
      <c r="W17" s="472" t="s">
        <v>308</v>
      </c>
      <c r="X17" s="473" t="s">
        <v>475</v>
      </c>
      <c r="Y17" s="472">
        <v>1</v>
      </c>
      <c r="Z17" s="472">
        <v>1</v>
      </c>
      <c r="AA17" s="472">
        <v>0</v>
      </c>
      <c r="AB17" s="472">
        <v>0</v>
      </c>
      <c r="AC17" s="472">
        <v>1</v>
      </c>
      <c r="AD17" s="472">
        <v>1</v>
      </c>
      <c r="AE17" s="472">
        <v>0</v>
      </c>
      <c r="AF17" s="472">
        <v>0</v>
      </c>
      <c r="AG17" s="472">
        <v>0</v>
      </c>
      <c r="AH17" s="472">
        <v>0</v>
      </c>
      <c r="AI17" s="472">
        <v>0</v>
      </c>
      <c r="AJ17" s="478">
        <v>0</v>
      </c>
      <c r="AK17" s="472">
        <v>0</v>
      </c>
      <c r="AL17" s="472">
        <v>0</v>
      </c>
      <c r="AM17" s="472">
        <v>0</v>
      </c>
      <c r="AN17" s="478">
        <v>0</v>
      </c>
      <c r="AO17" s="133"/>
      <c r="AP17" s="133"/>
      <c r="AQ17" s="133"/>
      <c r="AR17" s="133"/>
      <c r="AS17" s="133"/>
      <c r="AT17" s="133"/>
    </row>
    <row r="18" spans="1:46" s="132" customFormat="1" ht="14.95" customHeight="1" thickBot="1" x14ac:dyDescent="0.3">
      <c r="A18" s="479" t="s">
        <v>258</v>
      </c>
      <c r="B18" s="461" t="s">
        <v>199</v>
      </c>
      <c r="C18" s="462" t="s">
        <v>24</v>
      </c>
      <c r="D18" s="463" t="s">
        <v>36</v>
      </c>
      <c r="E18" s="463" t="s">
        <v>34</v>
      </c>
      <c r="F18" s="463">
        <v>15</v>
      </c>
      <c r="G18" s="463">
        <v>29</v>
      </c>
      <c r="H18" s="463">
        <v>0</v>
      </c>
      <c r="I18" s="463">
        <v>0</v>
      </c>
      <c r="J18" s="463">
        <v>0</v>
      </c>
      <c r="K18" s="463">
        <v>0</v>
      </c>
      <c r="L18" s="463">
        <v>0</v>
      </c>
      <c r="M18" s="463">
        <v>5</v>
      </c>
      <c r="N18" s="463">
        <v>0</v>
      </c>
      <c r="O18" s="463">
        <v>0</v>
      </c>
      <c r="P18" s="463">
        <v>1</v>
      </c>
      <c r="Q18" s="463">
        <v>0</v>
      </c>
      <c r="R18" s="463">
        <v>4</v>
      </c>
      <c r="S18" s="464">
        <v>16000</v>
      </c>
      <c r="T18" s="482" t="s">
        <v>731</v>
      </c>
      <c r="U18" s="466" t="s">
        <v>463</v>
      </c>
      <c r="V18" s="464" t="s">
        <v>330</v>
      </c>
      <c r="W18" s="464" t="s">
        <v>323</v>
      </c>
      <c r="X18" s="467" t="s">
        <v>316</v>
      </c>
      <c r="Y18" s="464">
        <v>1</v>
      </c>
      <c r="Z18" s="464">
        <v>0</v>
      </c>
      <c r="AA18" s="464">
        <v>0</v>
      </c>
      <c r="AB18" s="464">
        <v>1</v>
      </c>
      <c r="AC18" s="464">
        <v>0</v>
      </c>
      <c r="AD18" s="464">
        <v>0</v>
      </c>
      <c r="AE18" s="464">
        <v>0</v>
      </c>
      <c r="AF18" s="464">
        <v>0</v>
      </c>
      <c r="AG18" s="464">
        <v>1</v>
      </c>
      <c r="AH18" s="464">
        <v>0</v>
      </c>
      <c r="AI18" s="464">
        <v>0</v>
      </c>
      <c r="AJ18" s="466">
        <v>1</v>
      </c>
      <c r="AK18" s="464">
        <v>0</v>
      </c>
      <c r="AL18" s="464">
        <v>0</v>
      </c>
      <c r="AM18" s="464">
        <v>0</v>
      </c>
      <c r="AN18" s="466">
        <v>0</v>
      </c>
      <c r="AO18" s="131"/>
      <c r="AP18" s="131"/>
      <c r="AQ18" s="131"/>
      <c r="AR18" s="131"/>
      <c r="AS18" s="131"/>
      <c r="AT18" s="131"/>
    </row>
    <row r="19" spans="1:46" s="33" customFormat="1" ht="14.95" customHeight="1" thickBot="1" x14ac:dyDescent="0.3">
      <c r="A19" s="309" t="s">
        <v>430</v>
      </c>
      <c r="B19" s="310" t="s">
        <v>104</v>
      </c>
      <c r="C19" s="93" t="s">
        <v>9</v>
      </c>
      <c r="D19" s="94" t="s">
        <v>299</v>
      </c>
      <c r="E19" s="94" t="s">
        <v>34</v>
      </c>
      <c r="F19" s="94">
        <v>19</v>
      </c>
      <c r="G19" s="94">
        <v>25</v>
      </c>
      <c r="H19" s="94">
        <v>0</v>
      </c>
      <c r="I19" s="94">
        <v>1</v>
      </c>
      <c r="J19" s="94">
        <v>3</v>
      </c>
      <c r="K19" s="94">
        <v>2</v>
      </c>
      <c r="L19" s="94">
        <v>0</v>
      </c>
      <c r="M19" s="94">
        <v>0</v>
      </c>
      <c r="N19" s="94">
        <v>0</v>
      </c>
      <c r="O19" s="94">
        <v>0</v>
      </c>
      <c r="P19" s="94">
        <v>0</v>
      </c>
      <c r="Q19" s="94">
        <v>0</v>
      </c>
      <c r="R19" s="94">
        <v>3</v>
      </c>
      <c r="S19" s="631">
        <v>12059</v>
      </c>
      <c r="T19" s="696" t="s">
        <v>745</v>
      </c>
      <c r="U19" s="313" t="s">
        <v>611</v>
      </c>
      <c r="V19" s="311" t="s">
        <v>612</v>
      </c>
      <c r="W19" s="311" t="s">
        <v>661</v>
      </c>
      <c r="X19" s="88" t="s">
        <v>746</v>
      </c>
      <c r="Y19" s="311">
        <v>1</v>
      </c>
      <c r="Z19" s="311">
        <v>0</v>
      </c>
      <c r="AA19" s="311">
        <v>0</v>
      </c>
      <c r="AB19" s="311">
        <v>1</v>
      </c>
      <c r="AC19" s="311">
        <v>1</v>
      </c>
      <c r="AD19" s="311">
        <v>0</v>
      </c>
      <c r="AE19" s="311">
        <v>0</v>
      </c>
      <c r="AF19" s="311">
        <v>1</v>
      </c>
      <c r="AG19" s="311">
        <v>0</v>
      </c>
      <c r="AH19" s="311">
        <v>0</v>
      </c>
      <c r="AI19" s="311">
        <v>0</v>
      </c>
      <c r="AJ19" s="313">
        <v>0</v>
      </c>
      <c r="AK19" s="311">
        <v>0</v>
      </c>
      <c r="AL19" s="311">
        <v>0</v>
      </c>
      <c r="AM19" s="311">
        <v>0</v>
      </c>
      <c r="AN19" s="313">
        <v>0</v>
      </c>
      <c r="AO19" s="131"/>
      <c r="AP19" s="131"/>
      <c r="AQ19" s="131"/>
      <c r="AR19" s="131"/>
      <c r="AS19" s="1011"/>
      <c r="AT19" s="1012"/>
    </row>
    <row r="20" spans="1:46" s="132" customFormat="1" ht="14.95" customHeight="1" thickBot="1" x14ac:dyDescent="0.3">
      <c r="A20" s="145" t="s">
        <v>246</v>
      </c>
      <c r="B20" s="139" t="s">
        <v>104</v>
      </c>
      <c r="C20" s="140" t="s">
        <v>431</v>
      </c>
      <c r="D20" s="141" t="s">
        <v>36</v>
      </c>
      <c r="E20" s="141" t="s">
        <v>34</v>
      </c>
      <c r="F20" s="141">
        <v>15</v>
      </c>
      <c r="G20" s="141">
        <v>22</v>
      </c>
      <c r="H20" s="141">
        <v>0</v>
      </c>
      <c r="I20" s="141">
        <v>1</v>
      </c>
      <c r="J20" s="141">
        <v>2</v>
      </c>
      <c r="K20" s="141">
        <v>1</v>
      </c>
      <c r="L20" s="141">
        <v>0</v>
      </c>
      <c r="M20" s="141">
        <v>1</v>
      </c>
      <c r="N20" s="141">
        <v>1</v>
      </c>
      <c r="O20" s="141">
        <v>1</v>
      </c>
      <c r="P20" s="141">
        <v>0</v>
      </c>
      <c r="Q20" s="141">
        <v>0</v>
      </c>
      <c r="R20" s="141">
        <v>3</v>
      </c>
      <c r="S20" s="142">
        <v>17682</v>
      </c>
      <c r="T20" s="727" t="s">
        <v>648</v>
      </c>
      <c r="U20" s="143" t="s">
        <v>569</v>
      </c>
      <c r="V20" s="142" t="s">
        <v>570</v>
      </c>
      <c r="W20" s="142" t="s">
        <v>572</v>
      </c>
      <c r="X20" s="144" t="s">
        <v>708</v>
      </c>
      <c r="Y20" s="142">
        <v>1</v>
      </c>
      <c r="Z20" s="142">
        <v>0</v>
      </c>
      <c r="AA20" s="142">
        <v>0</v>
      </c>
      <c r="AB20" s="142">
        <v>1</v>
      </c>
      <c r="AC20" s="142">
        <v>0</v>
      </c>
      <c r="AD20" s="142">
        <v>0</v>
      </c>
      <c r="AE20" s="142">
        <v>0</v>
      </c>
      <c r="AF20" s="142">
        <v>0</v>
      </c>
      <c r="AG20" s="142">
        <v>1</v>
      </c>
      <c r="AH20" s="142">
        <v>0</v>
      </c>
      <c r="AI20" s="142">
        <v>0</v>
      </c>
      <c r="AJ20" s="143">
        <v>1</v>
      </c>
      <c r="AK20" s="142">
        <v>0</v>
      </c>
      <c r="AL20" s="142">
        <v>0</v>
      </c>
      <c r="AM20" s="142">
        <v>0</v>
      </c>
      <c r="AN20" s="143">
        <v>0</v>
      </c>
      <c r="AO20" s="131"/>
      <c r="AP20" s="131"/>
      <c r="AQ20" s="131"/>
      <c r="AR20" s="131"/>
      <c r="AS20"/>
      <c r="AT20"/>
    </row>
    <row r="21" spans="1:46" s="33" customFormat="1" ht="14.95" customHeight="1" thickBot="1" x14ac:dyDescent="0.3">
      <c r="A21" s="468" t="s">
        <v>293</v>
      </c>
      <c r="B21" s="469" t="s">
        <v>199</v>
      </c>
      <c r="C21" s="470" t="s">
        <v>349</v>
      </c>
      <c r="D21" s="471" t="s">
        <v>299</v>
      </c>
      <c r="E21" s="471" t="s">
        <v>32</v>
      </c>
      <c r="F21" s="471">
        <v>13</v>
      </c>
      <c r="G21" s="471">
        <v>10</v>
      </c>
      <c r="H21" s="471">
        <v>0</v>
      </c>
      <c r="I21" s="471">
        <v>0</v>
      </c>
      <c r="J21" s="471">
        <v>2</v>
      </c>
      <c r="K21" s="471">
        <v>0</v>
      </c>
      <c r="L21" s="471">
        <v>0</v>
      </c>
      <c r="M21" s="471">
        <v>1</v>
      </c>
      <c r="N21" s="471">
        <v>1</v>
      </c>
      <c r="O21" s="471">
        <v>0</v>
      </c>
      <c r="P21" s="471">
        <v>0</v>
      </c>
      <c r="Q21" s="471">
        <v>1</v>
      </c>
      <c r="R21" s="471">
        <v>1</v>
      </c>
      <c r="S21" s="504">
        <v>14029</v>
      </c>
      <c r="T21" s="480" t="s">
        <v>765</v>
      </c>
      <c r="U21" s="478" t="s">
        <v>637</v>
      </c>
      <c r="V21" s="472" t="s">
        <v>766</v>
      </c>
      <c r="W21" s="472" t="s">
        <v>326</v>
      </c>
      <c r="X21" s="473" t="s">
        <v>316</v>
      </c>
      <c r="Y21" s="472">
        <v>1</v>
      </c>
      <c r="Z21" s="472">
        <v>1</v>
      </c>
      <c r="AA21" s="472">
        <v>0</v>
      </c>
      <c r="AB21" s="472">
        <v>0</v>
      </c>
      <c r="AC21" s="472">
        <v>1</v>
      </c>
      <c r="AD21" s="472">
        <v>1</v>
      </c>
      <c r="AE21" s="472">
        <v>0</v>
      </c>
      <c r="AF21" s="472">
        <v>0</v>
      </c>
      <c r="AG21" s="472">
        <v>0</v>
      </c>
      <c r="AH21" s="472">
        <v>0</v>
      </c>
      <c r="AI21" s="472">
        <v>0</v>
      </c>
      <c r="AJ21" s="478">
        <v>0</v>
      </c>
      <c r="AK21" s="472">
        <v>0</v>
      </c>
      <c r="AL21" s="472">
        <v>0</v>
      </c>
      <c r="AM21" s="472">
        <v>0</v>
      </c>
      <c r="AN21" s="478">
        <v>0</v>
      </c>
      <c r="AO21" s="131"/>
      <c r="AP21" s="131"/>
      <c r="AQ21" s="131"/>
      <c r="AR21" s="131"/>
      <c r="AS21"/>
      <c r="AT21"/>
    </row>
    <row r="22" spans="1:46" s="33" customFormat="1" ht="14.95" customHeight="1" thickBot="1" x14ac:dyDescent="0.3">
      <c r="A22" s="479" t="s">
        <v>259</v>
      </c>
      <c r="B22" s="461" t="s">
        <v>199</v>
      </c>
      <c r="C22" s="462" t="s">
        <v>23</v>
      </c>
      <c r="D22" s="463" t="s">
        <v>36</v>
      </c>
      <c r="E22" s="463" t="s">
        <v>32</v>
      </c>
      <c r="F22" s="463">
        <v>22</v>
      </c>
      <c r="G22" s="463">
        <v>21</v>
      </c>
      <c r="H22" s="463">
        <v>0</v>
      </c>
      <c r="I22" s="463">
        <v>0</v>
      </c>
      <c r="J22" s="463">
        <v>3</v>
      </c>
      <c r="K22" s="463">
        <v>2</v>
      </c>
      <c r="L22" s="463">
        <v>0</v>
      </c>
      <c r="M22" s="463">
        <v>1</v>
      </c>
      <c r="N22" s="463">
        <v>0</v>
      </c>
      <c r="O22" s="463">
        <v>0</v>
      </c>
      <c r="P22" s="463">
        <v>0</v>
      </c>
      <c r="Q22" s="463">
        <v>1</v>
      </c>
      <c r="R22" s="463">
        <v>2</v>
      </c>
      <c r="S22" s="486">
        <v>8064</v>
      </c>
      <c r="T22" s="465" t="s">
        <v>543</v>
      </c>
      <c r="U22" s="466" t="s">
        <v>326</v>
      </c>
      <c r="V22" s="464" t="s">
        <v>330</v>
      </c>
      <c r="W22" s="464" t="s">
        <v>316</v>
      </c>
      <c r="X22" s="467" t="s">
        <v>306</v>
      </c>
      <c r="Y22" s="464">
        <v>1</v>
      </c>
      <c r="Z22" s="464">
        <v>1</v>
      </c>
      <c r="AA22" s="464">
        <v>0</v>
      </c>
      <c r="AB22" s="464">
        <v>0</v>
      </c>
      <c r="AC22" s="464">
        <v>0</v>
      </c>
      <c r="AD22" s="464">
        <v>0</v>
      </c>
      <c r="AE22" s="464">
        <v>0</v>
      </c>
      <c r="AF22" s="464">
        <v>0</v>
      </c>
      <c r="AG22" s="464">
        <v>1</v>
      </c>
      <c r="AH22" s="464">
        <v>1</v>
      </c>
      <c r="AI22" s="464">
        <v>0</v>
      </c>
      <c r="AJ22" s="466">
        <v>0</v>
      </c>
      <c r="AK22" s="464">
        <v>0</v>
      </c>
      <c r="AL22" s="464">
        <v>0</v>
      </c>
      <c r="AM22" s="464">
        <v>0</v>
      </c>
      <c r="AN22" s="466">
        <v>0</v>
      </c>
      <c r="AO22" s="131"/>
      <c r="AP22" s="131"/>
      <c r="AQ22" s="131"/>
      <c r="AR22" s="131"/>
      <c r="AS22" s="131"/>
      <c r="AT22" s="131"/>
    </row>
    <row r="23" spans="1:46" s="33" customFormat="1" ht="14.95" customHeight="1" thickBot="1" x14ac:dyDescent="0.3">
      <c r="A23" s="468" t="s">
        <v>260</v>
      </c>
      <c r="B23" s="469" t="s">
        <v>199</v>
      </c>
      <c r="C23" s="470" t="s">
        <v>9</v>
      </c>
      <c r="D23" s="471" t="s">
        <v>299</v>
      </c>
      <c r="E23" s="471" t="s">
        <v>32</v>
      </c>
      <c r="F23" s="471">
        <v>19</v>
      </c>
      <c r="G23" s="471">
        <v>12</v>
      </c>
      <c r="H23" s="471">
        <v>0</v>
      </c>
      <c r="I23" s="471">
        <v>0</v>
      </c>
      <c r="J23" s="471">
        <v>2</v>
      </c>
      <c r="K23" s="471">
        <v>0</v>
      </c>
      <c r="L23" s="471">
        <v>0</v>
      </c>
      <c r="M23" s="471">
        <v>3</v>
      </c>
      <c r="N23" s="471">
        <v>0</v>
      </c>
      <c r="O23" s="471">
        <v>0</v>
      </c>
      <c r="P23" s="471">
        <v>0</v>
      </c>
      <c r="Q23" s="471">
        <v>1</v>
      </c>
      <c r="R23" s="471">
        <v>2</v>
      </c>
      <c r="S23" s="472">
        <v>14368</v>
      </c>
      <c r="T23" s="480" t="s">
        <v>805</v>
      </c>
      <c r="U23" s="478" t="s">
        <v>463</v>
      </c>
      <c r="V23" s="472" t="s">
        <v>330</v>
      </c>
      <c r="W23" s="472" t="s">
        <v>356</v>
      </c>
      <c r="X23" s="473" t="s">
        <v>316</v>
      </c>
      <c r="Y23" s="472">
        <v>1</v>
      </c>
      <c r="Z23" s="472">
        <v>1</v>
      </c>
      <c r="AA23" s="472">
        <v>0</v>
      </c>
      <c r="AB23" s="472">
        <v>0</v>
      </c>
      <c r="AC23" s="472">
        <v>1</v>
      </c>
      <c r="AD23" s="472">
        <v>1</v>
      </c>
      <c r="AE23" s="472">
        <v>0</v>
      </c>
      <c r="AF23" s="472">
        <v>0</v>
      </c>
      <c r="AG23" s="472">
        <v>0</v>
      </c>
      <c r="AH23" s="472">
        <v>0</v>
      </c>
      <c r="AI23" s="472">
        <v>0</v>
      </c>
      <c r="AJ23" s="478">
        <v>0</v>
      </c>
      <c r="AK23" s="472">
        <v>0</v>
      </c>
      <c r="AL23" s="472">
        <v>0</v>
      </c>
      <c r="AM23" s="472">
        <v>0</v>
      </c>
      <c r="AN23" s="478">
        <v>0</v>
      </c>
      <c r="AO23" s="131"/>
      <c r="AP23" s="131"/>
      <c r="AQ23" s="131"/>
      <c r="AR23" s="131"/>
      <c r="AS23" s="131"/>
      <c r="AT23" s="131"/>
    </row>
    <row r="24" spans="1:46" s="33" customFormat="1" ht="14.95" customHeight="1" thickBot="1" x14ac:dyDescent="0.3">
      <c r="A24" s="468" t="s">
        <v>497</v>
      </c>
      <c r="B24" s="469" t="s">
        <v>199</v>
      </c>
      <c r="C24" s="470" t="s">
        <v>165</v>
      </c>
      <c r="D24" s="471" t="s">
        <v>299</v>
      </c>
      <c r="E24" s="471" t="s">
        <v>34</v>
      </c>
      <c r="F24" s="471">
        <v>13</v>
      </c>
      <c r="G24" s="471">
        <v>19</v>
      </c>
      <c r="H24" s="471">
        <v>0</v>
      </c>
      <c r="I24" s="471">
        <v>1</v>
      </c>
      <c r="J24" s="471">
        <v>1</v>
      </c>
      <c r="K24" s="471">
        <v>1</v>
      </c>
      <c r="L24" s="471">
        <v>0</v>
      </c>
      <c r="M24" s="471">
        <v>2</v>
      </c>
      <c r="N24" s="471">
        <v>0</v>
      </c>
      <c r="O24" s="471">
        <v>0</v>
      </c>
      <c r="P24" s="471">
        <v>0</v>
      </c>
      <c r="Q24" s="471">
        <v>0</v>
      </c>
      <c r="R24" s="471">
        <v>3</v>
      </c>
      <c r="S24" s="472">
        <v>13976</v>
      </c>
      <c r="T24" s="477" t="s">
        <v>813</v>
      </c>
      <c r="U24" s="478" t="s">
        <v>318</v>
      </c>
      <c r="V24" s="472" t="s">
        <v>399</v>
      </c>
      <c r="W24" s="472" t="s">
        <v>715</v>
      </c>
      <c r="X24" s="473" t="s">
        <v>316</v>
      </c>
      <c r="Y24" s="472">
        <v>1</v>
      </c>
      <c r="Z24" s="472">
        <v>0</v>
      </c>
      <c r="AA24" s="472">
        <v>0</v>
      </c>
      <c r="AB24" s="472">
        <v>1</v>
      </c>
      <c r="AC24" s="472">
        <v>1</v>
      </c>
      <c r="AD24" s="472">
        <v>0</v>
      </c>
      <c r="AE24" s="472">
        <v>0</v>
      </c>
      <c r="AF24" s="472">
        <v>1</v>
      </c>
      <c r="AG24" s="472">
        <v>0</v>
      </c>
      <c r="AH24" s="472">
        <v>0</v>
      </c>
      <c r="AI24" s="472">
        <v>0</v>
      </c>
      <c r="AJ24" s="478">
        <v>0</v>
      </c>
      <c r="AK24" s="472">
        <v>0</v>
      </c>
      <c r="AL24" s="472">
        <v>0</v>
      </c>
      <c r="AM24" s="472">
        <v>0</v>
      </c>
      <c r="AN24" s="478">
        <v>0</v>
      </c>
      <c r="AO24" s="131"/>
      <c r="AP24" s="131"/>
      <c r="AQ24" s="131"/>
      <c r="AR24" s="131"/>
      <c r="AS24" s="131"/>
      <c r="AT24" s="131"/>
    </row>
    <row r="25" spans="1:46" s="130" customFormat="1" ht="14.95" customHeight="1" thickBot="1" x14ac:dyDescent="0.3">
      <c r="A25" s="479" t="s">
        <v>295</v>
      </c>
      <c r="B25" s="461" t="s">
        <v>199</v>
      </c>
      <c r="C25" s="462" t="s">
        <v>28</v>
      </c>
      <c r="D25" s="463" t="s">
        <v>36</v>
      </c>
      <c r="E25" s="463" t="s">
        <v>34</v>
      </c>
      <c r="F25" s="463">
        <v>20</v>
      </c>
      <c r="G25" s="463">
        <v>57</v>
      </c>
      <c r="H25" s="463">
        <v>0</v>
      </c>
      <c r="I25" s="463">
        <v>0</v>
      </c>
      <c r="J25" s="463">
        <v>3</v>
      </c>
      <c r="K25" s="463">
        <v>1</v>
      </c>
      <c r="L25" s="463">
        <v>0</v>
      </c>
      <c r="M25" s="463">
        <v>1</v>
      </c>
      <c r="N25" s="463">
        <v>1</v>
      </c>
      <c r="O25" s="463">
        <v>0</v>
      </c>
      <c r="P25" s="463">
        <v>1</v>
      </c>
      <c r="Q25" s="463">
        <v>0</v>
      </c>
      <c r="R25" s="463">
        <v>8</v>
      </c>
      <c r="S25" s="464">
        <v>13571</v>
      </c>
      <c r="T25" s="465" t="s">
        <v>821</v>
      </c>
      <c r="U25" s="466" t="s">
        <v>633</v>
      </c>
      <c r="V25" s="464" t="s">
        <v>399</v>
      </c>
      <c r="W25" s="464" t="s">
        <v>308</v>
      </c>
      <c r="X25" s="467" t="s">
        <v>475</v>
      </c>
      <c r="Y25" s="464">
        <v>1</v>
      </c>
      <c r="Z25" s="464">
        <v>0</v>
      </c>
      <c r="AA25" s="464">
        <v>0</v>
      </c>
      <c r="AB25" s="464">
        <v>1</v>
      </c>
      <c r="AC25" s="464">
        <v>0</v>
      </c>
      <c r="AD25" s="464">
        <v>0</v>
      </c>
      <c r="AE25" s="464">
        <v>0</v>
      </c>
      <c r="AF25" s="464">
        <v>0</v>
      </c>
      <c r="AG25" s="464">
        <v>1</v>
      </c>
      <c r="AH25" s="464">
        <v>0</v>
      </c>
      <c r="AI25" s="464">
        <v>0</v>
      </c>
      <c r="AJ25" s="466">
        <v>1</v>
      </c>
      <c r="AK25" s="464">
        <v>0</v>
      </c>
      <c r="AL25" s="464">
        <v>0</v>
      </c>
      <c r="AM25" s="464">
        <v>0</v>
      </c>
      <c r="AN25" s="466">
        <v>0</v>
      </c>
      <c r="AO25"/>
      <c r="AP25"/>
      <c r="AQ25"/>
      <c r="AR25"/>
      <c r="AS25"/>
      <c r="AT25"/>
    </row>
    <row r="26" spans="1:46" ht="14.95" customHeight="1" thickBot="1" x14ac:dyDescent="0.3">
      <c r="A26" s="468" t="s">
        <v>829</v>
      </c>
      <c r="B26" s="469" t="s">
        <v>199</v>
      </c>
      <c r="C26" s="470" t="s">
        <v>11</v>
      </c>
      <c r="D26" s="471" t="s">
        <v>299</v>
      </c>
      <c r="E26" s="471" t="s">
        <v>32</v>
      </c>
      <c r="F26" s="471">
        <v>34</v>
      </c>
      <c r="G26" s="471">
        <v>17</v>
      </c>
      <c r="H26" s="471">
        <v>1</v>
      </c>
      <c r="I26" s="471">
        <v>0</v>
      </c>
      <c r="J26" s="471">
        <v>5</v>
      </c>
      <c r="K26" s="471">
        <v>3</v>
      </c>
      <c r="L26" s="471">
        <v>0</v>
      </c>
      <c r="M26" s="471">
        <v>1</v>
      </c>
      <c r="N26" s="471">
        <v>0</v>
      </c>
      <c r="O26" s="471">
        <v>0</v>
      </c>
      <c r="P26" s="471">
        <v>0</v>
      </c>
      <c r="Q26" s="471">
        <v>0</v>
      </c>
      <c r="R26" s="471">
        <v>2</v>
      </c>
      <c r="S26" s="472">
        <v>0</v>
      </c>
      <c r="T26" s="480" t="s">
        <v>366</v>
      </c>
      <c r="U26" s="478" t="s">
        <v>396</v>
      </c>
      <c r="V26" s="472" t="s">
        <v>766</v>
      </c>
      <c r="W26" s="472" t="s">
        <v>328</v>
      </c>
      <c r="X26" s="473" t="s">
        <v>475</v>
      </c>
      <c r="Y26" s="472">
        <v>1</v>
      </c>
      <c r="Z26" s="472">
        <v>1</v>
      </c>
      <c r="AA26" s="472">
        <v>0</v>
      </c>
      <c r="AB26" s="472">
        <v>0</v>
      </c>
      <c r="AC26" s="472">
        <v>1</v>
      </c>
      <c r="AD26" s="472">
        <v>1</v>
      </c>
      <c r="AE26" s="472">
        <v>0</v>
      </c>
      <c r="AF26" s="472">
        <v>0</v>
      </c>
      <c r="AG26" s="472">
        <v>0</v>
      </c>
      <c r="AH26" s="472">
        <v>0</v>
      </c>
      <c r="AI26" s="472">
        <v>0</v>
      </c>
      <c r="AJ26" s="478">
        <v>0</v>
      </c>
      <c r="AK26" s="472">
        <v>0</v>
      </c>
      <c r="AL26" s="472">
        <v>0</v>
      </c>
      <c r="AM26" s="472">
        <v>0</v>
      </c>
      <c r="AN26" s="478">
        <v>0</v>
      </c>
    </row>
    <row r="27" spans="1:46" ht="14.95" customHeight="1" thickBot="1" x14ac:dyDescent="0.3">
      <c r="A27" s="479" t="s">
        <v>832</v>
      </c>
      <c r="B27" s="461" t="s">
        <v>199</v>
      </c>
      <c r="C27" s="462" t="s">
        <v>349</v>
      </c>
      <c r="D27" s="463" t="s">
        <v>36</v>
      </c>
      <c r="E27" s="463" t="s">
        <v>32</v>
      </c>
      <c r="F27" s="463">
        <v>38</v>
      </c>
      <c r="G27" s="463">
        <v>16</v>
      </c>
      <c r="H27" s="463">
        <v>1</v>
      </c>
      <c r="I27" s="463">
        <v>0</v>
      </c>
      <c r="J27" s="463">
        <v>6</v>
      </c>
      <c r="K27" s="463">
        <v>4</v>
      </c>
      <c r="L27" s="463">
        <v>0</v>
      </c>
      <c r="M27" s="463">
        <v>0</v>
      </c>
      <c r="N27" s="463">
        <v>1</v>
      </c>
      <c r="O27" s="463">
        <v>0</v>
      </c>
      <c r="P27" s="463">
        <v>0</v>
      </c>
      <c r="Q27" s="463">
        <v>0</v>
      </c>
      <c r="R27" s="463">
        <v>2</v>
      </c>
      <c r="S27" s="483">
        <v>0</v>
      </c>
      <c r="T27" s="481" t="s">
        <v>891</v>
      </c>
      <c r="U27" s="466" t="s">
        <v>554</v>
      </c>
      <c r="V27" s="464" t="s">
        <v>352</v>
      </c>
      <c r="W27" s="464" t="s">
        <v>304</v>
      </c>
      <c r="X27" s="467" t="s">
        <v>308</v>
      </c>
      <c r="Y27" s="464">
        <v>1</v>
      </c>
      <c r="Z27" s="464">
        <v>1</v>
      </c>
      <c r="AA27" s="464">
        <v>0</v>
      </c>
      <c r="AB27" s="464">
        <v>0</v>
      </c>
      <c r="AC27" s="464">
        <v>0</v>
      </c>
      <c r="AD27" s="464">
        <v>0</v>
      </c>
      <c r="AE27" s="464">
        <v>0</v>
      </c>
      <c r="AF27" s="464">
        <v>0</v>
      </c>
      <c r="AG27" s="464">
        <v>1</v>
      </c>
      <c r="AH27" s="464">
        <v>1</v>
      </c>
      <c r="AI27" s="464">
        <v>0</v>
      </c>
      <c r="AJ27" s="466">
        <v>0</v>
      </c>
      <c r="AK27" s="464">
        <v>0</v>
      </c>
      <c r="AL27" s="464">
        <v>0</v>
      </c>
      <c r="AM27" s="464">
        <v>0</v>
      </c>
      <c r="AN27" s="466">
        <v>0</v>
      </c>
    </row>
    <row r="28" spans="1:46" ht="14.95" customHeight="1" thickBot="1" x14ac:dyDescent="0.3">
      <c r="A28" s="479" t="s">
        <v>836</v>
      </c>
      <c r="B28" s="461" t="s">
        <v>199</v>
      </c>
      <c r="C28" s="462" t="s">
        <v>25</v>
      </c>
      <c r="D28" s="463" t="s">
        <v>36</v>
      </c>
      <c r="E28" s="463" t="s">
        <v>32</v>
      </c>
      <c r="F28" s="463">
        <v>18</v>
      </c>
      <c r="G28" s="463">
        <v>3</v>
      </c>
      <c r="H28" s="463">
        <v>0</v>
      </c>
      <c r="I28" s="463">
        <v>0</v>
      </c>
      <c r="J28" s="463">
        <v>2</v>
      </c>
      <c r="K28" s="463">
        <v>1</v>
      </c>
      <c r="L28" s="463">
        <v>0</v>
      </c>
      <c r="M28" s="463">
        <v>2</v>
      </c>
      <c r="N28" s="463">
        <v>0</v>
      </c>
      <c r="O28" s="463">
        <v>0</v>
      </c>
      <c r="P28" s="463">
        <v>0</v>
      </c>
      <c r="Q28" s="463">
        <v>0</v>
      </c>
      <c r="R28" s="463">
        <v>0</v>
      </c>
      <c r="S28" s="464">
        <v>0</v>
      </c>
      <c r="T28" s="481" t="s">
        <v>691</v>
      </c>
      <c r="U28" s="466" t="s">
        <v>326</v>
      </c>
      <c r="V28" s="464" t="s">
        <v>637</v>
      </c>
      <c r="W28" s="464" t="s">
        <v>316</v>
      </c>
      <c r="X28" s="467" t="s">
        <v>715</v>
      </c>
      <c r="Y28" s="464">
        <v>1</v>
      </c>
      <c r="Z28" s="464">
        <v>1</v>
      </c>
      <c r="AA28" s="464">
        <v>0</v>
      </c>
      <c r="AB28" s="464">
        <v>0</v>
      </c>
      <c r="AC28" s="464">
        <v>0</v>
      </c>
      <c r="AD28" s="464">
        <v>0</v>
      </c>
      <c r="AE28" s="464">
        <v>0</v>
      </c>
      <c r="AF28" s="464">
        <v>0</v>
      </c>
      <c r="AG28" s="464">
        <v>1</v>
      </c>
      <c r="AH28" s="464">
        <v>0</v>
      </c>
      <c r="AI28" s="464">
        <v>0</v>
      </c>
      <c r="AJ28" s="466">
        <v>1</v>
      </c>
      <c r="AK28" s="464">
        <v>0</v>
      </c>
      <c r="AL28" s="464">
        <v>0</v>
      </c>
      <c r="AM28" s="464">
        <v>0</v>
      </c>
      <c r="AN28" s="466">
        <v>0</v>
      </c>
    </row>
    <row r="29" spans="1:46" ht="15.8" thickBot="1" x14ac:dyDescent="0.3">
      <c r="A29" s="468" t="s">
        <v>842</v>
      </c>
      <c r="B29" s="469" t="s">
        <v>199</v>
      </c>
      <c r="C29" s="470" t="s">
        <v>106</v>
      </c>
      <c r="D29" s="471" t="s">
        <v>299</v>
      </c>
      <c r="E29" s="471" t="s">
        <v>34</v>
      </c>
      <c r="F29" s="471">
        <v>23</v>
      </c>
      <c r="G29" s="471">
        <v>27</v>
      </c>
      <c r="H29" s="471">
        <v>0</v>
      </c>
      <c r="I29" s="471">
        <v>1</v>
      </c>
      <c r="J29" s="471">
        <v>2</v>
      </c>
      <c r="K29" s="471">
        <v>2</v>
      </c>
      <c r="L29" s="471">
        <v>0</v>
      </c>
      <c r="M29" s="471">
        <v>3</v>
      </c>
      <c r="N29" s="471">
        <v>1</v>
      </c>
      <c r="O29" s="471">
        <v>0</v>
      </c>
      <c r="P29" s="471">
        <v>0</v>
      </c>
      <c r="Q29" s="471">
        <v>0</v>
      </c>
      <c r="R29" s="471">
        <v>3</v>
      </c>
      <c r="S29" s="472">
        <v>0</v>
      </c>
      <c r="T29" s="732" t="s">
        <v>618</v>
      </c>
      <c r="U29" s="478" t="s">
        <v>637</v>
      </c>
      <c r="V29" s="472" t="s">
        <v>632</v>
      </c>
      <c r="W29" s="472" t="s">
        <v>326</v>
      </c>
      <c r="X29" s="473" t="s">
        <v>345</v>
      </c>
      <c r="Y29" s="472">
        <v>1</v>
      </c>
      <c r="Z29" s="472">
        <v>0</v>
      </c>
      <c r="AA29" s="472">
        <v>0</v>
      </c>
      <c r="AB29" s="472">
        <v>1</v>
      </c>
      <c r="AC29" s="472">
        <v>1</v>
      </c>
      <c r="AD29" s="472">
        <v>0</v>
      </c>
      <c r="AE29" s="472">
        <v>0</v>
      </c>
      <c r="AF29" s="472">
        <v>1</v>
      </c>
      <c r="AG29" s="472">
        <v>0</v>
      </c>
      <c r="AH29" s="472">
        <v>0</v>
      </c>
      <c r="AI29" s="472">
        <v>0</v>
      </c>
      <c r="AJ29" s="478">
        <v>0</v>
      </c>
      <c r="AK29" s="472">
        <v>0</v>
      </c>
      <c r="AL29" s="472">
        <v>0</v>
      </c>
      <c r="AM29" s="472">
        <v>0</v>
      </c>
      <c r="AN29" s="478">
        <v>0</v>
      </c>
    </row>
    <row r="30" spans="1:46" ht="16.5" thickBot="1" x14ac:dyDescent="0.3">
      <c r="A30" s="479" t="s">
        <v>856</v>
      </c>
      <c r="B30" s="461" t="s">
        <v>199</v>
      </c>
      <c r="C30" s="462" t="s">
        <v>9</v>
      </c>
      <c r="D30" s="463" t="s">
        <v>36</v>
      </c>
      <c r="E30" s="463" t="s">
        <v>32</v>
      </c>
      <c r="F30" s="463">
        <v>41</v>
      </c>
      <c r="G30" s="463">
        <v>27</v>
      </c>
      <c r="H30" s="463">
        <v>1</v>
      </c>
      <c r="I30" s="463">
        <v>0</v>
      </c>
      <c r="J30" s="463">
        <v>4</v>
      </c>
      <c r="K30" s="463">
        <v>3</v>
      </c>
      <c r="L30" s="463">
        <v>0</v>
      </c>
      <c r="M30" s="463">
        <v>5</v>
      </c>
      <c r="N30" s="463">
        <v>2</v>
      </c>
      <c r="O30" s="463">
        <v>0</v>
      </c>
      <c r="P30" s="463">
        <v>0</v>
      </c>
      <c r="Q30" s="463">
        <v>0</v>
      </c>
      <c r="R30" s="463">
        <v>3</v>
      </c>
      <c r="S30" s="486">
        <v>2700</v>
      </c>
      <c r="T30" s="481" t="s">
        <v>916</v>
      </c>
      <c r="U30" s="466" t="s">
        <v>463</v>
      </c>
      <c r="V30" s="464" t="s">
        <v>329</v>
      </c>
      <c r="W30" s="464" t="s">
        <v>550</v>
      </c>
      <c r="X30" s="467" t="s">
        <v>346</v>
      </c>
      <c r="Y30" s="464">
        <v>1</v>
      </c>
      <c r="Z30" s="464">
        <v>1</v>
      </c>
      <c r="AA30" s="464">
        <v>0</v>
      </c>
      <c r="AB30" s="464">
        <v>0</v>
      </c>
      <c r="AC30" s="464">
        <v>0</v>
      </c>
      <c r="AD30" s="464">
        <v>0</v>
      </c>
      <c r="AE30" s="464">
        <v>0</v>
      </c>
      <c r="AF30" s="464">
        <v>0</v>
      </c>
      <c r="AG30" s="464">
        <v>1</v>
      </c>
      <c r="AH30" s="464">
        <v>1</v>
      </c>
      <c r="AI30" s="464">
        <v>0</v>
      </c>
      <c r="AJ30" s="466">
        <v>0</v>
      </c>
      <c r="AK30" s="464">
        <v>0</v>
      </c>
      <c r="AL30" s="464">
        <v>0</v>
      </c>
      <c r="AM30" s="464">
        <v>0</v>
      </c>
      <c r="AN30" s="466">
        <v>0</v>
      </c>
    </row>
    <row r="31" spans="1:46" ht="16.5" thickBot="1" x14ac:dyDescent="0.3">
      <c r="A31" s="496" t="s">
        <v>861</v>
      </c>
      <c r="B31" s="496" t="s">
        <v>199</v>
      </c>
      <c r="C31" s="476" t="s">
        <v>23</v>
      </c>
      <c r="D31" s="501" t="s">
        <v>299</v>
      </c>
      <c r="E31" s="501" t="s">
        <v>32</v>
      </c>
      <c r="F31" s="471">
        <v>40</v>
      </c>
      <c r="G31" s="501">
        <v>15</v>
      </c>
      <c r="H31" s="471">
        <v>1</v>
      </c>
      <c r="I31" s="471">
        <v>0</v>
      </c>
      <c r="J31" s="471">
        <v>6</v>
      </c>
      <c r="K31" s="471">
        <v>5</v>
      </c>
      <c r="L31" s="471">
        <v>0</v>
      </c>
      <c r="M31" s="471">
        <v>0</v>
      </c>
      <c r="N31" s="471">
        <v>0</v>
      </c>
      <c r="O31" s="471">
        <v>0</v>
      </c>
      <c r="P31" s="471">
        <v>1</v>
      </c>
      <c r="Q31" s="471">
        <v>0</v>
      </c>
      <c r="R31" s="471">
        <v>2</v>
      </c>
      <c r="S31" s="472">
        <v>0</v>
      </c>
      <c r="T31" s="480" t="s">
        <v>929</v>
      </c>
      <c r="U31" s="472" t="s">
        <v>320</v>
      </c>
      <c r="V31" s="472" t="s">
        <v>330</v>
      </c>
      <c r="W31" s="472" t="s">
        <v>308</v>
      </c>
      <c r="X31" s="472" t="s">
        <v>475</v>
      </c>
      <c r="Y31" s="472">
        <v>1</v>
      </c>
      <c r="Z31" s="472">
        <v>1</v>
      </c>
      <c r="AA31" s="472">
        <v>0</v>
      </c>
      <c r="AB31" s="472">
        <v>0</v>
      </c>
      <c r="AC31" s="472">
        <v>1</v>
      </c>
      <c r="AD31" s="472">
        <v>1</v>
      </c>
      <c r="AE31" s="472">
        <v>0</v>
      </c>
      <c r="AF31" s="472">
        <v>0</v>
      </c>
      <c r="AG31" s="472">
        <v>0</v>
      </c>
      <c r="AH31" s="472">
        <v>0</v>
      </c>
      <c r="AI31" s="472">
        <v>0</v>
      </c>
      <c r="AJ31" s="478">
        <v>0</v>
      </c>
      <c r="AK31" s="472">
        <v>0</v>
      </c>
      <c r="AL31" s="472">
        <v>0</v>
      </c>
      <c r="AM31" s="472">
        <v>0</v>
      </c>
      <c r="AN31" s="478">
        <v>0</v>
      </c>
    </row>
    <row r="32" spans="1:46" ht="16.5" thickBot="1" x14ac:dyDescent="0.3">
      <c r="A32" s="474" t="s">
        <v>864</v>
      </c>
      <c r="B32" s="474" t="s">
        <v>199</v>
      </c>
      <c r="C32" s="487" t="s">
        <v>27</v>
      </c>
      <c r="D32" s="488" t="s">
        <v>36</v>
      </c>
      <c r="E32" s="463" t="s">
        <v>32</v>
      </c>
      <c r="F32" s="463">
        <v>37</v>
      </c>
      <c r="G32" s="463">
        <v>22</v>
      </c>
      <c r="H32" s="463">
        <v>1</v>
      </c>
      <c r="I32" s="463">
        <v>0</v>
      </c>
      <c r="J32" s="463">
        <v>4</v>
      </c>
      <c r="K32" s="463">
        <v>4</v>
      </c>
      <c r="L32" s="463">
        <v>0</v>
      </c>
      <c r="M32" s="463">
        <v>3</v>
      </c>
      <c r="N32" s="463">
        <v>0</v>
      </c>
      <c r="O32" s="463">
        <v>0</v>
      </c>
      <c r="P32" s="463">
        <v>0</v>
      </c>
      <c r="Q32" s="463">
        <v>0</v>
      </c>
      <c r="R32" s="463">
        <v>3</v>
      </c>
      <c r="S32" s="464">
        <v>0</v>
      </c>
      <c r="T32" s="481" t="s">
        <v>366</v>
      </c>
      <c r="U32" s="464" t="s">
        <v>550</v>
      </c>
      <c r="V32" s="464" t="s">
        <v>464</v>
      </c>
      <c r="W32" s="464" t="s">
        <v>633</v>
      </c>
      <c r="X32" s="464" t="s">
        <v>463</v>
      </c>
      <c r="Y32" s="464">
        <v>1</v>
      </c>
      <c r="Z32" s="464">
        <v>1</v>
      </c>
      <c r="AA32" s="464">
        <v>0</v>
      </c>
      <c r="AB32" s="464">
        <v>0</v>
      </c>
      <c r="AC32" s="464">
        <v>0</v>
      </c>
      <c r="AD32" s="464">
        <v>0</v>
      </c>
      <c r="AE32" s="464">
        <v>0</v>
      </c>
      <c r="AF32" s="464">
        <v>0</v>
      </c>
      <c r="AG32" s="464" t="s">
        <v>942</v>
      </c>
      <c r="AH32" s="464">
        <v>0</v>
      </c>
      <c r="AI32" s="464">
        <v>0</v>
      </c>
      <c r="AJ32" s="466">
        <v>1</v>
      </c>
      <c r="AK32" s="464">
        <v>0</v>
      </c>
      <c r="AL32" s="464">
        <v>0</v>
      </c>
      <c r="AM32" s="464">
        <v>0</v>
      </c>
      <c r="AN32" s="466">
        <v>0</v>
      </c>
    </row>
    <row r="33" spans="1:40" ht="15.8" thickBot="1" x14ac:dyDescent="0.3">
      <c r="A33" s="496" t="s">
        <v>868</v>
      </c>
      <c r="B33" s="496" t="s">
        <v>199</v>
      </c>
      <c r="C33" s="476" t="s">
        <v>24</v>
      </c>
      <c r="D33" s="501" t="s">
        <v>299</v>
      </c>
      <c r="E33" s="497" t="s">
        <v>32</v>
      </c>
      <c r="F33" s="471">
        <v>31</v>
      </c>
      <c r="G33" s="471">
        <v>20</v>
      </c>
      <c r="H33" s="471">
        <v>1</v>
      </c>
      <c r="I33" s="471">
        <v>0</v>
      </c>
      <c r="J33" s="471">
        <v>4</v>
      </c>
      <c r="K33" s="471">
        <v>4</v>
      </c>
      <c r="L33" s="471">
        <v>0</v>
      </c>
      <c r="M33" s="471">
        <v>1</v>
      </c>
      <c r="N33" s="471">
        <v>0</v>
      </c>
      <c r="O33" s="471">
        <v>0</v>
      </c>
      <c r="P33" s="471">
        <v>0</v>
      </c>
      <c r="Q33" s="471">
        <v>0</v>
      </c>
      <c r="R33" s="471">
        <v>2</v>
      </c>
      <c r="S33" s="472">
        <v>0</v>
      </c>
      <c r="T33" s="498" t="s">
        <v>511</v>
      </c>
      <c r="U33" s="472" t="s">
        <v>396</v>
      </c>
      <c r="V33" s="472" t="s">
        <v>326</v>
      </c>
      <c r="W33" s="472" t="s">
        <v>308</v>
      </c>
      <c r="X33" s="472" t="s">
        <v>554</v>
      </c>
      <c r="Y33" s="472">
        <v>1</v>
      </c>
      <c r="Z33" s="472">
        <v>1</v>
      </c>
      <c r="AA33" s="472">
        <v>0</v>
      </c>
      <c r="AB33" s="472">
        <v>0</v>
      </c>
      <c r="AC33" s="472">
        <v>1</v>
      </c>
      <c r="AD33" s="472">
        <v>1</v>
      </c>
      <c r="AE33" s="472">
        <v>0</v>
      </c>
      <c r="AF33" s="472">
        <v>0</v>
      </c>
      <c r="AG33" s="472">
        <v>0</v>
      </c>
      <c r="AH33" s="472">
        <v>0</v>
      </c>
      <c r="AI33" s="472">
        <v>0</v>
      </c>
      <c r="AJ33" s="478">
        <v>0</v>
      </c>
      <c r="AK33" s="472">
        <v>0</v>
      </c>
      <c r="AL33" s="472">
        <v>0</v>
      </c>
      <c r="AM33" s="472">
        <v>0</v>
      </c>
      <c r="AN33" s="478">
        <v>0</v>
      </c>
    </row>
    <row r="34" spans="1:40" ht="14.95" thickBot="1" x14ac:dyDescent="0.3">
      <c r="A34" s="474" t="s">
        <v>357</v>
      </c>
      <c r="B34" s="474" t="s">
        <v>199</v>
      </c>
      <c r="C34" s="487" t="s">
        <v>19</v>
      </c>
      <c r="D34" s="488" t="s">
        <v>36</v>
      </c>
      <c r="E34" s="475" t="s">
        <v>33</v>
      </c>
      <c r="F34" s="463">
        <v>17</v>
      </c>
      <c r="G34" s="463">
        <v>17</v>
      </c>
      <c r="H34" s="463">
        <v>0</v>
      </c>
      <c r="I34" s="463">
        <v>0</v>
      </c>
      <c r="J34" s="463">
        <v>2</v>
      </c>
      <c r="K34" s="463">
        <v>2</v>
      </c>
      <c r="L34" s="463">
        <v>0</v>
      </c>
      <c r="M34" s="463">
        <v>1</v>
      </c>
      <c r="N34" s="463">
        <v>0</v>
      </c>
      <c r="O34" s="463">
        <v>0</v>
      </c>
      <c r="P34" s="463">
        <v>0</v>
      </c>
      <c r="Q34" s="463">
        <v>0</v>
      </c>
      <c r="R34" s="463">
        <v>2</v>
      </c>
      <c r="S34" s="464">
        <v>0</v>
      </c>
      <c r="T34" s="465" t="s">
        <v>1001</v>
      </c>
      <c r="U34" s="464" t="s">
        <v>637</v>
      </c>
      <c r="V34" s="464" t="s">
        <v>633</v>
      </c>
      <c r="W34" s="464" t="s">
        <v>396</v>
      </c>
      <c r="X34" s="464" t="s">
        <v>316</v>
      </c>
      <c r="Y34" s="464">
        <v>1</v>
      </c>
      <c r="Z34" s="464">
        <v>0</v>
      </c>
      <c r="AA34" s="464">
        <v>1</v>
      </c>
      <c r="AB34" s="464">
        <v>0</v>
      </c>
      <c r="AC34" s="464">
        <v>0</v>
      </c>
      <c r="AD34" s="464">
        <v>0</v>
      </c>
      <c r="AE34" s="464">
        <v>0</v>
      </c>
      <c r="AF34" s="464">
        <v>0</v>
      </c>
      <c r="AG34" s="464">
        <v>1</v>
      </c>
      <c r="AH34" s="464">
        <v>0</v>
      </c>
      <c r="AI34" s="464">
        <v>1</v>
      </c>
      <c r="AJ34" s="466">
        <v>0</v>
      </c>
      <c r="AK34" s="464">
        <v>0</v>
      </c>
      <c r="AL34" s="464">
        <v>0</v>
      </c>
      <c r="AM34" s="464">
        <v>0</v>
      </c>
      <c r="AN34" s="466">
        <v>0</v>
      </c>
    </row>
    <row r="35" spans="1:40" ht="14.95" thickBot="1" x14ac:dyDescent="0.3">
      <c r="A35" s="474" t="s">
        <v>872</v>
      </c>
      <c r="B35" s="474" t="s">
        <v>200</v>
      </c>
      <c r="C35" s="487" t="s">
        <v>28</v>
      </c>
      <c r="D35" s="488" t="s">
        <v>36</v>
      </c>
      <c r="E35" s="475" t="s">
        <v>34</v>
      </c>
      <c r="F35" s="463">
        <v>6</v>
      </c>
      <c r="G35" s="463">
        <v>35</v>
      </c>
      <c r="H35" s="463" t="s">
        <v>77</v>
      </c>
      <c r="I35" s="463" t="s">
        <v>77</v>
      </c>
      <c r="J35" s="463">
        <v>0</v>
      </c>
      <c r="K35" s="463">
        <v>0</v>
      </c>
      <c r="L35" s="463">
        <v>0</v>
      </c>
      <c r="M35" s="463">
        <v>2</v>
      </c>
      <c r="N35" s="463">
        <v>0</v>
      </c>
      <c r="O35" s="463">
        <v>0</v>
      </c>
      <c r="P35" s="463" t="s">
        <v>77</v>
      </c>
      <c r="Q35" s="463" t="s">
        <v>77</v>
      </c>
      <c r="R35" s="463">
        <v>5</v>
      </c>
      <c r="S35" s="464">
        <v>0</v>
      </c>
      <c r="T35" s="465" t="s">
        <v>669</v>
      </c>
      <c r="U35" s="464" t="s">
        <v>633</v>
      </c>
      <c r="V35" s="464" t="s">
        <v>637</v>
      </c>
      <c r="W35" s="464" t="s">
        <v>396</v>
      </c>
      <c r="X35" s="464" t="s">
        <v>308</v>
      </c>
      <c r="Y35" s="464">
        <v>1</v>
      </c>
      <c r="Z35" s="464">
        <v>0</v>
      </c>
      <c r="AA35" s="464">
        <v>0</v>
      </c>
      <c r="AB35" s="464">
        <v>1</v>
      </c>
      <c r="AC35" s="464">
        <v>0</v>
      </c>
      <c r="AD35" s="464">
        <v>0</v>
      </c>
      <c r="AE35" s="464">
        <v>0</v>
      </c>
      <c r="AF35" s="464">
        <v>0</v>
      </c>
      <c r="AG35" s="464">
        <v>1</v>
      </c>
      <c r="AH35" s="464">
        <v>0</v>
      </c>
      <c r="AI35" s="464">
        <v>0</v>
      </c>
      <c r="AJ35" s="466">
        <v>1</v>
      </c>
      <c r="AK35" s="464">
        <v>0</v>
      </c>
      <c r="AL35" s="464">
        <v>0</v>
      </c>
      <c r="AM35" s="464">
        <v>0</v>
      </c>
      <c r="AN35" s="466">
        <v>0</v>
      </c>
    </row>
    <row r="36" spans="1:40" ht="15.65" customHeight="1" thickBot="1" x14ac:dyDescent="0.3">
      <c r="A36" s="505"/>
      <c r="B36" s="506"/>
      <c r="C36" s="1000" t="s">
        <v>105</v>
      </c>
      <c r="D36" s="1001"/>
      <c r="E36" s="1002"/>
      <c r="F36" s="491">
        <f t="shared" ref="F36:R36" si="1">SUM(F7+F8+F9+F10+F13+F16+F17+F18+F21+F22+F23+F24+F25+F26+F27+F28+F29+F30+F31+F32+F33+F34)</f>
        <v>520</v>
      </c>
      <c r="G36" s="491">
        <f t="shared" si="1"/>
        <v>457</v>
      </c>
      <c r="H36" s="491">
        <f t="shared" si="1"/>
        <v>7</v>
      </c>
      <c r="I36" s="491">
        <f t="shared" si="1"/>
        <v>2</v>
      </c>
      <c r="J36" s="491">
        <f t="shared" si="1"/>
        <v>59</v>
      </c>
      <c r="K36" s="491">
        <f t="shared" si="1"/>
        <v>40</v>
      </c>
      <c r="L36" s="491">
        <f t="shared" si="1"/>
        <v>0</v>
      </c>
      <c r="M36" s="491">
        <f t="shared" si="1"/>
        <v>47</v>
      </c>
      <c r="N36" s="491">
        <f t="shared" si="1"/>
        <v>8</v>
      </c>
      <c r="O36" s="491">
        <f t="shared" si="1"/>
        <v>1</v>
      </c>
      <c r="P36" s="491">
        <f t="shared" si="1"/>
        <v>4</v>
      </c>
      <c r="Q36" s="491">
        <f t="shared" si="1"/>
        <v>5</v>
      </c>
      <c r="R36" s="491">
        <f t="shared" si="1"/>
        <v>56</v>
      </c>
      <c r="S36" s="502"/>
      <c r="T36" s="502"/>
      <c r="U36" s="502"/>
      <c r="V36" s="500"/>
      <c r="W36" s="500"/>
      <c r="X36" s="883" t="s">
        <v>105</v>
      </c>
      <c r="Y36" s="491">
        <f t="shared" ref="Y36:AN36" si="2">SUM(Y7+Y8+Y9+Y10+Y13+Y16+Y17+Y18+Y21+Y22+Y23+Y24+Y25+Y26+Y27+Y28+Y29+Y30+Y31+Y32+Y33+Y34)</f>
        <v>22</v>
      </c>
      <c r="Z36" s="491">
        <f t="shared" si="2"/>
        <v>14</v>
      </c>
      <c r="AA36" s="491">
        <f t="shared" si="2"/>
        <v>1</v>
      </c>
      <c r="AB36" s="491">
        <f t="shared" si="2"/>
        <v>7</v>
      </c>
      <c r="AC36" s="501">
        <f t="shared" si="2"/>
        <v>11</v>
      </c>
      <c r="AD36" s="501">
        <f t="shared" si="2"/>
        <v>8</v>
      </c>
      <c r="AE36" s="501">
        <f t="shared" si="2"/>
        <v>0</v>
      </c>
      <c r="AF36" s="501">
        <f t="shared" si="2"/>
        <v>3</v>
      </c>
      <c r="AG36" s="488" t="e">
        <f t="shared" si="2"/>
        <v>#VALUE!</v>
      </c>
      <c r="AH36" s="488">
        <f t="shared" si="2"/>
        <v>4</v>
      </c>
      <c r="AI36" s="488">
        <f t="shared" si="2"/>
        <v>1</v>
      </c>
      <c r="AJ36" s="488">
        <f t="shared" si="2"/>
        <v>6</v>
      </c>
      <c r="AK36" s="491">
        <f t="shared" si="2"/>
        <v>0</v>
      </c>
      <c r="AL36" s="491">
        <f t="shared" si="2"/>
        <v>0</v>
      </c>
      <c r="AM36" s="491">
        <f t="shared" si="2"/>
        <v>0</v>
      </c>
      <c r="AN36" s="491">
        <f t="shared" si="2"/>
        <v>0</v>
      </c>
    </row>
    <row r="37" spans="1:40" ht="15.8" customHeight="1" thickBot="1" x14ac:dyDescent="0.3">
      <c r="A37" s="499"/>
      <c r="B37" s="499"/>
      <c r="C37" s="1000" t="s">
        <v>197</v>
      </c>
      <c r="D37" s="1001"/>
      <c r="E37" s="1002"/>
      <c r="F37" s="491">
        <f>SUM(F35)</f>
        <v>6</v>
      </c>
      <c r="G37" s="491">
        <f t="shared" ref="G37:R37" si="3">SUM(G35)</f>
        <v>35</v>
      </c>
      <c r="H37" s="492">
        <f t="shared" si="3"/>
        <v>0</v>
      </c>
      <c r="I37" s="492">
        <f t="shared" si="3"/>
        <v>0</v>
      </c>
      <c r="J37" s="491">
        <f t="shared" si="3"/>
        <v>0</v>
      </c>
      <c r="K37" s="491">
        <f t="shared" si="3"/>
        <v>0</v>
      </c>
      <c r="L37" s="491">
        <f t="shared" si="3"/>
        <v>0</v>
      </c>
      <c r="M37" s="491">
        <f t="shared" si="3"/>
        <v>2</v>
      </c>
      <c r="N37" s="491">
        <f t="shared" si="3"/>
        <v>0</v>
      </c>
      <c r="O37" s="491">
        <f t="shared" si="3"/>
        <v>0</v>
      </c>
      <c r="P37" s="492">
        <f t="shared" si="3"/>
        <v>0</v>
      </c>
      <c r="Q37" s="492">
        <f t="shared" si="3"/>
        <v>0</v>
      </c>
      <c r="R37" s="491">
        <f t="shared" si="3"/>
        <v>5</v>
      </c>
      <c r="S37" s="502"/>
      <c r="T37" s="502"/>
      <c r="U37" s="502"/>
      <c r="V37" s="502"/>
      <c r="W37" s="500"/>
      <c r="X37" s="883" t="s">
        <v>197</v>
      </c>
      <c r="Y37" s="491">
        <f t="shared" ref="Y37:AN37" si="4">SUM(Y35)</f>
        <v>1</v>
      </c>
      <c r="Z37" s="491">
        <f t="shared" si="4"/>
        <v>0</v>
      </c>
      <c r="AA37" s="491">
        <f t="shared" si="4"/>
        <v>0</v>
      </c>
      <c r="AB37" s="491">
        <f t="shared" si="4"/>
        <v>1</v>
      </c>
      <c r="AC37" s="501">
        <f t="shared" si="4"/>
        <v>0</v>
      </c>
      <c r="AD37" s="501">
        <f t="shared" si="4"/>
        <v>0</v>
      </c>
      <c r="AE37" s="501">
        <f t="shared" si="4"/>
        <v>0</v>
      </c>
      <c r="AF37" s="501">
        <f t="shared" si="4"/>
        <v>0</v>
      </c>
      <c r="AG37" s="475">
        <f t="shared" si="4"/>
        <v>1</v>
      </c>
      <c r="AH37" s="475">
        <f t="shared" si="4"/>
        <v>0</v>
      </c>
      <c r="AI37" s="475">
        <f t="shared" si="4"/>
        <v>0</v>
      </c>
      <c r="AJ37" s="475">
        <f t="shared" si="4"/>
        <v>1</v>
      </c>
      <c r="AK37" s="491">
        <f t="shared" si="4"/>
        <v>0</v>
      </c>
      <c r="AL37" s="491">
        <f t="shared" si="4"/>
        <v>0</v>
      </c>
      <c r="AM37" s="491">
        <f t="shared" si="4"/>
        <v>0</v>
      </c>
      <c r="AN37" s="491">
        <f t="shared" si="4"/>
        <v>0</v>
      </c>
    </row>
    <row r="38" spans="1:40" ht="15.8" customHeight="1" thickBot="1" x14ac:dyDescent="0.3">
      <c r="A38" s="499"/>
      <c r="B38" s="499"/>
      <c r="C38" s="1000" t="s">
        <v>219</v>
      </c>
      <c r="D38" s="1001"/>
      <c r="E38" s="1002"/>
      <c r="F38" s="491">
        <f>SUM(F36+F37)</f>
        <v>526</v>
      </c>
      <c r="G38" s="491">
        <f t="shared" ref="G38:R38" si="5">SUM(G36+G37)</f>
        <v>492</v>
      </c>
      <c r="H38" s="491">
        <f t="shared" si="5"/>
        <v>7</v>
      </c>
      <c r="I38" s="491">
        <f t="shared" si="5"/>
        <v>2</v>
      </c>
      <c r="J38" s="491">
        <f t="shared" si="5"/>
        <v>59</v>
      </c>
      <c r="K38" s="491">
        <f t="shared" si="5"/>
        <v>40</v>
      </c>
      <c r="L38" s="491">
        <f t="shared" si="5"/>
        <v>0</v>
      </c>
      <c r="M38" s="491">
        <f t="shared" si="5"/>
        <v>49</v>
      </c>
      <c r="N38" s="491">
        <f t="shared" si="5"/>
        <v>8</v>
      </c>
      <c r="O38" s="491">
        <f t="shared" si="5"/>
        <v>1</v>
      </c>
      <c r="P38" s="491">
        <f t="shared" si="5"/>
        <v>4</v>
      </c>
      <c r="Q38" s="491">
        <f t="shared" si="5"/>
        <v>5</v>
      </c>
      <c r="R38" s="491">
        <f t="shared" si="5"/>
        <v>61</v>
      </c>
      <c r="S38" s="502"/>
      <c r="T38" s="502"/>
      <c r="U38" s="502"/>
      <c r="V38" s="502"/>
      <c r="W38" s="500"/>
      <c r="X38" s="883" t="s">
        <v>219</v>
      </c>
      <c r="Y38" s="491">
        <f t="shared" ref="Y38:AN38" si="6">SUM(Y36+Y37)</f>
        <v>23</v>
      </c>
      <c r="Z38" s="491">
        <f t="shared" si="6"/>
        <v>14</v>
      </c>
      <c r="AA38" s="491">
        <f t="shared" si="6"/>
        <v>1</v>
      </c>
      <c r="AB38" s="491">
        <f t="shared" si="6"/>
        <v>8</v>
      </c>
      <c r="AC38" s="501">
        <f t="shared" si="6"/>
        <v>11</v>
      </c>
      <c r="AD38" s="501">
        <f t="shared" si="6"/>
        <v>8</v>
      </c>
      <c r="AE38" s="501">
        <f t="shared" si="6"/>
        <v>0</v>
      </c>
      <c r="AF38" s="501">
        <f t="shared" si="6"/>
        <v>3</v>
      </c>
      <c r="AG38" s="488" t="e">
        <f t="shared" si="6"/>
        <v>#VALUE!</v>
      </c>
      <c r="AH38" s="488">
        <f t="shared" si="6"/>
        <v>4</v>
      </c>
      <c r="AI38" s="488">
        <f t="shared" si="6"/>
        <v>1</v>
      </c>
      <c r="AJ38" s="488">
        <f t="shared" si="6"/>
        <v>7</v>
      </c>
      <c r="AK38" s="491">
        <f t="shared" si="6"/>
        <v>0</v>
      </c>
      <c r="AL38" s="491">
        <f t="shared" si="6"/>
        <v>0</v>
      </c>
      <c r="AM38" s="491">
        <f t="shared" si="6"/>
        <v>0</v>
      </c>
      <c r="AN38" s="491">
        <f t="shared" si="6"/>
        <v>0</v>
      </c>
    </row>
    <row r="39" spans="1:40" ht="15.8" customHeight="1" thickBot="1" x14ac:dyDescent="0.3">
      <c r="A39" s="100"/>
      <c r="C39" s="1004" t="s">
        <v>144</v>
      </c>
      <c r="D39" s="1005"/>
      <c r="E39" s="1006"/>
      <c r="F39" s="410">
        <f t="shared" ref="F39:R39" si="7">SUM(F11+F12+F14+F15+F19+F20)</f>
        <v>102</v>
      </c>
      <c r="G39" s="410">
        <f t="shared" si="7"/>
        <v>165</v>
      </c>
      <c r="H39" s="410">
        <f t="shared" si="7"/>
        <v>1</v>
      </c>
      <c r="I39" s="410">
        <f t="shared" si="7"/>
        <v>4</v>
      </c>
      <c r="J39" s="410">
        <f t="shared" si="7"/>
        <v>12</v>
      </c>
      <c r="K39" s="410">
        <f t="shared" si="7"/>
        <v>9</v>
      </c>
      <c r="L39" s="410">
        <f t="shared" si="7"/>
        <v>0</v>
      </c>
      <c r="M39" s="410">
        <f t="shared" si="7"/>
        <v>6</v>
      </c>
      <c r="N39" s="410">
        <f t="shared" si="7"/>
        <v>2</v>
      </c>
      <c r="O39" s="410">
        <f t="shared" si="7"/>
        <v>1</v>
      </c>
      <c r="P39" s="410">
        <f t="shared" si="7"/>
        <v>2</v>
      </c>
      <c r="Q39" s="410">
        <f t="shared" si="7"/>
        <v>0</v>
      </c>
      <c r="R39" s="410">
        <f t="shared" si="7"/>
        <v>20</v>
      </c>
      <c r="S39" s="171"/>
      <c r="T39" s="171"/>
      <c r="U39" s="171"/>
      <c r="V39" s="171"/>
      <c r="W39" s="403"/>
      <c r="X39" s="399" t="s">
        <v>144</v>
      </c>
      <c r="Y39" s="410">
        <f t="shared" ref="Y39:AN39" si="8">SUM(Y11+Y12+Y14+Y15+Y19+Y20)</f>
        <v>6</v>
      </c>
      <c r="Z39" s="406">
        <f t="shared" si="8"/>
        <v>0</v>
      </c>
      <c r="AA39" s="406">
        <f t="shared" si="8"/>
        <v>0</v>
      </c>
      <c r="AB39" s="406">
        <f t="shared" si="8"/>
        <v>6</v>
      </c>
      <c r="AC39" s="404">
        <f t="shared" si="8"/>
        <v>4</v>
      </c>
      <c r="AD39" s="404">
        <f t="shared" si="8"/>
        <v>0</v>
      </c>
      <c r="AE39" s="404">
        <f t="shared" si="8"/>
        <v>0</v>
      </c>
      <c r="AF39" s="404">
        <f t="shared" si="8"/>
        <v>4</v>
      </c>
      <c r="AG39" s="405">
        <f t="shared" si="8"/>
        <v>2</v>
      </c>
      <c r="AH39" s="405">
        <f t="shared" si="8"/>
        <v>0</v>
      </c>
      <c r="AI39" s="405">
        <f t="shared" si="8"/>
        <v>0</v>
      </c>
      <c r="AJ39" s="405">
        <f t="shared" si="8"/>
        <v>2</v>
      </c>
      <c r="AK39" s="406">
        <f t="shared" si="8"/>
        <v>0</v>
      </c>
      <c r="AL39" s="406">
        <f t="shared" si="8"/>
        <v>0</v>
      </c>
      <c r="AM39" s="406">
        <f t="shared" si="8"/>
        <v>0</v>
      </c>
      <c r="AN39" s="406">
        <f t="shared" si="8"/>
        <v>0</v>
      </c>
    </row>
    <row r="40" spans="1:40" ht="15.8" customHeight="1" thickBot="1" x14ac:dyDescent="0.3">
      <c r="A40" s="100"/>
      <c r="C40" s="1004" t="s">
        <v>195</v>
      </c>
      <c r="D40" s="1007"/>
      <c r="E40" s="1008"/>
      <c r="F40" s="410">
        <v>0</v>
      </c>
      <c r="G40" s="410">
        <v>0</v>
      </c>
      <c r="H40" s="406" t="s">
        <v>77</v>
      </c>
      <c r="I40" s="406" t="s">
        <v>77</v>
      </c>
      <c r="J40" s="410">
        <v>0</v>
      </c>
      <c r="K40" s="410">
        <v>0</v>
      </c>
      <c r="L40" s="410">
        <v>0</v>
      </c>
      <c r="M40" s="410">
        <v>0</v>
      </c>
      <c r="N40" s="410">
        <v>0</v>
      </c>
      <c r="O40" s="410">
        <v>0</v>
      </c>
      <c r="P40" s="406" t="s">
        <v>77</v>
      </c>
      <c r="Q40" s="406" t="s">
        <v>77</v>
      </c>
      <c r="R40" s="410">
        <v>0</v>
      </c>
      <c r="S40" s="171"/>
      <c r="T40" s="171"/>
      <c r="U40" s="171"/>
      <c r="V40" s="171"/>
      <c r="W40" s="403"/>
      <c r="X40" s="399" t="s">
        <v>195</v>
      </c>
      <c r="Y40" s="410">
        <v>0</v>
      </c>
      <c r="Z40" s="410">
        <v>0</v>
      </c>
      <c r="AA40" s="410">
        <v>0</v>
      </c>
      <c r="AB40" s="410">
        <v>0</v>
      </c>
      <c r="AC40" s="408">
        <v>0</v>
      </c>
      <c r="AD40" s="408">
        <v>0</v>
      </c>
      <c r="AE40" s="408">
        <v>0</v>
      </c>
      <c r="AF40" s="408">
        <v>0</v>
      </c>
      <c r="AG40" s="409">
        <v>0</v>
      </c>
      <c r="AH40" s="409">
        <v>0</v>
      </c>
      <c r="AI40" s="409">
        <v>0</v>
      </c>
      <c r="AJ40" s="409">
        <v>0</v>
      </c>
      <c r="AK40" s="410">
        <v>0</v>
      </c>
      <c r="AL40" s="410">
        <v>0</v>
      </c>
      <c r="AM40" s="410">
        <v>0</v>
      </c>
      <c r="AN40" s="410">
        <v>0</v>
      </c>
    </row>
    <row r="41" spans="1:40" ht="15.8" customHeight="1" thickBot="1" x14ac:dyDescent="0.3">
      <c r="A41" s="100"/>
      <c r="C41" s="1009" t="s">
        <v>230</v>
      </c>
      <c r="D41" s="1007"/>
      <c r="E41" s="1008"/>
      <c r="F41" s="384">
        <f>SUM(F39+F40)</f>
        <v>102</v>
      </c>
      <c r="G41" s="384">
        <f t="shared" ref="G41:R41" si="9">SUM(G39+G40)</f>
        <v>165</v>
      </c>
      <c r="H41" s="384">
        <f>SUM(H39)</f>
        <v>1</v>
      </c>
      <c r="I41" s="384">
        <f>SUM(I39)</f>
        <v>4</v>
      </c>
      <c r="J41" s="384">
        <f t="shared" si="9"/>
        <v>12</v>
      </c>
      <c r="K41" s="384">
        <f t="shared" si="9"/>
        <v>9</v>
      </c>
      <c r="L41" s="384">
        <f t="shared" si="9"/>
        <v>0</v>
      </c>
      <c r="M41" s="384">
        <f t="shared" si="9"/>
        <v>6</v>
      </c>
      <c r="N41" s="384">
        <f t="shared" si="9"/>
        <v>2</v>
      </c>
      <c r="O41" s="384">
        <f t="shared" si="9"/>
        <v>1</v>
      </c>
      <c r="P41" s="384">
        <f t="shared" ref="P41:Q41" si="10">SUM(P39)</f>
        <v>2</v>
      </c>
      <c r="Q41" s="384">
        <f t="shared" si="10"/>
        <v>0</v>
      </c>
      <c r="R41" s="384">
        <f t="shared" si="9"/>
        <v>20</v>
      </c>
      <c r="S41" s="171"/>
      <c r="T41" s="171"/>
      <c r="U41" s="171"/>
      <c r="V41" s="171"/>
      <c r="W41" s="172"/>
      <c r="X41" s="887" t="s">
        <v>230</v>
      </c>
      <c r="Y41" s="384">
        <f t="shared" ref="Y41:AN41" si="11">SUM(Y39+Y40)</f>
        <v>6</v>
      </c>
      <c r="Z41" s="384">
        <f t="shared" si="11"/>
        <v>0</v>
      </c>
      <c r="AA41" s="384">
        <f t="shared" si="11"/>
        <v>0</v>
      </c>
      <c r="AB41" s="384">
        <f t="shared" si="11"/>
        <v>6</v>
      </c>
      <c r="AC41" s="92">
        <f t="shared" si="11"/>
        <v>4</v>
      </c>
      <c r="AD41" s="92">
        <f t="shared" si="11"/>
        <v>0</v>
      </c>
      <c r="AE41" s="92">
        <f t="shared" si="11"/>
        <v>0</v>
      </c>
      <c r="AF41" s="92">
        <f t="shared" si="11"/>
        <v>4</v>
      </c>
      <c r="AG41" s="383">
        <f t="shared" si="11"/>
        <v>2</v>
      </c>
      <c r="AH41" s="383">
        <f t="shared" si="11"/>
        <v>0</v>
      </c>
      <c r="AI41" s="383">
        <f t="shared" si="11"/>
        <v>0</v>
      </c>
      <c r="AJ41" s="383">
        <f t="shared" si="11"/>
        <v>2</v>
      </c>
      <c r="AK41" s="384">
        <f t="shared" si="11"/>
        <v>0</v>
      </c>
      <c r="AL41" s="384">
        <f t="shared" si="11"/>
        <v>0</v>
      </c>
      <c r="AM41" s="384">
        <f t="shared" si="11"/>
        <v>0</v>
      </c>
      <c r="AN41" s="384">
        <f t="shared" si="11"/>
        <v>0</v>
      </c>
    </row>
    <row r="42" spans="1:40" ht="15.8" customHeight="1" thickBot="1" x14ac:dyDescent="0.3">
      <c r="A42" s="100"/>
      <c r="C42" s="977" t="s">
        <v>227</v>
      </c>
      <c r="D42" s="978"/>
      <c r="E42" s="979"/>
      <c r="F42" s="541">
        <f t="shared" ref="F42:R42" si="12">SUM(F3+F4+F5+F6)</f>
        <v>83</v>
      </c>
      <c r="G42" s="541">
        <f t="shared" si="12"/>
        <v>98</v>
      </c>
      <c r="H42" s="541">
        <f t="shared" si="12"/>
        <v>2</v>
      </c>
      <c r="I42" s="541">
        <f t="shared" si="12"/>
        <v>0</v>
      </c>
      <c r="J42" s="541">
        <f t="shared" si="12"/>
        <v>12</v>
      </c>
      <c r="K42" s="541">
        <f t="shared" si="12"/>
        <v>9</v>
      </c>
      <c r="L42" s="541">
        <f t="shared" si="12"/>
        <v>0</v>
      </c>
      <c r="M42" s="541">
        <f t="shared" si="12"/>
        <v>1</v>
      </c>
      <c r="N42" s="541">
        <f t="shared" si="12"/>
        <v>0</v>
      </c>
      <c r="O42" s="541">
        <f t="shared" si="12"/>
        <v>0</v>
      </c>
      <c r="P42" s="541">
        <f t="shared" si="12"/>
        <v>3</v>
      </c>
      <c r="Q42" s="541">
        <f t="shared" si="12"/>
        <v>1</v>
      </c>
      <c r="R42" s="541">
        <f t="shared" si="12"/>
        <v>14</v>
      </c>
      <c r="S42" s="534"/>
      <c r="T42" s="534"/>
      <c r="U42" s="534"/>
      <c r="V42" s="535"/>
      <c r="W42" s="535"/>
      <c r="X42" s="888" t="s">
        <v>227</v>
      </c>
      <c r="Y42" s="541">
        <f t="shared" ref="Y42:AN42" si="13">SUM(Y3+Y4+Y5+Y6)</f>
        <v>4</v>
      </c>
      <c r="Z42" s="541">
        <f t="shared" si="13"/>
        <v>2</v>
      </c>
      <c r="AA42" s="541">
        <f t="shared" si="13"/>
        <v>0</v>
      </c>
      <c r="AB42" s="541">
        <f t="shared" si="13"/>
        <v>2</v>
      </c>
      <c r="AC42" s="536">
        <f t="shared" si="13"/>
        <v>2</v>
      </c>
      <c r="AD42" s="536">
        <f t="shared" si="13"/>
        <v>1</v>
      </c>
      <c r="AE42" s="536">
        <f t="shared" si="13"/>
        <v>0</v>
      </c>
      <c r="AF42" s="536">
        <f t="shared" si="13"/>
        <v>1</v>
      </c>
      <c r="AG42" s="537">
        <f t="shared" si="13"/>
        <v>2</v>
      </c>
      <c r="AH42" s="537">
        <f t="shared" si="13"/>
        <v>1</v>
      </c>
      <c r="AI42" s="537">
        <f t="shared" si="13"/>
        <v>0</v>
      </c>
      <c r="AJ42" s="537">
        <f t="shared" si="13"/>
        <v>1</v>
      </c>
      <c r="AK42" s="538">
        <f t="shared" si="13"/>
        <v>0</v>
      </c>
      <c r="AL42" s="538">
        <f t="shared" si="13"/>
        <v>0</v>
      </c>
      <c r="AM42" s="538">
        <f t="shared" si="13"/>
        <v>0</v>
      </c>
      <c r="AN42" s="538">
        <f t="shared" si="13"/>
        <v>0</v>
      </c>
    </row>
    <row r="43" spans="1:40" ht="15.8" customHeight="1" thickBot="1" x14ac:dyDescent="0.3">
      <c r="C43" s="977" t="s">
        <v>228</v>
      </c>
      <c r="D43" s="978"/>
      <c r="E43" s="979"/>
      <c r="F43" s="541">
        <v>0</v>
      </c>
      <c r="G43" s="541">
        <v>0</v>
      </c>
      <c r="H43" s="538" t="s">
        <v>77</v>
      </c>
      <c r="I43" s="538" t="s">
        <v>77</v>
      </c>
      <c r="J43" s="541">
        <v>0</v>
      </c>
      <c r="K43" s="541">
        <v>0</v>
      </c>
      <c r="L43" s="541">
        <v>0</v>
      </c>
      <c r="M43" s="541">
        <v>0</v>
      </c>
      <c r="N43" s="541">
        <v>0</v>
      </c>
      <c r="O43" s="541">
        <v>0</v>
      </c>
      <c r="P43" s="538" t="s">
        <v>77</v>
      </c>
      <c r="Q43" s="538" t="s">
        <v>77</v>
      </c>
      <c r="R43" s="541">
        <v>0</v>
      </c>
      <c r="S43" s="534"/>
      <c r="T43" s="534"/>
      <c r="U43" s="534"/>
      <c r="V43" s="534"/>
      <c r="W43" s="535"/>
      <c r="X43" s="888" t="s">
        <v>228</v>
      </c>
      <c r="Y43" s="541">
        <v>0</v>
      </c>
      <c r="Z43" s="541">
        <v>0</v>
      </c>
      <c r="AA43" s="541">
        <v>0</v>
      </c>
      <c r="AB43" s="541">
        <v>0</v>
      </c>
      <c r="AC43" s="539">
        <v>0</v>
      </c>
      <c r="AD43" s="539">
        <v>0</v>
      </c>
      <c r="AE43" s="539">
        <v>0</v>
      </c>
      <c r="AF43" s="539">
        <v>0</v>
      </c>
      <c r="AG43" s="540">
        <v>0</v>
      </c>
      <c r="AH43" s="540">
        <v>0</v>
      </c>
      <c r="AI43" s="540">
        <v>0</v>
      </c>
      <c r="AJ43" s="540">
        <v>0</v>
      </c>
      <c r="AK43" s="541">
        <v>0</v>
      </c>
      <c r="AL43" s="541">
        <v>0</v>
      </c>
      <c r="AM43" s="541">
        <v>0</v>
      </c>
      <c r="AN43" s="541">
        <v>0</v>
      </c>
    </row>
    <row r="44" spans="1:40" ht="15.8" customHeight="1" thickBot="1" x14ac:dyDescent="0.3">
      <c r="C44" s="1010" t="s">
        <v>229</v>
      </c>
      <c r="D44" s="978"/>
      <c r="E44" s="979"/>
      <c r="F44" s="545">
        <f>SUM(F42+F43)</f>
        <v>83</v>
      </c>
      <c r="G44" s="545">
        <f t="shared" ref="G44:R44" si="14">SUM(G42+G43)</f>
        <v>98</v>
      </c>
      <c r="H44" s="545">
        <f>H42</f>
        <v>2</v>
      </c>
      <c r="I44" s="545">
        <f>I42</f>
        <v>0</v>
      </c>
      <c r="J44" s="545">
        <f t="shared" si="14"/>
        <v>12</v>
      </c>
      <c r="K44" s="545">
        <f t="shared" si="14"/>
        <v>9</v>
      </c>
      <c r="L44" s="545">
        <f t="shared" si="14"/>
        <v>0</v>
      </c>
      <c r="M44" s="545">
        <f t="shared" si="14"/>
        <v>1</v>
      </c>
      <c r="N44" s="545">
        <f t="shared" si="14"/>
        <v>0</v>
      </c>
      <c r="O44" s="545">
        <f t="shared" si="14"/>
        <v>0</v>
      </c>
      <c r="P44" s="545">
        <f t="shared" ref="P44:Q44" si="15">P42</f>
        <v>3</v>
      </c>
      <c r="Q44" s="545">
        <f t="shared" si="15"/>
        <v>1</v>
      </c>
      <c r="R44" s="545">
        <f t="shared" si="14"/>
        <v>14</v>
      </c>
      <c r="S44" s="534"/>
      <c r="T44" s="534"/>
      <c r="U44" s="534"/>
      <c r="V44" s="534"/>
      <c r="W44" s="542"/>
      <c r="X44" s="885" t="s">
        <v>229</v>
      </c>
      <c r="Y44" s="545">
        <f t="shared" ref="Y44:AN44" si="16">SUM(Y42+Y43)</f>
        <v>4</v>
      </c>
      <c r="Z44" s="545">
        <f t="shared" si="16"/>
        <v>2</v>
      </c>
      <c r="AA44" s="545">
        <f t="shared" si="16"/>
        <v>0</v>
      </c>
      <c r="AB44" s="545">
        <f t="shared" si="16"/>
        <v>2</v>
      </c>
      <c r="AC44" s="543">
        <f t="shared" si="16"/>
        <v>2</v>
      </c>
      <c r="AD44" s="543">
        <f t="shared" si="16"/>
        <v>1</v>
      </c>
      <c r="AE44" s="543">
        <f t="shared" si="16"/>
        <v>0</v>
      </c>
      <c r="AF44" s="543">
        <f t="shared" si="16"/>
        <v>1</v>
      </c>
      <c r="AG44" s="544">
        <f t="shared" si="16"/>
        <v>2</v>
      </c>
      <c r="AH44" s="544">
        <f t="shared" si="16"/>
        <v>1</v>
      </c>
      <c r="AI44" s="544">
        <f t="shared" si="16"/>
        <v>0</v>
      </c>
      <c r="AJ44" s="544">
        <f t="shared" si="16"/>
        <v>1</v>
      </c>
      <c r="AK44" s="545">
        <f t="shared" si="16"/>
        <v>0</v>
      </c>
      <c r="AL44" s="545">
        <f t="shared" si="16"/>
        <v>0</v>
      </c>
      <c r="AM44" s="545">
        <f t="shared" si="16"/>
        <v>0</v>
      </c>
      <c r="AN44" s="545">
        <f t="shared" si="16"/>
        <v>0</v>
      </c>
    </row>
    <row r="45" spans="1:40" ht="15.8" customHeight="1" thickBot="1" x14ac:dyDescent="0.3">
      <c r="A45" s="100"/>
      <c r="C45" s="980" t="s">
        <v>63</v>
      </c>
      <c r="D45" s="981"/>
      <c r="E45" s="982"/>
      <c r="F45" s="378">
        <f t="shared" ref="F45:R45" si="17">SUM(F3:F35)</f>
        <v>711</v>
      </c>
      <c r="G45" s="378">
        <f t="shared" si="17"/>
        <v>755</v>
      </c>
      <c r="H45" s="378">
        <f t="shared" si="17"/>
        <v>10</v>
      </c>
      <c r="I45" s="378">
        <f t="shared" si="17"/>
        <v>6</v>
      </c>
      <c r="J45" s="378">
        <f t="shared" si="17"/>
        <v>83</v>
      </c>
      <c r="K45" s="378">
        <f t="shared" si="17"/>
        <v>58</v>
      </c>
      <c r="L45" s="378">
        <f t="shared" si="17"/>
        <v>0</v>
      </c>
      <c r="M45" s="378">
        <f t="shared" si="17"/>
        <v>56</v>
      </c>
      <c r="N45" s="378">
        <f t="shared" si="17"/>
        <v>10</v>
      </c>
      <c r="O45" s="378">
        <f t="shared" si="17"/>
        <v>2</v>
      </c>
      <c r="P45" s="378">
        <f t="shared" si="17"/>
        <v>9</v>
      </c>
      <c r="Q45" s="378">
        <f t="shared" si="17"/>
        <v>6</v>
      </c>
      <c r="R45" s="378">
        <f t="shared" si="17"/>
        <v>95</v>
      </c>
      <c r="S45" s="168"/>
      <c r="T45" s="168"/>
      <c r="U45" s="168"/>
      <c r="V45" s="169"/>
      <c r="W45" s="169"/>
      <c r="X45" s="886" t="s">
        <v>63</v>
      </c>
      <c r="Y45" s="378">
        <f t="shared" ref="Y45:AN45" si="18">SUM(Y3:Y35)</f>
        <v>33</v>
      </c>
      <c r="Z45" s="378">
        <f t="shared" si="18"/>
        <v>16</v>
      </c>
      <c r="AA45" s="378">
        <f t="shared" si="18"/>
        <v>1</v>
      </c>
      <c r="AB45" s="378">
        <f t="shared" si="18"/>
        <v>16</v>
      </c>
      <c r="AC45" s="66">
        <f t="shared" si="18"/>
        <v>17</v>
      </c>
      <c r="AD45" s="66">
        <f t="shared" si="18"/>
        <v>9</v>
      </c>
      <c r="AE45" s="66">
        <f t="shared" si="18"/>
        <v>0</v>
      </c>
      <c r="AF45" s="66">
        <f t="shared" si="18"/>
        <v>8</v>
      </c>
      <c r="AG45" s="377">
        <f t="shared" si="18"/>
        <v>15</v>
      </c>
      <c r="AH45" s="377">
        <f t="shared" si="18"/>
        <v>5</v>
      </c>
      <c r="AI45" s="377">
        <f t="shared" si="18"/>
        <v>1</v>
      </c>
      <c r="AJ45" s="377">
        <f t="shared" si="18"/>
        <v>10</v>
      </c>
      <c r="AK45" s="378">
        <f t="shared" si="18"/>
        <v>0</v>
      </c>
      <c r="AL45" s="378">
        <f t="shared" si="18"/>
        <v>0</v>
      </c>
      <c r="AM45" s="378">
        <f t="shared" si="18"/>
        <v>0</v>
      </c>
      <c r="AN45" s="378">
        <f t="shared" si="18"/>
        <v>0</v>
      </c>
    </row>
    <row r="46" spans="1:40" ht="15.8" customHeight="1" x14ac:dyDescent="0.25">
      <c r="A46" s="100"/>
    </row>
    <row r="47" spans="1:40" ht="15.8" customHeight="1" x14ac:dyDescent="0.25">
      <c r="A47" s="100" t="s">
        <v>703</v>
      </c>
    </row>
    <row r="48" spans="1:40" x14ac:dyDescent="0.25">
      <c r="A48" s="100" t="s">
        <v>107</v>
      </c>
    </row>
  </sheetData>
  <mergeCells count="1423">
    <mergeCell ref="PNX14:PNY14"/>
    <mergeCell ref="POL14:POM14"/>
    <mergeCell ref="PON14:POO14"/>
    <mergeCell ref="PMP14:PMQ14"/>
    <mergeCell ref="PMR14:PMS14"/>
    <mergeCell ref="PNF14:PNG14"/>
    <mergeCell ref="PNH14:PNI14"/>
    <mergeCell ref="PNV14:PNW14"/>
    <mergeCell ref="PKV14:PKW14"/>
    <mergeCell ref="PLJ14:PLK14"/>
    <mergeCell ref="PLL14:PLM14"/>
    <mergeCell ref="PLZ14:PMA14"/>
    <mergeCell ref="PMB14:PMC14"/>
    <mergeCell ref="PJN14:PJO14"/>
    <mergeCell ref="PJP14:PJQ14"/>
    <mergeCell ref="PKD14:PKE14"/>
    <mergeCell ref="PKF14:PKG14"/>
    <mergeCell ref="PKT14:PKU14"/>
    <mergeCell ref="PHT14:PHU14"/>
    <mergeCell ref="PIH14:PII14"/>
    <mergeCell ref="PIJ14:PIK14"/>
    <mergeCell ref="PIX14:PIY14"/>
    <mergeCell ref="PIZ14:PJA14"/>
    <mergeCell ref="PGL14:PGM14"/>
    <mergeCell ref="PGN14:PGO14"/>
    <mergeCell ref="PHB14:PHC14"/>
    <mergeCell ref="PHD14:PHE14"/>
    <mergeCell ref="PHR14:PHS14"/>
    <mergeCell ref="PER14:PES14"/>
    <mergeCell ref="PFF14:PFG14"/>
    <mergeCell ref="PFH14:PFI14"/>
    <mergeCell ref="PFV14:PFW14"/>
    <mergeCell ref="PFX14:PFY14"/>
    <mergeCell ref="PDJ14:PDK14"/>
    <mergeCell ref="PDL14:PDM14"/>
    <mergeCell ref="PDZ14:PEA14"/>
    <mergeCell ref="PEB14:PEC14"/>
    <mergeCell ref="PEP14:PEQ14"/>
    <mergeCell ref="PBP14:PBQ14"/>
    <mergeCell ref="PCD14:PCE14"/>
    <mergeCell ref="PCF14:PCG14"/>
    <mergeCell ref="PCT14:PCU14"/>
    <mergeCell ref="PCV14:PCW14"/>
    <mergeCell ref="PAH14:PAI14"/>
    <mergeCell ref="PAJ14:PAK14"/>
    <mergeCell ref="PAX14:PAY14"/>
    <mergeCell ref="PAZ14:PBA14"/>
    <mergeCell ref="PBN14:PBO14"/>
    <mergeCell ref="OYN14:OYO14"/>
    <mergeCell ref="OZB14:OZC14"/>
    <mergeCell ref="OZD14:OZE14"/>
    <mergeCell ref="OZR14:OZS14"/>
    <mergeCell ref="OZT14:OZU14"/>
    <mergeCell ref="OXF14:OXG14"/>
    <mergeCell ref="OXH14:OXI14"/>
    <mergeCell ref="OXV14:OXW14"/>
    <mergeCell ref="OXX14:OXY14"/>
    <mergeCell ref="OYL14:OYM14"/>
    <mergeCell ref="OVL14:OVM14"/>
    <mergeCell ref="OVZ14:OWA14"/>
    <mergeCell ref="OWB14:OWC14"/>
    <mergeCell ref="OWP14:OWQ14"/>
    <mergeCell ref="OWR14:OWS14"/>
    <mergeCell ref="OUD14:OUE14"/>
    <mergeCell ref="OUF14:OUG14"/>
    <mergeCell ref="OUT14:OUU14"/>
    <mergeCell ref="OUV14:OUW14"/>
    <mergeCell ref="OVJ14:OVK14"/>
    <mergeCell ref="OSJ14:OSK14"/>
    <mergeCell ref="OSX14:OSY14"/>
    <mergeCell ref="OSZ14:OTA14"/>
    <mergeCell ref="OTN14:OTO14"/>
    <mergeCell ref="OTP14:OTQ14"/>
    <mergeCell ref="ORB14:ORC14"/>
    <mergeCell ref="ORD14:ORE14"/>
    <mergeCell ref="ORR14:ORS14"/>
    <mergeCell ref="ORT14:ORU14"/>
    <mergeCell ref="OSH14:OSI14"/>
    <mergeCell ref="OPH14:OPI14"/>
    <mergeCell ref="OPV14:OPW14"/>
    <mergeCell ref="OPX14:OPY14"/>
    <mergeCell ref="OQL14:OQM14"/>
    <mergeCell ref="OQN14:OQO14"/>
    <mergeCell ref="ONZ14:OOA14"/>
    <mergeCell ref="OOB14:OOC14"/>
    <mergeCell ref="OOP14:OOQ14"/>
    <mergeCell ref="OOR14:OOS14"/>
    <mergeCell ref="OPF14:OPG14"/>
    <mergeCell ref="OMF14:OMG14"/>
    <mergeCell ref="OMT14:OMU14"/>
    <mergeCell ref="OMV14:OMW14"/>
    <mergeCell ref="ONJ14:ONK14"/>
    <mergeCell ref="ONL14:ONM14"/>
    <mergeCell ref="OKX14:OKY14"/>
    <mergeCell ref="OKZ14:OLA14"/>
    <mergeCell ref="OLN14:OLO14"/>
    <mergeCell ref="OLP14:OLQ14"/>
    <mergeCell ref="OMD14:OME14"/>
    <mergeCell ref="OJD14:OJE14"/>
    <mergeCell ref="OJR14:OJS14"/>
    <mergeCell ref="OJT14:OJU14"/>
    <mergeCell ref="OKH14:OKI14"/>
    <mergeCell ref="OKJ14:OKK14"/>
    <mergeCell ref="OHV14:OHW14"/>
    <mergeCell ref="OHX14:OHY14"/>
    <mergeCell ref="OIL14:OIM14"/>
    <mergeCell ref="OIN14:OIO14"/>
    <mergeCell ref="OJB14:OJC14"/>
    <mergeCell ref="OGB14:OGC14"/>
    <mergeCell ref="OGP14:OGQ14"/>
    <mergeCell ref="OGR14:OGS14"/>
    <mergeCell ref="OHF14:OHG14"/>
    <mergeCell ref="OHH14:OHI14"/>
    <mergeCell ref="OET14:OEU14"/>
    <mergeCell ref="OEV14:OEW14"/>
    <mergeCell ref="OFJ14:OFK14"/>
    <mergeCell ref="OFL14:OFM14"/>
    <mergeCell ref="OFZ14:OGA14"/>
    <mergeCell ref="OCZ14:ODA14"/>
    <mergeCell ref="ODN14:ODO14"/>
    <mergeCell ref="ODP14:ODQ14"/>
    <mergeCell ref="OED14:OEE14"/>
    <mergeCell ref="OEF14:OEG14"/>
    <mergeCell ref="OBR14:OBS14"/>
    <mergeCell ref="OBT14:OBU14"/>
    <mergeCell ref="OCH14:OCI14"/>
    <mergeCell ref="OCJ14:OCK14"/>
    <mergeCell ref="OCX14:OCY14"/>
    <mergeCell ref="NZX14:NZY14"/>
    <mergeCell ref="OAL14:OAM14"/>
    <mergeCell ref="OAN14:OAO14"/>
    <mergeCell ref="OBB14:OBC14"/>
    <mergeCell ref="OBD14:OBE14"/>
    <mergeCell ref="NYP14:NYQ14"/>
    <mergeCell ref="NYR14:NYS14"/>
    <mergeCell ref="NZF14:NZG14"/>
    <mergeCell ref="NZH14:NZI14"/>
    <mergeCell ref="NZV14:NZW14"/>
    <mergeCell ref="NWV14:NWW14"/>
    <mergeCell ref="NXJ14:NXK14"/>
    <mergeCell ref="NXL14:NXM14"/>
    <mergeCell ref="NXZ14:NYA14"/>
    <mergeCell ref="NYB14:NYC14"/>
    <mergeCell ref="NVN14:NVO14"/>
    <mergeCell ref="NVP14:NVQ14"/>
    <mergeCell ref="NWD14:NWE14"/>
    <mergeCell ref="NWF14:NWG14"/>
    <mergeCell ref="NWT14:NWU14"/>
    <mergeCell ref="NTT14:NTU14"/>
    <mergeCell ref="NUH14:NUI14"/>
    <mergeCell ref="NUJ14:NUK14"/>
    <mergeCell ref="NUX14:NUY14"/>
    <mergeCell ref="NUZ14:NVA14"/>
    <mergeCell ref="NSL14:NSM14"/>
    <mergeCell ref="NSN14:NSO14"/>
    <mergeCell ref="NTB14:NTC14"/>
    <mergeCell ref="NTD14:NTE14"/>
    <mergeCell ref="NTR14:NTS14"/>
    <mergeCell ref="NQR14:NQS14"/>
    <mergeCell ref="NRF14:NRG14"/>
    <mergeCell ref="NRH14:NRI14"/>
    <mergeCell ref="NRV14:NRW14"/>
    <mergeCell ref="NRX14:NRY14"/>
    <mergeCell ref="NPJ14:NPK14"/>
    <mergeCell ref="NPL14:NPM14"/>
    <mergeCell ref="NPZ14:NQA14"/>
    <mergeCell ref="NQB14:NQC14"/>
    <mergeCell ref="NQP14:NQQ14"/>
    <mergeCell ref="NNP14:NNQ14"/>
    <mergeCell ref="NOD14:NOE14"/>
    <mergeCell ref="NOF14:NOG14"/>
    <mergeCell ref="NOT14:NOU14"/>
    <mergeCell ref="NOV14:NOW14"/>
    <mergeCell ref="NMH14:NMI14"/>
    <mergeCell ref="NMJ14:NMK14"/>
    <mergeCell ref="NMX14:NMY14"/>
    <mergeCell ref="NMZ14:NNA14"/>
    <mergeCell ref="NNN14:NNO14"/>
    <mergeCell ref="NKN14:NKO14"/>
    <mergeCell ref="NLB14:NLC14"/>
    <mergeCell ref="NLD14:NLE14"/>
    <mergeCell ref="NLR14:NLS14"/>
    <mergeCell ref="NLT14:NLU14"/>
    <mergeCell ref="NJF14:NJG14"/>
    <mergeCell ref="NJH14:NJI14"/>
    <mergeCell ref="NJV14:NJW14"/>
    <mergeCell ref="NJX14:NJY14"/>
    <mergeCell ref="NKL14:NKM14"/>
    <mergeCell ref="NHL14:NHM14"/>
    <mergeCell ref="NHZ14:NIA14"/>
    <mergeCell ref="NIB14:NIC14"/>
    <mergeCell ref="NIP14:NIQ14"/>
    <mergeCell ref="NIR14:NIS14"/>
    <mergeCell ref="NGD14:NGE14"/>
    <mergeCell ref="NGF14:NGG14"/>
    <mergeCell ref="NGT14:NGU14"/>
    <mergeCell ref="NGV14:NGW14"/>
    <mergeCell ref="NHJ14:NHK14"/>
    <mergeCell ref="NEJ14:NEK14"/>
    <mergeCell ref="NEX14:NEY14"/>
    <mergeCell ref="NEZ14:NFA14"/>
    <mergeCell ref="NFN14:NFO14"/>
    <mergeCell ref="NFP14:NFQ14"/>
    <mergeCell ref="NDB14:NDC14"/>
    <mergeCell ref="NDD14:NDE14"/>
    <mergeCell ref="NDR14:NDS14"/>
    <mergeCell ref="NDT14:NDU14"/>
    <mergeCell ref="NEH14:NEI14"/>
    <mergeCell ref="NBH14:NBI14"/>
    <mergeCell ref="NBV14:NBW14"/>
    <mergeCell ref="NBX14:NBY14"/>
    <mergeCell ref="NCL14:NCM14"/>
    <mergeCell ref="NCN14:NCO14"/>
    <mergeCell ref="MZZ14:NAA14"/>
    <mergeCell ref="NAB14:NAC14"/>
    <mergeCell ref="NAP14:NAQ14"/>
    <mergeCell ref="NAR14:NAS14"/>
    <mergeCell ref="NBF14:NBG14"/>
    <mergeCell ref="MYF14:MYG14"/>
    <mergeCell ref="MYT14:MYU14"/>
    <mergeCell ref="MYV14:MYW14"/>
    <mergeCell ref="MZJ14:MZK14"/>
    <mergeCell ref="MZL14:MZM14"/>
    <mergeCell ref="MWX14:MWY14"/>
    <mergeCell ref="MWZ14:MXA14"/>
    <mergeCell ref="MXN14:MXO14"/>
    <mergeCell ref="MXP14:MXQ14"/>
    <mergeCell ref="MYD14:MYE14"/>
    <mergeCell ref="MVD14:MVE14"/>
    <mergeCell ref="MVR14:MVS14"/>
    <mergeCell ref="MVT14:MVU14"/>
    <mergeCell ref="MWH14:MWI14"/>
    <mergeCell ref="MWJ14:MWK14"/>
    <mergeCell ref="MTV14:MTW14"/>
    <mergeCell ref="MTX14:MTY14"/>
    <mergeCell ref="MUL14:MUM14"/>
    <mergeCell ref="MUN14:MUO14"/>
    <mergeCell ref="MVB14:MVC14"/>
    <mergeCell ref="MSB14:MSC14"/>
    <mergeCell ref="MSP14:MSQ14"/>
    <mergeCell ref="MSR14:MSS14"/>
    <mergeCell ref="MTF14:MTG14"/>
    <mergeCell ref="MTH14:MTI14"/>
    <mergeCell ref="MQT14:MQU14"/>
    <mergeCell ref="MQV14:MQW14"/>
    <mergeCell ref="MRJ14:MRK14"/>
    <mergeCell ref="MRL14:MRM14"/>
    <mergeCell ref="MRZ14:MSA14"/>
    <mergeCell ref="MOZ14:MPA14"/>
    <mergeCell ref="MPN14:MPO14"/>
    <mergeCell ref="MPP14:MPQ14"/>
    <mergeCell ref="MQD14:MQE14"/>
    <mergeCell ref="MQF14:MQG14"/>
    <mergeCell ref="MNR14:MNS14"/>
    <mergeCell ref="MNT14:MNU14"/>
    <mergeCell ref="MOH14:MOI14"/>
    <mergeCell ref="MOJ14:MOK14"/>
    <mergeCell ref="MOX14:MOY14"/>
    <mergeCell ref="MLX14:MLY14"/>
    <mergeCell ref="MML14:MMM14"/>
    <mergeCell ref="MMN14:MMO14"/>
    <mergeCell ref="MNB14:MNC14"/>
    <mergeCell ref="MND14:MNE14"/>
    <mergeCell ref="MKP14:MKQ14"/>
    <mergeCell ref="MKR14:MKS14"/>
    <mergeCell ref="MLF14:MLG14"/>
    <mergeCell ref="MLH14:MLI14"/>
    <mergeCell ref="MLV14:MLW14"/>
    <mergeCell ref="MIV14:MIW14"/>
    <mergeCell ref="MJJ14:MJK14"/>
    <mergeCell ref="MJL14:MJM14"/>
    <mergeCell ref="MJZ14:MKA14"/>
    <mergeCell ref="MKB14:MKC14"/>
    <mergeCell ref="MHN14:MHO14"/>
    <mergeCell ref="MHP14:MHQ14"/>
    <mergeCell ref="MID14:MIE14"/>
    <mergeCell ref="MIF14:MIG14"/>
    <mergeCell ref="MIT14:MIU14"/>
    <mergeCell ref="MFT14:MFU14"/>
    <mergeCell ref="MGH14:MGI14"/>
    <mergeCell ref="MGJ14:MGK14"/>
    <mergeCell ref="MGX14:MGY14"/>
    <mergeCell ref="MGZ14:MHA14"/>
    <mergeCell ref="MEL14:MEM14"/>
    <mergeCell ref="MEN14:MEO14"/>
    <mergeCell ref="MFB14:MFC14"/>
    <mergeCell ref="MFD14:MFE14"/>
    <mergeCell ref="MFR14:MFS14"/>
    <mergeCell ref="MCR14:MCS14"/>
    <mergeCell ref="MDF14:MDG14"/>
    <mergeCell ref="MDH14:MDI14"/>
    <mergeCell ref="MDV14:MDW14"/>
    <mergeCell ref="MDX14:MDY14"/>
    <mergeCell ref="MBJ14:MBK14"/>
    <mergeCell ref="MBL14:MBM14"/>
    <mergeCell ref="MBZ14:MCA14"/>
    <mergeCell ref="MCB14:MCC14"/>
    <mergeCell ref="MCP14:MCQ14"/>
    <mergeCell ref="LZP14:LZQ14"/>
    <mergeCell ref="MAD14:MAE14"/>
    <mergeCell ref="MAF14:MAG14"/>
    <mergeCell ref="MAT14:MAU14"/>
    <mergeCell ref="MAV14:MAW14"/>
    <mergeCell ref="LYH14:LYI14"/>
    <mergeCell ref="LYJ14:LYK14"/>
    <mergeCell ref="LYX14:LYY14"/>
    <mergeCell ref="LYZ14:LZA14"/>
    <mergeCell ref="LZN14:LZO14"/>
    <mergeCell ref="LWN14:LWO14"/>
    <mergeCell ref="LXB14:LXC14"/>
    <mergeCell ref="LXD14:LXE14"/>
    <mergeCell ref="LXR14:LXS14"/>
    <mergeCell ref="LXT14:LXU14"/>
    <mergeCell ref="LVF14:LVG14"/>
    <mergeCell ref="LVH14:LVI14"/>
    <mergeCell ref="LVV14:LVW14"/>
    <mergeCell ref="LVX14:LVY14"/>
    <mergeCell ref="LWL14:LWM14"/>
    <mergeCell ref="LTL14:LTM14"/>
    <mergeCell ref="LTZ14:LUA14"/>
    <mergeCell ref="LUB14:LUC14"/>
    <mergeCell ref="LUP14:LUQ14"/>
    <mergeCell ref="LUR14:LUS14"/>
    <mergeCell ref="LSD14:LSE14"/>
    <mergeCell ref="LSF14:LSG14"/>
    <mergeCell ref="LST14:LSU14"/>
    <mergeCell ref="LSV14:LSW14"/>
    <mergeCell ref="LTJ14:LTK14"/>
    <mergeCell ref="LQJ14:LQK14"/>
    <mergeCell ref="LQX14:LQY14"/>
    <mergeCell ref="LQZ14:LRA14"/>
    <mergeCell ref="LRN14:LRO14"/>
    <mergeCell ref="LRP14:LRQ14"/>
    <mergeCell ref="LPB14:LPC14"/>
    <mergeCell ref="LPD14:LPE14"/>
    <mergeCell ref="LPR14:LPS14"/>
    <mergeCell ref="LPT14:LPU14"/>
    <mergeCell ref="LQH14:LQI14"/>
    <mergeCell ref="LNH14:LNI14"/>
    <mergeCell ref="LNV14:LNW14"/>
    <mergeCell ref="LNX14:LNY14"/>
    <mergeCell ref="LOL14:LOM14"/>
    <mergeCell ref="LON14:LOO14"/>
    <mergeCell ref="LLZ14:LMA14"/>
    <mergeCell ref="LMB14:LMC14"/>
    <mergeCell ref="LMP14:LMQ14"/>
    <mergeCell ref="LMR14:LMS14"/>
    <mergeCell ref="LNF14:LNG14"/>
    <mergeCell ref="LKF14:LKG14"/>
    <mergeCell ref="LKT14:LKU14"/>
    <mergeCell ref="LKV14:LKW14"/>
    <mergeCell ref="LLJ14:LLK14"/>
    <mergeCell ref="LLL14:LLM14"/>
    <mergeCell ref="LIX14:LIY14"/>
    <mergeCell ref="LIZ14:LJA14"/>
    <mergeCell ref="LJN14:LJO14"/>
    <mergeCell ref="LJP14:LJQ14"/>
    <mergeCell ref="LKD14:LKE14"/>
    <mergeCell ref="LHD14:LHE14"/>
    <mergeCell ref="LHR14:LHS14"/>
    <mergeCell ref="LHT14:LHU14"/>
    <mergeCell ref="LIH14:LII14"/>
    <mergeCell ref="LIJ14:LIK14"/>
    <mergeCell ref="LFV14:LFW14"/>
    <mergeCell ref="LFX14:LFY14"/>
    <mergeCell ref="LGL14:LGM14"/>
    <mergeCell ref="LGN14:LGO14"/>
    <mergeCell ref="LHB14:LHC14"/>
    <mergeCell ref="LEB14:LEC14"/>
    <mergeCell ref="LEP14:LEQ14"/>
    <mergeCell ref="LER14:LES14"/>
    <mergeCell ref="LFF14:LFG14"/>
    <mergeCell ref="LFH14:LFI14"/>
    <mergeCell ref="LCT14:LCU14"/>
    <mergeCell ref="LCV14:LCW14"/>
    <mergeCell ref="LDJ14:LDK14"/>
    <mergeCell ref="LDL14:LDM14"/>
    <mergeCell ref="LDZ14:LEA14"/>
    <mergeCell ref="LAZ14:LBA14"/>
    <mergeCell ref="LBN14:LBO14"/>
    <mergeCell ref="LBP14:LBQ14"/>
    <mergeCell ref="LCD14:LCE14"/>
    <mergeCell ref="LCF14:LCG14"/>
    <mergeCell ref="KZR14:KZS14"/>
    <mergeCell ref="KZT14:KZU14"/>
    <mergeCell ref="LAH14:LAI14"/>
    <mergeCell ref="LAJ14:LAK14"/>
    <mergeCell ref="LAX14:LAY14"/>
    <mergeCell ref="KXX14:KXY14"/>
    <mergeCell ref="KYL14:KYM14"/>
    <mergeCell ref="KYN14:KYO14"/>
    <mergeCell ref="KZB14:KZC14"/>
    <mergeCell ref="KZD14:KZE14"/>
    <mergeCell ref="KWP14:KWQ14"/>
    <mergeCell ref="KWR14:KWS14"/>
    <mergeCell ref="KXF14:KXG14"/>
    <mergeCell ref="KXH14:KXI14"/>
    <mergeCell ref="KXV14:KXW14"/>
    <mergeCell ref="KUV14:KUW14"/>
    <mergeCell ref="KVJ14:KVK14"/>
    <mergeCell ref="KVL14:KVM14"/>
    <mergeCell ref="KVZ14:KWA14"/>
    <mergeCell ref="KWB14:KWC14"/>
    <mergeCell ref="KTN14:KTO14"/>
    <mergeCell ref="KTP14:KTQ14"/>
    <mergeCell ref="KUD14:KUE14"/>
    <mergeCell ref="KUF14:KUG14"/>
    <mergeCell ref="KUT14:KUU14"/>
    <mergeCell ref="KRT14:KRU14"/>
    <mergeCell ref="KSH14:KSI14"/>
    <mergeCell ref="KSJ14:KSK14"/>
    <mergeCell ref="KSX14:KSY14"/>
    <mergeCell ref="KSZ14:KTA14"/>
    <mergeCell ref="KQL14:KQM14"/>
    <mergeCell ref="KQN14:KQO14"/>
    <mergeCell ref="KRB14:KRC14"/>
    <mergeCell ref="KRD14:KRE14"/>
    <mergeCell ref="KRR14:KRS14"/>
    <mergeCell ref="KOR14:KOS14"/>
    <mergeCell ref="KPF14:KPG14"/>
    <mergeCell ref="KPH14:KPI14"/>
    <mergeCell ref="KPV14:KPW14"/>
    <mergeCell ref="KPX14:KPY14"/>
    <mergeCell ref="KNJ14:KNK14"/>
    <mergeCell ref="KNL14:KNM14"/>
    <mergeCell ref="KNZ14:KOA14"/>
    <mergeCell ref="KOB14:KOC14"/>
    <mergeCell ref="KOP14:KOQ14"/>
    <mergeCell ref="KLP14:KLQ14"/>
    <mergeCell ref="KMD14:KME14"/>
    <mergeCell ref="KMF14:KMG14"/>
    <mergeCell ref="KMT14:KMU14"/>
    <mergeCell ref="KMV14:KMW14"/>
    <mergeCell ref="KKH14:KKI14"/>
    <mergeCell ref="KKJ14:KKK14"/>
    <mergeCell ref="KKX14:KKY14"/>
    <mergeCell ref="KKZ14:KLA14"/>
    <mergeCell ref="KLN14:KLO14"/>
    <mergeCell ref="KIN14:KIO14"/>
    <mergeCell ref="KJB14:KJC14"/>
    <mergeCell ref="KJD14:KJE14"/>
    <mergeCell ref="KJR14:KJS14"/>
    <mergeCell ref="KJT14:KJU14"/>
    <mergeCell ref="KHF14:KHG14"/>
    <mergeCell ref="KHH14:KHI14"/>
    <mergeCell ref="KHV14:KHW14"/>
    <mergeCell ref="KHX14:KHY14"/>
    <mergeCell ref="KIL14:KIM14"/>
    <mergeCell ref="KFL14:KFM14"/>
    <mergeCell ref="KFZ14:KGA14"/>
    <mergeCell ref="KGB14:KGC14"/>
    <mergeCell ref="KGP14:KGQ14"/>
    <mergeCell ref="KGR14:KGS14"/>
    <mergeCell ref="KED14:KEE14"/>
    <mergeCell ref="KEF14:KEG14"/>
    <mergeCell ref="KET14:KEU14"/>
    <mergeCell ref="KEV14:KEW14"/>
    <mergeCell ref="KFJ14:KFK14"/>
    <mergeCell ref="KCJ14:KCK14"/>
    <mergeCell ref="KCX14:KCY14"/>
    <mergeCell ref="KCZ14:KDA14"/>
    <mergeCell ref="KDN14:KDO14"/>
    <mergeCell ref="KDP14:KDQ14"/>
    <mergeCell ref="KBB14:KBC14"/>
    <mergeCell ref="KBD14:KBE14"/>
    <mergeCell ref="KBR14:KBS14"/>
    <mergeCell ref="KBT14:KBU14"/>
    <mergeCell ref="KCH14:KCI14"/>
    <mergeCell ref="JZH14:JZI14"/>
    <mergeCell ref="JZV14:JZW14"/>
    <mergeCell ref="JZX14:JZY14"/>
    <mergeCell ref="KAL14:KAM14"/>
    <mergeCell ref="KAN14:KAO14"/>
    <mergeCell ref="JXZ14:JYA14"/>
    <mergeCell ref="JYB14:JYC14"/>
    <mergeCell ref="JYP14:JYQ14"/>
    <mergeCell ref="JYR14:JYS14"/>
    <mergeCell ref="JZF14:JZG14"/>
    <mergeCell ref="JWF14:JWG14"/>
    <mergeCell ref="JWT14:JWU14"/>
    <mergeCell ref="JWV14:JWW14"/>
    <mergeCell ref="JXJ14:JXK14"/>
    <mergeCell ref="JXL14:JXM14"/>
    <mergeCell ref="JUX14:JUY14"/>
    <mergeCell ref="JUZ14:JVA14"/>
    <mergeCell ref="JVN14:JVO14"/>
    <mergeCell ref="JVP14:JVQ14"/>
    <mergeCell ref="JWD14:JWE14"/>
    <mergeCell ref="JTD14:JTE14"/>
    <mergeCell ref="JTR14:JTS14"/>
    <mergeCell ref="JTT14:JTU14"/>
    <mergeCell ref="JUH14:JUI14"/>
    <mergeCell ref="JUJ14:JUK14"/>
    <mergeCell ref="JRV14:JRW14"/>
    <mergeCell ref="JRX14:JRY14"/>
    <mergeCell ref="JSL14:JSM14"/>
    <mergeCell ref="JSN14:JSO14"/>
    <mergeCell ref="JTB14:JTC14"/>
    <mergeCell ref="JQB14:JQC14"/>
    <mergeCell ref="JQP14:JQQ14"/>
    <mergeCell ref="JQR14:JQS14"/>
    <mergeCell ref="JRF14:JRG14"/>
    <mergeCell ref="JRH14:JRI14"/>
    <mergeCell ref="JOT14:JOU14"/>
    <mergeCell ref="JOV14:JOW14"/>
    <mergeCell ref="JPJ14:JPK14"/>
    <mergeCell ref="JPL14:JPM14"/>
    <mergeCell ref="JPZ14:JQA14"/>
    <mergeCell ref="JMZ14:JNA14"/>
    <mergeCell ref="JNN14:JNO14"/>
    <mergeCell ref="JNP14:JNQ14"/>
    <mergeCell ref="JOD14:JOE14"/>
    <mergeCell ref="JOF14:JOG14"/>
    <mergeCell ref="JLR14:JLS14"/>
    <mergeCell ref="JLT14:JLU14"/>
    <mergeCell ref="JMH14:JMI14"/>
    <mergeCell ref="JMJ14:JMK14"/>
    <mergeCell ref="JMX14:JMY14"/>
    <mergeCell ref="JJX14:JJY14"/>
    <mergeCell ref="JKL14:JKM14"/>
    <mergeCell ref="JKN14:JKO14"/>
    <mergeCell ref="JLB14:JLC14"/>
    <mergeCell ref="JLD14:JLE14"/>
    <mergeCell ref="JIP14:JIQ14"/>
    <mergeCell ref="JIR14:JIS14"/>
    <mergeCell ref="JJF14:JJG14"/>
    <mergeCell ref="JJH14:JJI14"/>
    <mergeCell ref="JJV14:JJW14"/>
    <mergeCell ref="JGV14:JGW14"/>
    <mergeCell ref="JHJ14:JHK14"/>
    <mergeCell ref="JHL14:JHM14"/>
    <mergeCell ref="JHZ14:JIA14"/>
    <mergeCell ref="JIB14:JIC14"/>
    <mergeCell ref="JFN14:JFO14"/>
    <mergeCell ref="JFP14:JFQ14"/>
    <mergeCell ref="JGD14:JGE14"/>
    <mergeCell ref="JGF14:JGG14"/>
    <mergeCell ref="JGT14:JGU14"/>
    <mergeCell ref="JDT14:JDU14"/>
    <mergeCell ref="JEH14:JEI14"/>
    <mergeCell ref="JEJ14:JEK14"/>
    <mergeCell ref="JEX14:JEY14"/>
    <mergeCell ref="JEZ14:JFA14"/>
    <mergeCell ref="JCL14:JCM14"/>
    <mergeCell ref="JCN14:JCO14"/>
    <mergeCell ref="JDB14:JDC14"/>
    <mergeCell ref="JDD14:JDE14"/>
    <mergeCell ref="JDR14:JDS14"/>
    <mergeCell ref="JAR14:JAS14"/>
    <mergeCell ref="JBF14:JBG14"/>
    <mergeCell ref="JBH14:JBI14"/>
    <mergeCell ref="JBV14:JBW14"/>
    <mergeCell ref="JBX14:JBY14"/>
    <mergeCell ref="IZJ14:IZK14"/>
    <mergeCell ref="IZL14:IZM14"/>
    <mergeCell ref="IZZ14:JAA14"/>
    <mergeCell ref="JAB14:JAC14"/>
    <mergeCell ref="JAP14:JAQ14"/>
    <mergeCell ref="IXP14:IXQ14"/>
    <mergeCell ref="IYD14:IYE14"/>
    <mergeCell ref="IYF14:IYG14"/>
    <mergeCell ref="IYT14:IYU14"/>
    <mergeCell ref="IYV14:IYW14"/>
    <mergeCell ref="IWH14:IWI14"/>
    <mergeCell ref="IWJ14:IWK14"/>
    <mergeCell ref="IWX14:IWY14"/>
    <mergeCell ref="IWZ14:IXA14"/>
    <mergeCell ref="IXN14:IXO14"/>
    <mergeCell ref="IUN14:IUO14"/>
    <mergeCell ref="IVB14:IVC14"/>
    <mergeCell ref="IVD14:IVE14"/>
    <mergeCell ref="IVR14:IVS14"/>
    <mergeCell ref="IVT14:IVU14"/>
    <mergeCell ref="ITF14:ITG14"/>
    <mergeCell ref="ITH14:ITI14"/>
    <mergeCell ref="ITV14:ITW14"/>
    <mergeCell ref="ITX14:ITY14"/>
    <mergeCell ref="IUL14:IUM14"/>
    <mergeCell ref="IRL14:IRM14"/>
    <mergeCell ref="IRZ14:ISA14"/>
    <mergeCell ref="ISB14:ISC14"/>
    <mergeCell ref="ISP14:ISQ14"/>
    <mergeCell ref="ISR14:ISS14"/>
    <mergeCell ref="IQD14:IQE14"/>
    <mergeCell ref="IQF14:IQG14"/>
    <mergeCell ref="IQT14:IQU14"/>
    <mergeCell ref="IQV14:IQW14"/>
    <mergeCell ref="IRJ14:IRK14"/>
    <mergeCell ref="IOJ14:IOK14"/>
    <mergeCell ref="IOX14:IOY14"/>
    <mergeCell ref="IOZ14:IPA14"/>
    <mergeCell ref="IPN14:IPO14"/>
    <mergeCell ref="IPP14:IPQ14"/>
    <mergeCell ref="INB14:INC14"/>
    <mergeCell ref="IND14:INE14"/>
    <mergeCell ref="INR14:INS14"/>
    <mergeCell ref="INT14:INU14"/>
    <mergeCell ref="IOH14:IOI14"/>
    <mergeCell ref="ILH14:ILI14"/>
    <mergeCell ref="ILV14:ILW14"/>
    <mergeCell ref="ILX14:ILY14"/>
    <mergeCell ref="IML14:IMM14"/>
    <mergeCell ref="IMN14:IMO14"/>
    <mergeCell ref="IJZ14:IKA14"/>
    <mergeCell ref="IKB14:IKC14"/>
    <mergeCell ref="IKP14:IKQ14"/>
    <mergeCell ref="IKR14:IKS14"/>
    <mergeCell ref="ILF14:ILG14"/>
    <mergeCell ref="IIF14:IIG14"/>
    <mergeCell ref="IIT14:IIU14"/>
    <mergeCell ref="IIV14:IIW14"/>
    <mergeCell ref="IJJ14:IJK14"/>
    <mergeCell ref="IJL14:IJM14"/>
    <mergeCell ref="IGX14:IGY14"/>
    <mergeCell ref="IGZ14:IHA14"/>
    <mergeCell ref="IHN14:IHO14"/>
    <mergeCell ref="IHP14:IHQ14"/>
    <mergeCell ref="IID14:IIE14"/>
    <mergeCell ref="IFD14:IFE14"/>
    <mergeCell ref="IFR14:IFS14"/>
    <mergeCell ref="IFT14:IFU14"/>
    <mergeCell ref="IGH14:IGI14"/>
    <mergeCell ref="IGJ14:IGK14"/>
    <mergeCell ref="IDV14:IDW14"/>
    <mergeCell ref="IDX14:IDY14"/>
    <mergeCell ref="IEL14:IEM14"/>
    <mergeCell ref="IEN14:IEO14"/>
    <mergeCell ref="IFB14:IFC14"/>
    <mergeCell ref="ICB14:ICC14"/>
    <mergeCell ref="ICP14:ICQ14"/>
    <mergeCell ref="ICR14:ICS14"/>
    <mergeCell ref="IDF14:IDG14"/>
    <mergeCell ref="IDH14:IDI14"/>
    <mergeCell ref="IAT14:IAU14"/>
    <mergeCell ref="IAV14:IAW14"/>
    <mergeCell ref="IBJ14:IBK14"/>
    <mergeCell ref="IBL14:IBM14"/>
    <mergeCell ref="IBZ14:ICA14"/>
    <mergeCell ref="HYZ14:HZA14"/>
    <mergeCell ref="HZN14:HZO14"/>
    <mergeCell ref="HZP14:HZQ14"/>
    <mergeCell ref="IAD14:IAE14"/>
    <mergeCell ref="IAF14:IAG14"/>
    <mergeCell ref="HXR14:HXS14"/>
    <mergeCell ref="HXT14:HXU14"/>
    <mergeCell ref="HYH14:HYI14"/>
    <mergeCell ref="HYJ14:HYK14"/>
    <mergeCell ref="HYX14:HYY14"/>
    <mergeCell ref="HVX14:HVY14"/>
    <mergeCell ref="HWL14:HWM14"/>
    <mergeCell ref="HWN14:HWO14"/>
    <mergeCell ref="HXB14:HXC14"/>
    <mergeCell ref="HXD14:HXE14"/>
    <mergeCell ref="HUP14:HUQ14"/>
    <mergeCell ref="HUR14:HUS14"/>
    <mergeCell ref="HVF14:HVG14"/>
    <mergeCell ref="HVH14:HVI14"/>
    <mergeCell ref="HVV14:HVW14"/>
    <mergeCell ref="HSV14:HSW14"/>
    <mergeCell ref="HTJ14:HTK14"/>
    <mergeCell ref="HTL14:HTM14"/>
    <mergeCell ref="HTZ14:HUA14"/>
    <mergeCell ref="HUB14:HUC14"/>
    <mergeCell ref="HRN14:HRO14"/>
    <mergeCell ref="HRP14:HRQ14"/>
    <mergeCell ref="HSD14:HSE14"/>
    <mergeCell ref="HSF14:HSG14"/>
    <mergeCell ref="HST14:HSU14"/>
    <mergeCell ref="HPT14:HPU14"/>
    <mergeCell ref="HQH14:HQI14"/>
    <mergeCell ref="HQJ14:HQK14"/>
    <mergeCell ref="HQX14:HQY14"/>
    <mergeCell ref="HQZ14:HRA14"/>
    <mergeCell ref="HOL14:HOM14"/>
    <mergeCell ref="HON14:HOO14"/>
    <mergeCell ref="HPB14:HPC14"/>
    <mergeCell ref="HPD14:HPE14"/>
    <mergeCell ref="HPR14:HPS14"/>
    <mergeCell ref="HMR14:HMS14"/>
    <mergeCell ref="HNF14:HNG14"/>
    <mergeCell ref="HNH14:HNI14"/>
    <mergeCell ref="HNV14:HNW14"/>
    <mergeCell ref="HNX14:HNY14"/>
    <mergeCell ref="HLJ14:HLK14"/>
    <mergeCell ref="HLL14:HLM14"/>
    <mergeCell ref="HLZ14:HMA14"/>
    <mergeCell ref="HMB14:HMC14"/>
    <mergeCell ref="HMP14:HMQ14"/>
    <mergeCell ref="HJP14:HJQ14"/>
    <mergeCell ref="HKD14:HKE14"/>
    <mergeCell ref="HKF14:HKG14"/>
    <mergeCell ref="HKT14:HKU14"/>
    <mergeCell ref="HKV14:HKW14"/>
    <mergeCell ref="HIH14:HII14"/>
    <mergeCell ref="HIJ14:HIK14"/>
    <mergeCell ref="HIX14:HIY14"/>
    <mergeCell ref="HIZ14:HJA14"/>
    <mergeCell ref="HJN14:HJO14"/>
    <mergeCell ref="HGN14:HGO14"/>
    <mergeCell ref="HHB14:HHC14"/>
    <mergeCell ref="HHD14:HHE14"/>
    <mergeCell ref="HHR14:HHS14"/>
    <mergeCell ref="HHT14:HHU14"/>
    <mergeCell ref="HFF14:HFG14"/>
    <mergeCell ref="HFH14:HFI14"/>
    <mergeCell ref="HFV14:HFW14"/>
    <mergeCell ref="HFX14:HFY14"/>
    <mergeCell ref="HGL14:HGM14"/>
    <mergeCell ref="HDL14:HDM14"/>
    <mergeCell ref="HDZ14:HEA14"/>
    <mergeCell ref="HEB14:HEC14"/>
    <mergeCell ref="HEP14:HEQ14"/>
    <mergeCell ref="HER14:HES14"/>
    <mergeCell ref="HCD14:HCE14"/>
    <mergeCell ref="HCF14:HCG14"/>
    <mergeCell ref="HCT14:HCU14"/>
    <mergeCell ref="HCV14:HCW14"/>
    <mergeCell ref="HDJ14:HDK14"/>
    <mergeCell ref="HAJ14:HAK14"/>
    <mergeCell ref="HAX14:HAY14"/>
    <mergeCell ref="HAZ14:HBA14"/>
    <mergeCell ref="HBN14:HBO14"/>
    <mergeCell ref="HBP14:HBQ14"/>
    <mergeCell ref="GZB14:GZC14"/>
    <mergeCell ref="GZD14:GZE14"/>
    <mergeCell ref="GZR14:GZS14"/>
    <mergeCell ref="GZT14:GZU14"/>
    <mergeCell ref="HAH14:HAI14"/>
    <mergeCell ref="GXH14:GXI14"/>
    <mergeCell ref="GXV14:GXW14"/>
    <mergeCell ref="GXX14:GXY14"/>
    <mergeCell ref="GYL14:GYM14"/>
    <mergeCell ref="GYN14:GYO14"/>
    <mergeCell ref="GVZ14:GWA14"/>
    <mergeCell ref="GWB14:GWC14"/>
    <mergeCell ref="GWP14:GWQ14"/>
    <mergeCell ref="GWR14:GWS14"/>
    <mergeCell ref="GXF14:GXG14"/>
    <mergeCell ref="GUF14:GUG14"/>
    <mergeCell ref="GUT14:GUU14"/>
    <mergeCell ref="GUV14:GUW14"/>
    <mergeCell ref="GVJ14:GVK14"/>
    <mergeCell ref="GVL14:GVM14"/>
    <mergeCell ref="GSX14:GSY14"/>
    <mergeCell ref="GSZ14:GTA14"/>
    <mergeCell ref="GTN14:GTO14"/>
    <mergeCell ref="GTP14:GTQ14"/>
    <mergeCell ref="GUD14:GUE14"/>
    <mergeCell ref="GRD14:GRE14"/>
    <mergeCell ref="GRR14:GRS14"/>
    <mergeCell ref="GRT14:GRU14"/>
    <mergeCell ref="GSH14:GSI14"/>
    <mergeCell ref="GSJ14:GSK14"/>
    <mergeCell ref="GPV14:GPW14"/>
    <mergeCell ref="GPX14:GPY14"/>
    <mergeCell ref="GQL14:GQM14"/>
    <mergeCell ref="GQN14:GQO14"/>
    <mergeCell ref="GRB14:GRC14"/>
    <mergeCell ref="GOB14:GOC14"/>
    <mergeCell ref="GOP14:GOQ14"/>
    <mergeCell ref="GOR14:GOS14"/>
    <mergeCell ref="GPF14:GPG14"/>
    <mergeCell ref="GPH14:GPI14"/>
    <mergeCell ref="GMT14:GMU14"/>
    <mergeCell ref="GMV14:GMW14"/>
    <mergeCell ref="GNJ14:GNK14"/>
    <mergeCell ref="GNL14:GNM14"/>
    <mergeCell ref="GNZ14:GOA14"/>
    <mergeCell ref="GKZ14:GLA14"/>
    <mergeCell ref="GLN14:GLO14"/>
    <mergeCell ref="GLP14:GLQ14"/>
    <mergeCell ref="GMD14:GME14"/>
    <mergeCell ref="GMF14:GMG14"/>
    <mergeCell ref="GJR14:GJS14"/>
    <mergeCell ref="GJT14:GJU14"/>
    <mergeCell ref="GKH14:GKI14"/>
    <mergeCell ref="GKJ14:GKK14"/>
    <mergeCell ref="GKX14:GKY14"/>
    <mergeCell ref="GHX14:GHY14"/>
    <mergeCell ref="GIL14:GIM14"/>
    <mergeCell ref="GIN14:GIO14"/>
    <mergeCell ref="GJB14:GJC14"/>
    <mergeCell ref="GJD14:GJE14"/>
    <mergeCell ref="GGP14:GGQ14"/>
    <mergeCell ref="GGR14:GGS14"/>
    <mergeCell ref="GHF14:GHG14"/>
    <mergeCell ref="GHH14:GHI14"/>
    <mergeCell ref="GHV14:GHW14"/>
    <mergeCell ref="GEV14:GEW14"/>
    <mergeCell ref="GFJ14:GFK14"/>
    <mergeCell ref="GFL14:GFM14"/>
    <mergeCell ref="GFZ14:GGA14"/>
    <mergeCell ref="GGB14:GGC14"/>
    <mergeCell ref="GDN14:GDO14"/>
    <mergeCell ref="GDP14:GDQ14"/>
    <mergeCell ref="GED14:GEE14"/>
    <mergeCell ref="GEF14:GEG14"/>
    <mergeCell ref="GET14:GEU14"/>
    <mergeCell ref="GBT14:GBU14"/>
    <mergeCell ref="GCH14:GCI14"/>
    <mergeCell ref="GCJ14:GCK14"/>
    <mergeCell ref="GCX14:GCY14"/>
    <mergeCell ref="GCZ14:GDA14"/>
    <mergeCell ref="GAL14:GAM14"/>
    <mergeCell ref="GAN14:GAO14"/>
    <mergeCell ref="GBB14:GBC14"/>
    <mergeCell ref="GBD14:GBE14"/>
    <mergeCell ref="GBR14:GBS14"/>
    <mergeCell ref="FYR14:FYS14"/>
    <mergeCell ref="FZF14:FZG14"/>
    <mergeCell ref="FZH14:FZI14"/>
    <mergeCell ref="FZV14:FZW14"/>
    <mergeCell ref="FZX14:FZY14"/>
    <mergeCell ref="FXJ14:FXK14"/>
    <mergeCell ref="FXL14:FXM14"/>
    <mergeCell ref="FXZ14:FYA14"/>
    <mergeCell ref="FYB14:FYC14"/>
    <mergeCell ref="FYP14:FYQ14"/>
    <mergeCell ref="FVP14:FVQ14"/>
    <mergeCell ref="FWD14:FWE14"/>
    <mergeCell ref="FWF14:FWG14"/>
    <mergeCell ref="FWT14:FWU14"/>
    <mergeCell ref="FWV14:FWW14"/>
    <mergeCell ref="FUH14:FUI14"/>
    <mergeCell ref="FUJ14:FUK14"/>
    <mergeCell ref="FUX14:FUY14"/>
    <mergeCell ref="FUZ14:FVA14"/>
    <mergeCell ref="FVN14:FVO14"/>
    <mergeCell ref="FSN14:FSO14"/>
    <mergeCell ref="FTB14:FTC14"/>
    <mergeCell ref="FTD14:FTE14"/>
    <mergeCell ref="FTR14:FTS14"/>
    <mergeCell ref="FTT14:FTU14"/>
    <mergeCell ref="FRF14:FRG14"/>
    <mergeCell ref="FRH14:FRI14"/>
    <mergeCell ref="FRV14:FRW14"/>
    <mergeCell ref="FRX14:FRY14"/>
    <mergeCell ref="FSL14:FSM14"/>
    <mergeCell ref="FPL14:FPM14"/>
    <mergeCell ref="FPZ14:FQA14"/>
    <mergeCell ref="FQB14:FQC14"/>
    <mergeCell ref="FQP14:FQQ14"/>
    <mergeCell ref="FQR14:FQS14"/>
    <mergeCell ref="FOD14:FOE14"/>
    <mergeCell ref="FOF14:FOG14"/>
    <mergeCell ref="FOT14:FOU14"/>
    <mergeCell ref="FOV14:FOW14"/>
    <mergeCell ref="FPJ14:FPK14"/>
    <mergeCell ref="FMJ14:FMK14"/>
    <mergeCell ref="FMX14:FMY14"/>
    <mergeCell ref="FMZ14:FNA14"/>
    <mergeCell ref="FNN14:FNO14"/>
    <mergeCell ref="FNP14:FNQ14"/>
    <mergeCell ref="FLB14:FLC14"/>
    <mergeCell ref="FLD14:FLE14"/>
    <mergeCell ref="FLR14:FLS14"/>
    <mergeCell ref="FLT14:FLU14"/>
    <mergeCell ref="FMH14:FMI14"/>
    <mergeCell ref="FJH14:FJI14"/>
    <mergeCell ref="FJV14:FJW14"/>
    <mergeCell ref="FJX14:FJY14"/>
    <mergeCell ref="FKL14:FKM14"/>
    <mergeCell ref="FKN14:FKO14"/>
    <mergeCell ref="FHZ14:FIA14"/>
    <mergeCell ref="FIB14:FIC14"/>
    <mergeCell ref="FIP14:FIQ14"/>
    <mergeCell ref="FIR14:FIS14"/>
    <mergeCell ref="FJF14:FJG14"/>
    <mergeCell ref="FGF14:FGG14"/>
    <mergeCell ref="FGT14:FGU14"/>
    <mergeCell ref="FGV14:FGW14"/>
    <mergeCell ref="FHJ14:FHK14"/>
    <mergeCell ref="FHL14:FHM14"/>
    <mergeCell ref="FEX14:FEY14"/>
    <mergeCell ref="FEZ14:FFA14"/>
    <mergeCell ref="FFN14:FFO14"/>
    <mergeCell ref="FFP14:FFQ14"/>
    <mergeCell ref="FGD14:FGE14"/>
    <mergeCell ref="FDD14:FDE14"/>
    <mergeCell ref="FDR14:FDS14"/>
    <mergeCell ref="FDT14:FDU14"/>
    <mergeCell ref="FEH14:FEI14"/>
    <mergeCell ref="FEJ14:FEK14"/>
    <mergeCell ref="FBV14:FBW14"/>
    <mergeCell ref="FBX14:FBY14"/>
    <mergeCell ref="FCL14:FCM14"/>
    <mergeCell ref="FCN14:FCO14"/>
    <mergeCell ref="FDB14:FDC14"/>
    <mergeCell ref="FAB14:FAC14"/>
    <mergeCell ref="FAP14:FAQ14"/>
    <mergeCell ref="FAR14:FAS14"/>
    <mergeCell ref="FBF14:FBG14"/>
    <mergeCell ref="FBH14:FBI14"/>
    <mergeCell ref="EYT14:EYU14"/>
    <mergeCell ref="EYV14:EYW14"/>
    <mergeCell ref="EZJ14:EZK14"/>
    <mergeCell ref="EZL14:EZM14"/>
    <mergeCell ref="EZZ14:FAA14"/>
    <mergeCell ref="EWZ14:EXA14"/>
    <mergeCell ref="EXN14:EXO14"/>
    <mergeCell ref="EXP14:EXQ14"/>
    <mergeCell ref="EYD14:EYE14"/>
    <mergeCell ref="EYF14:EYG14"/>
    <mergeCell ref="EVR14:EVS14"/>
    <mergeCell ref="EVT14:EVU14"/>
    <mergeCell ref="EWH14:EWI14"/>
    <mergeCell ref="EWJ14:EWK14"/>
    <mergeCell ref="EWX14:EWY14"/>
    <mergeCell ref="ETX14:ETY14"/>
    <mergeCell ref="EUL14:EUM14"/>
    <mergeCell ref="EUN14:EUO14"/>
    <mergeCell ref="EVB14:EVC14"/>
    <mergeCell ref="EVD14:EVE14"/>
    <mergeCell ref="ESP14:ESQ14"/>
    <mergeCell ref="ESR14:ESS14"/>
    <mergeCell ref="ETF14:ETG14"/>
    <mergeCell ref="ETH14:ETI14"/>
    <mergeCell ref="ETV14:ETW14"/>
    <mergeCell ref="EQV14:EQW14"/>
    <mergeCell ref="ERJ14:ERK14"/>
    <mergeCell ref="ERL14:ERM14"/>
    <mergeCell ref="ERZ14:ESA14"/>
    <mergeCell ref="ESB14:ESC14"/>
    <mergeCell ref="EPN14:EPO14"/>
    <mergeCell ref="EPP14:EPQ14"/>
    <mergeCell ref="EQD14:EQE14"/>
    <mergeCell ref="EQF14:EQG14"/>
    <mergeCell ref="EQT14:EQU14"/>
    <mergeCell ref="ENT14:ENU14"/>
    <mergeCell ref="EOH14:EOI14"/>
    <mergeCell ref="EOJ14:EOK14"/>
    <mergeCell ref="EOX14:EOY14"/>
    <mergeCell ref="EOZ14:EPA14"/>
    <mergeCell ref="EML14:EMM14"/>
    <mergeCell ref="EMN14:EMO14"/>
    <mergeCell ref="ENB14:ENC14"/>
    <mergeCell ref="END14:ENE14"/>
    <mergeCell ref="ENR14:ENS14"/>
    <mergeCell ref="EKR14:EKS14"/>
    <mergeCell ref="ELF14:ELG14"/>
    <mergeCell ref="ELH14:ELI14"/>
    <mergeCell ref="ELV14:ELW14"/>
    <mergeCell ref="ELX14:ELY14"/>
    <mergeCell ref="EJJ14:EJK14"/>
    <mergeCell ref="EJL14:EJM14"/>
    <mergeCell ref="EJZ14:EKA14"/>
    <mergeCell ref="EKB14:EKC14"/>
    <mergeCell ref="EKP14:EKQ14"/>
    <mergeCell ref="EHP14:EHQ14"/>
    <mergeCell ref="EID14:EIE14"/>
    <mergeCell ref="EIF14:EIG14"/>
    <mergeCell ref="EIT14:EIU14"/>
    <mergeCell ref="EIV14:EIW14"/>
    <mergeCell ref="EGH14:EGI14"/>
    <mergeCell ref="EGJ14:EGK14"/>
    <mergeCell ref="EGX14:EGY14"/>
    <mergeCell ref="EGZ14:EHA14"/>
    <mergeCell ref="EHN14:EHO14"/>
    <mergeCell ref="EEN14:EEO14"/>
    <mergeCell ref="EFB14:EFC14"/>
    <mergeCell ref="EFD14:EFE14"/>
    <mergeCell ref="EFR14:EFS14"/>
    <mergeCell ref="EFT14:EFU14"/>
    <mergeCell ref="EDF14:EDG14"/>
    <mergeCell ref="EDH14:EDI14"/>
    <mergeCell ref="EDV14:EDW14"/>
    <mergeCell ref="EDX14:EDY14"/>
    <mergeCell ref="EEL14:EEM14"/>
    <mergeCell ref="EBL14:EBM14"/>
    <mergeCell ref="EBZ14:ECA14"/>
    <mergeCell ref="ECB14:ECC14"/>
    <mergeCell ref="ECP14:ECQ14"/>
    <mergeCell ref="ECR14:ECS14"/>
    <mergeCell ref="EAD14:EAE14"/>
    <mergeCell ref="EAF14:EAG14"/>
    <mergeCell ref="EAT14:EAU14"/>
    <mergeCell ref="EAV14:EAW14"/>
    <mergeCell ref="EBJ14:EBK14"/>
    <mergeCell ref="DYJ14:DYK14"/>
    <mergeCell ref="DYX14:DYY14"/>
    <mergeCell ref="DYZ14:DZA14"/>
    <mergeCell ref="DZN14:DZO14"/>
    <mergeCell ref="DZP14:DZQ14"/>
    <mergeCell ref="DXB14:DXC14"/>
    <mergeCell ref="DXD14:DXE14"/>
    <mergeCell ref="DXR14:DXS14"/>
    <mergeCell ref="DXT14:DXU14"/>
    <mergeCell ref="DYH14:DYI14"/>
    <mergeCell ref="DVH14:DVI14"/>
    <mergeCell ref="DVV14:DVW14"/>
    <mergeCell ref="DVX14:DVY14"/>
    <mergeCell ref="DWL14:DWM14"/>
    <mergeCell ref="DWN14:DWO14"/>
    <mergeCell ref="DTZ14:DUA14"/>
    <mergeCell ref="DUB14:DUC14"/>
    <mergeCell ref="DUP14:DUQ14"/>
    <mergeCell ref="DUR14:DUS14"/>
    <mergeCell ref="DVF14:DVG14"/>
    <mergeCell ref="DSF14:DSG14"/>
    <mergeCell ref="DST14:DSU14"/>
    <mergeCell ref="DSV14:DSW14"/>
    <mergeCell ref="DTJ14:DTK14"/>
    <mergeCell ref="DTL14:DTM14"/>
    <mergeCell ref="DQX14:DQY14"/>
    <mergeCell ref="DQZ14:DRA14"/>
    <mergeCell ref="DRN14:DRO14"/>
    <mergeCell ref="DRP14:DRQ14"/>
    <mergeCell ref="DSD14:DSE14"/>
    <mergeCell ref="DPD14:DPE14"/>
    <mergeCell ref="DPR14:DPS14"/>
    <mergeCell ref="DPT14:DPU14"/>
    <mergeCell ref="DQH14:DQI14"/>
    <mergeCell ref="DQJ14:DQK14"/>
    <mergeCell ref="DNV14:DNW14"/>
    <mergeCell ref="DNX14:DNY14"/>
    <mergeCell ref="DOL14:DOM14"/>
    <mergeCell ref="DON14:DOO14"/>
    <mergeCell ref="DPB14:DPC14"/>
    <mergeCell ref="DMB14:DMC14"/>
    <mergeCell ref="DMP14:DMQ14"/>
    <mergeCell ref="DMR14:DMS14"/>
    <mergeCell ref="DNF14:DNG14"/>
    <mergeCell ref="DNH14:DNI14"/>
    <mergeCell ref="DKT14:DKU14"/>
    <mergeCell ref="DKV14:DKW14"/>
    <mergeCell ref="DLJ14:DLK14"/>
    <mergeCell ref="DLL14:DLM14"/>
    <mergeCell ref="DLZ14:DMA14"/>
    <mergeCell ref="DIZ14:DJA14"/>
    <mergeCell ref="DJN14:DJO14"/>
    <mergeCell ref="DJP14:DJQ14"/>
    <mergeCell ref="DKD14:DKE14"/>
    <mergeCell ref="DKF14:DKG14"/>
    <mergeCell ref="DHR14:DHS14"/>
    <mergeCell ref="DHT14:DHU14"/>
    <mergeCell ref="DIH14:DII14"/>
    <mergeCell ref="DIJ14:DIK14"/>
    <mergeCell ref="DIX14:DIY14"/>
    <mergeCell ref="DFX14:DFY14"/>
    <mergeCell ref="DGL14:DGM14"/>
    <mergeCell ref="DGN14:DGO14"/>
    <mergeCell ref="DHB14:DHC14"/>
    <mergeCell ref="DHD14:DHE14"/>
    <mergeCell ref="DEP14:DEQ14"/>
    <mergeCell ref="DER14:DES14"/>
    <mergeCell ref="DFF14:DFG14"/>
    <mergeCell ref="DFH14:DFI14"/>
    <mergeCell ref="DFV14:DFW14"/>
    <mergeCell ref="DCV14:DCW14"/>
    <mergeCell ref="DDJ14:DDK14"/>
    <mergeCell ref="DDL14:DDM14"/>
    <mergeCell ref="DDZ14:DEA14"/>
    <mergeCell ref="DEB14:DEC14"/>
    <mergeCell ref="DBN14:DBO14"/>
    <mergeCell ref="DBP14:DBQ14"/>
    <mergeCell ref="DCD14:DCE14"/>
    <mergeCell ref="DCF14:DCG14"/>
    <mergeCell ref="DCT14:DCU14"/>
    <mergeCell ref="CZT14:CZU14"/>
    <mergeCell ref="DAH14:DAI14"/>
    <mergeCell ref="DAJ14:DAK14"/>
    <mergeCell ref="DAX14:DAY14"/>
    <mergeCell ref="DAZ14:DBA14"/>
    <mergeCell ref="CYL14:CYM14"/>
    <mergeCell ref="CYN14:CYO14"/>
    <mergeCell ref="CZB14:CZC14"/>
    <mergeCell ref="CZD14:CZE14"/>
    <mergeCell ref="CZR14:CZS14"/>
    <mergeCell ref="CWR14:CWS14"/>
    <mergeCell ref="CXF14:CXG14"/>
    <mergeCell ref="CXH14:CXI14"/>
    <mergeCell ref="CXV14:CXW14"/>
    <mergeCell ref="CXX14:CXY14"/>
    <mergeCell ref="CVJ14:CVK14"/>
    <mergeCell ref="CVL14:CVM14"/>
    <mergeCell ref="CVZ14:CWA14"/>
    <mergeCell ref="CWB14:CWC14"/>
    <mergeCell ref="CWP14:CWQ14"/>
    <mergeCell ref="CTP14:CTQ14"/>
    <mergeCell ref="CUD14:CUE14"/>
    <mergeCell ref="CUF14:CUG14"/>
    <mergeCell ref="CUT14:CUU14"/>
    <mergeCell ref="CUV14:CUW14"/>
    <mergeCell ref="CSH14:CSI14"/>
    <mergeCell ref="CSJ14:CSK14"/>
    <mergeCell ref="CSX14:CSY14"/>
    <mergeCell ref="CSZ14:CTA14"/>
    <mergeCell ref="CTN14:CTO14"/>
    <mergeCell ref="CQN14:CQO14"/>
    <mergeCell ref="CRB14:CRC14"/>
    <mergeCell ref="CRD14:CRE14"/>
    <mergeCell ref="CRR14:CRS14"/>
    <mergeCell ref="CRT14:CRU14"/>
    <mergeCell ref="CPF14:CPG14"/>
    <mergeCell ref="CPH14:CPI14"/>
    <mergeCell ref="CPV14:CPW14"/>
    <mergeCell ref="CPX14:CPY14"/>
    <mergeCell ref="CQL14:CQM14"/>
    <mergeCell ref="CNL14:CNM14"/>
    <mergeCell ref="CNZ14:COA14"/>
    <mergeCell ref="COB14:COC14"/>
    <mergeCell ref="COP14:COQ14"/>
    <mergeCell ref="COR14:COS14"/>
    <mergeCell ref="CMD14:CME14"/>
    <mergeCell ref="CMF14:CMG14"/>
    <mergeCell ref="CMT14:CMU14"/>
    <mergeCell ref="CMV14:CMW14"/>
    <mergeCell ref="CNJ14:CNK14"/>
    <mergeCell ref="CKJ14:CKK14"/>
    <mergeCell ref="CKX14:CKY14"/>
    <mergeCell ref="CKZ14:CLA14"/>
    <mergeCell ref="CLN14:CLO14"/>
    <mergeCell ref="CLP14:CLQ14"/>
    <mergeCell ref="CJB14:CJC14"/>
    <mergeCell ref="CJD14:CJE14"/>
    <mergeCell ref="CJR14:CJS14"/>
    <mergeCell ref="CJT14:CJU14"/>
    <mergeCell ref="CKH14:CKI14"/>
    <mergeCell ref="CHH14:CHI14"/>
    <mergeCell ref="CHV14:CHW14"/>
    <mergeCell ref="CHX14:CHY14"/>
    <mergeCell ref="CIL14:CIM14"/>
    <mergeCell ref="CIN14:CIO14"/>
    <mergeCell ref="CFZ14:CGA14"/>
    <mergeCell ref="CGB14:CGC14"/>
    <mergeCell ref="CGP14:CGQ14"/>
    <mergeCell ref="CGR14:CGS14"/>
    <mergeCell ref="CHF14:CHG14"/>
    <mergeCell ref="CEF14:CEG14"/>
    <mergeCell ref="CET14:CEU14"/>
    <mergeCell ref="CEV14:CEW14"/>
    <mergeCell ref="CFJ14:CFK14"/>
    <mergeCell ref="CFL14:CFM14"/>
    <mergeCell ref="CCX14:CCY14"/>
    <mergeCell ref="CCZ14:CDA14"/>
    <mergeCell ref="CDN14:CDO14"/>
    <mergeCell ref="CDP14:CDQ14"/>
    <mergeCell ref="CED14:CEE14"/>
    <mergeCell ref="CBD14:CBE14"/>
    <mergeCell ref="CBR14:CBS14"/>
    <mergeCell ref="CBT14:CBU14"/>
    <mergeCell ref="CCH14:CCI14"/>
    <mergeCell ref="CCJ14:CCK14"/>
    <mergeCell ref="BZV14:BZW14"/>
    <mergeCell ref="BZX14:BZY14"/>
    <mergeCell ref="CAL14:CAM14"/>
    <mergeCell ref="CAN14:CAO14"/>
    <mergeCell ref="CBB14:CBC14"/>
    <mergeCell ref="BYB14:BYC14"/>
    <mergeCell ref="BYP14:BYQ14"/>
    <mergeCell ref="BYR14:BYS14"/>
    <mergeCell ref="BZF14:BZG14"/>
    <mergeCell ref="BZH14:BZI14"/>
    <mergeCell ref="BWT14:BWU14"/>
    <mergeCell ref="BWV14:BWW14"/>
    <mergeCell ref="BXJ14:BXK14"/>
    <mergeCell ref="BXL14:BXM14"/>
    <mergeCell ref="BXZ14:BYA14"/>
    <mergeCell ref="BUZ14:BVA14"/>
    <mergeCell ref="BVN14:BVO14"/>
    <mergeCell ref="BVP14:BVQ14"/>
    <mergeCell ref="BWD14:BWE14"/>
    <mergeCell ref="BWF14:BWG14"/>
    <mergeCell ref="BTR14:BTS14"/>
    <mergeCell ref="BTT14:BTU14"/>
    <mergeCell ref="BUH14:BUI14"/>
    <mergeCell ref="BUJ14:BUK14"/>
    <mergeCell ref="BUX14:BUY14"/>
    <mergeCell ref="BRX14:BRY14"/>
    <mergeCell ref="BSL14:BSM14"/>
    <mergeCell ref="BSN14:BSO14"/>
    <mergeCell ref="BTB14:BTC14"/>
    <mergeCell ref="BTD14:BTE14"/>
    <mergeCell ref="BQP14:BQQ14"/>
    <mergeCell ref="BQR14:BQS14"/>
    <mergeCell ref="BRF14:BRG14"/>
    <mergeCell ref="BRH14:BRI14"/>
    <mergeCell ref="BRV14:BRW14"/>
    <mergeCell ref="BOV14:BOW14"/>
    <mergeCell ref="BPJ14:BPK14"/>
    <mergeCell ref="BPL14:BPM14"/>
    <mergeCell ref="BPZ14:BQA14"/>
    <mergeCell ref="BQB14:BQC14"/>
    <mergeCell ref="BNN14:BNO14"/>
    <mergeCell ref="BNP14:BNQ14"/>
    <mergeCell ref="BOD14:BOE14"/>
    <mergeCell ref="BOF14:BOG14"/>
    <mergeCell ref="BOT14:BOU14"/>
    <mergeCell ref="BLT14:BLU14"/>
    <mergeCell ref="BMH14:BMI14"/>
    <mergeCell ref="BMJ14:BMK14"/>
    <mergeCell ref="BMX14:BMY14"/>
    <mergeCell ref="BMZ14:BNA14"/>
    <mergeCell ref="BKL14:BKM14"/>
    <mergeCell ref="BKN14:BKO14"/>
    <mergeCell ref="BLB14:BLC14"/>
    <mergeCell ref="BLD14:BLE14"/>
    <mergeCell ref="BLR14:BLS14"/>
    <mergeCell ref="BIR14:BIS14"/>
    <mergeCell ref="BJF14:BJG14"/>
    <mergeCell ref="BJH14:BJI14"/>
    <mergeCell ref="BJV14:BJW14"/>
    <mergeCell ref="BJX14:BJY14"/>
    <mergeCell ref="BHJ14:BHK14"/>
    <mergeCell ref="BHL14:BHM14"/>
    <mergeCell ref="BHZ14:BIA14"/>
    <mergeCell ref="BIB14:BIC14"/>
    <mergeCell ref="BIP14:BIQ14"/>
    <mergeCell ref="BFP14:BFQ14"/>
    <mergeCell ref="BGD14:BGE14"/>
    <mergeCell ref="BGF14:BGG14"/>
    <mergeCell ref="BGT14:BGU14"/>
    <mergeCell ref="BGV14:BGW14"/>
    <mergeCell ref="BEH14:BEI14"/>
    <mergeCell ref="BEJ14:BEK14"/>
    <mergeCell ref="BEX14:BEY14"/>
    <mergeCell ref="BEZ14:BFA14"/>
    <mergeCell ref="BFN14:BFO14"/>
    <mergeCell ref="BCN14:BCO14"/>
    <mergeCell ref="BDB14:BDC14"/>
    <mergeCell ref="BDD14:BDE14"/>
    <mergeCell ref="BDR14:BDS14"/>
    <mergeCell ref="BDT14:BDU14"/>
    <mergeCell ref="BBF14:BBG14"/>
    <mergeCell ref="BBH14:BBI14"/>
    <mergeCell ref="BBV14:BBW14"/>
    <mergeCell ref="BBX14:BBY14"/>
    <mergeCell ref="BCL14:BCM14"/>
    <mergeCell ref="AZL14:AZM14"/>
    <mergeCell ref="AZZ14:BAA14"/>
    <mergeCell ref="BAB14:BAC14"/>
    <mergeCell ref="BAP14:BAQ14"/>
    <mergeCell ref="BAR14:BAS14"/>
    <mergeCell ref="AYD14:AYE14"/>
    <mergeCell ref="AYF14:AYG14"/>
    <mergeCell ref="AYT14:AYU14"/>
    <mergeCell ref="AYV14:AYW14"/>
    <mergeCell ref="AZJ14:AZK14"/>
    <mergeCell ref="AWJ14:AWK14"/>
    <mergeCell ref="AWX14:AWY14"/>
    <mergeCell ref="AWZ14:AXA14"/>
    <mergeCell ref="AXN14:AXO14"/>
    <mergeCell ref="AXP14:AXQ14"/>
    <mergeCell ref="AVB14:AVC14"/>
    <mergeCell ref="AVD14:AVE14"/>
    <mergeCell ref="AVR14:AVS14"/>
    <mergeCell ref="AVT14:AVU14"/>
    <mergeCell ref="AWH14:AWI14"/>
    <mergeCell ref="ATH14:ATI14"/>
    <mergeCell ref="ATV14:ATW14"/>
    <mergeCell ref="ATX14:ATY14"/>
    <mergeCell ref="AUL14:AUM14"/>
    <mergeCell ref="AUN14:AUO14"/>
    <mergeCell ref="ARZ14:ASA14"/>
    <mergeCell ref="ASB14:ASC14"/>
    <mergeCell ref="ASP14:ASQ14"/>
    <mergeCell ref="ASR14:ASS14"/>
    <mergeCell ref="ATF14:ATG14"/>
    <mergeCell ref="AQF14:AQG14"/>
    <mergeCell ref="AQT14:AQU14"/>
    <mergeCell ref="AQV14:AQW14"/>
    <mergeCell ref="ARJ14:ARK14"/>
    <mergeCell ref="ARL14:ARM14"/>
    <mergeCell ref="AOX14:AOY14"/>
    <mergeCell ref="AOZ14:APA14"/>
    <mergeCell ref="APN14:APO14"/>
    <mergeCell ref="APP14:APQ14"/>
    <mergeCell ref="AQD14:AQE14"/>
    <mergeCell ref="AND14:ANE14"/>
    <mergeCell ref="ANR14:ANS14"/>
    <mergeCell ref="ANT14:ANU14"/>
    <mergeCell ref="AOH14:AOI14"/>
    <mergeCell ref="AOJ14:AOK14"/>
    <mergeCell ref="ALV14:ALW14"/>
    <mergeCell ref="ALX14:ALY14"/>
    <mergeCell ref="AML14:AMM14"/>
    <mergeCell ref="AMN14:AMO14"/>
    <mergeCell ref="ANB14:ANC14"/>
    <mergeCell ref="AKB14:AKC14"/>
    <mergeCell ref="AKP14:AKQ14"/>
    <mergeCell ref="AKR14:AKS14"/>
    <mergeCell ref="ALF14:ALG14"/>
    <mergeCell ref="ALH14:ALI14"/>
    <mergeCell ref="AIT14:AIU14"/>
    <mergeCell ref="AIV14:AIW14"/>
    <mergeCell ref="AJJ14:AJK14"/>
    <mergeCell ref="AJL14:AJM14"/>
    <mergeCell ref="AJZ14:AKA14"/>
    <mergeCell ref="AGZ14:AHA14"/>
    <mergeCell ref="AHN14:AHO14"/>
    <mergeCell ref="AHP14:AHQ14"/>
    <mergeCell ref="AID14:AIE14"/>
    <mergeCell ref="AIF14:AIG14"/>
    <mergeCell ref="AFR14:AFS14"/>
    <mergeCell ref="AFT14:AFU14"/>
    <mergeCell ref="AGH14:AGI14"/>
    <mergeCell ref="AGJ14:AGK14"/>
    <mergeCell ref="AGX14:AGY14"/>
    <mergeCell ref="ADX14:ADY14"/>
    <mergeCell ref="AEL14:AEM14"/>
    <mergeCell ref="AEN14:AEO14"/>
    <mergeCell ref="AFB14:AFC14"/>
    <mergeCell ref="AFD14:AFE14"/>
    <mergeCell ref="ACP14:ACQ14"/>
    <mergeCell ref="ACR14:ACS14"/>
    <mergeCell ref="ADF14:ADG14"/>
    <mergeCell ref="ADH14:ADI14"/>
    <mergeCell ref="ADV14:ADW14"/>
    <mergeCell ref="AAV14:AAW14"/>
    <mergeCell ref="ABJ14:ABK14"/>
    <mergeCell ref="ABL14:ABM14"/>
    <mergeCell ref="ABZ14:ACA14"/>
    <mergeCell ref="ACB14:ACC14"/>
    <mergeCell ref="ZN14:ZO14"/>
    <mergeCell ref="ZP14:ZQ14"/>
    <mergeCell ref="AAD14:AAE14"/>
    <mergeCell ref="AAF14:AAG14"/>
    <mergeCell ref="AAT14:AAU14"/>
    <mergeCell ref="XT14:XU14"/>
    <mergeCell ref="YH14:YI14"/>
    <mergeCell ref="YJ14:YK14"/>
    <mergeCell ref="YX14:YY14"/>
    <mergeCell ref="YZ14:ZA14"/>
    <mergeCell ref="WL14:WM14"/>
    <mergeCell ref="WN14:WO14"/>
    <mergeCell ref="XB14:XC14"/>
    <mergeCell ref="XD14:XE14"/>
    <mergeCell ref="XR14:XS14"/>
    <mergeCell ref="UR14:US14"/>
    <mergeCell ref="VF14:VG14"/>
    <mergeCell ref="VH14:VI14"/>
    <mergeCell ref="VV14:VW14"/>
    <mergeCell ref="VX14:VY14"/>
    <mergeCell ref="TJ14:TK14"/>
    <mergeCell ref="TL14:TM14"/>
    <mergeCell ref="TZ14:UA14"/>
    <mergeCell ref="UB14:UC14"/>
    <mergeCell ref="UP14:UQ14"/>
    <mergeCell ref="RP14:RQ14"/>
    <mergeCell ref="SD14:SE14"/>
    <mergeCell ref="SF14:SG14"/>
    <mergeCell ref="ST14:SU14"/>
    <mergeCell ref="SV14:SW14"/>
    <mergeCell ref="QH14:QI14"/>
    <mergeCell ref="QJ14:QK14"/>
    <mergeCell ref="QX14:QY14"/>
    <mergeCell ref="QZ14:RA14"/>
    <mergeCell ref="RN14:RO14"/>
    <mergeCell ref="ON14:OO14"/>
    <mergeCell ref="PB14:PC14"/>
    <mergeCell ref="PD14:PE14"/>
    <mergeCell ref="PR14:PS14"/>
    <mergeCell ref="PT14:PU14"/>
    <mergeCell ref="NF14:NG14"/>
    <mergeCell ref="NH14:NI14"/>
    <mergeCell ref="NV14:NW14"/>
    <mergeCell ref="NX14:NY14"/>
    <mergeCell ref="OL14:OM14"/>
    <mergeCell ref="LL14:LM14"/>
    <mergeCell ref="LZ14:MA14"/>
    <mergeCell ref="MB14:MC14"/>
    <mergeCell ref="MP14:MQ14"/>
    <mergeCell ref="MR14:MS14"/>
    <mergeCell ref="KD14:KE14"/>
    <mergeCell ref="KF14:KG14"/>
    <mergeCell ref="KT14:KU14"/>
    <mergeCell ref="KV14:KW14"/>
    <mergeCell ref="LJ14:LK14"/>
    <mergeCell ref="IJ14:IK14"/>
    <mergeCell ref="IX14:IY14"/>
    <mergeCell ref="IZ14:JA14"/>
    <mergeCell ref="JN14:JO14"/>
    <mergeCell ref="JP14:JQ14"/>
    <mergeCell ref="HB14:HC14"/>
    <mergeCell ref="HD14:HE14"/>
    <mergeCell ref="HR14:HS14"/>
    <mergeCell ref="HT14:HU14"/>
    <mergeCell ref="IH14:II14"/>
    <mergeCell ref="FX14:FY14"/>
    <mergeCell ref="GL14:GM14"/>
    <mergeCell ref="GN14:GO14"/>
    <mergeCell ref="DZ14:EA14"/>
    <mergeCell ref="EB14:EC14"/>
    <mergeCell ref="EP14:EQ14"/>
    <mergeCell ref="ER14:ES14"/>
    <mergeCell ref="FF14:FG14"/>
    <mergeCell ref="CF14:CG14"/>
    <mergeCell ref="CT14:CU14"/>
    <mergeCell ref="CV14:CW14"/>
    <mergeCell ref="DJ14:DK14"/>
    <mergeCell ref="DL14:DM14"/>
    <mergeCell ref="AX14:AY14"/>
    <mergeCell ref="AZ14:BA14"/>
    <mergeCell ref="BN14:BO14"/>
    <mergeCell ref="BP14:BQ14"/>
    <mergeCell ref="CD14:CE14"/>
    <mergeCell ref="C43:E43"/>
    <mergeCell ref="C45:E45"/>
    <mergeCell ref="AS4:AT4"/>
    <mergeCell ref="AU4:AV4"/>
    <mergeCell ref="AW4:AX4"/>
    <mergeCell ref="AY4:AZ4"/>
    <mergeCell ref="E1:G1"/>
    <mergeCell ref="A1:D1"/>
    <mergeCell ref="J1:M1"/>
    <mergeCell ref="N1:O1"/>
    <mergeCell ref="C36:E36"/>
    <mergeCell ref="P1:R1"/>
    <mergeCell ref="H1:I1"/>
    <mergeCell ref="FH14:FI14"/>
    <mergeCell ref="FV14:FW14"/>
    <mergeCell ref="C42:E42"/>
    <mergeCell ref="C37:E37"/>
    <mergeCell ref="C39:E39"/>
    <mergeCell ref="C40:E40"/>
    <mergeCell ref="C38:E38"/>
    <mergeCell ref="C41:E41"/>
    <mergeCell ref="C44:E44"/>
    <mergeCell ref="AS19:AT19"/>
    <mergeCell ref="AC1:AF1"/>
    <mergeCell ref="AG1:AJ1"/>
    <mergeCell ref="AK1:AN1"/>
    <mergeCell ref="Y1:A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1254</vt:i4>
      </vt:variant>
    </vt:vector>
  </HeadingPairs>
  <TitlesOfParts>
    <vt:vector size="1275" baseType="lpstr">
      <vt:lpstr>Sum</vt:lpstr>
      <vt:lpstr>Yr-By-Yr</vt:lpstr>
      <vt:lpstr>19-20 Sum</vt:lpstr>
      <vt:lpstr>Cards</vt:lpstr>
      <vt:lpstr>Stats</vt:lpstr>
      <vt:lpstr>Form</vt:lpstr>
      <vt:lpstr>Table</vt:lpstr>
      <vt:lpstr>Results</vt:lpstr>
      <vt:lpstr>BTH</vt:lpstr>
      <vt:lpstr>BRI</vt:lpstr>
      <vt:lpstr>EXE</vt:lpstr>
      <vt:lpstr>GLO</vt:lpstr>
      <vt:lpstr>HAR</vt:lpstr>
      <vt:lpstr>LEIC</vt:lpstr>
      <vt:lpstr>LIR</vt:lpstr>
      <vt:lpstr>NOR</vt:lpstr>
      <vt:lpstr>SAL</vt:lpstr>
      <vt:lpstr>SAR</vt:lpstr>
      <vt:lpstr>WAS</vt:lpstr>
      <vt:lpstr>WOR</vt:lpstr>
      <vt:lpstr>NEW-CH</vt:lpstr>
      <vt:lpstr>Table!_FilterDatabase</vt:lpstr>
      <vt:lpstr>bathbonus</vt:lpstr>
      <vt:lpstr>bathbonusccorrect</vt:lpstr>
      <vt:lpstr>bathconceded</vt:lpstr>
      <vt:lpstr>bathdrawn</vt:lpstr>
      <vt:lpstr>bathdropgoals</vt:lpstr>
      <vt:lpstr>bathlost</vt:lpstr>
      <vt:lpstr>bathpld</vt:lpstr>
      <vt:lpstr>bathred</vt:lpstr>
      <vt:lpstr>bathscored</vt:lpstr>
      <vt:lpstr>bathtriesconceded</vt:lpstr>
      <vt:lpstr>bathtriesscored</vt:lpstr>
      <vt:lpstr>bathtrybonus</vt:lpstr>
      <vt:lpstr>bathtrybonusconceded</vt:lpstr>
      <vt:lpstr>bathwon</vt:lpstr>
      <vt:lpstr>bathyellow</vt:lpstr>
      <vt:lpstr>BrieuropeYC</vt:lpstr>
      <vt:lpstr>Bristol_Rugbyhistplayed</vt:lpstr>
      <vt:lpstr>bristoleuropeseasontotalsdgs</vt:lpstr>
      <vt:lpstr>bristoleuropeseasontotalsdrawn</vt:lpstr>
      <vt:lpstr>bristoleuropeseasontotalslosingbonusconceded</vt:lpstr>
      <vt:lpstr>bristoleuropeseasontotalslosingbonusscored</vt:lpstr>
      <vt:lpstr>bristoleuropeseasontotalslost</vt:lpstr>
      <vt:lpstr>bristoleuropeseasontotalsplayed</vt:lpstr>
      <vt:lpstr>bristoleuropeseasontotalsptsagainst</vt:lpstr>
      <vt:lpstr>bristoleuropeseasontotalsptsscored</vt:lpstr>
      <vt:lpstr>bristoleuropeseasontotalsRC</vt:lpstr>
      <vt:lpstr>bristoleuropeseasontotalstriesconceded</vt:lpstr>
      <vt:lpstr>bristoleuropeseasontotalstriesscored</vt:lpstr>
      <vt:lpstr>bristoleuropeseasontotalstrybonussconceded</vt:lpstr>
      <vt:lpstr>bristoleuropeseasontotalstrybonusscored</vt:lpstr>
      <vt:lpstr>bristoleuropeseasontotalswon</vt:lpstr>
      <vt:lpstr>bristoleuropeseasontotalsYC</vt:lpstr>
      <vt:lpstr>Bristolpremseasontotalsdgs</vt:lpstr>
      <vt:lpstr>Bristolpremseasontotalsdrawn</vt:lpstr>
      <vt:lpstr>Bristolpremseasontotalslost</vt:lpstr>
      <vt:lpstr>Bristolpremseasontotalsplayed</vt:lpstr>
      <vt:lpstr>Bristolpremseasontotalsptsagainst</vt:lpstr>
      <vt:lpstr>Bristolpremseasontotalsptsscored</vt:lpstr>
      <vt:lpstr>BristolpremseasontotalsRC</vt:lpstr>
      <vt:lpstr>Bristolpremseasontotalstriesconceded</vt:lpstr>
      <vt:lpstr>Bristolpremseasontotalstriesscored</vt:lpstr>
      <vt:lpstr>Bristolpremseasontotalswon</vt:lpstr>
      <vt:lpstr>BristolpremseasontotalsYC</vt:lpstr>
      <vt:lpstr>bstagainst</vt:lpstr>
      <vt:lpstr>bstchampscuphistdgs</vt:lpstr>
      <vt:lpstr>bstchampscuphistdrawn</vt:lpstr>
      <vt:lpstr>bstchampscuphisteon</vt:lpstr>
      <vt:lpstr>bstchampscuphistlost</vt:lpstr>
      <vt:lpstr>bstchampscuphistplayed</vt:lpstr>
      <vt:lpstr>bstchampscuphistptsagainst</vt:lpstr>
      <vt:lpstr>bstchampscuphistptsscored</vt:lpstr>
      <vt:lpstr>bstchampscuphisttriesagainst</vt:lpstr>
      <vt:lpstr>bstchampscuphisttriesscored</vt:lpstr>
      <vt:lpstr>bstdrew</vt:lpstr>
      <vt:lpstr>bstdropgoals</vt:lpstr>
      <vt:lpstr>bsteurochallcupdgs</vt:lpstr>
      <vt:lpstr>bsteurochallcupdrawn</vt:lpstr>
      <vt:lpstr>bsteurochallcuphistorydgs</vt:lpstr>
      <vt:lpstr>bsteurochallcuphistorydrawn</vt:lpstr>
      <vt:lpstr>bsteurochallcuphistorylost</vt:lpstr>
      <vt:lpstr>bsteurochallcuphistoryplayed</vt:lpstr>
      <vt:lpstr>bsteurochallcuphistoryptsagainst</vt:lpstr>
      <vt:lpstr>bsteurochallcuphistoryptsscored</vt:lpstr>
      <vt:lpstr>bsteurochallcuphistorytriesagainst</vt:lpstr>
      <vt:lpstr>bsteurochallcuphistorytriesscored</vt:lpstr>
      <vt:lpstr>bsteurochallcuphistorywon</vt:lpstr>
      <vt:lpstr>bsteurochallcuplost</vt:lpstr>
      <vt:lpstr>bsteurochallcupplayed</vt:lpstr>
      <vt:lpstr>bsteurochallcupptsagainst</vt:lpstr>
      <vt:lpstr>bsteurochallcupptsscored</vt:lpstr>
      <vt:lpstr>bsteurochallcuptriesagainst</vt:lpstr>
      <vt:lpstr>bsteurochallcuptriesscored</vt:lpstr>
      <vt:lpstr>bsteurochallcupwon</vt:lpstr>
      <vt:lpstr>Bsteuropeancuphistdgs</vt:lpstr>
      <vt:lpstr>Bsteuropeancuphistdrawn</vt:lpstr>
      <vt:lpstr>Bsteuropeancuphistlost</vt:lpstr>
      <vt:lpstr>Bsteuropeancuphistplayed</vt:lpstr>
      <vt:lpstr>Bsteuropeancuphistpointsscored</vt:lpstr>
      <vt:lpstr>Bsteuropeancuphistptsagainst</vt:lpstr>
      <vt:lpstr>Bsteuropeancuphisttriesagainst</vt:lpstr>
      <vt:lpstr>Bsteuropeancuphisttriesscored</vt:lpstr>
      <vt:lpstr>Bsteuropeancuphistwon</vt:lpstr>
      <vt:lpstr>bsthistagainst</vt:lpstr>
      <vt:lpstr>bsthistdgs</vt:lpstr>
      <vt:lpstr>bsthistdrawn</vt:lpstr>
      <vt:lpstr>bsthistfor</vt:lpstr>
      <vt:lpstr>bsthistlost</vt:lpstr>
      <vt:lpstr>bsthisttriesagainst</vt:lpstr>
      <vt:lpstr>bsthisttriescored</vt:lpstr>
      <vt:lpstr>bsthistwon</vt:lpstr>
      <vt:lpstr>bstlosingbonusconceded</vt:lpstr>
      <vt:lpstr>bstlosingbonusscored</vt:lpstr>
      <vt:lpstr>bstlost</vt:lpstr>
      <vt:lpstr>bstplayed</vt:lpstr>
      <vt:lpstr>bstred</vt:lpstr>
      <vt:lpstr>bstscored</vt:lpstr>
      <vt:lpstr>bsttriesconceded</vt:lpstr>
      <vt:lpstr>bsttriesscored</vt:lpstr>
      <vt:lpstr>bsttrybonusconceded</vt:lpstr>
      <vt:lpstr>bsttrybonusscored</vt:lpstr>
      <vt:lpstr>bstwon</vt:lpstr>
      <vt:lpstr>bstyellow</vt:lpstr>
      <vt:lpstr>bthchallcupagainst</vt:lpstr>
      <vt:lpstr>bthchallcupdgs</vt:lpstr>
      <vt:lpstr>bthchallcupdrawn</vt:lpstr>
      <vt:lpstr>bthchallcuphistagainst</vt:lpstr>
      <vt:lpstr>bthchallcuphistdgs</vt:lpstr>
      <vt:lpstr>bthchallcuphistdrawn</vt:lpstr>
      <vt:lpstr>bthchallcuphistlost</vt:lpstr>
      <vt:lpstr>bthchallcuphistplayed</vt:lpstr>
      <vt:lpstr>bthchallcuphistscored</vt:lpstr>
      <vt:lpstr>bthchallcuphisttriesagainst</vt:lpstr>
      <vt:lpstr>bthchallcuphisttriesscored</vt:lpstr>
      <vt:lpstr>bthchallcuphistwon</vt:lpstr>
      <vt:lpstr>bthchallcuplost</vt:lpstr>
      <vt:lpstr>bthchallcupplayed</vt:lpstr>
      <vt:lpstr>bthchallcupscored</vt:lpstr>
      <vt:lpstr>bthchallcuptriesconceded</vt:lpstr>
      <vt:lpstr>bthchallcuptriesscored</vt:lpstr>
      <vt:lpstr>bthchallcuptriesscoredcorrect</vt:lpstr>
      <vt:lpstr>bthchallcupwon</vt:lpstr>
      <vt:lpstr>bthchampscuphistdgs</vt:lpstr>
      <vt:lpstr>bthchampscuphistdrawn</vt:lpstr>
      <vt:lpstr>bthchampscuphistlost</vt:lpstr>
      <vt:lpstr>bthchampscuphistplayed</vt:lpstr>
      <vt:lpstr>bthchampscuphistptsagainst</vt:lpstr>
      <vt:lpstr>bthchampscuphistptsscored</vt:lpstr>
      <vt:lpstr>bthchampscuphisttriesagainst</vt:lpstr>
      <vt:lpstr>bthchampscuphisttriesscored</vt:lpstr>
      <vt:lpstr>bthchampscuphistwon</vt:lpstr>
      <vt:lpstr>btheuropeancuphistagainst</vt:lpstr>
      <vt:lpstr>btheuropeancuphistdgs</vt:lpstr>
      <vt:lpstr>btheuropeancuphistdrawn</vt:lpstr>
      <vt:lpstr>btheuropeancuphistlost</vt:lpstr>
      <vt:lpstr>btheuropeancuphistplayed</vt:lpstr>
      <vt:lpstr>btheuropeancuphistscored</vt:lpstr>
      <vt:lpstr>btheuropeancuphisttriesagainst</vt:lpstr>
      <vt:lpstr>btheuropeancuphisttriesscored</vt:lpstr>
      <vt:lpstr>btheuropeancuphistwon</vt:lpstr>
      <vt:lpstr>btheuropeseasontotalsdgs</vt:lpstr>
      <vt:lpstr>btheuropeseasontotalsdrawn</vt:lpstr>
      <vt:lpstr>btheuropeseasontotalslosingbonusconceded</vt:lpstr>
      <vt:lpstr>btheuropeseasontotalslosingbonusscored</vt:lpstr>
      <vt:lpstr>btheuropeseasontotalslost</vt:lpstr>
      <vt:lpstr>btheuropeseasontotalsplayed</vt:lpstr>
      <vt:lpstr>btheuropeseasontotalsptsagainst</vt:lpstr>
      <vt:lpstr>btheuropeseasontotalsptsscored</vt:lpstr>
      <vt:lpstr>btheuropeseasontotalsRC</vt:lpstr>
      <vt:lpstr>btheuropeseasontotalstriesconceded</vt:lpstr>
      <vt:lpstr>btheuropeseasontotalstriesscored</vt:lpstr>
      <vt:lpstr>btheuropeseasontotalstrybonusconceded</vt:lpstr>
      <vt:lpstr>btheuropeseasontotalstrybonusscored</vt:lpstr>
      <vt:lpstr>btheuropeseasontotalswon</vt:lpstr>
      <vt:lpstr>btheuropeseasontotalsYC</vt:lpstr>
      <vt:lpstr>btheuropeYC</vt:lpstr>
      <vt:lpstr>Bthhistagainst</vt:lpstr>
      <vt:lpstr>Bthhistdgs</vt:lpstr>
      <vt:lpstr>Bthhistdrawn</vt:lpstr>
      <vt:lpstr>Bthhistfor</vt:lpstr>
      <vt:lpstr>Bthhistlost</vt:lpstr>
      <vt:lpstr>Bthhistplayed</vt:lpstr>
      <vt:lpstr>Bthhisttriesconceded</vt:lpstr>
      <vt:lpstr>Bthhisttriesscored</vt:lpstr>
      <vt:lpstr>Bthhistwon</vt:lpstr>
      <vt:lpstr>bthpodgsscored</vt:lpstr>
      <vt:lpstr>bthpolost</vt:lpstr>
      <vt:lpstr>bthpoplayed</vt:lpstr>
      <vt:lpstr>bthpoptsagainst</vt:lpstr>
      <vt:lpstr>bthpoptsscored</vt:lpstr>
      <vt:lpstr>bthpored</vt:lpstr>
      <vt:lpstr>bthpotriesscored</vt:lpstr>
      <vt:lpstr>bthpotriesscoredcorrect</vt:lpstr>
      <vt:lpstr>bthpowon</vt:lpstr>
      <vt:lpstr>bthpoyellow</vt:lpstr>
      <vt:lpstr>bthpremseasontotalsdgs</vt:lpstr>
      <vt:lpstr>bthpremseasontotalsdrawn</vt:lpstr>
      <vt:lpstr>bthpremseasontotalslosingbonusconceded</vt:lpstr>
      <vt:lpstr>bthpremseasontotalslosingbonuspointsscored</vt:lpstr>
      <vt:lpstr>bthpremseasontotalslost</vt:lpstr>
      <vt:lpstr>bthpremseasontotalsplayed</vt:lpstr>
      <vt:lpstr>bthpremseasontotalsptsagainst</vt:lpstr>
      <vt:lpstr>bthpremseasontotalsptsscored</vt:lpstr>
      <vt:lpstr>bthpremseasontotalsRC</vt:lpstr>
      <vt:lpstr>bthpremseasontotalstriesconceded</vt:lpstr>
      <vt:lpstr>bthpremseasontotalstriesscored</vt:lpstr>
      <vt:lpstr>bthpremseasontotalstrybonusconceded</vt:lpstr>
      <vt:lpstr>bthpremseasontotalstrybonuspointsscored</vt:lpstr>
      <vt:lpstr>bthpremseasontotalswon</vt:lpstr>
      <vt:lpstr>bthpremseasontotalswoncorrect</vt:lpstr>
      <vt:lpstr>bthpremseasontotalsYC</vt:lpstr>
      <vt:lpstr>dgs</vt:lpstr>
      <vt:lpstr>Exechampscupdgs</vt:lpstr>
      <vt:lpstr>Exechampscupdrawn</vt:lpstr>
      <vt:lpstr>exechampscuphistdgs</vt:lpstr>
      <vt:lpstr>exechampscuphistdrawn</vt:lpstr>
      <vt:lpstr>exechampscuphistlost</vt:lpstr>
      <vt:lpstr>exechampscuphistplayed</vt:lpstr>
      <vt:lpstr>exechampscuphistptsagainst</vt:lpstr>
      <vt:lpstr>exechampscuphistptsscored</vt:lpstr>
      <vt:lpstr>exechampscuphisttrieseagainst</vt:lpstr>
      <vt:lpstr>exechampscuphisttriesscored</vt:lpstr>
      <vt:lpstr>exechampscuphistwon</vt:lpstr>
      <vt:lpstr>Exechampscuplost</vt:lpstr>
      <vt:lpstr>Exechampscupplayed</vt:lpstr>
      <vt:lpstr>Exechampscuppointsscored</vt:lpstr>
      <vt:lpstr>Exechampscupptsagainst</vt:lpstr>
      <vt:lpstr>Exechampscuptriesconceded</vt:lpstr>
      <vt:lpstr>Exechampscuptriesscored</vt:lpstr>
      <vt:lpstr>Exechampscupwon</vt:lpstr>
      <vt:lpstr>Exeeuropeancuphistdgs</vt:lpstr>
      <vt:lpstr>Exeeuropeancuphistdrawn</vt:lpstr>
      <vt:lpstr>Exeeuropeancuphistlost</vt:lpstr>
      <vt:lpstr>Exeeuropeancuphistplayed</vt:lpstr>
      <vt:lpstr>Exeeuropeancuphistptsagainst</vt:lpstr>
      <vt:lpstr>Exeeuropeancuphistptsscored</vt:lpstr>
      <vt:lpstr>Exeeuropeancuphisttriesagainst</vt:lpstr>
      <vt:lpstr>Exeeuropeancuphisttriesscored</vt:lpstr>
      <vt:lpstr>Exeeuropeancuphistwon</vt:lpstr>
      <vt:lpstr>Exeeuropeancupplayed</vt:lpstr>
      <vt:lpstr>exeeuropeYC</vt:lpstr>
      <vt:lpstr>Exepremhist</vt:lpstr>
      <vt:lpstr>exepremhistdgsscored</vt:lpstr>
      <vt:lpstr>exepremhistdrawn</vt:lpstr>
      <vt:lpstr>exepremhistlost</vt:lpstr>
      <vt:lpstr>exepremhistptsagainst</vt:lpstr>
      <vt:lpstr>exepremhistptsscored</vt:lpstr>
      <vt:lpstr>exepremhisttriesagainst</vt:lpstr>
      <vt:lpstr>exepremhisttriesscored</vt:lpstr>
      <vt:lpstr>exepremhistwon</vt:lpstr>
      <vt:lpstr>exeprempodgs</vt:lpstr>
      <vt:lpstr>exeprempolost</vt:lpstr>
      <vt:lpstr>exeprempoplayed</vt:lpstr>
      <vt:lpstr>exeprempoptsagainst</vt:lpstr>
      <vt:lpstr>exeprempoptsscored</vt:lpstr>
      <vt:lpstr>exeprempoRC</vt:lpstr>
      <vt:lpstr>exeprempotriesagainst</vt:lpstr>
      <vt:lpstr>exeprempotriesscored</vt:lpstr>
      <vt:lpstr>exeprempowon</vt:lpstr>
      <vt:lpstr>exeprempoYC</vt:lpstr>
      <vt:lpstr>Exepremtotalsdgs</vt:lpstr>
      <vt:lpstr>Exepremtotalslost</vt:lpstr>
      <vt:lpstr>Exepremtotalsplayed</vt:lpstr>
      <vt:lpstr>Exepremtotalsptsagainst</vt:lpstr>
      <vt:lpstr>Exepremtotalsptsscored</vt:lpstr>
      <vt:lpstr>Exepremtotalsrc</vt:lpstr>
      <vt:lpstr>Exepremtotalstriesconceded</vt:lpstr>
      <vt:lpstr>Exepremtotalstriesscored</vt:lpstr>
      <vt:lpstr>Exepremtotalswon</vt:lpstr>
      <vt:lpstr>Exepremtotalsyc</vt:lpstr>
      <vt:lpstr>exetereuropeseasontotalsdgs</vt:lpstr>
      <vt:lpstr>exetereuropeseasontotalsdrawn</vt:lpstr>
      <vt:lpstr>exetereuropeseasontotalslosingbonusconceded</vt:lpstr>
      <vt:lpstr>exetereuropeseasontotalslost</vt:lpstr>
      <vt:lpstr>exetereuropeseasontotalsplayed</vt:lpstr>
      <vt:lpstr>exetereuropeseasontotalsptsagainst</vt:lpstr>
      <vt:lpstr>exetereuropeseasontotalsptsscored</vt:lpstr>
      <vt:lpstr>exetereuropeseasontotalsRC</vt:lpstr>
      <vt:lpstr>exetereuropeseasontotalstlosingbonusscored</vt:lpstr>
      <vt:lpstr>exetereuropeseasontotalstriesconceded</vt:lpstr>
      <vt:lpstr>exetereuropeseasontotalstriesscored</vt:lpstr>
      <vt:lpstr>exetereuropeseasontotalstrybonusconceded</vt:lpstr>
      <vt:lpstr>exetereuropeseasontotalstrybonusscored</vt:lpstr>
      <vt:lpstr>exetereuropeseasontotalswon</vt:lpstr>
      <vt:lpstr>exetereuropeseasontotalsYC</vt:lpstr>
      <vt:lpstr>exeterpremdrawn</vt:lpstr>
      <vt:lpstr>exeterpremdropgoalsscored</vt:lpstr>
      <vt:lpstr>exeterpremlosingbonusconc</vt:lpstr>
      <vt:lpstr>exeterpremlosingbonusscored</vt:lpstr>
      <vt:lpstr>exeterpremlost</vt:lpstr>
      <vt:lpstr>exeterpremplayed</vt:lpstr>
      <vt:lpstr>exeterpremptsagainst</vt:lpstr>
      <vt:lpstr>exeterpremptsscored</vt:lpstr>
      <vt:lpstr>exeterpremred</vt:lpstr>
      <vt:lpstr>exeterpremtriesconc</vt:lpstr>
      <vt:lpstr>exeterpremtriesscored</vt:lpstr>
      <vt:lpstr>exeterpremtrybonusconc</vt:lpstr>
      <vt:lpstr>exeterpremtrybonusscored</vt:lpstr>
      <vt:lpstr>exeterpremwon</vt:lpstr>
      <vt:lpstr>exeterpremyellow</vt:lpstr>
      <vt:lpstr>glochallcupdgs</vt:lpstr>
      <vt:lpstr>glochallcupdrawn</vt:lpstr>
      <vt:lpstr>glochallcuphistdgs</vt:lpstr>
      <vt:lpstr>glochallcuphistdrawn</vt:lpstr>
      <vt:lpstr>glochallcuphistlost</vt:lpstr>
      <vt:lpstr>glochallcuphistplayed</vt:lpstr>
      <vt:lpstr>glochallcuphistptsagainst</vt:lpstr>
      <vt:lpstr>glochallcuphistptsscored</vt:lpstr>
      <vt:lpstr>glochallcuphisttriesagainst</vt:lpstr>
      <vt:lpstr>glochallcuphisttriesscored</vt:lpstr>
      <vt:lpstr>glochallcuphistwon</vt:lpstr>
      <vt:lpstr>glochallcuplost</vt:lpstr>
      <vt:lpstr>glochallcupplayed</vt:lpstr>
      <vt:lpstr>glochallcuppltsscored</vt:lpstr>
      <vt:lpstr>glochallcupptsagainst</vt:lpstr>
      <vt:lpstr>glochallcuptriesagainst</vt:lpstr>
      <vt:lpstr>glochallcuptriesscored</vt:lpstr>
      <vt:lpstr>glochallcupwon</vt:lpstr>
      <vt:lpstr>glochampscuphistdgs</vt:lpstr>
      <vt:lpstr>glochampscuphistdrawn</vt:lpstr>
      <vt:lpstr>glochampscuphistlost</vt:lpstr>
      <vt:lpstr>Glochampscuphistplayed</vt:lpstr>
      <vt:lpstr>glochampscuphistptsagainst</vt:lpstr>
      <vt:lpstr>glochampscuphistptsscored</vt:lpstr>
      <vt:lpstr>glochampscuphisttriesagainst</vt:lpstr>
      <vt:lpstr>glochampscuphisttriesscored</vt:lpstr>
      <vt:lpstr>glochampscuphistwon</vt:lpstr>
      <vt:lpstr>glochampscuppohistdgs</vt:lpstr>
      <vt:lpstr>glochampscuppohistdrawn</vt:lpstr>
      <vt:lpstr>glochampscuppohistlost</vt:lpstr>
      <vt:lpstr>glochampscuppohistplayed</vt:lpstr>
      <vt:lpstr>glochampscuppohistptsagainst</vt:lpstr>
      <vt:lpstr>glochampscuppohistptsscored</vt:lpstr>
      <vt:lpstr>glochampscuppohisttriesagainst</vt:lpstr>
      <vt:lpstr>glochampscuppohisttriesscored</vt:lpstr>
      <vt:lpstr>glochampscuppohistwon</vt:lpstr>
      <vt:lpstr>Gloeuropeancuphistdgs</vt:lpstr>
      <vt:lpstr>Gloeuropeancuphistdrawn</vt:lpstr>
      <vt:lpstr>Gloeuropeancuphistlost</vt:lpstr>
      <vt:lpstr>Gloeuropeancuphistplayed</vt:lpstr>
      <vt:lpstr>Gloeuropeancuphistptsagainst</vt:lpstr>
      <vt:lpstr>Gloeuropeancuphistptsscored</vt:lpstr>
      <vt:lpstr>Gloeuropeancuphisttriesagainst</vt:lpstr>
      <vt:lpstr>Gloeuropeancuphisttriesscored</vt:lpstr>
      <vt:lpstr>Gloeuropeancuphistwon</vt:lpstr>
      <vt:lpstr>GlosPremhistdgs</vt:lpstr>
      <vt:lpstr>GlosPremhistdrawn</vt:lpstr>
      <vt:lpstr>GlosPremhistlost</vt:lpstr>
      <vt:lpstr>GlosPremhistplayed</vt:lpstr>
      <vt:lpstr>GlosPremhistptsagainst</vt:lpstr>
      <vt:lpstr>GlosPremhistptsscored</vt:lpstr>
      <vt:lpstr>GlosPremhisttriesagainst</vt:lpstr>
      <vt:lpstr>GlosPremhisttriesscored</vt:lpstr>
      <vt:lpstr>GlosPremhistwon</vt:lpstr>
      <vt:lpstr>gloucestereuropeseasontotalsdgs</vt:lpstr>
      <vt:lpstr>gloucestereuropeseasontotalsdrawn</vt:lpstr>
      <vt:lpstr>gloucestereuropeseasontotalslosingbonusconceded</vt:lpstr>
      <vt:lpstr>gloucestereuropeseasontotalslosingbonusscored</vt:lpstr>
      <vt:lpstr>gloucestereuropeseasontotalslost</vt:lpstr>
      <vt:lpstr>gloucestereuropeseasontotalsplayed</vt:lpstr>
      <vt:lpstr>gloucestereuropeseasontotalsptsagainst</vt:lpstr>
      <vt:lpstr>gloucestereuropeseasontotalsptsscored</vt:lpstr>
      <vt:lpstr>gloucestereuropeseasontotalsRC</vt:lpstr>
      <vt:lpstr>gloucestereuropeseasontotalstriesconceded</vt:lpstr>
      <vt:lpstr>gloucestereuropeseasontotalstriesscored</vt:lpstr>
      <vt:lpstr>gloucestereuropeseasontotalstrybonusconceded</vt:lpstr>
      <vt:lpstr>gloucestereuropeseasontotalstrybonusscored</vt:lpstr>
      <vt:lpstr>gloucestereuropeseasontotalswon</vt:lpstr>
      <vt:lpstr>gloucestereuropeseasontotalsYC</vt:lpstr>
      <vt:lpstr>gloucesterpremdrawsn</vt:lpstr>
      <vt:lpstr>gloucesterpremdropgoalsscored</vt:lpstr>
      <vt:lpstr>gloucesterpremlosingbonusconc</vt:lpstr>
      <vt:lpstr>gloucesterpremlosingbonusscored</vt:lpstr>
      <vt:lpstr>gloucesterpremlost</vt:lpstr>
      <vt:lpstr>gloucesterpremplayed</vt:lpstr>
      <vt:lpstr>gloucesterpremptsagainst</vt:lpstr>
      <vt:lpstr>gloucesterpremptsscored</vt:lpstr>
      <vt:lpstr>gloucesterpremred</vt:lpstr>
      <vt:lpstr>gloucesterpremseasontotalsdgs</vt:lpstr>
      <vt:lpstr>gloucesterpremseasontotalsdrawn</vt:lpstr>
      <vt:lpstr>gloucesterpremseasontotalslost</vt:lpstr>
      <vt:lpstr>gloucesterpremseasontotalsplayed</vt:lpstr>
      <vt:lpstr>gloucesterpremseasontotalsptsagainst</vt:lpstr>
      <vt:lpstr>gloucesterpremseasontotalsptsscored</vt:lpstr>
      <vt:lpstr>gloucesterpremseasontotalsRC</vt:lpstr>
      <vt:lpstr>gloucesterpremseasontotalstriesconceded</vt:lpstr>
      <vt:lpstr>gloucesterpremseasontotalstriesscored</vt:lpstr>
      <vt:lpstr>gloucesterpremseasontotalswon</vt:lpstr>
      <vt:lpstr>gloucesterpremseasontotalsYC</vt:lpstr>
      <vt:lpstr>gloucesterpremtriesconc</vt:lpstr>
      <vt:lpstr>gloucesterpremtriesscored</vt:lpstr>
      <vt:lpstr>gloucesterpremtrybonusconc</vt:lpstr>
      <vt:lpstr>gloucesterpremtrybonusscored</vt:lpstr>
      <vt:lpstr>gloucesterpremwon</vt:lpstr>
      <vt:lpstr>gloucesterpremyellow</vt:lpstr>
      <vt:lpstr>harchampscuphistdgs</vt:lpstr>
      <vt:lpstr>harchampscuphistdrawn</vt:lpstr>
      <vt:lpstr>harchampscuphistlost</vt:lpstr>
      <vt:lpstr>harchampscuphistplayed</vt:lpstr>
      <vt:lpstr>harchampscuphistptsagainst</vt:lpstr>
      <vt:lpstr>harchampscuphistptsscored</vt:lpstr>
      <vt:lpstr>harchampscuphisttriesagainst</vt:lpstr>
      <vt:lpstr>harchampscuphisttriesscored</vt:lpstr>
      <vt:lpstr>harchampscuphistwon</vt:lpstr>
      <vt:lpstr>harchampscuppohistdgs</vt:lpstr>
      <vt:lpstr>harchampscuppohistdrawn</vt:lpstr>
      <vt:lpstr>harchampscuppohistlost</vt:lpstr>
      <vt:lpstr>harchampscuppohistplayed</vt:lpstr>
      <vt:lpstr>harchampscuppohistptsagainst</vt:lpstr>
      <vt:lpstr>harchampscuppohistptsscored</vt:lpstr>
      <vt:lpstr>harchampscuppohisttriesagainst</vt:lpstr>
      <vt:lpstr>harchampscuppohisttriesscopred</vt:lpstr>
      <vt:lpstr>harchampscuppohistwon</vt:lpstr>
      <vt:lpstr>harchampscuppoolagainst</vt:lpstr>
      <vt:lpstr>harchampscuppooldgs</vt:lpstr>
      <vt:lpstr>harchampscuppooldrawn</vt:lpstr>
      <vt:lpstr>harchampscuppoollost</vt:lpstr>
      <vt:lpstr>harchampscuppoolplayed</vt:lpstr>
      <vt:lpstr>harchampscuppoolscored</vt:lpstr>
      <vt:lpstr>harchampscuppooltriesagainst</vt:lpstr>
      <vt:lpstr>harchampscuppooltriesscored</vt:lpstr>
      <vt:lpstr>harchampscuppoolwon</vt:lpstr>
      <vt:lpstr>hareuropeancuphistdgs</vt:lpstr>
      <vt:lpstr>hareuropeancuphistdrawn</vt:lpstr>
      <vt:lpstr>hareuropeancuphistlost</vt:lpstr>
      <vt:lpstr>hareuropeancuphistplayed</vt:lpstr>
      <vt:lpstr>hareuropeancuphistptsagainst</vt:lpstr>
      <vt:lpstr>hareuropeancuphistptsscored</vt:lpstr>
      <vt:lpstr>hareuropeancuphisttriesagainst</vt:lpstr>
      <vt:lpstr>hareuropeancuphisttriesscored</vt:lpstr>
      <vt:lpstr>hareuropeancuphistwon</vt:lpstr>
      <vt:lpstr>harlequinseuropeseasontotalsdgs</vt:lpstr>
      <vt:lpstr>harlequinseuropeseasontotalsdgscorrect</vt:lpstr>
      <vt:lpstr>harlequinseuropeseasontotalsdrawn</vt:lpstr>
      <vt:lpstr>harlequinseuropeseasontotalslosingbonusconceded</vt:lpstr>
      <vt:lpstr>harlequinseuropeseasontotalslosingbonusscored</vt:lpstr>
      <vt:lpstr>harlequinseuropeseasontotalslost</vt:lpstr>
      <vt:lpstr>harlequinseuropeseasontotalsplayed</vt:lpstr>
      <vt:lpstr>harlequinseuropeseasontotalsptsagainst</vt:lpstr>
      <vt:lpstr>harlequinseuropeseasontotalsptsscored</vt:lpstr>
      <vt:lpstr>harlequinseuropeseasontotalsRC</vt:lpstr>
      <vt:lpstr>harlequinseuropeseasontotalsRCorrect</vt:lpstr>
      <vt:lpstr>harlequinseuropeseasontotalstriesconceded</vt:lpstr>
      <vt:lpstr>harlequinseuropeseasontotalstriesscored</vt:lpstr>
      <vt:lpstr>harlequinseuropeseasontotalstriesscoredcorrect</vt:lpstr>
      <vt:lpstr>harlequinseuropeseasontotalstrybonusconceded</vt:lpstr>
      <vt:lpstr>harlequinseuropeseasontotalstrybonusscored</vt:lpstr>
      <vt:lpstr>harlequinseuropeseasontotalswon</vt:lpstr>
      <vt:lpstr>harlequinseuropeseasontotalsYC</vt:lpstr>
      <vt:lpstr>harlequinseuropeseasontotalsYCcorrect</vt:lpstr>
      <vt:lpstr>harlequinspremdrawn</vt:lpstr>
      <vt:lpstr>harlequinspremdropgoalsscored</vt:lpstr>
      <vt:lpstr>harlequinspremlosingbonbusconc</vt:lpstr>
      <vt:lpstr>harlequinspremlosingbonusscored</vt:lpstr>
      <vt:lpstr>harlequinspremlost</vt:lpstr>
      <vt:lpstr>harlequinspremplayed</vt:lpstr>
      <vt:lpstr>harlequinspremplayedcorrect</vt:lpstr>
      <vt:lpstr>harlequinspremplayedthisone</vt:lpstr>
      <vt:lpstr>harlequinspremptsagaiants</vt:lpstr>
      <vt:lpstr>harlequinspremptsscored</vt:lpstr>
      <vt:lpstr>harlequinspremred</vt:lpstr>
      <vt:lpstr>harlequinspremseasontotalsdgs</vt:lpstr>
      <vt:lpstr>harlequinspremseasontotalsdrawn</vt:lpstr>
      <vt:lpstr>harlequinspremseasontotalslost</vt:lpstr>
      <vt:lpstr>harlequinspremseasontotalsplayed</vt:lpstr>
      <vt:lpstr>harlequinspremseasontotalsptsagainst</vt:lpstr>
      <vt:lpstr>harlequinspremseasontotalsptsscored</vt:lpstr>
      <vt:lpstr>harlequinspremseasontotalsRC</vt:lpstr>
      <vt:lpstr>harlequinspremseasontotalstriesconceded</vt:lpstr>
      <vt:lpstr>harlequinspremseasontotalstriesscored</vt:lpstr>
      <vt:lpstr>harlequinspremseasontotalswon</vt:lpstr>
      <vt:lpstr>harlequinspremseasontotalsYC</vt:lpstr>
      <vt:lpstr>harlequinspremtriesconc</vt:lpstr>
      <vt:lpstr>harlequinspremtriesscored</vt:lpstr>
      <vt:lpstr>harlequinspremtrybonuscon</vt:lpstr>
      <vt:lpstr>harlequinspremtrybonusscored</vt:lpstr>
      <vt:lpstr>harlequinspremwon</vt:lpstr>
      <vt:lpstr>harlequinspremyellow</vt:lpstr>
      <vt:lpstr>harpremhistdgs</vt:lpstr>
      <vt:lpstr>harpremhistdrawn</vt:lpstr>
      <vt:lpstr>harpremhistlost</vt:lpstr>
      <vt:lpstr>harpremhistplayed</vt:lpstr>
      <vt:lpstr>harpremhistptsagainst</vt:lpstr>
      <vt:lpstr>harpremhistptsscored</vt:lpstr>
      <vt:lpstr>harpremhisttriesagainst</vt:lpstr>
      <vt:lpstr>harpremhisttriesscored</vt:lpstr>
      <vt:lpstr>harpremhistwon</vt:lpstr>
      <vt:lpstr>Hqpremhistdgs</vt:lpstr>
      <vt:lpstr>Hqpremhistdrawn</vt:lpstr>
      <vt:lpstr>Hqpremhistlost</vt:lpstr>
      <vt:lpstr>Hqpremhistplayed</vt:lpstr>
      <vt:lpstr>Hqpremhistptsagainst</vt:lpstr>
      <vt:lpstr>Hqpremhistptsscored</vt:lpstr>
      <vt:lpstr>Hqpremhisttriesagainst</vt:lpstr>
      <vt:lpstr>Hqpremhisttriesscored</vt:lpstr>
      <vt:lpstr>Hqpremhistwon</vt:lpstr>
      <vt:lpstr>leicestereuropeseasontotalsdgs</vt:lpstr>
      <vt:lpstr>leicestereuropeseasontotalsdrawn</vt:lpstr>
      <vt:lpstr>leicestereuropeseasontotalslost</vt:lpstr>
      <vt:lpstr>leicestereuropeseasontotalsplayed</vt:lpstr>
      <vt:lpstr>leicestereuropeseasontotalsptsagainst</vt:lpstr>
      <vt:lpstr>leicestereuropeseasontotalsptsscored</vt:lpstr>
      <vt:lpstr>leicestereuropeseasontotalsRC</vt:lpstr>
      <vt:lpstr>leicestereuropeseasontotalstriesconceded</vt:lpstr>
      <vt:lpstr>leicestereuropeseasontotalstriesscored</vt:lpstr>
      <vt:lpstr>leicestereuropeseasontotalswon</vt:lpstr>
      <vt:lpstr>leicestereuropeseasontotalsYC</vt:lpstr>
      <vt:lpstr>leicesterpremdrawn</vt:lpstr>
      <vt:lpstr>leicesterpremdropgoalsscored</vt:lpstr>
      <vt:lpstr>leicesterpremlosingbonusconc</vt:lpstr>
      <vt:lpstr>leicesterpremlosingbonusscored</vt:lpstr>
      <vt:lpstr>leicesterpremlost</vt:lpstr>
      <vt:lpstr>leicesterpremplayed</vt:lpstr>
      <vt:lpstr>leicesterpremptsagainst</vt:lpstr>
      <vt:lpstr>leicesterpremptsscored</vt:lpstr>
      <vt:lpstr>leicesterpremred</vt:lpstr>
      <vt:lpstr>leicesterpremseasontotalsdgs</vt:lpstr>
      <vt:lpstr>leicesterpremseasontotalsdrawn</vt:lpstr>
      <vt:lpstr>leicesterpremseasontotalslost</vt:lpstr>
      <vt:lpstr>leicesterpremseasontotalsplayed</vt:lpstr>
      <vt:lpstr>leicesterpremseasontotalsptsagainst</vt:lpstr>
      <vt:lpstr>leicesterpremseasontotalsptsscored</vt:lpstr>
      <vt:lpstr>leicesterpremseasontotalsRC</vt:lpstr>
      <vt:lpstr>leicesterpremseasontotalstriesconceded</vt:lpstr>
      <vt:lpstr>leicesterpremseasontotalstriesscored</vt:lpstr>
      <vt:lpstr>leicesterpremseasontotalswon</vt:lpstr>
      <vt:lpstr>leicesterpremseasontotalsYC</vt:lpstr>
      <vt:lpstr>leicesterpremtriescomc</vt:lpstr>
      <vt:lpstr>leicesterpremtriesscored</vt:lpstr>
      <vt:lpstr>leicesterpremtrybonusconc</vt:lpstr>
      <vt:lpstr>leicesterpremtrybonusconccorrect</vt:lpstr>
      <vt:lpstr>leicesterpremtrybonusscored</vt:lpstr>
      <vt:lpstr>leicesterpremwon</vt:lpstr>
      <vt:lpstr>leicesterpremyellow</vt:lpstr>
      <vt:lpstr>Leichallcuphistdgs</vt:lpstr>
      <vt:lpstr>Leichallcuphistdrawn</vt:lpstr>
      <vt:lpstr>Leichallcuphistlost</vt:lpstr>
      <vt:lpstr>Leichallcuphistplayed</vt:lpstr>
      <vt:lpstr>Leichallcuphistptsagainst</vt:lpstr>
      <vt:lpstr>Leichallcuphistptsscored</vt:lpstr>
      <vt:lpstr>Leichallcuphisttriesagainst</vt:lpstr>
      <vt:lpstr>Leichallcuphisttriesscored</vt:lpstr>
      <vt:lpstr>Leichallcuphistwon</vt:lpstr>
      <vt:lpstr>Leichampscupdgs</vt:lpstr>
      <vt:lpstr>Leichampscupdrawn</vt:lpstr>
      <vt:lpstr>Leichampscuphistdgs</vt:lpstr>
      <vt:lpstr>Leichampscuphistdrawn</vt:lpstr>
      <vt:lpstr>Leichampscuphistlost</vt:lpstr>
      <vt:lpstr>Leichampscuphistplayed</vt:lpstr>
      <vt:lpstr>Leichampscuphistptsagainst</vt:lpstr>
      <vt:lpstr>Leichampscuphistptsscored</vt:lpstr>
      <vt:lpstr>Leichampscuphisttriesagainst</vt:lpstr>
      <vt:lpstr>Leichampscuphisttriesscored</vt:lpstr>
      <vt:lpstr>Leichampscuphistwon</vt:lpstr>
      <vt:lpstr>Leichampscuplost</vt:lpstr>
      <vt:lpstr>Leichampscupplayed</vt:lpstr>
      <vt:lpstr>Leichampscuppohistdgs</vt:lpstr>
      <vt:lpstr>Leichampscuppohistdrawn</vt:lpstr>
      <vt:lpstr>Leichampscuppohistlost</vt:lpstr>
      <vt:lpstr>Leichampscuppohistplayed</vt:lpstr>
      <vt:lpstr>Leichampscuppohistptsagainst</vt:lpstr>
      <vt:lpstr>Leichampscuppohistptsscored</vt:lpstr>
      <vt:lpstr>Leichampscuppohisttriesagainst</vt:lpstr>
      <vt:lpstr>Leichampscuppohisttriesscored</vt:lpstr>
      <vt:lpstr>Leichampscuppohistwon</vt:lpstr>
      <vt:lpstr>Leichampscupptsagainst</vt:lpstr>
      <vt:lpstr>Leichampscupptsscored</vt:lpstr>
      <vt:lpstr>Leichampscuptriesagainst</vt:lpstr>
      <vt:lpstr>Leichampscuptriesscored</vt:lpstr>
      <vt:lpstr>Leichampscupwon</vt:lpstr>
      <vt:lpstr>Leicprempodgs</vt:lpstr>
      <vt:lpstr>Leicprempolost</vt:lpstr>
      <vt:lpstr>Leicprempoplayed</vt:lpstr>
      <vt:lpstr>Leicprempoptsagainst</vt:lpstr>
      <vt:lpstr>Leicprempoptsscored</vt:lpstr>
      <vt:lpstr>LeicprempoRC</vt:lpstr>
      <vt:lpstr>Leicprempotriesagainst</vt:lpstr>
      <vt:lpstr>Leicprempotriesscored</vt:lpstr>
      <vt:lpstr>Leicprempowon</vt:lpstr>
      <vt:lpstr>LeicprempoYC</vt:lpstr>
      <vt:lpstr>Leieuropeancuphistdgs</vt:lpstr>
      <vt:lpstr>Leieuropeancuphistdrawn</vt:lpstr>
      <vt:lpstr>Leieuropeancuphistlost</vt:lpstr>
      <vt:lpstr>Leieuropeancuphistplayed</vt:lpstr>
      <vt:lpstr>Leieuropeancuphistptsscored</vt:lpstr>
      <vt:lpstr>Leieuropeancuphistptssgainst</vt:lpstr>
      <vt:lpstr>Leieuropeancuphisttriesagainst</vt:lpstr>
      <vt:lpstr>Leieuropeancuphisttriesscored</vt:lpstr>
      <vt:lpstr>Leieuropeancuphistwon</vt:lpstr>
      <vt:lpstr>leipremhistdgs</vt:lpstr>
      <vt:lpstr>leipremhistdrawn</vt:lpstr>
      <vt:lpstr>leipremhistlost</vt:lpstr>
      <vt:lpstr>leipremhistplayed</vt:lpstr>
      <vt:lpstr>leipremhistptsagainst</vt:lpstr>
      <vt:lpstr>leipremhistptsscored</vt:lpstr>
      <vt:lpstr>leipremhisttriesagainst</vt:lpstr>
      <vt:lpstr>leipremhisttriesscored</vt:lpstr>
      <vt:lpstr>leipremhistwon</vt:lpstr>
      <vt:lpstr>lirdgsscored</vt:lpstr>
      <vt:lpstr>lirdrawn</vt:lpstr>
      <vt:lpstr>lirlosingbonusconceded</vt:lpstr>
      <vt:lpstr>lirlosingbonusscored</vt:lpstr>
      <vt:lpstr>lirlost</vt:lpstr>
      <vt:lpstr>lirplayed</vt:lpstr>
      <vt:lpstr>lirpodgsscored</vt:lpstr>
      <vt:lpstr>lirpolost</vt:lpstr>
      <vt:lpstr>lirpoplayed</vt:lpstr>
      <vt:lpstr>lirpoptsagainst</vt:lpstr>
      <vt:lpstr>lirpoptsscored</vt:lpstr>
      <vt:lpstr>lirpored</vt:lpstr>
      <vt:lpstr>lirpotriesagainst</vt:lpstr>
      <vt:lpstr>lirpotriesscored</vt:lpstr>
      <vt:lpstr>lirpowon</vt:lpstr>
      <vt:lpstr>lirpoyellow</vt:lpstr>
      <vt:lpstr>lirptsagainst</vt:lpstr>
      <vt:lpstr>lirptsscored</vt:lpstr>
      <vt:lpstr>lirred</vt:lpstr>
      <vt:lpstr>lirtriesagainst</vt:lpstr>
      <vt:lpstr>lirtriesconceded</vt:lpstr>
      <vt:lpstr>lirtriesconcededcorrect</vt:lpstr>
      <vt:lpstr>lirtriesscored</vt:lpstr>
      <vt:lpstr>lirtrybonusconceded</vt:lpstr>
      <vt:lpstr>lirtrybonusscored</vt:lpstr>
      <vt:lpstr>lirwon</vt:lpstr>
      <vt:lpstr>liryellow</vt:lpstr>
      <vt:lpstr>London_Irisheuropeanchallengecupdgs</vt:lpstr>
      <vt:lpstr>London_Irisheuropeanchallengecupdrawn</vt:lpstr>
      <vt:lpstr>London_Irisheuropeanchallengecuplost</vt:lpstr>
      <vt:lpstr>London_Irisheuropeanchallengecupplayed</vt:lpstr>
      <vt:lpstr>London_Irisheuropeanchallengecupptsagainst</vt:lpstr>
      <vt:lpstr>London_Irisheuropeanchallengecupptsscored</vt:lpstr>
      <vt:lpstr>London_Irisheuropeanchallengecuptriesagainst</vt:lpstr>
      <vt:lpstr>London_Irisheuropeanchallengecuptriesscored</vt:lpstr>
      <vt:lpstr>London_Irisheuropeanchallengecupwon</vt:lpstr>
      <vt:lpstr>London_Irisheuropeancuphistdgs</vt:lpstr>
      <vt:lpstr>London_Irisheuropeancuphistdrawn</vt:lpstr>
      <vt:lpstr>London_Irisheuropeancuphistlost</vt:lpstr>
      <vt:lpstr>London_Irisheuropeancuphistplayed</vt:lpstr>
      <vt:lpstr>London_Irisheuropeancuphistptsagainst</vt:lpstr>
      <vt:lpstr>London_Irisheuropeancuphistptsscored</vt:lpstr>
      <vt:lpstr>London_Irisheuropeancuphisttriesagainst</vt:lpstr>
      <vt:lpstr>London_Irisheuropeancuphisttriesscored</vt:lpstr>
      <vt:lpstr>London_Irisheuropeancuphistwon</vt:lpstr>
      <vt:lpstr>London_Irisheuropepoolsdgs</vt:lpstr>
      <vt:lpstr>London_Irisheuropepoolsdrawn</vt:lpstr>
      <vt:lpstr>London_Irisheuropepoolslosingbonusconceded</vt:lpstr>
      <vt:lpstr>London_Irisheuropepoolslosingbonusscored</vt:lpstr>
      <vt:lpstr>London_Irisheuropepoolslost</vt:lpstr>
      <vt:lpstr>London_Irisheuropepoolsplayed</vt:lpstr>
      <vt:lpstr>London_IrisheuropepoolsplayedCORRECT</vt:lpstr>
      <vt:lpstr>London_Irisheuropepoolsptsagainst</vt:lpstr>
      <vt:lpstr>London_Irisheuropepoolsptsscored</vt:lpstr>
      <vt:lpstr>London_Irisheuropepoolsred</vt:lpstr>
      <vt:lpstr>London_Irisheuropepoolstriesconceded</vt:lpstr>
      <vt:lpstr>London_Irisheuropepoolstriesscored</vt:lpstr>
      <vt:lpstr>London_Irisheuropepoolstrybonusconceded</vt:lpstr>
      <vt:lpstr>London_Irisheuropepoolstrybonusscored</vt:lpstr>
      <vt:lpstr>London_Irisheuropepoolswon</vt:lpstr>
      <vt:lpstr>London_Irisheuropepoolsyellow</vt:lpstr>
      <vt:lpstr>London_Irishpremhistdgs</vt:lpstr>
      <vt:lpstr>London_Irishpremhistdrawn</vt:lpstr>
      <vt:lpstr>London_Irishpremhistlost</vt:lpstr>
      <vt:lpstr>London_Irishpremhistplayed</vt:lpstr>
      <vt:lpstr>London_Irishpremhistptsagainst</vt:lpstr>
      <vt:lpstr>London_Irishpremhistptsscored</vt:lpstr>
      <vt:lpstr>London_Irishpremhisttriesagainst</vt:lpstr>
      <vt:lpstr>London_Irishpremhisttriesscored</vt:lpstr>
      <vt:lpstr>London_Irishpremhistwon</vt:lpstr>
      <vt:lpstr>newcastleeuropeseasontotalsdgs</vt:lpstr>
      <vt:lpstr>newcastleeuropeseasontotalsdrawn</vt:lpstr>
      <vt:lpstr>newcastleeuropeseasontotalslost</vt:lpstr>
      <vt:lpstr>newcastleeuropeseasontotalsplayed</vt:lpstr>
      <vt:lpstr>newcastleeuropeseasontotalsptsagainst</vt:lpstr>
      <vt:lpstr>newcastleeuropeseasontotalsptsscored</vt:lpstr>
      <vt:lpstr>newcastleeuropeseasontotalsRC</vt:lpstr>
      <vt:lpstr>newcastleeuropeseasontotalstriesagainst</vt:lpstr>
      <vt:lpstr>newcastleeuropeseasontotalstriesscored</vt:lpstr>
      <vt:lpstr>newcastleeuropeseasontotalswon</vt:lpstr>
      <vt:lpstr>newcastleeuropeseasontotalsYC</vt:lpstr>
      <vt:lpstr>newcastlepremdrawn</vt:lpstr>
      <vt:lpstr>newcastlepremdropgoalsscored</vt:lpstr>
      <vt:lpstr>newcastlepremlosingboinusconc</vt:lpstr>
      <vt:lpstr>newcastlepremlosingbonusscored</vt:lpstr>
      <vt:lpstr>newcastlepremlost</vt:lpstr>
      <vt:lpstr>newcastlepremplayed</vt:lpstr>
      <vt:lpstr>newcastlepremptsagaionst</vt:lpstr>
      <vt:lpstr>newcastlepremptsscored</vt:lpstr>
      <vt:lpstr>newcastlepremred</vt:lpstr>
      <vt:lpstr>Newcastlepremtotalsdgs</vt:lpstr>
      <vt:lpstr>newcastlepremtotalsdrawn</vt:lpstr>
      <vt:lpstr>Newcastlepremtotalslost</vt:lpstr>
      <vt:lpstr>Newcastlepremtotalsplayed</vt:lpstr>
      <vt:lpstr>Newcastlepremtotalsptsagainst</vt:lpstr>
      <vt:lpstr>Newcastlepremtotalsptsscored</vt:lpstr>
      <vt:lpstr>Newcastlepremtotalsrc</vt:lpstr>
      <vt:lpstr>Newcastlepremtotalstriesconceded</vt:lpstr>
      <vt:lpstr>Newcastlepremtotalstriesscored</vt:lpstr>
      <vt:lpstr>Newcastlepremtotalswon</vt:lpstr>
      <vt:lpstr>Newcastlepremtotalsyc</vt:lpstr>
      <vt:lpstr>newcastlepremtriesconc</vt:lpstr>
      <vt:lpstr>newcastlepremtriesscored</vt:lpstr>
      <vt:lpstr>newcastlepremtrybonuscocn</vt:lpstr>
      <vt:lpstr>newcastlepremtrybonusscored</vt:lpstr>
      <vt:lpstr>newcastlepremwon</vt:lpstr>
      <vt:lpstr>newcastlepremyellow</vt:lpstr>
      <vt:lpstr>Newchallcupdgs</vt:lpstr>
      <vt:lpstr>Newchallcupdrawn</vt:lpstr>
      <vt:lpstr>Newchallcuplost</vt:lpstr>
      <vt:lpstr>Newchallcupplayed</vt:lpstr>
      <vt:lpstr>Newchallcupptsagainst</vt:lpstr>
      <vt:lpstr>Newchallcupptsscored</vt:lpstr>
      <vt:lpstr>Newchallcuptriesagainst</vt:lpstr>
      <vt:lpstr>Newchallcuptriesscored</vt:lpstr>
      <vt:lpstr>Newchallcupwon</vt:lpstr>
      <vt:lpstr>Newchampscuphistdgs</vt:lpstr>
      <vt:lpstr>Newchampscuphistdrawn</vt:lpstr>
      <vt:lpstr>Newchampscuphistlost</vt:lpstr>
      <vt:lpstr>Newchampscuphistplayed</vt:lpstr>
      <vt:lpstr>Newchampscuphistptsagainst</vt:lpstr>
      <vt:lpstr>Newchampscuphistptsscored</vt:lpstr>
      <vt:lpstr>Newchampscuphisttriesagainst</vt:lpstr>
      <vt:lpstr>Newchampscuphisttriesscored</vt:lpstr>
      <vt:lpstr>Newchampscuphistwon</vt:lpstr>
      <vt:lpstr>Newchampscuppohistdgs</vt:lpstr>
      <vt:lpstr>Newchampscuppohistdrawn</vt:lpstr>
      <vt:lpstr>Newchampscuppohistlost</vt:lpstr>
      <vt:lpstr>Newchampscuppohistplayed</vt:lpstr>
      <vt:lpstr>Newchampscuppohistptsagainst</vt:lpstr>
      <vt:lpstr>Newchampscuppohistptsscored</vt:lpstr>
      <vt:lpstr>Newchampscuppohisttriesagainst</vt:lpstr>
      <vt:lpstr>Newchampscuppohisttriesscored</vt:lpstr>
      <vt:lpstr>Newchampscuppohistwon</vt:lpstr>
      <vt:lpstr>newcpremhistdgs</vt:lpstr>
      <vt:lpstr>newcpremhistdrawn</vt:lpstr>
      <vt:lpstr>newcpremhistlost</vt:lpstr>
      <vt:lpstr>newcpremhistplayed</vt:lpstr>
      <vt:lpstr>newcpremhistptsagainst</vt:lpstr>
      <vt:lpstr>newcpremhistptsscored</vt:lpstr>
      <vt:lpstr>newcpremhisttriesagainst</vt:lpstr>
      <vt:lpstr>newcpremhisttriesscored</vt:lpstr>
      <vt:lpstr>newcpremhistwon</vt:lpstr>
      <vt:lpstr>Neweuropeancuphistdgs</vt:lpstr>
      <vt:lpstr>Neweuropeancuphistdrawn</vt:lpstr>
      <vt:lpstr>Neweuropeancuphistlost</vt:lpstr>
      <vt:lpstr>Neweuropeancuphistplayed</vt:lpstr>
      <vt:lpstr>Neweuropeancuphistptsagainst</vt:lpstr>
      <vt:lpstr>Neweuropeancuphistptsscored</vt:lpstr>
      <vt:lpstr>Neweuropeancuphisttriesagainst</vt:lpstr>
      <vt:lpstr>Neweuropeancuphisttriesscored</vt:lpstr>
      <vt:lpstr>Neweuropeancuphistwon</vt:lpstr>
      <vt:lpstr>Newpremhistdgs</vt:lpstr>
      <vt:lpstr>Newpremhistdrawn</vt:lpstr>
      <vt:lpstr>Newpremhistlost</vt:lpstr>
      <vt:lpstr>Newpremhistplayed</vt:lpstr>
      <vt:lpstr>Newpremhistptsagainst</vt:lpstr>
      <vt:lpstr>Newpremhistptsscored</vt:lpstr>
      <vt:lpstr>Newpremhisttriesagainst</vt:lpstr>
      <vt:lpstr>Newpremhisttriesscored</vt:lpstr>
      <vt:lpstr>Newpremhistwon</vt:lpstr>
      <vt:lpstr>Norchallcuphistdgs</vt:lpstr>
      <vt:lpstr>Norchallcuphistdrawn</vt:lpstr>
      <vt:lpstr>Norchallcuphistlost</vt:lpstr>
      <vt:lpstr>Norchallcuphistplayed</vt:lpstr>
      <vt:lpstr>Norchallcuphistptsagainst</vt:lpstr>
      <vt:lpstr>Norchallcuphistptsscored</vt:lpstr>
      <vt:lpstr>Norchallcuphisttriesagainst</vt:lpstr>
      <vt:lpstr>Norchallcuphisttriesscored</vt:lpstr>
      <vt:lpstr>Norchallcuphistwon</vt:lpstr>
      <vt:lpstr>Norchampscupdgs</vt:lpstr>
      <vt:lpstr>Norchampscupdrawn</vt:lpstr>
      <vt:lpstr>Norchampscuphistdgs</vt:lpstr>
      <vt:lpstr>Norchampscuphistdrawn</vt:lpstr>
      <vt:lpstr>Norchampscuphistlost</vt:lpstr>
      <vt:lpstr>Norchampscuphistplayed</vt:lpstr>
      <vt:lpstr>Norchampscuphistptsagainst</vt:lpstr>
      <vt:lpstr>Norchampscuphistptsscored</vt:lpstr>
      <vt:lpstr>Norchampscuphisttriesagainst</vt:lpstr>
      <vt:lpstr>Norchampscuphisttriesscored</vt:lpstr>
      <vt:lpstr>Norchampscuphistwon</vt:lpstr>
      <vt:lpstr>Norchampscuplost</vt:lpstr>
      <vt:lpstr>Norchampscupplayed</vt:lpstr>
      <vt:lpstr>norchampscuppoagainst</vt:lpstr>
      <vt:lpstr>norchampscuppodgs</vt:lpstr>
      <vt:lpstr>Norchampscuppohistdgs</vt:lpstr>
      <vt:lpstr>Norchampscuppohistdrawn</vt:lpstr>
      <vt:lpstr>Norchampscuppohistlost</vt:lpstr>
      <vt:lpstr>Norchampscuppohistplayed</vt:lpstr>
      <vt:lpstr>Norchampscuppohistptsagainst</vt:lpstr>
      <vt:lpstr>Norchampscuppohistptsscored</vt:lpstr>
      <vt:lpstr>Norchampscuppohisttriesagainst</vt:lpstr>
      <vt:lpstr>Norchampscuppohisttriesscored</vt:lpstr>
      <vt:lpstr>Norchampscuppohistwon</vt:lpstr>
      <vt:lpstr>norchampscuppolost</vt:lpstr>
      <vt:lpstr>norchampscuppoplayed</vt:lpstr>
      <vt:lpstr>norchampscupposcored</vt:lpstr>
      <vt:lpstr>norchampscuppotriesagainst</vt:lpstr>
      <vt:lpstr>norchampscuppotriesscored</vt:lpstr>
      <vt:lpstr>norchampscuppowon</vt:lpstr>
      <vt:lpstr>Norchampscupptsagainst</vt:lpstr>
      <vt:lpstr>Norchampscupptsscored</vt:lpstr>
      <vt:lpstr>Norchampscuptriesagainst</vt:lpstr>
      <vt:lpstr>Norchampscuptriesscored</vt:lpstr>
      <vt:lpstr>Norchampscupwon</vt:lpstr>
      <vt:lpstr>Noreuropeancuphistdgs</vt:lpstr>
      <vt:lpstr>Noreuropeancuphistdrawn</vt:lpstr>
      <vt:lpstr>Noreuropeancuphistlost</vt:lpstr>
      <vt:lpstr>Noreuropeancuphistplayed</vt:lpstr>
      <vt:lpstr>Noreuropeancuphistptsagainst</vt:lpstr>
      <vt:lpstr>Noreuropeancuphistptsscored</vt:lpstr>
      <vt:lpstr>Noreuropeancuphisttriesagainst</vt:lpstr>
      <vt:lpstr>Noreuropeancuphisttriesscored</vt:lpstr>
      <vt:lpstr>Noreuropeancuphistwon</vt:lpstr>
      <vt:lpstr>Norpremhistdgs</vt:lpstr>
      <vt:lpstr>Norpremhistdrawn</vt:lpstr>
      <vt:lpstr>Norpremhistlost</vt:lpstr>
      <vt:lpstr>Norpremhistplayed</vt:lpstr>
      <vt:lpstr>Norpremhistptsagainst</vt:lpstr>
      <vt:lpstr>Norpremhistptsscored</vt:lpstr>
      <vt:lpstr>Norpremhisttriersscored</vt:lpstr>
      <vt:lpstr>Norpremhisttriesagainst</vt:lpstr>
      <vt:lpstr>Norpremhistwon</vt:lpstr>
      <vt:lpstr>Nortbscored</vt:lpstr>
      <vt:lpstr>northamptoneuropeseasontotalsdgs</vt:lpstr>
      <vt:lpstr>northamptoneuropeseasontotalsdrawn</vt:lpstr>
      <vt:lpstr>northamptoneuropeseasontotalslost</vt:lpstr>
      <vt:lpstr>northamptoneuropeseasontotalsplayed</vt:lpstr>
      <vt:lpstr>northamptoneuropeseasontotalsptsagainst</vt:lpstr>
      <vt:lpstr>northamptoneuropeseasontotalsptsscored</vt:lpstr>
      <vt:lpstr>northamptoneuropeseasontotalsRC</vt:lpstr>
      <vt:lpstr>northamptoneuropeseasontotalstriesconceded</vt:lpstr>
      <vt:lpstr>northamptoneuropeseasontotalstriesscored</vt:lpstr>
      <vt:lpstr>northamptoneuropeseasontotalswon</vt:lpstr>
      <vt:lpstr>northamptoneuropeseasontotalsYC</vt:lpstr>
      <vt:lpstr>northamptonpremdrawn</vt:lpstr>
      <vt:lpstr>northamptonpremdropgoalsscored</vt:lpstr>
      <vt:lpstr>northamptonpremlosingbonusconc</vt:lpstr>
      <vt:lpstr>northamptonpremlosingbonusscored</vt:lpstr>
      <vt:lpstr>northamptonpremlost</vt:lpstr>
      <vt:lpstr>northamptonpremplayed</vt:lpstr>
      <vt:lpstr>northamptonpremptsagainst</vt:lpstr>
      <vt:lpstr>northamptonpremptsscored</vt:lpstr>
      <vt:lpstr>northamptonpremred</vt:lpstr>
      <vt:lpstr>northamptonpremseasontotalsdgs</vt:lpstr>
      <vt:lpstr>northamptonpremseasontotalsdrawn</vt:lpstr>
      <vt:lpstr>northamptonpremseasontotalslost</vt:lpstr>
      <vt:lpstr>northamptonpremseasontotalsplayed</vt:lpstr>
      <vt:lpstr>northamptonpremseasontotalsptsagainst</vt:lpstr>
      <vt:lpstr>northamptonpremseasontotalsptsscored</vt:lpstr>
      <vt:lpstr>northamptonpremseasontotalsRC</vt:lpstr>
      <vt:lpstr>northamptonpremseasontotalstriesconceded</vt:lpstr>
      <vt:lpstr>northamptonpremseasontotalstriesscored</vt:lpstr>
      <vt:lpstr>northamptonpremseasontotalswon</vt:lpstr>
      <vt:lpstr>northamptonpremseasontotalsYC</vt:lpstr>
      <vt:lpstr>northamptonpremtriesagainst</vt:lpstr>
      <vt:lpstr>northamptonpremtriesconc</vt:lpstr>
      <vt:lpstr>northamptonpremtriesscored</vt:lpstr>
      <vt:lpstr>northamptonpremtrybonusconc</vt:lpstr>
      <vt:lpstr>northamptonpremtrybonusscored</vt:lpstr>
      <vt:lpstr>northamptonpremwon</vt:lpstr>
      <vt:lpstr>northamptonpremyellow</vt:lpstr>
      <vt:lpstr>Salchallcuphistdgs</vt:lpstr>
      <vt:lpstr>Salchallcuphistdrawn</vt:lpstr>
      <vt:lpstr>Salchallcuphistlost</vt:lpstr>
      <vt:lpstr>Salchallcuphistplayed</vt:lpstr>
      <vt:lpstr>Salchallcuphistptsagainst</vt:lpstr>
      <vt:lpstr>Salchallcuphistptsscored</vt:lpstr>
      <vt:lpstr>Salchallcuphisttriesagainst</vt:lpstr>
      <vt:lpstr>Salchallcuphisttriesscored</vt:lpstr>
      <vt:lpstr>Salchallcuphistwon</vt:lpstr>
      <vt:lpstr>Salchampscuphistdgs</vt:lpstr>
      <vt:lpstr>Salchampscuphistdrawn</vt:lpstr>
      <vt:lpstr>Salchampscuphistlost</vt:lpstr>
      <vt:lpstr>Salchampscuphistplayed</vt:lpstr>
      <vt:lpstr>Salchampscuphistptsagainst</vt:lpstr>
      <vt:lpstr>Salchampscuphistptsscored</vt:lpstr>
      <vt:lpstr>Salchampscuphisttriesagainst</vt:lpstr>
      <vt:lpstr>Salchampscuphisttriesscored</vt:lpstr>
      <vt:lpstr>Salchampscuphistwon</vt:lpstr>
      <vt:lpstr>Salchampscuppohistdgs</vt:lpstr>
      <vt:lpstr>Salchampscuppohistdrawn</vt:lpstr>
      <vt:lpstr>Salchampscuppohistlost</vt:lpstr>
      <vt:lpstr>Salchampscuppohistplayed</vt:lpstr>
      <vt:lpstr>Salchampscuppohistptsagainst</vt:lpstr>
      <vt:lpstr>Salchampscuppohistptsscored</vt:lpstr>
      <vt:lpstr>Salchampscuppohisttriesagainst</vt:lpstr>
      <vt:lpstr>Salchampscuppohisttriesscored</vt:lpstr>
      <vt:lpstr>Salchampscuppohistwon</vt:lpstr>
      <vt:lpstr>saleeuropeseasontotalsdgs</vt:lpstr>
      <vt:lpstr>saleeuropeseasontotalsdrawn</vt:lpstr>
      <vt:lpstr>saleeuropeseasontotalslost</vt:lpstr>
      <vt:lpstr>saleeuropeseasontotalsplayed</vt:lpstr>
      <vt:lpstr>saleeuropeseasontotalsptsagainst</vt:lpstr>
      <vt:lpstr>saleeuropeseasontotalsptsscorewd</vt:lpstr>
      <vt:lpstr>saleeuropeseasontotalsRC</vt:lpstr>
      <vt:lpstr>saleeuropeseasontotalstriesconceded</vt:lpstr>
      <vt:lpstr>saleeuropeseasontotalstriesscored</vt:lpstr>
      <vt:lpstr>saleeuropeseasontotalswon</vt:lpstr>
      <vt:lpstr>saleeuropeseasontotalsYC</vt:lpstr>
      <vt:lpstr>salepremdrawn</vt:lpstr>
      <vt:lpstr>salepremdropgoalsscored</vt:lpstr>
      <vt:lpstr>salepremlosingbonusconc</vt:lpstr>
      <vt:lpstr>salepremlosingbonusscored</vt:lpstr>
      <vt:lpstr>salepremlost</vt:lpstr>
      <vt:lpstr>salepremplayed</vt:lpstr>
      <vt:lpstr>salepremptsdagainst</vt:lpstr>
      <vt:lpstr>salepremptsscored</vt:lpstr>
      <vt:lpstr>salepremred</vt:lpstr>
      <vt:lpstr>salepremseasontotalsdgs</vt:lpstr>
      <vt:lpstr>salepremseasontotalsdrawn</vt:lpstr>
      <vt:lpstr>salepremseasontotalslost</vt:lpstr>
      <vt:lpstr>salepremseasontotalsplayed</vt:lpstr>
      <vt:lpstr>salepremseasontotalsptsagainst</vt:lpstr>
      <vt:lpstr>salepremseasontotalsptsscored</vt:lpstr>
      <vt:lpstr>salepremseasontotalsRC</vt:lpstr>
      <vt:lpstr>salepremseasontotalstriesconceded</vt:lpstr>
      <vt:lpstr>salepremseasontotalstriesscored</vt:lpstr>
      <vt:lpstr>salepremseasontotalswon</vt:lpstr>
      <vt:lpstr>salepremseasontotalsYC</vt:lpstr>
      <vt:lpstr>salepremtriesconc</vt:lpstr>
      <vt:lpstr>salepremtriesscored</vt:lpstr>
      <vt:lpstr>salepremtrybonusconc</vt:lpstr>
      <vt:lpstr>salepremtrybonusscored</vt:lpstr>
      <vt:lpstr>salepremwon</vt:lpstr>
      <vt:lpstr>salepremyellow</vt:lpstr>
      <vt:lpstr>Saleuropeancuphistdgs</vt:lpstr>
      <vt:lpstr>Saleuropeancuphistdrawn</vt:lpstr>
      <vt:lpstr>Saleuropeancuphistlost</vt:lpstr>
      <vt:lpstr>Saleuropeancuphistplayed</vt:lpstr>
      <vt:lpstr>Saleuropeancuphistptsagainst</vt:lpstr>
      <vt:lpstr>Saleuropeancuphistptsscored</vt:lpstr>
      <vt:lpstr>Saleuropeancuphisttriesagainst</vt:lpstr>
      <vt:lpstr>Saleuropeancuphisttriesscored</vt:lpstr>
      <vt:lpstr>Saleuropeancuphistwon</vt:lpstr>
      <vt:lpstr>saleuropepoolagainst</vt:lpstr>
      <vt:lpstr>saleuropepooldgs</vt:lpstr>
      <vt:lpstr>saleuropepooldrawn</vt:lpstr>
      <vt:lpstr>saleuropepoollost</vt:lpstr>
      <vt:lpstr>saleuropepoolplayed</vt:lpstr>
      <vt:lpstr>saleuropepoolscored</vt:lpstr>
      <vt:lpstr>saleuropepooltriesagainst</vt:lpstr>
      <vt:lpstr>saleuropepooltriesscored</vt:lpstr>
      <vt:lpstr>saleuropepoolwon</vt:lpstr>
      <vt:lpstr>Salpremhistdgs</vt:lpstr>
      <vt:lpstr>Salpremhistdrawn</vt:lpstr>
      <vt:lpstr>Salpremhistlost</vt:lpstr>
      <vt:lpstr>Salpremhistplayed</vt:lpstr>
      <vt:lpstr>Salpremhistptsagainst</vt:lpstr>
      <vt:lpstr>Salpremhistptsscored</vt:lpstr>
      <vt:lpstr>Salpremhisttriesagainst</vt:lpstr>
      <vt:lpstr>Salpremhisttriesscored</vt:lpstr>
      <vt:lpstr>Salpremhistwon</vt:lpstr>
      <vt:lpstr>saracenseuropeseasontotalsdgs</vt:lpstr>
      <vt:lpstr>saracenseuropeseasontotalsdrawn</vt:lpstr>
      <vt:lpstr>saracenseuropeseasontotalslost</vt:lpstr>
      <vt:lpstr>saracenseuropeseasontotalsplayed</vt:lpstr>
      <vt:lpstr>saracenseuropeseasontotalsptsagainst</vt:lpstr>
      <vt:lpstr>saracenseuropeseasontotalsptsscored</vt:lpstr>
      <vt:lpstr>saracenseuropeseasontotalsRC</vt:lpstr>
      <vt:lpstr>saracenseuropeseasontotalstriesconceded</vt:lpstr>
      <vt:lpstr>saracenseuropeseasontotalstriesscored</vt:lpstr>
      <vt:lpstr>saracenseuropeseasontotalswon</vt:lpstr>
      <vt:lpstr>saracenseuropeseasontotalsYC</vt:lpstr>
      <vt:lpstr>saracenspremdrawn</vt:lpstr>
      <vt:lpstr>saracenspremdropgoalsscored</vt:lpstr>
      <vt:lpstr>saracenspremlosingbonusconc</vt:lpstr>
      <vt:lpstr>saracenspremlosingbonusscored</vt:lpstr>
      <vt:lpstr>saracenspremlost</vt:lpstr>
      <vt:lpstr>saracenspremplayed</vt:lpstr>
      <vt:lpstr>saracensprempodgs</vt:lpstr>
      <vt:lpstr>saracensprempolost</vt:lpstr>
      <vt:lpstr>saracensprempoplayed</vt:lpstr>
      <vt:lpstr>saracensprempoptsagainst</vt:lpstr>
      <vt:lpstr>saracensprempoptsscored</vt:lpstr>
      <vt:lpstr>saracensprempoRC</vt:lpstr>
      <vt:lpstr>saracensprempotriesagainst</vt:lpstr>
      <vt:lpstr>saracensprempotriesscored</vt:lpstr>
      <vt:lpstr>saracensprempowon</vt:lpstr>
      <vt:lpstr>saracensprempoYC</vt:lpstr>
      <vt:lpstr>saracenspremptsagainst</vt:lpstr>
      <vt:lpstr>saracenspremptsscored</vt:lpstr>
      <vt:lpstr>saracenspremred</vt:lpstr>
      <vt:lpstr>saracenspremtotalsdrawn</vt:lpstr>
      <vt:lpstr>saracenspremtriesconceded</vt:lpstr>
      <vt:lpstr>saracenspremtriesscopred</vt:lpstr>
      <vt:lpstr>saracenspremtrybonusconc</vt:lpstr>
      <vt:lpstr>saracenspremtrybonusscored</vt:lpstr>
      <vt:lpstr>saracenspremwon</vt:lpstr>
      <vt:lpstr>saracenspremyellow</vt:lpstr>
      <vt:lpstr>Sarchallcuphistdgs</vt:lpstr>
      <vt:lpstr>Sarchallcuphistdrawn</vt:lpstr>
      <vt:lpstr>Sarchallcuphistlost</vt:lpstr>
      <vt:lpstr>Sarchallcuphistplayed</vt:lpstr>
      <vt:lpstr>Sarchallcuphistptsagainst</vt:lpstr>
      <vt:lpstr>Sarchallcuphistptsscored</vt:lpstr>
      <vt:lpstr>Sarchallcuphisttriesagainst</vt:lpstr>
      <vt:lpstr>Sarchallcuphisttriesscored</vt:lpstr>
      <vt:lpstr>Sarchallcuphistwon</vt:lpstr>
      <vt:lpstr>Sarchampscupdgs</vt:lpstr>
      <vt:lpstr>Sarchampscupdrawn</vt:lpstr>
      <vt:lpstr>Sarchampscuphistdgs</vt:lpstr>
      <vt:lpstr>Sarchampscuphistdrawn</vt:lpstr>
      <vt:lpstr>Sarchampscuphistlost</vt:lpstr>
      <vt:lpstr>Sarchampscuphistplayed</vt:lpstr>
      <vt:lpstr>Sarchampscuphistptsagainst</vt:lpstr>
      <vt:lpstr>Sarchampscuphistptsscored</vt:lpstr>
      <vt:lpstr>Sarchampscuphisttriesagainst</vt:lpstr>
      <vt:lpstr>Sarchampscuphisttriesscored</vt:lpstr>
      <vt:lpstr>Sarchampscuphistwon</vt:lpstr>
      <vt:lpstr>Sarchampscupkodgs</vt:lpstr>
      <vt:lpstr>Sarchampscupkolost</vt:lpstr>
      <vt:lpstr>Sarchampscupkoplayedcorrect</vt:lpstr>
      <vt:lpstr>Sarchampscupkopld</vt:lpstr>
      <vt:lpstr>Sarchampscupkoptsagainst</vt:lpstr>
      <vt:lpstr>Sarchampscupkoptsscored</vt:lpstr>
      <vt:lpstr>Sarchampscupkotriesagainst</vt:lpstr>
      <vt:lpstr>Sarchampscupkotriesscored</vt:lpstr>
      <vt:lpstr>Sarchampscupkowon</vt:lpstr>
      <vt:lpstr>Sarchampscuplost</vt:lpstr>
      <vt:lpstr>Sarchampscupplayed</vt:lpstr>
      <vt:lpstr>Sarchampscuppohistdgs</vt:lpstr>
      <vt:lpstr>Sarchampscuppohistdrawn</vt:lpstr>
      <vt:lpstr>Sarchampscuppohistlost</vt:lpstr>
      <vt:lpstr>Sarchampscuppohistplayed</vt:lpstr>
      <vt:lpstr>Sarchampscuppohistptsagainst</vt:lpstr>
      <vt:lpstr>Sarchampscuppohistptsscored</vt:lpstr>
      <vt:lpstr>Sarchampscuppohisttriesagainst</vt:lpstr>
      <vt:lpstr>Sarchampscuppohisttriesscored</vt:lpstr>
      <vt:lpstr>Sarchampscuppohistwon</vt:lpstr>
      <vt:lpstr>Sarchampscupptsagainst</vt:lpstr>
      <vt:lpstr>Sarchampscupptsscored</vt:lpstr>
      <vt:lpstr>Sarchampscuptriesagainst</vt:lpstr>
      <vt:lpstr>Sarchampscuptriesscored</vt:lpstr>
      <vt:lpstr>Sarchampscupwon</vt:lpstr>
      <vt:lpstr>Sareuropeancuphistdgs</vt:lpstr>
      <vt:lpstr>Sareuropeancuphistdrawn</vt:lpstr>
      <vt:lpstr>Sareuropeancuphistlost</vt:lpstr>
      <vt:lpstr>Sareuropeancuphistplayed</vt:lpstr>
      <vt:lpstr>Sareuropeancuphistptsagainst</vt:lpstr>
      <vt:lpstr>Sareuropeancuphistptsscored</vt:lpstr>
      <vt:lpstr>Sareuropeancuphisttriesagainst</vt:lpstr>
      <vt:lpstr>Sareuropeancuphisttriesscored</vt:lpstr>
      <vt:lpstr>Sareuropeancuphistwon</vt:lpstr>
      <vt:lpstr>Sarpremhistdgs</vt:lpstr>
      <vt:lpstr>Sarpremhistdrawn</vt:lpstr>
      <vt:lpstr>Sarpremhistlost</vt:lpstr>
      <vt:lpstr>Sarpremhistplayed</vt:lpstr>
      <vt:lpstr>Sarpremhistptsagainst</vt:lpstr>
      <vt:lpstr>Sarpremhistptsscored</vt:lpstr>
      <vt:lpstr>Sarpremhisttriesagainst</vt:lpstr>
      <vt:lpstr>Sarpremhisttriesscored</vt:lpstr>
      <vt:lpstr>Sarpremhistwon</vt:lpstr>
      <vt:lpstr>Sarpremtotalsdgs</vt:lpstr>
      <vt:lpstr>Sarpremtotalslost</vt:lpstr>
      <vt:lpstr>Sarpremtotalsplayed</vt:lpstr>
      <vt:lpstr>Sarpremtotalsptsagainst</vt:lpstr>
      <vt:lpstr>Sarpremtotalsptsscored</vt:lpstr>
      <vt:lpstr>Sarpremtotalsrc</vt:lpstr>
      <vt:lpstr>Sarpremtotalstriesconceded</vt:lpstr>
      <vt:lpstr>Sarpremtotalstriesscored</vt:lpstr>
      <vt:lpstr>Sarpremtotalswon</vt:lpstr>
      <vt:lpstr>Sarpremtotalsyc</vt:lpstr>
      <vt:lpstr>Waschallcuphistdgs</vt:lpstr>
      <vt:lpstr>Waschallcuphistdrawn</vt:lpstr>
      <vt:lpstr>Waschallcuphistlost</vt:lpstr>
      <vt:lpstr>Waschallcuphistplayed</vt:lpstr>
      <vt:lpstr>Waschallcuphistptsagainst</vt:lpstr>
      <vt:lpstr>Waschallcuphistptsscored</vt:lpstr>
      <vt:lpstr>Waschallcuphisttriesagainst</vt:lpstr>
      <vt:lpstr>Waschallcuphisttriesscored</vt:lpstr>
      <vt:lpstr>Waschallcuphistwon</vt:lpstr>
      <vt:lpstr>Waschampscupdgs</vt:lpstr>
      <vt:lpstr>Waschampscupdrawn</vt:lpstr>
      <vt:lpstr>Waschampscuphistdgs</vt:lpstr>
      <vt:lpstr>Waschampscuphistdrawn</vt:lpstr>
      <vt:lpstr>Waschampscuphistlost</vt:lpstr>
      <vt:lpstr>Waschampscuphistplayed</vt:lpstr>
      <vt:lpstr>Waschampscuphistptsagainst</vt:lpstr>
      <vt:lpstr>Waschampscuphistptsscored</vt:lpstr>
      <vt:lpstr>Waschampscuphisttriesagainst</vt:lpstr>
      <vt:lpstr>Waschampscuphisttriesscored</vt:lpstr>
      <vt:lpstr>Waschampscuphistwon</vt:lpstr>
      <vt:lpstr>Waschampscuplost</vt:lpstr>
      <vt:lpstr>Waschampscupplayed</vt:lpstr>
      <vt:lpstr>Waschampscuppohistdgs</vt:lpstr>
      <vt:lpstr>Waschampscuppohistdrawn</vt:lpstr>
      <vt:lpstr>Waschampscuppohistlost</vt:lpstr>
      <vt:lpstr>Waschampscuppohistplayed</vt:lpstr>
      <vt:lpstr>Waschampscuppohistptsagainst</vt:lpstr>
      <vt:lpstr>Waschampscuppohistptsscored</vt:lpstr>
      <vt:lpstr>Waschampscuppohisttriesagainst</vt:lpstr>
      <vt:lpstr>Waschampscuppohisttriesscored</vt:lpstr>
      <vt:lpstr>Waschampscuppohistwon</vt:lpstr>
      <vt:lpstr>Waschampscupptsagainst</vt:lpstr>
      <vt:lpstr>Waschampscupptsscored</vt:lpstr>
      <vt:lpstr>Waschampscuptriesagainst</vt:lpstr>
      <vt:lpstr>Waschampscuptriesscored</vt:lpstr>
      <vt:lpstr>Waschampscupwon</vt:lpstr>
      <vt:lpstr>Waspremhistdgs</vt:lpstr>
      <vt:lpstr>Waspremhistdrawn</vt:lpstr>
      <vt:lpstr>Waspremhistlost</vt:lpstr>
      <vt:lpstr>Waspremhistplayed</vt:lpstr>
      <vt:lpstr>Waspremhistptsagainst</vt:lpstr>
      <vt:lpstr>Waspremhistptsscored</vt:lpstr>
      <vt:lpstr>Waspremhisttriesagainst</vt:lpstr>
      <vt:lpstr>Waspremhisttriesscored</vt:lpstr>
      <vt:lpstr>Waspremhistwon</vt:lpstr>
      <vt:lpstr>waspseuropeseasontotalscorrect</vt:lpstr>
      <vt:lpstr>waspseuropeseasontotalsdgs</vt:lpstr>
      <vt:lpstr>waspseuropeseasontotalsdgscorrect</vt:lpstr>
      <vt:lpstr>waspseuropeseasontotalsdrawn</vt:lpstr>
      <vt:lpstr>waspseuropeseasontotalsdrawncorrect</vt:lpstr>
      <vt:lpstr>waspseuropeseasontotalslost</vt:lpstr>
      <vt:lpstr>waspseuropeseasontotalslostcorrect</vt:lpstr>
      <vt:lpstr>waspseuropeseasontotalsplayed</vt:lpstr>
      <vt:lpstr>waspseuropeseasontotalsplayedcorrect</vt:lpstr>
      <vt:lpstr>waspseuropeseasontotalsptsagainst</vt:lpstr>
      <vt:lpstr>waspseuropeseasontotalsptsagainstcorrect</vt:lpstr>
      <vt:lpstr>waspseuropeseasontotalsptsscored</vt:lpstr>
      <vt:lpstr>waspseuropeseasontotalsptsscoredcorrect</vt:lpstr>
      <vt:lpstr>waspseuropeseasontotalsRC</vt:lpstr>
      <vt:lpstr>waspseuropeseasontotalsRCcorrect</vt:lpstr>
      <vt:lpstr>waspseuropeseasontotalstriesconceded</vt:lpstr>
      <vt:lpstr>waspseuropeseasontotalstriesconcededcorrect</vt:lpstr>
      <vt:lpstr>waspseuropeseasontotalstriesscored</vt:lpstr>
      <vt:lpstr>waspseuropeseasontotalstriesscoredcorrect</vt:lpstr>
      <vt:lpstr>waspseuropeseasontotalswon</vt:lpstr>
      <vt:lpstr>waspseuropeseasontotalswoncorrect</vt:lpstr>
      <vt:lpstr>waspseuropeseasontotalsYC</vt:lpstr>
      <vt:lpstr>waspseuropeseasontotalsYCcorrect</vt:lpstr>
      <vt:lpstr>waspspremdrawn</vt:lpstr>
      <vt:lpstr>waspspremdropgoalsscored</vt:lpstr>
      <vt:lpstr>Waspspremhistdrawn</vt:lpstr>
      <vt:lpstr>Waspspremhistlost</vt:lpstr>
      <vt:lpstr>Waspspremhistplayed</vt:lpstr>
      <vt:lpstr>Waspspremhistptsagainst</vt:lpstr>
      <vt:lpstr>Waspspremhistptsscored</vt:lpstr>
      <vt:lpstr>Waspspremhisttriesagainst</vt:lpstr>
      <vt:lpstr>Waspspremhisttriesscored</vt:lpstr>
      <vt:lpstr>Waspspremhistwon</vt:lpstr>
      <vt:lpstr>waspspremlosingbonusconc</vt:lpstr>
      <vt:lpstr>waspspremlosingbonusscored</vt:lpstr>
      <vt:lpstr>waspspremlost</vt:lpstr>
      <vt:lpstr>waspspremplayed</vt:lpstr>
      <vt:lpstr>waspsprempodgs</vt:lpstr>
      <vt:lpstr>waspsprempolost</vt:lpstr>
      <vt:lpstr>waspsprempoplayed</vt:lpstr>
      <vt:lpstr>waspsprempoptsagainst</vt:lpstr>
      <vt:lpstr>waspsprempoptsscored</vt:lpstr>
      <vt:lpstr>waspsprempoRC</vt:lpstr>
      <vt:lpstr>waspsprempotriesagainst</vt:lpstr>
      <vt:lpstr>waspsprempotriesscored</vt:lpstr>
      <vt:lpstr>waspsprempowon</vt:lpstr>
      <vt:lpstr>waspsprempoYC</vt:lpstr>
      <vt:lpstr>waspspremptsagainst</vt:lpstr>
      <vt:lpstr>waspspremptsscored</vt:lpstr>
      <vt:lpstr>waspspremred</vt:lpstr>
      <vt:lpstr>Waspspremtotalsdgs</vt:lpstr>
      <vt:lpstr>waspspremtotalsdrawn</vt:lpstr>
      <vt:lpstr>Waspspremtotalslost</vt:lpstr>
      <vt:lpstr>Waspspremtotalsplayed</vt:lpstr>
      <vt:lpstr>Waspspremtotalsptsagainst</vt:lpstr>
      <vt:lpstr>Waspspremtotalsptsscored</vt:lpstr>
      <vt:lpstr>Waspspremtotalsrc</vt:lpstr>
      <vt:lpstr>Waspspremtotalstriesconceded</vt:lpstr>
      <vt:lpstr>Waspspremtotalstriesscored</vt:lpstr>
      <vt:lpstr>Waspspremtotalswon</vt:lpstr>
      <vt:lpstr>Waspspremtotalsyc</vt:lpstr>
      <vt:lpstr>waspspremtriesconceded</vt:lpstr>
      <vt:lpstr>waspspremtriesscored</vt:lpstr>
      <vt:lpstr>waspspremtrybonusconc</vt:lpstr>
      <vt:lpstr>waspspremtrybonusscored</vt:lpstr>
      <vt:lpstr>waspspremwon</vt:lpstr>
      <vt:lpstr>waspspremyellow</vt:lpstr>
      <vt:lpstr>worcestereuropeseasontotalsdgs</vt:lpstr>
      <vt:lpstr>worcestereuropeseasontotalsdrawn</vt:lpstr>
      <vt:lpstr>worcestereuropeseasontotalslost</vt:lpstr>
      <vt:lpstr>worcestereuropeseasontotalsplayed</vt:lpstr>
      <vt:lpstr>worcestereuropeseasontotalsptsagainst</vt:lpstr>
      <vt:lpstr>worcestereuropeseasontotalsptsscored</vt:lpstr>
      <vt:lpstr>worcestereuropeseasontotalsRC</vt:lpstr>
      <vt:lpstr>worcestereuropeseasontotalstriesconceded</vt:lpstr>
      <vt:lpstr>worcestereuropeseasontotalstriesscored</vt:lpstr>
      <vt:lpstr>worcestereuropeseasontotalswon</vt:lpstr>
      <vt:lpstr>worcestereuropeseasontotalsYC</vt:lpstr>
      <vt:lpstr>worcesterpremdrawn</vt:lpstr>
      <vt:lpstr>worcesterpremdropgoalsscored</vt:lpstr>
      <vt:lpstr>Worcesterpremhistorydrawn</vt:lpstr>
      <vt:lpstr>worcesterpremhistorydropgoals</vt:lpstr>
      <vt:lpstr>Worcesterpremhistorylost</vt:lpstr>
      <vt:lpstr>Worcesterpremhistoryplayed</vt:lpstr>
      <vt:lpstr>worcesterpremhistoryptsagainst</vt:lpstr>
      <vt:lpstr>Worcesterpremhistoryptsscored</vt:lpstr>
      <vt:lpstr>worcesterpremhistorytriesagainst</vt:lpstr>
      <vt:lpstr>worcesterpremhistorytriesscored</vt:lpstr>
      <vt:lpstr>Worcesterpremhistorywon</vt:lpstr>
      <vt:lpstr>worcesterpremlosingbonussconc</vt:lpstr>
      <vt:lpstr>worcesterpremlosingbonusscored</vt:lpstr>
      <vt:lpstr>worcesterpremlostr</vt:lpstr>
      <vt:lpstr>worcesterpremplayed</vt:lpstr>
      <vt:lpstr>worcesterpremptsagainst</vt:lpstr>
      <vt:lpstr>worcesterpremptsscored</vt:lpstr>
      <vt:lpstr>worcesterpremred</vt:lpstr>
      <vt:lpstr>worcesterpremseasontotalsdgs</vt:lpstr>
      <vt:lpstr>worcesterpremseasontotalsdrawn</vt:lpstr>
      <vt:lpstr>worcesterpremseasontotalslost</vt:lpstr>
      <vt:lpstr>worcesterpremseasontotalsplayed</vt:lpstr>
      <vt:lpstr>worcesterpremseasontotalsptsagainst</vt:lpstr>
      <vt:lpstr>worcesterpremseasontotalsptsscored</vt:lpstr>
      <vt:lpstr>worcesterpremseasontotalsRC</vt:lpstr>
      <vt:lpstr>worcesterpremseasontotalstriesconceded</vt:lpstr>
      <vt:lpstr>worcesterpremseasontotalstriesscored</vt:lpstr>
      <vt:lpstr>worcesterpremseasontotalstriesscoredcorrect</vt:lpstr>
      <vt:lpstr>worcesterpremseasontotalswon</vt:lpstr>
      <vt:lpstr>worcesterpremseasontotalsYC</vt:lpstr>
      <vt:lpstr>worcesterpremtriesscored</vt:lpstr>
      <vt:lpstr>worcesterpremtrioesconc</vt:lpstr>
      <vt:lpstr>worcesterpremtrybonusconc</vt:lpstr>
      <vt:lpstr>worcesterpremtrybonusscored</vt:lpstr>
      <vt:lpstr>worcesterpremwon</vt:lpstr>
      <vt:lpstr>worcesterpremyellow</vt:lpstr>
      <vt:lpstr>Worchallcupdgs</vt:lpstr>
      <vt:lpstr>Worchallcupdrawn</vt:lpstr>
      <vt:lpstr>Worchallcuphistdgs</vt:lpstr>
      <vt:lpstr>Worchallcuphistdrawn</vt:lpstr>
      <vt:lpstr>Worchallcuphistlost</vt:lpstr>
      <vt:lpstr>Worchallcuphistplayed</vt:lpstr>
      <vt:lpstr>Worchallcuphistptsagainst</vt:lpstr>
      <vt:lpstr>Worchallcuphistptsscored</vt:lpstr>
      <vt:lpstr>Worchallcuphisttriesagainst</vt:lpstr>
      <vt:lpstr>Worchallcuphisttriesscored</vt:lpstr>
      <vt:lpstr>Worchallcuphistwon</vt:lpstr>
      <vt:lpstr>Worchallcuplost</vt:lpstr>
      <vt:lpstr>Worchallcupplayed</vt:lpstr>
      <vt:lpstr>Worchallcupptsagainst</vt:lpstr>
      <vt:lpstr>Worchallcupptsscored</vt:lpstr>
      <vt:lpstr>Worchallcuptriesagainst</vt:lpstr>
      <vt:lpstr>Worchallcuptriesscored</vt:lpstr>
      <vt:lpstr>Worchallcupwon</vt:lpstr>
      <vt:lpstr>Worchampscuphistdgs</vt:lpstr>
      <vt:lpstr>Worchampscuphistdrawn</vt:lpstr>
      <vt:lpstr>Worchampscuphistlost</vt:lpstr>
      <vt:lpstr>Worchampscuphistplayed</vt:lpstr>
      <vt:lpstr>Worchampscuphistptsagainst</vt:lpstr>
      <vt:lpstr>Worchampscuphistptsscored</vt:lpstr>
      <vt:lpstr>Worchampscuphisttriesagaionst</vt:lpstr>
      <vt:lpstr>Worchampscuphisttriesscored</vt:lpstr>
      <vt:lpstr>Worchampscuphistwon</vt:lpstr>
      <vt:lpstr>Worchampscuppohistdgs</vt:lpstr>
      <vt:lpstr>Worchampscuppohistdrawn</vt:lpstr>
      <vt:lpstr>Worchampscuppohistlost</vt:lpstr>
      <vt:lpstr>Worchampscuppohistplayed</vt:lpstr>
      <vt:lpstr>Worchampscuppohistptsagainst</vt:lpstr>
      <vt:lpstr>Worchampscuppohistptsscored</vt:lpstr>
      <vt:lpstr>Worchampscuppohisttriesagainst</vt:lpstr>
      <vt:lpstr>Worchampscuppohisttriesscored</vt:lpstr>
      <vt:lpstr>Worchampscuppohistwon</vt:lpstr>
      <vt:lpstr>Woreuropeancuphistdgs</vt:lpstr>
      <vt:lpstr>Woreuropeancuphistdrawn</vt:lpstr>
      <vt:lpstr>Woreuropeancuphistlost</vt:lpstr>
      <vt:lpstr>Woreuropeancuphistplayed</vt:lpstr>
      <vt:lpstr>Woreuropeancuphistptsagainst</vt:lpstr>
      <vt:lpstr>Woreuropeancuphistptsscored</vt:lpstr>
      <vt:lpstr>Woreuropeancuphisttriesagainst</vt:lpstr>
      <vt:lpstr>Woreuropeancuphisttriesscored</vt:lpstr>
      <vt:lpstr>Woreuropeancuphistwon</vt:lpstr>
      <vt:lpstr>Worpremhistdgs</vt:lpstr>
      <vt:lpstr>Worpremhistdrawn</vt:lpstr>
      <vt:lpstr>Worpremhistlost</vt:lpstr>
      <vt:lpstr>Worpremhistplayed</vt:lpstr>
      <vt:lpstr>Worpremhistptsagainst</vt:lpstr>
      <vt:lpstr>Worpremhistptsscored</vt:lpstr>
      <vt:lpstr>Worpremhisttriesagainst</vt:lpstr>
      <vt:lpstr>Worpremhisttriesscored</vt:lpstr>
      <vt:lpstr>Worpremhistwon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</dc:creator>
  <cp:lastModifiedBy>Ade Hill</cp:lastModifiedBy>
  <cp:lastPrinted>2016-05-22T09:43:42Z</cp:lastPrinted>
  <dcterms:created xsi:type="dcterms:W3CDTF">2013-06-01T17:42:48Z</dcterms:created>
  <dcterms:modified xsi:type="dcterms:W3CDTF">2024-08-19T10:28:37Z</dcterms:modified>
</cp:coreProperties>
</file>